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drawings/drawing3.xml" ContentType="application/vnd.openxmlformats-officedocument.drawing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omments5.xml" ContentType="application/vnd.openxmlformats-officedocument.spreadsheetml.comments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omments6.xml" ContentType="application/vnd.openxmlformats-officedocument.spreadsheetml.comments+xml"/>
  <Override PartName="/xl/drawings/drawing8.xml" ContentType="application/vnd.openxmlformats-officedocument.drawing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drawings/drawing9.xml" ContentType="application/vnd.openxmlformats-officedocument.drawing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drawings/drawing10.xml" ContentType="application/vnd.openxmlformats-officedocument.drawing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drawings/drawing11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EstaPasta_de_trabalho"/>
  <bookViews>
    <workbookView xWindow="0" yWindow="960" windowWidth="8235" windowHeight="4530" tabRatio="876"/>
  </bookViews>
  <sheets>
    <sheet name="Dados Programa" sheetId="52" r:id="rId1"/>
    <sheet name="Listas" sheetId="53" r:id="rId2"/>
    <sheet name="Dados" sheetId="14" r:id="rId3"/>
    <sheet name="Descrição" sheetId="45" r:id="rId4"/>
    <sheet name="Inventário" sheetId="26" r:id="rId5"/>
    <sheet name="Rebanho" sheetId="27" r:id="rId6"/>
    <sheet name="Pastagem" sheetId="42" r:id="rId7"/>
    <sheet name="Agricultura" sheetId="33" r:id="rId8"/>
    <sheet name="Mão-de-obra" sheetId="29" r:id="rId9"/>
    <sheet name="Suplementação" sheetId="30" r:id="rId10"/>
    <sheet name="Alimentação" sheetId="35" r:id="rId11"/>
    <sheet name="Sanidade" sheetId="31" r:id="rId12"/>
    <sheet name="Geral" sheetId="32" r:id="rId13"/>
    <sheet name="Análise ADM" sheetId="22" r:id="rId14"/>
    <sheet name="Análise TEC" sheetId="36" r:id="rId15"/>
    <sheet name="Relatórios" sheetId="39" r:id="rId16"/>
    <sheet name="Fluxo" sheetId="47" r:id="rId17"/>
    <sheet name="Gráf_Fluxo" sheetId="49" r:id="rId18"/>
    <sheet name="Impostos, contribuicoes e taxas" sheetId="46" r:id="rId19"/>
  </sheet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xlnm._FilterDatabase" localSheetId="2" hidden="1">Dados!$AA$13:$AB$24</definedName>
    <definedName name="_xlnm._FilterDatabase" localSheetId="0" hidden="1">'Dados Programa'!#REF!</definedName>
    <definedName name="_xlnm._FilterDatabase" localSheetId="15" hidden="1">Relatórios!$B$131:$D$131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2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</definedNames>
  <calcPr calcId="145621"/>
</workbook>
</file>

<file path=xl/calcChain.xml><?xml version="1.0" encoding="utf-8"?>
<calcChain xmlns="http://schemas.openxmlformats.org/spreadsheetml/2006/main">
  <c r="N413" i="52" l="1"/>
  <c r="I413" i="52"/>
  <c r="B413" i="52"/>
  <c r="N412" i="52"/>
  <c r="I412" i="52"/>
  <c r="B412" i="52"/>
  <c r="AA411" i="52"/>
  <c r="Z411" i="52"/>
  <c r="Y411" i="52"/>
  <c r="X411" i="52"/>
  <c r="W411" i="52"/>
  <c r="N411" i="52"/>
  <c r="I411" i="52"/>
  <c r="B411" i="52"/>
  <c r="AA410" i="52"/>
  <c r="Z410" i="52"/>
  <c r="Y410" i="52"/>
  <c r="X410" i="52"/>
  <c r="W410" i="52"/>
  <c r="N410" i="52"/>
  <c r="I410" i="52"/>
  <c r="B410" i="52"/>
  <c r="AA409" i="52"/>
  <c r="Z409" i="52"/>
  <c r="Y409" i="52"/>
  <c r="X409" i="52"/>
  <c r="W409" i="52"/>
  <c r="N409" i="52"/>
  <c r="I409" i="52"/>
  <c r="B409" i="52"/>
  <c r="AA408" i="52"/>
  <c r="Z408" i="52"/>
  <c r="Y408" i="52"/>
  <c r="X408" i="52"/>
  <c r="W408" i="52"/>
  <c r="N408" i="52"/>
  <c r="I408" i="52"/>
  <c r="B408" i="52"/>
  <c r="AA407" i="52"/>
  <c r="Z407" i="52"/>
  <c r="Y407" i="52"/>
  <c r="X407" i="52"/>
  <c r="W407" i="52"/>
  <c r="N407" i="52"/>
  <c r="I407" i="52"/>
  <c r="B407" i="52"/>
  <c r="AA406" i="52"/>
  <c r="Z406" i="52"/>
  <c r="Y406" i="52"/>
  <c r="X406" i="52"/>
  <c r="W406" i="52"/>
  <c r="N406" i="52"/>
  <c r="I406" i="52"/>
  <c r="B406" i="52"/>
  <c r="AA405" i="52"/>
  <c r="Z405" i="52"/>
  <c r="Y405" i="52"/>
  <c r="X405" i="52"/>
  <c r="W405" i="52"/>
  <c r="N405" i="52"/>
  <c r="I405" i="52"/>
  <c r="B405" i="52"/>
  <c r="AA404" i="52"/>
  <c r="Z404" i="52"/>
  <c r="Y404" i="52"/>
  <c r="X404" i="52"/>
  <c r="W404" i="52"/>
  <c r="N404" i="52"/>
  <c r="I404" i="52"/>
  <c r="B404" i="52"/>
  <c r="AA403" i="52"/>
  <c r="Z403" i="52"/>
  <c r="Y403" i="52"/>
  <c r="X403" i="52"/>
  <c r="W403" i="52"/>
  <c r="N403" i="52"/>
  <c r="I403" i="52"/>
  <c r="B403" i="52"/>
  <c r="AA402" i="52"/>
  <c r="Z402" i="52"/>
  <c r="Y402" i="52"/>
  <c r="X402" i="52"/>
  <c r="W402" i="52"/>
  <c r="K399" i="52"/>
  <c r="K398" i="52"/>
  <c r="R397" i="52"/>
  <c r="S397" i="52" s="1"/>
  <c r="T397" i="52" s="1"/>
  <c r="U397" i="52" s="1"/>
  <c r="W397" i="52" s="1"/>
  <c r="L397" i="52"/>
  <c r="K397" i="52"/>
  <c r="B397" i="52"/>
  <c r="R396" i="52"/>
  <c r="S396" i="52" s="1"/>
  <c r="T396" i="52" s="1"/>
  <c r="U396" i="52" s="1"/>
  <c r="W396" i="52" s="1"/>
  <c r="L396" i="52"/>
  <c r="K396" i="52"/>
  <c r="B396" i="52"/>
  <c r="R395" i="52"/>
  <c r="S395" i="52" s="1"/>
  <c r="T395" i="52" s="1"/>
  <c r="U395" i="52" s="1"/>
  <c r="W395" i="52" s="1"/>
  <c r="L395" i="52"/>
  <c r="K395" i="52"/>
  <c r="B395" i="52"/>
  <c r="R394" i="52"/>
  <c r="S394" i="52" s="1"/>
  <c r="T394" i="52" s="1"/>
  <c r="U394" i="52" s="1"/>
  <c r="W394" i="52" s="1"/>
  <c r="L394" i="52"/>
  <c r="K394" i="52"/>
  <c r="B394" i="52"/>
  <c r="L393" i="52"/>
  <c r="K393" i="52"/>
  <c r="B393" i="52"/>
  <c r="S392" i="52"/>
  <c r="T392" i="52" s="1"/>
  <c r="U392" i="52" s="1"/>
  <c r="W392" i="52" s="1"/>
  <c r="R392" i="52"/>
  <c r="L392" i="52"/>
  <c r="K392" i="52"/>
  <c r="B392" i="52"/>
  <c r="S391" i="52"/>
  <c r="T391" i="52" s="1"/>
  <c r="U391" i="52" s="1"/>
  <c r="W391" i="52" s="1"/>
  <c r="R391" i="52"/>
  <c r="L391" i="52"/>
  <c r="K391" i="52"/>
  <c r="B391" i="52"/>
  <c r="R390" i="52"/>
  <c r="S390" i="52" s="1"/>
  <c r="T390" i="52" s="1"/>
  <c r="U390" i="52" s="1"/>
  <c r="W390" i="52" s="1"/>
  <c r="L390" i="52"/>
  <c r="K390" i="52"/>
  <c r="B390" i="52"/>
  <c r="R389" i="52"/>
  <c r="S389" i="52" s="1"/>
  <c r="T389" i="52" s="1"/>
  <c r="U389" i="52" s="1"/>
  <c r="W389" i="52" s="1"/>
  <c r="L389" i="52"/>
  <c r="K389" i="52"/>
  <c r="B389" i="52"/>
  <c r="W388" i="52"/>
  <c r="U388" i="52"/>
  <c r="T388" i="52"/>
  <c r="S388" i="52"/>
  <c r="R388" i="52"/>
  <c r="K388" i="52"/>
  <c r="K387" i="52"/>
  <c r="K386" i="52"/>
  <c r="K385" i="52"/>
  <c r="K384" i="52"/>
  <c r="K383" i="52"/>
  <c r="K382" i="52"/>
  <c r="K381" i="52"/>
  <c r="K380" i="52"/>
  <c r="K379" i="52"/>
  <c r="K378" i="52"/>
  <c r="K377" i="52"/>
  <c r="K376" i="52"/>
  <c r="K375" i="52"/>
  <c r="K374" i="52"/>
  <c r="K373" i="52"/>
  <c r="K372" i="52"/>
  <c r="K371" i="52"/>
  <c r="K370" i="52"/>
  <c r="Z366" i="52"/>
  <c r="Y366" i="52"/>
  <c r="X366" i="52"/>
  <c r="W366" i="52"/>
  <c r="V366" i="52"/>
  <c r="U366" i="52"/>
  <c r="T366" i="52"/>
  <c r="S366" i="52"/>
  <c r="R366" i="52"/>
  <c r="Q366" i="52"/>
  <c r="M366" i="52"/>
  <c r="K366" i="52" s="1"/>
  <c r="Z365" i="52"/>
  <c r="Y365" i="52"/>
  <c r="X365" i="52"/>
  <c r="W365" i="52"/>
  <c r="V365" i="52"/>
  <c r="U365" i="52"/>
  <c r="T365" i="52"/>
  <c r="S365" i="52"/>
  <c r="R365" i="52"/>
  <c r="Q365" i="52"/>
  <c r="P365" i="52"/>
  <c r="M365" i="52"/>
  <c r="O365" i="52" s="1"/>
  <c r="Z364" i="52"/>
  <c r="Y364" i="52"/>
  <c r="X364" i="52"/>
  <c r="W364" i="52"/>
  <c r="V364" i="52"/>
  <c r="U364" i="52"/>
  <c r="T364" i="52"/>
  <c r="S364" i="52"/>
  <c r="R364" i="52"/>
  <c r="Q364" i="52"/>
  <c r="M364" i="52"/>
  <c r="K364" i="52" s="1"/>
  <c r="Z363" i="52"/>
  <c r="Y363" i="52"/>
  <c r="X363" i="52"/>
  <c r="W363" i="52"/>
  <c r="V363" i="52"/>
  <c r="U363" i="52"/>
  <c r="T363" i="52"/>
  <c r="S363" i="52"/>
  <c r="R363" i="52"/>
  <c r="Q363" i="52"/>
  <c r="P363" i="52"/>
  <c r="M363" i="52"/>
  <c r="O363" i="52" s="1"/>
  <c r="Z362" i="52"/>
  <c r="Y362" i="52"/>
  <c r="X362" i="52"/>
  <c r="W362" i="52"/>
  <c r="V362" i="52"/>
  <c r="U362" i="52"/>
  <c r="T362" i="52"/>
  <c r="S362" i="52"/>
  <c r="R362" i="52"/>
  <c r="Q362" i="52"/>
  <c r="M362" i="52"/>
  <c r="K362" i="52" s="1"/>
  <c r="Z361" i="52"/>
  <c r="Y361" i="52"/>
  <c r="X361" i="52"/>
  <c r="W361" i="52"/>
  <c r="V361" i="52"/>
  <c r="U361" i="52"/>
  <c r="T361" i="52"/>
  <c r="S361" i="52"/>
  <c r="R361" i="52"/>
  <c r="Q361" i="52"/>
  <c r="P361" i="52"/>
  <c r="M361" i="52"/>
  <c r="O361" i="52" s="1"/>
  <c r="Z360" i="52"/>
  <c r="Y360" i="52"/>
  <c r="X360" i="52"/>
  <c r="W360" i="52"/>
  <c r="V360" i="52"/>
  <c r="U360" i="52"/>
  <c r="T360" i="52"/>
  <c r="S360" i="52"/>
  <c r="R360" i="52"/>
  <c r="Q360" i="52"/>
  <c r="M360" i="52"/>
  <c r="K360" i="52" s="1"/>
  <c r="Z359" i="52"/>
  <c r="Y359" i="52"/>
  <c r="X359" i="52"/>
  <c r="W359" i="52"/>
  <c r="V359" i="52"/>
  <c r="U359" i="52"/>
  <c r="T359" i="52"/>
  <c r="S359" i="52"/>
  <c r="R359" i="52"/>
  <c r="Q359" i="52"/>
  <c r="P359" i="52"/>
  <c r="M359" i="52"/>
  <c r="O359" i="52" s="1"/>
  <c r="Z358" i="52"/>
  <c r="Y358" i="52"/>
  <c r="X358" i="52"/>
  <c r="W358" i="52"/>
  <c r="V358" i="52"/>
  <c r="U358" i="52"/>
  <c r="T358" i="52"/>
  <c r="S358" i="52"/>
  <c r="R358" i="52"/>
  <c r="Q358" i="52"/>
  <c r="M358" i="52"/>
  <c r="K358" i="52" s="1"/>
  <c r="Z357" i="52"/>
  <c r="Y357" i="52"/>
  <c r="X357" i="52"/>
  <c r="W357" i="52"/>
  <c r="V357" i="52"/>
  <c r="U357" i="52"/>
  <c r="T357" i="52"/>
  <c r="S357" i="52"/>
  <c r="R357" i="52"/>
  <c r="Q357" i="52"/>
  <c r="P357" i="52"/>
  <c r="M357" i="52"/>
  <c r="O357" i="52" s="1"/>
  <c r="Z356" i="52"/>
  <c r="Y356" i="52"/>
  <c r="X356" i="52"/>
  <c r="W356" i="52"/>
  <c r="V356" i="52"/>
  <c r="U356" i="52"/>
  <c r="T356" i="52"/>
  <c r="S356" i="52"/>
  <c r="R356" i="52"/>
  <c r="Q356" i="52"/>
  <c r="M356" i="52"/>
  <c r="K356" i="52" s="1"/>
  <c r="Z355" i="52"/>
  <c r="Y355" i="52"/>
  <c r="X355" i="52"/>
  <c r="W355" i="52"/>
  <c r="V355" i="52"/>
  <c r="U355" i="52"/>
  <c r="T355" i="52"/>
  <c r="S355" i="52"/>
  <c r="R355" i="52"/>
  <c r="Q355" i="52"/>
  <c r="P355" i="52"/>
  <c r="M355" i="52"/>
  <c r="O355" i="52" s="1"/>
  <c r="Z354" i="52"/>
  <c r="Y354" i="52"/>
  <c r="X354" i="52"/>
  <c r="W354" i="52"/>
  <c r="V354" i="52"/>
  <c r="U354" i="52"/>
  <c r="T354" i="52"/>
  <c r="S354" i="52"/>
  <c r="R354" i="52"/>
  <c r="Q354" i="52"/>
  <c r="M354" i="52"/>
  <c r="K354" i="52" s="1"/>
  <c r="Z353" i="52"/>
  <c r="Y353" i="52"/>
  <c r="X353" i="52"/>
  <c r="W353" i="52"/>
  <c r="V353" i="52"/>
  <c r="U353" i="52"/>
  <c r="T353" i="52"/>
  <c r="S353" i="52"/>
  <c r="R353" i="52"/>
  <c r="Q353" i="52"/>
  <c r="P353" i="52"/>
  <c r="M353" i="52"/>
  <c r="O353" i="52" s="1"/>
  <c r="Z352" i="52"/>
  <c r="Y352" i="52"/>
  <c r="X352" i="52"/>
  <c r="W352" i="52"/>
  <c r="V352" i="52"/>
  <c r="U352" i="52"/>
  <c r="T352" i="52"/>
  <c r="S352" i="52"/>
  <c r="R352" i="52"/>
  <c r="Q352" i="52"/>
  <c r="M352" i="52"/>
  <c r="K352" i="52" s="1"/>
  <c r="Z351" i="52"/>
  <c r="Y351" i="52"/>
  <c r="X351" i="52"/>
  <c r="W351" i="52"/>
  <c r="V351" i="52"/>
  <c r="U351" i="52"/>
  <c r="T351" i="52"/>
  <c r="S351" i="52"/>
  <c r="R351" i="52"/>
  <c r="Q351" i="52"/>
  <c r="P351" i="52"/>
  <c r="M351" i="52"/>
  <c r="O351" i="52" s="1"/>
  <c r="Z350" i="52"/>
  <c r="Y350" i="52"/>
  <c r="X350" i="52"/>
  <c r="W350" i="52"/>
  <c r="V350" i="52"/>
  <c r="U350" i="52"/>
  <c r="T350" i="52"/>
  <c r="S350" i="52"/>
  <c r="R350" i="52"/>
  <c r="Q350" i="52"/>
  <c r="M350" i="52"/>
  <c r="K350" i="52" s="1"/>
  <c r="Z349" i="52"/>
  <c r="Y349" i="52"/>
  <c r="X349" i="52"/>
  <c r="W349" i="52"/>
  <c r="V349" i="52"/>
  <c r="U349" i="52"/>
  <c r="T349" i="52"/>
  <c r="S349" i="52"/>
  <c r="R349" i="52"/>
  <c r="Q349" i="52"/>
  <c r="P349" i="52"/>
  <c r="M349" i="52"/>
  <c r="O349" i="52" s="1"/>
  <c r="Z348" i="52"/>
  <c r="Y348" i="52"/>
  <c r="X348" i="52"/>
  <c r="W348" i="52"/>
  <c r="V348" i="52"/>
  <c r="U348" i="52"/>
  <c r="T348" i="52"/>
  <c r="S348" i="52"/>
  <c r="R348" i="52"/>
  <c r="Q348" i="52"/>
  <c r="M348" i="52"/>
  <c r="K348" i="52" s="1"/>
  <c r="Z347" i="52"/>
  <c r="Y347" i="52"/>
  <c r="X347" i="52"/>
  <c r="W347" i="52"/>
  <c r="V347" i="52"/>
  <c r="U347" i="52"/>
  <c r="T347" i="52"/>
  <c r="S347" i="52"/>
  <c r="R347" i="52"/>
  <c r="Q347" i="52"/>
  <c r="P347" i="52"/>
  <c r="M347" i="52"/>
  <c r="O347" i="52" s="1"/>
  <c r="Z346" i="52"/>
  <c r="Y346" i="52"/>
  <c r="X346" i="52"/>
  <c r="W346" i="52"/>
  <c r="V346" i="52"/>
  <c r="U346" i="52"/>
  <c r="T346" i="52"/>
  <c r="S346" i="52"/>
  <c r="R346" i="52"/>
  <c r="Q346" i="52"/>
  <c r="M346" i="52"/>
  <c r="K346" i="52" s="1"/>
  <c r="Z345" i="52"/>
  <c r="Y345" i="52"/>
  <c r="X345" i="52"/>
  <c r="W345" i="52"/>
  <c r="V345" i="52"/>
  <c r="U345" i="52"/>
  <c r="T345" i="52"/>
  <c r="S345" i="52"/>
  <c r="R345" i="52"/>
  <c r="Q345" i="52"/>
  <c r="P345" i="52"/>
  <c r="M345" i="52"/>
  <c r="O345" i="52" s="1"/>
  <c r="Z344" i="52"/>
  <c r="Y344" i="52"/>
  <c r="X344" i="52"/>
  <c r="W344" i="52"/>
  <c r="V344" i="52"/>
  <c r="U344" i="52"/>
  <c r="T344" i="52"/>
  <c r="S344" i="52"/>
  <c r="R344" i="52"/>
  <c r="Q344" i="52"/>
  <c r="M344" i="52"/>
  <c r="K344" i="52" s="1"/>
  <c r="Z343" i="52"/>
  <c r="Y343" i="52"/>
  <c r="X343" i="52"/>
  <c r="W343" i="52"/>
  <c r="V343" i="52"/>
  <c r="U343" i="52"/>
  <c r="T343" i="52"/>
  <c r="S343" i="52"/>
  <c r="R343" i="52"/>
  <c r="Q343" i="52"/>
  <c r="P343" i="52"/>
  <c r="M343" i="52"/>
  <c r="O343" i="52" s="1"/>
  <c r="Z342" i="52"/>
  <c r="Y342" i="52"/>
  <c r="X342" i="52"/>
  <c r="W342" i="52"/>
  <c r="V342" i="52"/>
  <c r="U342" i="52"/>
  <c r="T342" i="52"/>
  <c r="S342" i="52"/>
  <c r="R342" i="52"/>
  <c r="Q342" i="52"/>
  <c r="M342" i="52"/>
  <c r="K342" i="52" s="1"/>
  <c r="Z341" i="52"/>
  <c r="Y341" i="52"/>
  <c r="X341" i="52"/>
  <c r="W341" i="52"/>
  <c r="V341" i="52"/>
  <c r="U341" i="52"/>
  <c r="T341" i="52"/>
  <c r="S341" i="52"/>
  <c r="R341" i="52"/>
  <c r="Q341" i="52"/>
  <c r="P341" i="52"/>
  <c r="M341" i="52"/>
  <c r="O341" i="52" s="1"/>
  <c r="Z340" i="52"/>
  <c r="Y340" i="52"/>
  <c r="X340" i="52"/>
  <c r="W340" i="52"/>
  <c r="V340" i="52"/>
  <c r="U340" i="52"/>
  <c r="T340" i="52"/>
  <c r="S340" i="52"/>
  <c r="R340" i="52"/>
  <c r="Q340" i="52"/>
  <c r="M340" i="52"/>
  <c r="K340" i="52" s="1"/>
  <c r="Z339" i="52"/>
  <c r="Y339" i="52"/>
  <c r="X339" i="52"/>
  <c r="W339" i="52"/>
  <c r="V339" i="52"/>
  <c r="U339" i="52"/>
  <c r="T339" i="52"/>
  <c r="S339" i="52"/>
  <c r="R339" i="52"/>
  <c r="Q339" i="52"/>
  <c r="P339" i="52"/>
  <c r="M339" i="52"/>
  <c r="O339" i="52" s="1"/>
  <c r="Z338" i="52"/>
  <c r="Y338" i="52"/>
  <c r="X338" i="52"/>
  <c r="W338" i="52"/>
  <c r="V338" i="52"/>
  <c r="U338" i="52"/>
  <c r="T338" i="52"/>
  <c r="S338" i="52"/>
  <c r="R338" i="52"/>
  <c r="Q338" i="52"/>
  <c r="M338" i="52"/>
  <c r="K338" i="52" s="1"/>
  <c r="Z337" i="52"/>
  <c r="Y337" i="52"/>
  <c r="X337" i="52"/>
  <c r="W337" i="52"/>
  <c r="V337" i="52"/>
  <c r="U337" i="52"/>
  <c r="T337" i="52"/>
  <c r="S337" i="52"/>
  <c r="R337" i="52"/>
  <c r="Q337" i="52"/>
  <c r="P337" i="52"/>
  <c r="M337" i="52"/>
  <c r="O337" i="52" s="1"/>
  <c r="Z336" i="52"/>
  <c r="Y336" i="52"/>
  <c r="X336" i="52"/>
  <c r="W336" i="52"/>
  <c r="V336" i="52"/>
  <c r="U336" i="52"/>
  <c r="T336" i="52"/>
  <c r="S336" i="52"/>
  <c r="R336" i="52"/>
  <c r="Q336" i="52"/>
  <c r="M336" i="52"/>
  <c r="K336" i="52" s="1"/>
  <c r="Z335" i="52"/>
  <c r="Y335" i="52"/>
  <c r="X335" i="52"/>
  <c r="W335" i="52"/>
  <c r="V335" i="52"/>
  <c r="U335" i="52"/>
  <c r="T335" i="52"/>
  <c r="S335" i="52"/>
  <c r="R335" i="52"/>
  <c r="Q335" i="52"/>
  <c r="P335" i="52"/>
  <c r="M335" i="52"/>
  <c r="O335" i="52" s="1"/>
  <c r="Z334" i="52"/>
  <c r="Y334" i="52"/>
  <c r="X334" i="52"/>
  <c r="W334" i="52"/>
  <c r="V334" i="52"/>
  <c r="U334" i="52"/>
  <c r="T334" i="52"/>
  <c r="S334" i="52"/>
  <c r="R334" i="52"/>
  <c r="Q334" i="52"/>
  <c r="M334" i="52"/>
  <c r="K334" i="52" s="1"/>
  <c r="Z333" i="52"/>
  <c r="Y333" i="52"/>
  <c r="X333" i="52"/>
  <c r="W333" i="52"/>
  <c r="V333" i="52"/>
  <c r="U333" i="52"/>
  <c r="T333" i="52"/>
  <c r="S333" i="52"/>
  <c r="R333" i="52"/>
  <c r="Q333" i="52"/>
  <c r="P333" i="52"/>
  <c r="M333" i="52"/>
  <c r="O333" i="52" s="1"/>
  <c r="Z332" i="52"/>
  <c r="Y332" i="52"/>
  <c r="X332" i="52"/>
  <c r="W332" i="52"/>
  <c r="V332" i="52"/>
  <c r="U332" i="52"/>
  <c r="T332" i="52"/>
  <c r="S332" i="52"/>
  <c r="R332" i="52"/>
  <c r="Q332" i="52"/>
  <c r="M332" i="52"/>
  <c r="K332" i="52" s="1"/>
  <c r="Z331" i="52"/>
  <c r="Y331" i="52"/>
  <c r="X331" i="52"/>
  <c r="W331" i="52"/>
  <c r="V331" i="52"/>
  <c r="U331" i="52"/>
  <c r="T331" i="52"/>
  <c r="S331" i="52"/>
  <c r="R331" i="52"/>
  <c r="Q331" i="52"/>
  <c r="P331" i="52"/>
  <c r="M331" i="52"/>
  <c r="O331" i="52" s="1"/>
  <c r="Z330" i="52"/>
  <c r="Y330" i="52"/>
  <c r="X330" i="52"/>
  <c r="W330" i="52"/>
  <c r="V330" i="52"/>
  <c r="U330" i="52"/>
  <c r="T330" i="52"/>
  <c r="S330" i="52"/>
  <c r="R330" i="52"/>
  <c r="Q330" i="52"/>
  <c r="M330" i="52"/>
  <c r="K330" i="52" s="1"/>
  <c r="Z329" i="52"/>
  <c r="Y329" i="52"/>
  <c r="X329" i="52"/>
  <c r="W329" i="52"/>
  <c r="V329" i="52"/>
  <c r="U329" i="52"/>
  <c r="T329" i="52"/>
  <c r="S329" i="52"/>
  <c r="R329" i="52"/>
  <c r="Q329" i="52"/>
  <c r="P329" i="52"/>
  <c r="M329" i="52"/>
  <c r="O329" i="52" s="1"/>
  <c r="Z328" i="52"/>
  <c r="Y328" i="52"/>
  <c r="X328" i="52"/>
  <c r="W328" i="52"/>
  <c r="V328" i="52"/>
  <c r="U328" i="52"/>
  <c r="T328" i="52"/>
  <c r="S328" i="52"/>
  <c r="R328" i="52"/>
  <c r="Q328" i="52"/>
  <c r="M328" i="52"/>
  <c r="Z327" i="52"/>
  <c r="Y327" i="52"/>
  <c r="X327" i="52"/>
  <c r="W327" i="52"/>
  <c r="V327" i="52"/>
  <c r="U327" i="52"/>
  <c r="T327" i="52"/>
  <c r="S327" i="52"/>
  <c r="R327" i="52"/>
  <c r="Q327" i="52"/>
  <c r="P327" i="52"/>
  <c r="M327" i="52"/>
  <c r="O327" i="52" s="1"/>
  <c r="Z326" i="52"/>
  <c r="Y326" i="52"/>
  <c r="X326" i="52"/>
  <c r="W326" i="52"/>
  <c r="V326" i="52"/>
  <c r="U326" i="52"/>
  <c r="T326" i="52"/>
  <c r="S326" i="52"/>
  <c r="R326" i="52"/>
  <c r="Q326" i="52"/>
  <c r="M326" i="52"/>
  <c r="Z325" i="52"/>
  <c r="Y325" i="52"/>
  <c r="X325" i="52"/>
  <c r="W325" i="52"/>
  <c r="V325" i="52"/>
  <c r="U325" i="52"/>
  <c r="T325" i="52"/>
  <c r="S325" i="52"/>
  <c r="R325" i="52"/>
  <c r="Q325" i="52"/>
  <c r="P325" i="52"/>
  <c r="M325" i="52"/>
  <c r="O325" i="52" s="1"/>
  <c r="Z324" i="52"/>
  <c r="Y324" i="52"/>
  <c r="X324" i="52"/>
  <c r="W324" i="52"/>
  <c r="V324" i="52"/>
  <c r="U324" i="52"/>
  <c r="T324" i="52"/>
  <c r="S324" i="52"/>
  <c r="R324" i="52"/>
  <c r="Q324" i="52"/>
  <c r="M324" i="52"/>
  <c r="Z323" i="52"/>
  <c r="Y323" i="52"/>
  <c r="X323" i="52"/>
  <c r="W323" i="52"/>
  <c r="V323" i="52"/>
  <c r="U323" i="52"/>
  <c r="T323" i="52"/>
  <c r="S323" i="52"/>
  <c r="R323" i="52"/>
  <c r="Q323" i="52"/>
  <c r="P323" i="52"/>
  <c r="M323" i="52"/>
  <c r="O323" i="52" s="1"/>
  <c r="Z322" i="52"/>
  <c r="Y322" i="52"/>
  <c r="X322" i="52"/>
  <c r="W322" i="52"/>
  <c r="V322" i="52"/>
  <c r="U322" i="52"/>
  <c r="T322" i="52"/>
  <c r="S322" i="52"/>
  <c r="R322" i="52"/>
  <c r="Q322" i="52"/>
  <c r="M322" i="52"/>
  <c r="Z321" i="52"/>
  <c r="Y321" i="52"/>
  <c r="X321" i="52"/>
  <c r="W321" i="52"/>
  <c r="V321" i="52"/>
  <c r="U321" i="52"/>
  <c r="T321" i="52"/>
  <c r="S321" i="52"/>
  <c r="R321" i="52"/>
  <c r="Q321" i="52"/>
  <c r="P321" i="52"/>
  <c r="M321" i="52"/>
  <c r="O321" i="52" s="1"/>
  <c r="Z320" i="52"/>
  <c r="Y320" i="52"/>
  <c r="X320" i="52"/>
  <c r="W320" i="52"/>
  <c r="V320" i="52"/>
  <c r="U320" i="52"/>
  <c r="T320" i="52"/>
  <c r="S320" i="52"/>
  <c r="R320" i="52"/>
  <c r="Q320" i="52"/>
  <c r="M320" i="52"/>
  <c r="Z319" i="52"/>
  <c r="Y319" i="52"/>
  <c r="X319" i="52"/>
  <c r="W319" i="52"/>
  <c r="V319" i="52"/>
  <c r="U319" i="52"/>
  <c r="T319" i="52"/>
  <c r="S319" i="52"/>
  <c r="R319" i="52"/>
  <c r="Q319" i="52"/>
  <c r="M319" i="52"/>
  <c r="Z318" i="52"/>
  <c r="Y318" i="52"/>
  <c r="X318" i="52"/>
  <c r="W318" i="52"/>
  <c r="V318" i="52"/>
  <c r="U318" i="52"/>
  <c r="T318" i="52"/>
  <c r="S318" i="52"/>
  <c r="R318" i="52"/>
  <c r="Q318" i="52"/>
  <c r="M318" i="52"/>
  <c r="Z317" i="52"/>
  <c r="Y317" i="52"/>
  <c r="X317" i="52"/>
  <c r="W317" i="52"/>
  <c r="V317" i="52"/>
  <c r="U317" i="52"/>
  <c r="T317" i="52"/>
  <c r="S317" i="52"/>
  <c r="R317" i="52"/>
  <c r="Q317" i="52"/>
  <c r="M317" i="52"/>
  <c r="Z316" i="52"/>
  <c r="Y316" i="52"/>
  <c r="X316" i="52"/>
  <c r="W316" i="52"/>
  <c r="V316" i="52"/>
  <c r="U316" i="52"/>
  <c r="T316" i="52"/>
  <c r="S316" i="52"/>
  <c r="R316" i="52"/>
  <c r="Q316" i="52"/>
  <c r="M316" i="52"/>
  <c r="Z315" i="52"/>
  <c r="Y315" i="52"/>
  <c r="X315" i="52"/>
  <c r="W315" i="52"/>
  <c r="V315" i="52"/>
  <c r="U315" i="52"/>
  <c r="T315" i="52"/>
  <c r="S315" i="52"/>
  <c r="R315" i="52"/>
  <c r="Q315" i="52"/>
  <c r="M315" i="52"/>
  <c r="Z314" i="52"/>
  <c r="Y314" i="52"/>
  <c r="X314" i="52"/>
  <c r="W314" i="52"/>
  <c r="V314" i="52"/>
  <c r="U314" i="52"/>
  <c r="T314" i="52"/>
  <c r="S314" i="52"/>
  <c r="R314" i="52"/>
  <c r="Q314" i="52"/>
  <c r="M314" i="52"/>
  <c r="Z313" i="52"/>
  <c r="Y313" i="52"/>
  <c r="X313" i="52"/>
  <c r="W313" i="52"/>
  <c r="V313" i="52"/>
  <c r="U313" i="52"/>
  <c r="T313" i="52"/>
  <c r="S313" i="52"/>
  <c r="R313" i="52"/>
  <c r="Q313" i="52"/>
  <c r="M313" i="52"/>
  <c r="Z312" i="52"/>
  <c r="Y312" i="52"/>
  <c r="X312" i="52"/>
  <c r="W312" i="52"/>
  <c r="V312" i="52"/>
  <c r="U312" i="52"/>
  <c r="T312" i="52"/>
  <c r="S312" i="52"/>
  <c r="R312" i="52"/>
  <c r="Q312" i="52"/>
  <c r="M312" i="52"/>
  <c r="Z311" i="52"/>
  <c r="Y311" i="52"/>
  <c r="X311" i="52"/>
  <c r="W311" i="52"/>
  <c r="V311" i="52"/>
  <c r="U311" i="52"/>
  <c r="T311" i="52"/>
  <c r="S311" i="52"/>
  <c r="R311" i="52"/>
  <c r="Q311" i="52"/>
  <c r="M311" i="52"/>
  <c r="Z310" i="52"/>
  <c r="Y310" i="52"/>
  <c r="X310" i="52"/>
  <c r="W310" i="52"/>
  <c r="V310" i="52"/>
  <c r="U310" i="52"/>
  <c r="T310" i="52"/>
  <c r="S310" i="52"/>
  <c r="R310" i="52"/>
  <c r="Q310" i="52"/>
  <c r="M310" i="52"/>
  <c r="Z309" i="52"/>
  <c r="Y309" i="52"/>
  <c r="X309" i="52"/>
  <c r="W309" i="52"/>
  <c r="V309" i="52"/>
  <c r="U309" i="52"/>
  <c r="T309" i="52"/>
  <c r="S309" i="52"/>
  <c r="R309" i="52"/>
  <c r="Q309" i="52"/>
  <c r="M309" i="52"/>
  <c r="Z308" i="52"/>
  <c r="Y308" i="52"/>
  <c r="X308" i="52"/>
  <c r="W308" i="52"/>
  <c r="V308" i="52"/>
  <c r="U308" i="52"/>
  <c r="T308" i="52"/>
  <c r="S308" i="52"/>
  <c r="R308" i="52"/>
  <c r="Q308" i="52"/>
  <c r="M308" i="52"/>
  <c r="Z307" i="52"/>
  <c r="Y307" i="52"/>
  <c r="X307" i="52"/>
  <c r="W307" i="52"/>
  <c r="V307" i="52"/>
  <c r="U307" i="52"/>
  <c r="T307" i="52"/>
  <c r="S307" i="52"/>
  <c r="R307" i="52"/>
  <c r="Q307" i="52"/>
  <c r="M307" i="52"/>
  <c r="Z306" i="52"/>
  <c r="Y306" i="52"/>
  <c r="X306" i="52"/>
  <c r="W306" i="52"/>
  <c r="V306" i="52"/>
  <c r="U306" i="52"/>
  <c r="T306" i="52"/>
  <c r="S306" i="52"/>
  <c r="R306" i="52"/>
  <c r="Q306" i="52"/>
  <c r="N305" i="52"/>
  <c r="M305" i="52"/>
  <c r="K305" i="52"/>
  <c r="H305" i="52" s="1"/>
  <c r="N304" i="52"/>
  <c r="M304" i="52"/>
  <c r="K304" i="52"/>
  <c r="H304" i="52" s="1"/>
  <c r="N303" i="52"/>
  <c r="M303" i="52"/>
  <c r="K303" i="52"/>
  <c r="H303" i="52" s="1"/>
  <c r="N302" i="52"/>
  <c r="M302" i="52"/>
  <c r="K302" i="52"/>
  <c r="H302" i="52" s="1"/>
  <c r="N301" i="52"/>
  <c r="M301" i="52"/>
  <c r="K301" i="52"/>
  <c r="H301" i="52" s="1"/>
  <c r="N300" i="52"/>
  <c r="M300" i="52"/>
  <c r="K300" i="52"/>
  <c r="H300" i="52" s="1"/>
  <c r="N299" i="52"/>
  <c r="M299" i="52"/>
  <c r="K299" i="52"/>
  <c r="H299" i="52" s="1"/>
  <c r="N298" i="52"/>
  <c r="M298" i="52"/>
  <c r="K298" i="52"/>
  <c r="H298" i="52" s="1"/>
  <c r="N297" i="52"/>
  <c r="M297" i="52"/>
  <c r="K297" i="52"/>
  <c r="H297" i="52" s="1"/>
  <c r="N296" i="52"/>
  <c r="M296" i="52"/>
  <c r="K296" i="52"/>
  <c r="H296" i="52" s="1"/>
  <c r="N295" i="52"/>
  <c r="M295" i="52"/>
  <c r="K295" i="52"/>
  <c r="H295" i="52" s="1"/>
  <c r="N294" i="52"/>
  <c r="M294" i="52"/>
  <c r="K294" i="52"/>
  <c r="H294" i="52" s="1"/>
  <c r="N293" i="52"/>
  <c r="M293" i="52"/>
  <c r="K293" i="52"/>
  <c r="H293" i="52" s="1"/>
  <c r="N292" i="52"/>
  <c r="M292" i="52"/>
  <c r="K292" i="52"/>
  <c r="H292" i="52" s="1"/>
  <c r="N291" i="52"/>
  <c r="M291" i="52"/>
  <c r="K291" i="52"/>
  <c r="H291" i="52" s="1"/>
  <c r="N290" i="52"/>
  <c r="M290" i="52"/>
  <c r="K290" i="52" s="1"/>
  <c r="H290" i="52" s="1"/>
  <c r="N289" i="52"/>
  <c r="M289" i="52"/>
  <c r="K289" i="52" s="1"/>
  <c r="H289" i="52" s="1"/>
  <c r="N288" i="52"/>
  <c r="M288" i="52"/>
  <c r="K288" i="52"/>
  <c r="H288" i="52" s="1"/>
  <c r="N286" i="52"/>
  <c r="M286" i="52"/>
  <c r="K286" i="52"/>
  <c r="H286" i="52" s="1"/>
  <c r="N285" i="52"/>
  <c r="M285" i="52"/>
  <c r="K285" i="52"/>
  <c r="H285" i="52" s="1"/>
  <c r="N284" i="52"/>
  <c r="M284" i="52"/>
  <c r="K284" i="52"/>
  <c r="H284" i="52" s="1"/>
  <c r="N283" i="52"/>
  <c r="M283" i="52"/>
  <c r="K283" i="52"/>
  <c r="H283" i="52" s="1"/>
  <c r="N282" i="52"/>
  <c r="M282" i="52"/>
  <c r="K282" i="52"/>
  <c r="H282" i="52" s="1"/>
  <c r="N281" i="52"/>
  <c r="M281" i="52"/>
  <c r="K281" i="52"/>
  <c r="H281" i="52" s="1"/>
  <c r="N280" i="52"/>
  <c r="M280" i="52"/>
  <c r="K280" i="52"/>
  <c r="H280" i="52" s="1"/>
  <c r="N279" i="52"/>
  <c r="M279" i="52"/>
  <c r="K279" i="52"/>
  <c r="H279" i="52" s="1"/>
  <c r="N278" i="52"/>
  <c r="M278" i="52"/>
  <c r="K278" i="52"/>
  <c r="H278" i="52" s="1"/>
  <c r="N277" i="52"/>
  <c r="M277" i="52"/>
  <c r="K277" i="52"/>
  <c r="H277" i="52" s="1"/>
  <c r="N276" i="52"/>
  <c r="M276" i="52"/>
  <c r="K276" i="52"/>
  <c r="H276" i="52" s="1"/>
  <c r="N275" i="52"/>
  <c r="M275" i="52"/>
  <c r="K275" i="52"/>
  <c r="H275" i="52" s="1"/>
  <c r="N274" i="52"/>
  <c r="M274" i="52"/>
  <c r="K274" i="52"/>
  <c r="H274" i="52" s="1"/>
  <c r="N273" i="52"/>
  <c r="M273" i="52"/>
  <c r="K273" i="52"/>
  <c r="H273" i="52" s="1"/>
  <c r="N272" i="52"/>
  <c r="M272" i="52"/>
  <c r="K272" i="52"/>
  <c r="H272" i="52" s="1"/>
  <c r="N271" i="52"/>
  <c r="M271" i="52"/>
  <c r="K271" i="52"/>
  <c r="H271" i="52" s="1"/>
  <c r="N270" i="52"/>
  <c r="M270" i="52"/>
  <c r="K270" i="52"/>
  <c r="H270" i="52" s="1"/>
  <c r="N269" i="52"/>
  <c r="M269" i="52"/>
  <c r="K269" i="52"/>
  <c r="H269" i="52" s="1"/>
  <c r="N268" i="52"/>
  <c r="M268" i="52"/>
  <c r="K268" i="52"/>
  <c r="H268" i="52" s="1"/>
  <c r="N267" i="52"/>
  <c r="M267" i="52"/>
  <c r="K267" i="52"/>
  <c r="H267" i="52" s="1"/>
  <c r="N266" i="52"/>
  <c r="M266" i="52"/>
  <c r="K266" i="52"/>
  <c r="H266" i="52" s="1"/>
  <c r="N265" i="52"/>
  <c r="M265" i="52"/>
  <c r="K265" i="52"/>
  <c r="H265" i="52" s="1"/>
  <c r="N264" i="52"/>
  <c r="M264" i="52"/>
  <c r="K264" i="52"/>
  <c r="H264" i="52" s="1"/>
  <c r="N263" i="52"/>
  <c r="M263" i="52"/>
  <c r="K263" i="52"/>
  <c r="H263" i="52" s="1"/>
  <c r="N262" i="52"/>
  <c r="M262" i="52"/>
  <c r="K262" i="52"/>
  <c r="H262" i="52" s="1"/>
  <c r="N261" i="52"/>
  <c r="M261" i="52"/>
  <c r="K261" i="52"/>
  <c r="H261" i="52" s="1"/>
  <c r="N260" i="52"/>
  <c r="M260" i="52"/>
  <c r="K260" i="52"/>
  <c r="H260" i="52" s="1"/>
  <c r="N259" i="52"/>
  <c r="M259" i="52"/>
  <c r="K259" i="52"/>
  <c r="H259" i="52" s="1"/>
  <c r="N258" i="52"/>
  <c r="M258" i="52"/>
  <c r="K258" i="52"/>
  <c r="H258" i="52" s="1"/>
  <c r="N257" i="52"/>
  <c r="M257" i="52"/>
  <c r="K257" i="52"/>
  <c r="H257" i="52" s="1"/>
  <c r="N256" i="52"/>
  <c r="M256" i="52"/>
  <c r="K256" i="52"/>
  <c r="H256" i="52" s="1"/>
  <c r="N255" i="52"/>
  <c r="M255" i="52"/>
  <c r="K255" i="52"/>
  <c r="H255" i="52" s="1"/>
  <c r="N254" i="52"/>
  <c r="M254" i="52"/>
  <c r="K254" i="52"/>
  <c r="H254" i="52" s="1"/>
  <c r="N253" i="52"/>
  <c r="M253" i="52"/>
  <c r="K253" i="52"/>
  <c r="H253" i="52" s="1"/>
  <c r="N251" i="52"/>
  <c r="K251" i="52"/>
  <c r="H251" i="52"/>
  <c r="N250" i="52"/>
  <c r="K250" i="52"/>
  <c r="H250" i="52"/>
  <c r="N249" i="52"/>
  <c r="K249" i="52"/>
  <c r="H249" i="52"/>
  <c r="N248" i="52"/>
  <c r="K248" i="52"/>
  <c r="H248" i="52"/>
  <c r="N247" i="52"/>
  <c r="K247" i="52"/>
  <c r="H247" i="52"/>
  <c r="N246" i="52"/>
  <c r="K246" i="52"/>
  <c r="H246" i="52"/>
  <c r="N245" i="52"/>
  <c r="K245" i="52"/>
  <c r="H245" i="52"/>
  <c r="N244" i="52"/>
  <c r="K244" i="52"/>
  <c r="H244" i="52"/>
  <c r="N243" i="52"/>
  <c r="K243" i="52"/>
  <c r="H243" i="52"/>
  <c r="N242" i="52"/>
  <c r="K242" i="52"/>
  <c r="H242" i="52"/>
  <c r="N241" i="52"/>
  <c r="K241" i="52"/>
  <c r="H241" i="52"/>
  <c r="N240" i="52"/>
  <c r="K240" i="52"/>
  <c r="H240" i="52"/>
  <c r="N239" i="52"/>
  <c r="K239" i="52"/>
  <c r="H239" i="52"/>
  <c r="N238" i="52"/>
  <c r="K238" i="52"/>
  <c r="H238" i="52"/>
  <c r="N237" i="52"/>
  <c r="K237" i="52"/>
  <c r="H237" i="52"/>
  <c r="N236" i="52"/>
  <c r="K236" i="52"/>
  <c r="H236" i="52"/>
  <c r="N235" i="52"/>
  <c r="K235" i="52"/>
  <c r="H235" i="52"/>
  <c r="N234" i="52"/>
  <c r="K234" i="52"/>
  <c r="H234" i="52"/>
  <c r="N233" i="52"/>
  <c r="K233" i="52"/>
  <c r="H233" i="52"/>
  <c r="N232" i="52"/>
  <c r="K232" i="52"/>
  <c r="H232" i="52"/>
  <c r="N231" i="52"/>
  <c r="K231" i="52"/>
  <c r="H231" i="52"/>
  <c r="N230" i="52"/>
  <c r="K230" i="52"/>
  <c r="H230" i="52"/>
  <c r="N229" i="52"/>
  <c r="K229" i="52"/>
  <c r="H229" i="52"/>
  <c r="N228" i="52"/>
  <c r="K228" i="52"/>
  <c r="H228" i="52"/>
  <c r="N227" i="52"/>
  <c r="K227" i="52"/>
  <c r="H227" i="52"/>
  <c r="N225" i="52"/>
  <c r="K225" i="52"/>
  <c r="H225" i="52"/>
  <c r="N224" i="52"/>
  <c r="K224" i="52"/>
  <c r="H224" i="52"/>
  <c r="N223" i="52"/>
  <c r="K223" i="52"/>
  <c r="H223" i="52"/>
  <c r="N222" i="52"/>
  <c r="K222" i="52"/>
  <c r="H222" i="52"/>
  <c r="N221" i="52"/>
  <c r="K221" i="52"/>
  <c r="H221" i="52"/>
  <c r="N220" i="52"/>
  <c r="K220" i="52"/>
  <c r="H220" i="52"/>
  <c r="N219" i="52"/>
  <c r="K219" i="52"/>
  <c r="H219" i="52"/>
  <c r="N218" i="52"/>
  <c r="K218" i="52"/>
  <c r="H218" i="52"/>
  <c r="N217" i="52"/>
  <c r="K217" i="52"/>
  <c r="H217" i="52"/>
  <c r="N216" i="52"/>
  <c r="K216" i="52"/>
  <c r="H216" i="52"/>
  <c r="N215" i="52"/>
  <c r="K215" i="52"/>
  <c r="H215" i="52"/>
  <c r="N214" i="52"/>
  <c r="K214" i="52"/>
  <c r="H214" i="52"/>
  <c r="N213" i="52"/>
  <c r="K213" i="52"/>
  <c r="H213" i="52"/>
  <c r="N212" i="52"/>
  <c r="K212" i="52"/>
  <c r="H212" i="52"/>
  <c r="N211" i="52"/>
  <c r="K211" i="52"/>
  <c r="H211" i="52"/>
  <c r="N210" i="52"/>
  <c r="K210" i="52"/>
  <c r="H210" i="52"/>
  <c r="N209" i="52"/>
  <c r="K209" i="52"/>
  <c r="H209" i="52"/>
  <c r="N208" i="52"/>
  <c r="K208" i="52"/>
  <c r="H208" i="52"/>
  <c r="N207" i="52"/>
  <c r="K207" i="52"/>
  <c r="H207" i="52"/>
  <c r="N206" i="52"/>
  <c r="K206" i="52"/>
  <c r="H206" i="52"/>
  <c r="N205" i="52"/>
  <c r="K205" i="52"/>
  <c r="H205" i="52"/>
  <c r="N204" i="52"/>
  <c r="K204" i="52"/>
  <c r="H204" i="52"/>
  <c r="N203" i="52"/>
  <c r="K203" i="52"/>
  <c r="H203" i="52"/>
  <c r="N202" i="52"/>
  <c r="K202" i="52"/>
  <c r="H202" i="52"/>
  <c r="N201" i="52"/>
  <c r="K201" i="52"/>
  <c r="H201" i="52"/>
  <c r="O198" i="52"/>
  <c r="N198" i="52"/>
  <c r="M198" i="52"/>
  <c r="L198" i="52"/>
  <c r="K198" i="52"/>
  <c r="J198" i="52"/>
  <c r="I198" i="52"/>
  <c r="H198" i="52"/>
  <c r="G198" i="52"/>
  <c r="M195" i="52"/>
  <c r="L195" i="52"/>
  <c r="J195" i="52"/>
  <c r="I195" i="52"/>
  <c r="G195" i="52"/>
  <c r="M194" i="52"/>
  <c r="L194" i="52"/>
  <c r="J194" i="52"/>
  <c r="I194" i="52"/>
  <c r="G194" i="52"/>
  <c r="M193" i="52"/>
  <c r="L193" i="52"/>
  <c r="K193" i="52"/>
  <c r="J193" i="52"/>
  <c r="G193" i="52"/>
  <c r="A193" i="52"/>
  <c r="M192" i="52"/>
  <c r="L192" i="52"/>
  <c r="K192" i="52"/>
  <c r="J192" i="52"/>
  <c r="G192" i="52"/>
  <c r="A192" i="52"/>
  <c r="M191" i="52"/>
  <c r="L191" i="52"/>
  <c r="K191" i="52"/>
  <c r="J191" i="52"/>
  <c r="G191" i="52"/>
  <c r="A191" i="52"/>
  <c r="M190" i="52"/>
  <c r="L190" i="52"/>
  <c r="K190" i="52"/>
  <c r="J190" i="52"/>
  <c r="I190" i="52"/>
  <c r="G190" i="52"/>
  <c r="A190" i="52"/>
  <c r="M189" i="52"/>
  <c r="L189" i="52"/>
  <c r="K189" i="52"/>
  <c r="J189" i="52"/>
  <c r="G189" i="52"/>
  <c r="A189" i="52"/>
  <c r="M188" i="52"/>
  <c r="L188" i="52"/>
  <c r="K188" i="52"/>
  <c r="J188" i="52"/>
  <c r="G188" i="52"/>
  <c r="A188" i="52"/>
  <c r="M187" i="52"/>
  <c r="L187" i="52"/>
  <c r="K187" i="52"/>
  <c r="J187" i="52"/>
  <c r="G187" i="52"/>
  <c r="A187" i="52"/>
  <c r="M186" i="52"/>
  <c r="L186" i="52"/>
  <c r="K186" i="52"/>
  <c r="J186" i="52"/>
  <c r="G186" i="52"/>
  <c r="A186" i="52"/>
  <c r="M185" i="52"/>
  <c r="L185" i="52"/>
  <c r="K185" i="52"/>
  <c r="J185" i="52"/>
  <c r="G185" i="52"/>
  <c r="A185" i="52"/>
  <c r="M184" i="52"/>
  <c r="L184" i="52"/>
  <c r="K184" i="52"/>
  <c r="J184" i="52"/>
  <c r="G184" i="52"/>
  <c r="A184" i="52"/>
  <c r="M183" i="52"/>
  <c r="L183" i="52"/>
  <c r="K183" i="52"/>
  <c r="J183" i="52"/>
  <c r="I183" i="52"/>
  <c r="G183" i="52"/>
  <c r="A183" i="52"/>
  <c r="M182" i="52"/>
  <c r="L182" i="52"/>
  <c r="K182" i="52"/>
  <c r="J182" i="52"/>
  <c r="I182" i="52"/>
  <c r="G182" i="52"/>
  <c r="A182" i="52"/>
  <c r="M181" i="52"/>
  <c r="L181" i="52"/>
  <c r="K181" i="52"/>
  <c r="J181" i="52"/>
  <c r="G181" i="52"/>
  <c r="A181" i="52"/>
  <c r="M180" i="52"/>
  <c r="L180" i="52"/>
  <c r="K180" i="52"/>
  <c r="J180" i="52"/>
  <c r="A180" i="52"/>
  <c r="G180" i="52" s="1"/>
  <c r="M179" i="52"/>
  <c r="L179" i="52"/>
  <c r="K179" i="52"/>
  <c r="J179" i="52"/>
  <c r="A179" i="52"/>
  <c r="G179" i="52" s="1"/>
  <c r="M178" i="52"/>
  <c r="L178" i="52"/>
  <c r="K178" i="52"/>
  <c r="J178" i="52"/>
  <c r="G178" i="52"/>
  <c r="A178" i="52"/>
  <c r="M177" i="52"/>
  <c r="L177" i="52"/>
  <c r="K177" i="52"/>
  <c r="J177" i="52"/>
  <c r="I177" i="52"/>
  <c r="G177" i="52"/>
  <c r="A177" i="52"/>
  <c r="I173" i="52"/>
  <c r="A173" i="52"/>
  <c r="K173" i="52" s="1"/>
  <c r="J172" i="52"/>
  <c r="I172" i="52"/>
  <c r="G172" i="52"/>
  <c r="A172" i="52"/>
  <c r="K172" i="52" s="1"/>
  <c r="I171" i="52"/>
  <c r="A171" i="52"/>
  <c r="G171" i="52" s="1"/>
  <c r="J170" i="52"/>
  <c r="I170" i="52"/>
  <c r="G170" i="52"/>
  <c r="A170" i="52"/>
  <c r="K170" i="52" s="1"/>
  <c r="I169" i="52"/>
  <c r="A169" i="52"/>
  <c r="K169" i="52" s="1"/>
  <c r="J168" i="52"/>
  <c r="I168" i="52"/>
  <c r="G168" i="52"/>
  <c r="A168" i="52"/>
  <c r="K168" i="52" s="1"/>
  <c r="I167" i="52"/>
  <c r="A167" i="52"/>
  <c r="G167" i="52" s="1"/>
  <c r="J166" i="52"/>
  <c r="I166" i="52"/>
  <c r="G166" i="52"/>
  <c r="A166" i="52"/>
  <c r="K166" i="52" s="1"/>
  <c r="I165" i="52"/>
  <c r="A165" i="52"/>
  <c r="K165" i="52" s="1"/>
  <c r="J164" i="52"/>
  <c r="I164" i="52"/>
  <c r="G164" i="52"/>
  <c r="A164" i="52"/>
  <c r="K164" i="52" s="1"/>
  <c r="I163" i="52"/>
  <c r="A163" i="52"/>
  <c r="G163" i="52" s="1"/>
  <c r="J162" i="52"/>
  <c r="I162" i="52"/>
  <c r="G162" i="52"/>
  <c r="A162" i="52"/>
  <c r="K162" i="52" s="1"/>
  <c r="I161" i="52"/>
  <c r="A161" i="52"/>
  <c r="K161" i="52" s="1"/>
  <c r="J160" i="52"/>
  <c r="I160" i="52"/>
  <c r="G160" i="52"/>
  <c r="A160" i="52"/>
  <c r="K160" i="52" s="1"/>
  <c r="I159" i="52"/>
  <c r="A159" i="52"/>
  <c r="G159" i="52" s="1"/>
  <c r="J158" i="52"/>
  <c r="I158" i="52"/>
  <c r="G158" i="52"/>
  <c r="A158" i="52"/>
  <c r="K158" i="52" s="1"/>
  <c r="I157" i="52"/>
  <c r="A157" i="52"/>
  <c r="K157" i="52" s="1"/>
  <c r="J156" i="52"/>
  <c r="I156" i="52"/>
  <c r="G156" i="52"/>
  <c r="A156" i="52"/>
  <c r="K156" i="52" s="1"/>
  <c r="I155" i="52"/>
  <c r="A155" i="52"/>
  <c r="G155" i="52" s="1"/>
  <c r="H151" i="52"/>
  <c r="A151" i="52"/>
  <c r="H150" i="52"/>
  <c r="A150" i="52"/>
  <c r="H149" i="52"/>
  <c r="A149" i="52"/>
  <c r="H148" i="52"/>
  <c r="A148" i="52"/>
  <c r="H147" i="52"/>
  <c r="A147" i="52"/>
  <c r="H146" i="52"/>
  <c r="J146" i="52" s="1"/>
  <c r="A146" i="52"/>
  <c r="G146" i="52" s="1"/>
  <c r="H145" i="52"/>
  <c r="J145" i="52" s="1"/>
  <c r="A145" i="52"/>
  <c r="G145" i="52" s="1"/>
  <c r="H144" i="52"/>
  <c r="J144" i="52" s="1"/>
  <c r="A144" i="52"/>
  <c r="G144" i="52" s="1"/>
  <c r="H143" i="52"/>
  <c r="J143" i="52" s="1"/>
  <c r="A143" i="52"/>
  <c r="G143" i="52" s="1"/>
  <c r="H142" i="52"/>
  <c r="A142" i="52"/>
  <c r="G142" i="52" s="1"/>
  <c r="H141" i="52"/>
  <c r="A141" i="52"/>
  <c r="G141" i="52" s="1"/>
  <c r="H140" i="52"/>
  <c r="A140" i="52"/>
  <c r="G140" i="52" s="1"/>
  <c r="H139" i="52"/>
  <c r="J139" i="52" s="1"/>
  <c r="A139" i="52"/>
  <c r="G139" i="52" s="1"/>
  <c r="H138" i="52"/>
  <c r="A138" i="52"/>
  <c r="G138" i="52" s="1"/>
  <c r="H137" i="52"/>
  <c r="A137" i="52"/>
  <c r="G137" i="52" s="1"/>
  <c r="H136" i="52"/>
  <c r="J136" i="52" s="1"/>
  <c r="A136" i="52"/>
  <c r="G136" i="52" s="1"/>
  <c r="H135" i="52"/>
  <c r="J135" i="52" s="1"/>
  <c r="A135" i="52"/>
  <c r="G135" i="52" s="1"/>
  <c r="H134" i="52"/>
  <c r="J134" i="52" s="1"/>
  <c r="A134" i="52"/>
  <c r="G134" i="52" s="1"/>
  <c r="H133" i="52"/>
  <c r="A133" i="52"/>
  <c r="G133" i="52" s="1"/>
  <c r="H132" i="52"/>
  <c r="A132" i="52"/>
  <c r="G132" i="52" s="1"/>
  <c r="H131" i="52"/>
  <c r="J131" i="52" s="1"/>
  <c r="A131" i="52"/>
  <c r="G131" i="52" s="1"/>
  <c r="H130" i="52"/>
  <c r="J130" i="52" s="1"/>
  <c r="A130" i="52"/>
  <c r="G130" i="52" s="1"/>
  <c r="H129" i="52"/>
  <c r="J129" i="52" s="1"/>
  <c r="A129" i="52"/>
  <c r="G129" i="52" s="1"/>
  <c r="H128" i="52"/>
  <c r="J128" i="52" s="1"/>
  <c r="A128" i="52"/>
  <c r="G128" i="52" s="1"/>
  <c r="H127" i="52"/>
  <c r="A127" i="52"/>
  <c r="G127" i="52" s="1"/>
  <c r="H126" i="52"/>
  <c r="A126" i="52"/>
  <c r="G126" i="52" s="1"/>
  <c r="H125" i="52"/>
  <c r="H124" i="52"/>
  <c r="H123" i="52"/>
  <c r="S119" i="52"/>
  <c r="R119" i="52"/>
  <c r="P119" i="52"/>
  <c r="L119" i="52"/>
  <c r="K119" i="52"/>
  <c r="H119" i="52"/>
  <c r="A119" i="52"/>
  <c r="G119" i="52" s="1"/>
  <c r="S118" i="52"/>
  <c r="R118" i="52"/>
  <c r="P118" i="52"/>
  <c r="L118" i="52"/>
  <c r="K118" i="52"/>
  <c r="H118" i="52"/>
  <c r="G118" i="52"/>
  <c r="O118" i="52" s="1"/>
  <c r="A118" i="52"/>
  <c r="S117" i="52"/>
  <c r="R117" i="52"/>
  <c r="P117" i="52"/>
  <c r="L117" i="52"/>
  <c r="K117" i="52"/>
  <c r="H117" i="52"/>
  <c r="A117" i="52"/>
  <c r="G117" i="52" s="1"/>
  <c r="S116" i="52"/>
  <c r="R116" i="52"/>
  <c r="P116" i="52"/>
  <c r="L116" i="52"/>
  <c r="K116" i="52"/>
  <c r="H116" i="52"/>
  <c r="G116" i="52"/>
  <c r="O116" i="52" s="1"/>
  <c r="A116" i="52"/>
  <c r="S115" i="52"/>
  <c r="R115" i="52"/>
  <c r="P115" i="52"/>
  <c r="L115" i="52"/>
  <c r="K115" i="52"/>
  <c r="H115" i="52"/>
  <c r="G115" i="52"/>
  <c r="M115" i="52" s="1"/>
  <c r="A115" i="52"/>
  <c r="S114" i="52"/>
  <c r="R114" i="52"/>
  <c r="P114" i="52"/>
  <c r="L114" i="52"/>
  <c r="K114" i="52"/>
  <c r="H114" i="52"/>
  <c r="G114" i="52"/>
  <c r="O114" i="52" s="1"/>
  <c r="A114" i="52"/>
  <c r="S113" i="52"/>
  <c r="R113" i="52"/>
  <c r="P113" i="52"/>
  <c r="L113" i="52"/>
  <c r="K113" i="52"/>
  <c r="H113" i="52"/>
  <c r="G113" i="52"/>
  <c r="M113" i="52" s="1"/>
  <c r="A113" i="52"/>
  <c r="S112" i="52"/>
  <c r="R112" i="52"/>
  <c r="L109" i="52"/>
  <c r="K109" i="52"/>
  <c r="H109" i="52"/>
  <c r="A109" i="52"/>
  <c r="G109" i="52" s="1"/>
  <c r="L108" i="52"/>
  <c r="K108" i="52"/>
  <c r="H108" i="52"/>
  <c r="G108" i="52"/>
  <c r="M108" i="52" s="1"/>
  <c r="A108" i="52"/>
  <c r="L107" i="52"/>
  <c r="K107" i="52"/>
  <c r="H107" i="52"/>
  <c r="A107" i="52"/>
  <c r="G107" i="52" s="1"/>
  <c r="M107" i="52" s="1"/>
  <c r="L106" i="52"/>
  <c r="K106" i="52"/>
  <c r="H106" i="52"/>
  <c r="G106" i="52"/>
  <c r="O106" i="52" s="1"/>
  <c r="A106" i="52"/>
  <c r="L105" i="52"/>
  <c r="K105" i="52"/>
  <c r="H105" i="52"/>
  <c r="A105" i="52"/>
  <c r="G105" i="52" s="1"/>
  <c r="L104" i="52"/>
  <c r="K104" i="52"/>
  <c r="H104" i="52"/>
  <c r="A104" i="52"/>
  <c r="G104" i="52" s="1"/>
  <c r="L103" i="52"/>
  <c r="K103" i="52"/>
  <c r="H103" i="52"/>
  <c r="A103" i="52"/>
  <c r="G103" i="52" s="1"/>
  <c r="M103" i="52" s="1"/>
  <c r="L102" i="52"/>
  <c r="K102" i="52"/>
  <c r="H102" i="52"/>
  <c r="G102" i="52"/>
  <c r="O102" i="52" s="1"/>
  <c r="A102" i="52"/>
  <c r="L101" i="52"/>
  <c r="K101" i="52"/>
  <c r="H101" i="52"/>
  <c r="A101" i="52"/>
  <c r="G101" i="52" s="1"/>
  <c r="L100" i="52"/>
  <c r="K100" i="52"/>
  <c r="H100" i="52"/>
  <c r="A100" i="52"/>
  <c r="G100" i="52" s="1"/>
  <c r="L99" i="52"/>
  <c r="K99" i="52"/>
  <c r="H99" i="52"/>
  <c r="G99" i="52"/>
  <c r="O99" i="52" s="1"/>
  <c r="A99" i="52"/>
  <c r="L98" i="52"/>
  <c r="K98" i="52"/>
  <c r="H98" i="52"/>
  <c r="A98" i="52"/>
  <c r="G98" i="52" s="1"/>
  <c r="L97" i="52"/>
  <c r="K97" i="52"/>
  <c r="H97" i="52"/>
  <c r="G97" i="52"/>
  <c r="O97" i="52" s="1"/>
  <c r="A97" i="52"/>
  <c r="L96" i="52"/>
  <c r="K96" i="52"/>
  <c r="H96" i="52"/>
  <c r="A96" i="52"/>
  <c r="G96" i="52" s="1"/>
  <c r="L95" i="52"/>
  <c r="K95" i="52"/>
  <c r="H95" i="52"/>
  <c r="G95" i="52"/>
  <c r="O95" i="52" s="1"/>
  <c r="A95" i="52"/>
  <c r="L94" i="52"/>
  <c r="K94" i="52"/>
  <c r="H94" i="52"/>
  <c r="A94" i="52"/>
  <c r="G94" i="52" s="1"/>
  <c r="L93" i="52"/>
  <c r="H93" i="52"/>
  <c r="G93" i="52"/>
  <c r="O93" i="52" s="1"/>
  <c r="A93" i="52"/>
  <c r="L92" i="52"/>
  <c r="H92" i="52"/>
  <c r="A92" i="52"/>
  <c r="G92" i="52" s="1"/>
  <c r="L91" i="52"/>
  <c r="K91" i="52"/>
  <c r="H91" i="52"/>
  <c r="G91" i="52"/>
  <c r="O91" i="52" s="1"/>
  <c r="A91" i="52"/>
  <c r="L90" i="52"/>
  <c r="K90" i="52"/>
  <c r="H90" i="52"/>
  <c r="A90" i="52"/>
  <c r="G90" i="52" s="1"/>
  <c r="L86" i="52"/>
  <c r="K86" i="52"/>
  <c r="H86" i="52"/>
  <c r="G86" i="52"/>
  <c r="O86" i="52" s="1"/>
  <c r="A86" i="52"/>
  <c r="L85" i="52"/>
  <c r="K85" i="52"/>
  <c r="H85" i="52"/>
  <c r="A85" i="52"/>
  <c r="G85" i="52" s="1"/>
  <c r="L84" i="52"/>
  <c r="K84" i="52"/>
  <c r="H84" i="52"/>
  <c r="G84" i="52"/>
  <c r="O84" i="52" s="1"/>
  <c r="A84" i="52"/>
  <c r="L83" i="52"/>
  <c r="K83" i="52"/>
  <c r="H83" i="52"/>
  <c r="A83" i="52"/>
  <c r="G83" i="52" s="1"/>
  <c r="L82" i="52"/>
  <c r="K82" i="52"/>
  <c r="H82" i="52"/>
  <c r="G82" i="52"/>
  <c r="O82" i="52" s="1"/>
  <c r="A82" i="52"/>
  <c r="L81" i="52"/>
  <c r="K81" i="52"/>
  <c r="H81" i="52"/>
  <c r="A81" i="52"/>
  <c r="G81" i="52" s="1"/>
  <c r="L80" i="52"/>
  <c r="K80" i="52"/>
  <c r="H80" i="52"/>
  <c r="G80" i="52"/>
  <c r="O80" i="52" s="1"/>
  <c r="A80" i="52"/>
  <c r="L79" i="52"/>
  <c r="K79" i="52"/>
  <c r="H79" i="52"/>
  <c r="A79" i="52"/>
  <c r="G79" i="52" s="1"/>
  <c r="L78" i="52"/>
  <c r="K78" i="52"/>
  <c r="H78" i="52"/>
  <c r="G78" i="52"/>
  <c r="O78" i="52" s="1"/>
  <c r="A78" i="52"/>
  <c r="L77" i="52"/>
  <c r="K77" i="52"/>
  <c r="H77" i="52"/>
  <c r="A77" i="52"/>
  <c r="G77" i="52" s="1"/>
  <c r="L76" i="52"/>
  <c r="K76" i="52"/>
  <c r="H76" i="52"/>
  <c r="G76" i="52"/>
  <c r="O76" i="52" s="1"/>
  <c r="A76" i="52"/>
  <c r="L75" i="52"/>
  <c r="K75" i="52"/>
  <c r="H75" i="52"/>
  <c r="A75" i="52"/>
  <c r="G75" i="52" s="1"/>
  <c r="L74" i="52"/>
  <c r="K74" i="52"/>
  <c r="H74" i="52"/>
  <c r="G74" i="52"/>
  <c r="O74" i="52" s="1"/>
  <c r="A74" i="52"/>
  <c r="L73" i="52"/>
  <c r="K73" i="52"/>
  <c r="H73" i="52"/>
  <c r="A73" i="52"/>
  <c r="G73" i="52" s="1"/>
  <c r="L72" i="52"/>
  <c r="K72" i="52"/>
  <c r="H72" i="52"/>
  <c r="G72" i="52"/>
  <c r="O72" i="52" s="1"/>
  <c r="A72" i="52"/>
  <c r="L71" i="52"/>
  <c r="K71" i="52"/>
  <c r="H71" i="52"/>
  <c r="A71" i="52"/>
  <c r="G71" i="52" s="1"/>
  <c r="L70" i="52"/>
  <c r="K70" i="52"/>
  <c r="H70" i="52"/>
  <c r="G70" i="52"/>
  <c r="O70" i="52" s="1"/>
  <c r="A70" i="52"/>
  <c r="L69" i="52"/>
  <c r="K69" i="52"/>
  <c r="H69" i="52"/>
  <c r="A69" i="52"/>
  <c r="G69" i="52" s="1"/>
  <c r="L68" i="52"/>
  <c r="K68" i="52"/>
  <c r="H68" i="52"/>
  <c r="G68" i="52"/>
  <c r="O68" i="52" s="1"/>
  <c r="A68" i="52"/>
  <c r="L67" i="52"/>
  <c r="K67" i="52"/>
  <c r="H67" i="52"/>
  <c r="A67" i="52"/>
  <c r="G67" i="52" s="1"/>
  <c r="Q63" i="52"/>
  <c r="K63" i="52"/>
  <c r="H63" i="52"/>
  <c r="A63" i="52"/>
  <c r="G63" i="52" s="1"/>
  <c r="Q62" i="52"/>
  <c r="K62" i="52"/>
  <c r="H62" i="52"/>
  <c r="A62" i="52"/>
  <c r="G62" i="52" s="1"/>
  <c r="Q61" i="52"/>
  <c r="K61" i="52"/>
  <c r="H61" i="52"/>
  <c r="A61" i="52"/>
  <c r="G61" i="52" s="1"/>
  <c r="Q60" i="52"/>
  <c r="K60" i="52"/>
  <c r="H60" i="52"/>
  <c r="A60" i="52"/>
  <c r="G60" i="52" s="1"/>
  <c r="Q59" i="52"/>
  <c r="K59" i="52"/>
  <c r="H59" i="52"/>
  <c r="A59" i="52"/>
  <c r="G59" i="52" s="1"/>
  <c r="Q58" i="52"/>
  <c r="K58" i="52"/>
  <c r="H58" i="52"/>
  <c r="A58" i="52"/>
  <c r="G58" i="52" s="1"/>
  <c r="Q57" i="52"/>
  <c r="K57" i="52"/>
  <c r="H57" i="52"/>
  <c r="A57" i="52"/>
  <c r="G57" i="52" s="1"/>
  <c r="Q56" i="52"/>
  <c r="K56" i="52"/>
  <c r="H56" i="52"/>
  <c r="A56" i="52"/>
  <c r="G56" i="52" s="1"/>
  <c r="Q55" i="52"/>
  <c r="K55" i="52"/>
  <c r="H55" i="52"/>
  <c r="A55" i="52"/>
  <c r="G55" i="52" s="1"/>
  <c r="Q54" i="52"/>
  <c r="K54" i="52"/>
  <c r="H54" i="52"/>
  <c r="A54" i="52"/>
  <c r="G54" i="52" s="1"/>
  <c r="Q53" i="52"/>
  <c r="K53" i="52"/>
  <c r="H53" i="52"/>
  <c r="A53" i="52"/>
  <c r="G53" i="52" s="1"/>
  <c r="Q52" i="52"/>
  <c r="K52" i="52"/>
  <c r="H52" i="52"/>
  <c r="A52" i="52"/>
  <c r="G52" i="52" s="1"/>
  <c r="Q51" i="52"/>
  <c r="K51" i="52"/>
  <c r="H51" i="52"/>
  <c r="A51" i="52"/>
  <c r="G51" i="52" s="1"/>
  <c r="Q50" i="52"/>
  <c r="K50" i="52"/>
  <c r="H50" i="52"/>
  <c r="A50" i="52"/>
  <c r="G50" i="52" s="1"/>
  <c r="Q49" i="52"/>
  <c r="K49" i="52"/>
  <c r="H49" i="52"/>
  <c r="A49" i="52"/>
  <c r="G49" i="52" s="1"/>
  <c r="Q48" i="52"/>
  <c r="K48" i="52"/>
  <c r="H48" i="52"/>
  <c r="A48" i="52"/>
  <c r="G48" i="52" s="1"/>
  <c r="Q47" i="52"/>
  <c r="K47" i="52"/>
  <c r="H47" i="52"/>
  <c r="A47" i="52"/>
  <c r="G47" i="52" s="1"/>
  <c r="Q46" i="52"/>
  <c r="K46" i="52"/>
  <c r="H46" i="52"/>
  <c r="A46" i="52"/>
  <c r="G46" i="52" s="1"/>
  <c r="Q45" i="52"/>
  <c r="K45" i="52"/>
  <c r="H45" i="52"/>
  <c r="A45" i="52"/>
  <c r="G45" i="52" s="1"/>
  <c r="Q44" i="52"/>
  <c r="K44" i="52"/>
  <c r="H44" i="52"/>
  <c r="A44" i="52"/>
  <c r="G44" i="52" s="1"/>
  <c r="Q40" i="52"/>
  <c r="K40" i="52"/>
  <c r="H40" i="52"/>
  <c r="G40" i="52"/>
  <c r="L40" i="52" s="1"/>
  <c r="A40" i="52"/>
  <c r="Q39" i="52"/>
  <c r="K39" i="52"/>
  <c r="H39" i="52"/>
  <c r="A39" i="52"/>
  <c r="G39" i="52" s="1"/>
  <c r="Q38" i="52"/>
  <c r="K38" i="52"/>
  <c r="H38" i="52"/>
  <c r="G38" i="52"/>
  <c r="N38" i="52" s="1"/>
  <c r="A38" i="52"/>
  <c r="Q37" i="52"/>
  <c r="K37" i="52"/>
  <c r="H37" i="52"/>
  <c r="A37" i="52"/>
  <c r="G37" i="52" s="1"/>
  <c r="Q36" i="52"/>
  <c r="K36" i="52"/>
  <c r="H36" i="52"/>
  <c r="G36" i="52"/>
  <c r="L36" i="52" s="1"/>
  <c r="A36" i="52"/>
  <c r="Q35" i="52"/>
  <c r="K35" i="52"/>
  <c r="H35" i="52"/>
  <c r="A35" i="52"/>
  <c r="G35" i="52" s="1"/>
  <c r="Q34" i="52"/>
  <c r="K34" i="52"/>
  <c r="H34" i="52"/>
  <c r="G34" i="52"/>
  <c r="N34" i="52" s="1"/>
  <c r="A34" i="52"/>
  <c r="Q33" i="52"/>
  <c r="K33" i="52"/>
  <c r="H33" i="52"/>
  <c r="A33" i="52"/>
  <c r="G33" i="52" s="1"/>
  <c r="Q32" i="52"/>
  <c r="K32" i="52"/>
  <c r="H32" i="52"/>
  <c r="G32" i="52"/>
  <c r="L32" i="52" s="1"/>
  <c r="A32" i="52"/>
  <c r="Q31" i="52"/>
  <c r="K31" i="52"/>
  <c r="H31" i="52"/>
  <c r="A31" i="52"/>
  <c r="G31" i="52" s="1"/>
  <c r="I27" i="52"/>
  <c r="C27" i="52"/>
  <c r="I26" i="52"/>
  <c r="C26" i="52"/>
  <c r="I25" i="52"/>
  <c r="C25" i="52"/>
  <c r="I24" i="52"/>
  <c r="C24" i="52"/>
  <c r="K21" i="52"/>
  <c r="I21" i="52"/>
  <c r="K20" i="52"/>
  <c r="I20" i="52"/>
  <c r="K19" i="52"/>
  <c r="I19" i="52"/>
  <c r="K18" i="52"/>
  <c r="I18" i="52"/>
  <c r="K17" i="52"/>
  <c r="I17" i="52"/>
  <c r="K14" i="52"/>
  <c r="J14" i="52" s="1"/>
  <c r="G14" i="52"/>
  <c r="I12" i="52"/>
  <c r="H12" i="52"/>
  <c r="A12" i="52"/>
  <c r="G12" i="52" s="1"/>
  <c r="I11" i="52"/>
  <c r="H11" i="52"/>
  <c r="A11" i="52"/>
  <c r="G11" i="52" s="1"/>
  <c r="I10" i="52"/>
  <c r="H10" i="52"/>
  <c r="A10" i="52"/>
  <c r="G10" i="52" s="1"/>
  <c r="I9" i="52"/>
  <c r="H9" i="52"/>
  <c r="A9" i="52"/>
  <c r="G9" i="52" s="1"/>
  <c r="I8" i="52"/>
  <c r="H8" i="52"/>
  <c r="A8" i="52"/>
  <c r="G8" i="52" s="1"/>
  <c r="I7" i="52"/>
  <c r="H7" i="52"/>
  <c r="A7" i="52"/>
  <c r="G7" i="52" s="1"/>
  <c r="F7" i="52" s="1"/>
  <c r="E7" i="52" s="1"/>
  <c r="I6" i="52"/>
  <c r="H6" i="52"/>
  <c r="A6" i="52"/>
  <c r="G6" i="52" s="1"/>
  <c r="F6" i="52" s="1"/>
  <c r="E6" i="52" s="1"/>
  <c r="I5" i="52"/>
  <c r="H5" i="52"/>
  <c r="A5" i="52"/>
  <c r="G5" i="52" s="1"/>
  <c r="F5" i="52" s="1"/>
  <c r="E5" i="52" s="1"/>
  <c r="I4" i="52"/>
  <c r="H4" i="52"/>
  <c r="A4" i="52"/>
  <c r="G4" i="52" s="1"/>
  <c r="F4" i="52" s="1"/>
  <c r="E4" i="52" s="1"/>
  <c r="E1" i="52"/>
  <c r="K469" i="52"/>
  <c r="J469" i="52"/>
  <c r="I469" i="52"/>
  <c r="H469" i="52"/>
  <c r="E469" i="52"/>
  <c r="K468" i="52"/>
  <c r="I468" i="52"/>
  <c r="K467" i="52"/>
  <c r="I467" i="52"/>
  <c r="K466" i="52"/>
  <c r="I466" i="52"/>
  <c r="K465" i="52"/>
  <c r="I465" i="52"/>
  <c r="K464" i="52"/>
  <c r="I464" i="52"/>
  <c r="K463" i="52"/>
  <c r="I463" i="52"/>
  <c r="K462" i="52"/>
  <c r="I462" i="52"/>
  <c r="K461" i="52"/>
  <c r="I461" i="52"/>
  <c r="K460" i="52"/>
  <c r="I460" i="52"/>
  <c r="K459" i="52"/>
  <c r="I459" i="52"/>
  <c r="K458" i="52"/>
  <c r="I458" i="52"/>
  <c r="K457" i="52"/>
  <c r="I457" i="52"/>
  <c r="K456" i="52"/>
  <c r="I456" i="52"/>
  <c r="K455" i="52"/>
  <c r="I455" i="52"/>
  <c r="K454" i="52"/>
  <c r="I454" i="52"/>
  <c r="K453" i="52"/>
  <c r="I453" i="52"/>
  <c r="K452" i="52"/>
  <c r="I452" i="52"/>
  <c r="K451" i="52"/>
  <c r="I451" i="52"/>
  <c r="K450" i="52"/>
  <c r="J450" i="52"/>
  <c r="I450" i="52"/>
  <c r="H450" i="52"/>
  <c r="E450" i="52" s="1"/>
  <c r="K449" i="52"/>
  <c r="I449" i="52"/>
  <c r="K448" i="52"/>
  <c r="I448" i="52"/>
  <c r="K447" i="52"/>
  <c r="I447" i="52"/>
  <c r="K446" i="52"/>
  <c r="I446" i="52"/>
  <c r="K445" i="52"/>
  <c r="I445" i="52"/>
  <c r="K444" i="52"/>
  <c r="I444" i="52"/>
  <c r="K443" i="52"/>
  <c r="I443" i="52"/>
  <c r="K442" i="52"/>
  <c r="I442" i="52"/>
  <c r="K441" i="52"/>
  <c r="I441" i="52"/>
  <c r="K440" i="52"/>
  <c r="I440" i="52"/>
  <c r="K439" i="52"/>
  <c r="I439" i="52"/>
  <c r="K438" i="52"/>
  <c r="I438" i="52"/>
  <c r="K437" i="52"/>
  <c r="I437" i="52"/>
  <c r="K436" i="52"/>
  <c r="I436" i="52"/>
  <c r="K435" i="52"/>
  <c r="I435" i="52"/>
  <c r="K434" i="52"/>
  <c r="I434" i="52"/>
  <c r="K433" i="52"/>
  <c r="I433" i="52"/>
  <c r="K432" i="52"/>
  <c r="I432" i="52"/>
  <c r="K431" i="52"/>
  <c r="I431" i="52"/>
  <c r="K430" i="52"/>
  <c r="I430" i="52"/>
  <c r="K429" i="52"/>
  <c r="I429" i="52"/>
  <c r="K428" i="52"/>
  <c r="I428" i="52"/>
  <c r="K427" i="52"/>
  <c r="I427" i="52"/>
  <c r="K426" i="52"/>
  <c r="I426" i="52"/>
  <c r="K425" i="52"/>
  <c r="I425" i="52"/>
  <c r="K424" i="52"/>
  <c r="I424" i="52"/>
  <c r="K423" i="52"/>
  <c r="I423" i="52"/>
  <c r="K422" i="52"/>
  <c r="I422" i="52"/>
  <c r="K421" i="52"/>
  <c r="I421" i="52"/>
  <c r="K420" i="52"/>
  <c r="I420" i="52"/>
  <c r="K419" i="52"/>
  <c r="I419" i="52"/>
  <c r="K418" i="52"/>
  <c r="I418" i="52"/>
  <c r="K417" i="52"/>
  <c r="I417" i="52"/>
  <c r="K416" i="52"/>
  <c r="I416" i="52"/>
  <c r="F413" i="52"/>
  <c r="F412" i="52"/>
  <c r="AC411" i="52"/>
  <c r="AB411" i="52"/>
  <c r="F411" i="52"/>
  <c r="E411" i="52" s="1"/>
  <c r="AB410" i="52"/>
  <c r="AC410" i="52"/>
  <c r="F410" i="52"/>
  <c r="E410" i="52" s="1"/>
  <c r="C410" i="52"/>
  <c r="AC409" i="52"/>
  <c r="AB409" i="52"/>
  <c r="F409" i="52"/>
  <c r="E409" i="52" s="1"/>
  <c r="AB408" i="52"/>
  <c r="AC408" i="52"/>
  <c r="F408" i="52"/>
  <c r="E408" i="52" s="1"/>
  <c r="C408" i="52"/>
  <c r="AC407" i="52"/>
  <c r="AB407" i="52"/>
  <c r="F407" i="52"/>
  <c r="E407" i="52" s="1"/>
  <c r="AB406" i="52"/>
  <c r="AC406" i="52"/>
  <c r="F406" i="52"/>
  <c r="E406" i="52" s="1"/>
  <c r="C406" i="52"/>
  <c r="AB405" i="52"/>
  <c r="F405" i="52"/>
  <c r="E405" i="52" s="1"/>
  <c r="AB404" i="52"/>
  <c r="AC404" i="52"/>
  <c r="F404" i="52"/>
  <c r="AB403" i="52"/>
  <c r="F403" i="52"/>
  <c r="AC403" i="52"/>
  <c r="G401" i="52"/>
  <c r="H400" i="52"/>
  <c r="G399" i="52"/>
  <c r="F399" i="52" s="1"/>
  <c r="G398" i="52"/>
  <c r="X397" i="52"/>
  <c r="G397" i="52"/>
  <c r="F397" i="52"/>
  <c r="X396" i="52"/>
  <c r="G396" i="52"/>
  <c r="F396" i="52" s="1"/>
  <c r="X395" i="52"/>
  <c r="G395" i="52"/>
  <c r="F395" i="52" s="1"/>
  <c r="X394" i="52"/>
  <c r="G394" i="52"/>
  <c r="F394" i="52" s="1"/>
  <c r="G393" i="52"/>
  <c r="F393" i="52" s="1"/>
  <c r="X392" i="52"/>
  <c r="G392" i="52"/>
  <c r="X391" i="52"/>
  <c r="G391" i="52"/>
  <c r="X390" i="52"/>
  <c r="G390" i="52"/>
  <c r="X389" i="52"/>
  <c r="V389" i="52"/>
  <c r="G389" i="52"/>
  <c r="G388" i="52"/>
  <c r="F388" i="52" s="1"/>
  <c r="G387" i="52"/>
  <c r="G386" i="52"/>
  <c r="G385" i="52"/>
  <c r="G384" i="52"/>
  <c r="G383" i="52"/>
  <c r="F383" i="52" s="1"/>
  <c r="G382" i="52"/>
  <c r="G381" i="52"/>
  <c r="G380" i="52"/>
  <c r="G379" i="52"/>
  <c r="G378" i="52"/>
  <c r="G377" i="52"/>
  <c r="G376" i="52"/>
  <c r="G375" i="52"/>
  <c r="G374" i="52"/>
  <c r="G373" i="52"/>
  <c r="G372" i="52"/>
  <c r="G371" i="52"/>
  <c r="G370" i="52"/>
  <c r="X368" i="52"/>
  <c r="X367" i="52"/>
  <c r="N366" i="52"/>
  <c r="J529" i="52" s="1"/>
  <c r="H366" i="52"/>
  <c r="N365" i="52"/>
  <c r="J528" i="52" s="1"/>
  <c r="I528" i="52"/>
  <c r="H365" i="52"/>
  <c r="H364" i="52"/>
  <c r="N364" i="52"/>
  <c r="J527" i="52" s="1"/>
  <c r="H363" i="52"/>
  <c r="I526" i="52"/>
  <c r="K526" i="52"/>
  <c r="N363" i="52"/>
  <c r="J526" i="52" s="1"/>
  <c r="N362" i="52"/>
  <c r="J525" i="52" s="1"/>
  <c r="H362" i="52"/>
  <c r="N361" i="52"/>
  <c r="J524" i="52" s="1"/>
  <c r="I524" i="52"/>
  <c r="H361" i="52"/>
  <c r="H360" i="52"/>
  <c r="N360" i="52"/>
  <c r="J523" i="52" s="1"/>
  <c r="H359" i="52"/>
  <c r="I522" i="52"/>
  <c r="K522" i="52"/>
  <c r="N359" i="52"/>
  <c r="J522" i="52" s="1"/>
  <c r="N358" i="52"/>
  <c r="J521" i="52" s="1"/>
  <c r="H358" i="52"/>
  <c r="N357" i="52"/>
  <c r="J520" i="52" s="1"/>
  <c r="I520" i="52"/>
  <c r="H357" i="52"/>
  <c r="H356" i="52"/>
  <c r="N356" i="52"/>
  <c r="J519" i="52" s="1"/>
  <c r="H355" i="52"/>
  <c r="I518" i="52"/>
  <c r="K518" i="52"/>
  <c r="N355" i="52"/>
  <c r="J518" i="52" s="1"/>
  <c r="N354" i="52"/>
  <c r="J517" i="52" s="1"/>
  <c r="H354" i="52"/>
  <c r="N353" i="52"/>
  <c r="J516" i="52" s="1"/>
  <c r="I516" i="52"/>
  <c r="H353" i="52"/>
  <c r="H352" i="52"/>
  <c r="N352" i="52"/>
  <c r="J515" i="52" s="1"/>
  <c r="H351" i="52"/>
  <c r="I514" i="52"/>
  <c r="K514" i="52"/>
  <c r="N351" i="52"/>
  <c r="J514" i="52" s="1"/>
  <c r="N350" i="52"/>
  <c r="J513" i="52" s="1"/>
  <c r="H350" i="52"/>
  <c r="N349" i="52"/>
  <c r="J512" i="52" s="1"/>
  <c r="I512" i="52"/>
  <c r="H349" i="52"/>
  <c r="H348" i="52"/>
  <c r="N348" i="52"/>
  <c r="J511" i="52" s="1"/>
  <c r="H347" i="52"/>
  <c r="I510" i="52"/>
  <c r="K510" i="52"/>
  <c r="N347" i="52"/>
  <c r="J510" i="52" s="1"/>
  <c r="N346" i="52"/>
  <c r="J509" i="52" s="1"/>
  <c r="H346" i="52"/>
  <c r="H345" i="52"/>
  <c r="N345" i="52"/>
  <c r="J508" i="52" s="1"/>
  <c r="H344" i="52"/>
  <c r="N344" i="52"/>
  <c r="J507" i="52" s="1"/>
  <c r="H343" i="52"/>
  <c r="I506" i="52"/>
  <c r="K506" i="52"/>
  <c r="N343" i="52"/>
  <c r="J506" i="52" s="1"/>
  <c r="N342" i="52"/>
  <c r="J505" i="52" s="1"/>
  <c r="H342" i="52"/>
  <c r="N341" i="52"/>
  <c r="J504" i="52" s="1"/>
  <c r="H341" i="52"/>
  <c r="H340" i="52"/>
  <c r="N340" i="52"/>
  <c r="J503" i="52" s="1"/>
  <c r="I502" i="52"/>
  <c r="K502" i="52"/>
  <c r="N339" i="52"/>
  <c r="J502" i="52" s="1"/>
  <c r="H339" i="52"/>
  <c r="N338" i="52"/>
  <c r="J501" i="52" s="1"/>
  <c r="H338" i="52"/>
  <c r="H337" i="52"/>
  <c r="N337" i="52"/>
  <c r="J500" i="52" s="1"/>
  <c r="H336" i="52"/>
  <c r="N336" i="52"/>
  <c r="J499" i="52" s="1"/>
  <c r="I498" i="52"/>
  <c r="K498" i="52"/>
  <c r="N335" i="52"/>
  <c r="J498" i="52" s="1"/>
  <c r="H335" i="52"/>
  <c r="N334" i="52"/>
  <c r="J497" i="52" s="1"/>
  <c r="H334" i="52"/>
  <c r="H333" i="52"/>
  <c r="N333" i="52"/>
  <c r="J496" i="52" s="1"/>
  <c r="H332" i="52"/>
  <c r="N332" i="52"/>
  <c r="J495" i="52" s="1"/>
  <c r="I494" i="52"/>
  <c r="K494" i="52"/>
  <c r="N331" i="52"/>
  <c r="J494" i="52" s="1"/>
  <c r="H331" i="52"/>
  <c r="N330" i="52"/>
  <c r="J493" i="52" s="1"/>
  <c r="H330" i="52"/>
  <c r="I492" i="52"/>
  <c r="N329" i="52"/>
  <c r="J492" i="52" s="1"/>
  <c r="K492" i="52"/>
  <c r="H329" i="52"/>
  <c r="N328" i="52"/>
  <c r="J491" i="52" s="1"/>
  <c r="H328" i="52"/>
  <c r="H327" i="52"/>
  <c r="I490" i="52"/>
  <c r="N327" i="52"/>
  <c r="J490" i="52" s="1"/>
  <c r="K490" i="52"/>
  <c r="N326" i="52"/>
  <c r="J489" i="52" s="1"/>
  <c r="H326" i="52"/>
  <c r="H325" i="52"/>
  <c r="I488" i="52"/>
  <c r="K488" i="52"/>
  <c r="N325" i="52"/>
  <c r="J488" i="52" s="1"/>
  <c r="N324" i="52"/>
  <c r="J487" i="52" s="1"/>
  <c r="H324" i="52"/>
  <c r="H323" i="52"/>
  <c r="I486" i="52"/>
  <c r="N323" i="52"/>
  <c r="J486" i="52" s="1"/>
  <c r="K486" i="52"/>
  <c r="N322" i="52"/>
  <c r="J485" i="52" s="1"/>
  <c r="H322" i="52"/>
  <c r="H321" i="52"/>
  <c r="I484" i="52"/>
  <c r="K484" i="52"/>
  <c r="N321" i="52"/>
  <c r="J484" i="52" s="1"/>
  <c r="N320" i="52"/>
  <c r="J483" i="52" s="1"/>
  <c r="H320" i="52"/>
  <c r="H319" i="52"/>
  <c r="N319" i="52"/>
  <c r="J482" i="52" s="1"/>
  <c r="N318" i="52"/>
  <c r="J481" i="52" s="1"/>
  <c r="H318" i="52"/>
  <c r="H317" i="52"/>
  <c r="N317" i="52"/>
  <c r="J480" i="52" s="1"/>
  <c r="N316" i="52"/>
  <c r="J479" i="52" s="1"/>
  <c r="H316" i="52"/>
  <c r="H315" i="52"/>
  <c r="N315" i="52"/>
  <c r="J478" i="52" s="1"/>
  <c r="N314" i="52"/>
  <c r="J477" i="52" s="1"/>
  <c r="H314" i="52"/>
  <c r="H313" i="52"/>
  <c r="N313" i="52"/>
  <c r="J476" i="52" s="1"/>
  <c r="N312" i="52"/>
  <c r="J475" i="52" s="1"/>
  <c r="H312" i="52"/>
  <c r="H311" i="52"/>
  <c r="N311" i="52"/>
  <c r="J474" i="52" s="1"/>
  <c r="N310" i="52"/>
  <c r="J473" i="52" s="1"/>
  <c r="H310" i="52"/>
  <c r="H309" i="52"/>
  <c r="N309" i="52"/>
  <c r="J472" i="52" s="1"/>
  <c r="N308" i="52"/>
  <c r="J471" i="52" s="1"/>
  <c r="H308" i="52"/>
  <c r="H307" i="52"/>
  <c r="F307" i="52" s="1"/>
  <c r="N307" i="52"/>
  <c r="J470" i="52" s="1"/>
  <c r="J468" i="52"/>
  <c r="F305" i="52"/>
  <c r="J467" i="52"/>
  <c r="F304" i="52"/>
  <c r="J466" i="52"/>
  <c r="F303" i="52"/>
  <c r="J465" i="52"/>
  <c r="F302" i="52"/>
  <c r="J464" i="52"/>
  <c r="F301" i="52"/>
  <c r="J463" i="52"/>
  <c r="F300" i="52"/>
  <c r="J462" i="52"/>
  <c r="F299" i="52"/>
  <c r="J461" i="52"/>
  <c r="F298" i="52"/>
  <c r="J460" i="52"/>
  <c r="F297" i="52"/>
  <c r="J459" i="52"/>
  <c r="F296" i="52"/>
  <c r="J458" i="52"/>
  <c r="F295" i="52"/>
  <c r="J457" i="52"/>
  <c r="F294" i="52"/>
  <c r="J456" i="52"/>
  <c r="F293" i="52"/>
  <c r="J455" i="52"/>
  <c r="F292" i="52"/>
  <c r="J454" i="52"/>
  <c r="F291" i="52"/>
  <c r="J453" i="52"/>
  <c r="F290" i="52"/>
  <c r="J452" i="52"/>
  <c r="F289" i="52"/>
  <c r="J451" i="52"/>
  <c r="F288" i="52"/>
  <c r="J449" i="52"/>
  <c r="F286" i="52"/>
  <c r="J448" i="52"/>
  <c r="F285" i="52"/>
  <c r="J447" i="52"/>
  <c r="F284" i="52"/>
  <c r="J446" i="52"/>
  <c r="F283" i="52"/>
  <c r="J445" i="52"/>
  <c r="F282" i="52"/>
  <c r="J444" i="52"/>
  <c r="F281" i="52"/>
  <c r="J443" i="52"/>
  <c r="F280" i="52"/>
  <c r="J442" i="52"/>
  <c r="F279" i="52"/>
  <c r="J441" i="52"/>
  <c r="F278" i="52"/>
  <c r="J440" i="52"/>
  <c r="F277" i="52"/>
  <c r="J439" i="52"/>
  <c r="F276" i="52"/>
  <c r="J438" i="52"/>
  <c r="F275" i="52"/>
  <c r="J437" i="52"/>
  <c r="F274" i="52"/>
  <c r="J436" i="52"/>
  <c r="F273" i="52"/>
  <c r="J435" i="52"/>
  <c r="F272" i="52"/>
  <c r="J434" i="52"/>
  <c r="F271" i="52"/>
  <c r="J433" i="52"/>
  <c r="F270" i="52"/>
  <c r="J432" i="52"/>
  <c r="F269" i="52"/>
  <c r="J431" i="52"/>
  <c r="F268" i="52"/>
  <c r="J430" i="52"/>
  <c r="F267" i="52"/>
  <c r="J429" i="52"/>
  <c r="F266" i="52"/>
  <c r="J428" i="52"/>
  <c r="F265" i="52"/>
  <c r="J427" i="52"/>
  <c r="F264" i="52"/>
  <c r="J426" i="52"/>
  <c r="F263" i="52"/>
  <c r="J425" i="52"/>
  <c r="F262" i="52"/>
  <c r="J424" i="52"/>
  <c r="F261" i="52"/>
  <c r="J423" i="52"/>
  <c r="F260" i="52"/>
  <c r="J422" i="52"/>
  <c r="F259" i="52"/>
  <c r="J421" i="52"/>
  <c r="F258" i="52"/>
  <c r="J420" i="52"/>
  <c r="F257" i="52"/>
  <c r="J419" i="52"/>
  <c r="F256" i="52"/>
  <c r="J418" i="52"/>
  <c r="F255" i="52"/>
  <c r="J417" i="52"/>
  <c r="F254" i="52"/>
  <c r="J416" i="52"/>
  <c r="F253" i="52"/>
  <c r="F251" i="52"/>
  <c r="C251" i="52" s="1"/>
  <c r="F250" i="52"/>
  <c r="E250" i="52" s="1"/>
  <c r="C250" i="52"/>
  <c r="F249" i="52"/>
  <c r="F248" i="52"/>
  <c r="E248" i="52" s="1"/>
  <c r="F247" i="52"/>
  <c r="E247" i="52" s="1"/>
  <c r="F246" i="52"/>
  <c r="E246" i="52" s="1"/>
  <c r="C246" i="52"/>
  <c r="F245" i="52"/>
  <c r="E245" i="52" s="1"/>
  <c r="F244" i="52"/>
  <c r="E244" i="52" s="1"/>
  <c r="F243" i="52"/>
  <c r="E243" i="52" s="1"/>
  <c r="F242" i="52"/>
  <c r="E242" i="52" s="1"/>
  <c r="C242" i="52"/>
  <c r="F241" i="52"/>
  <c r="E241" i="52" s="1"/>
  <c r="F240" i="52"/>
  <c r="E240" i="52" s="1"/>
  <c r="F239" i="52"/>
  <c r="E239" i="52" s="1"/>
  <c r="F238" i="52"/>
  <c r="E238" i="52" s="1"/>
  <c r="C238" i="52"/>
  <c r="F237" i="52"/>
  <c r="E237" i="52" s="1"/>
  <c r="F236" i="52"/>
  <c r="E236" i="52" s="1"/>
  <c r="F235" i="52"/>
  <c r="E235" i="52" s="1"/>
  <c r="F234" i="52"/>
  <c r="E234" i="52" s="1"/>
  <c r="C234" i="52"/>
  <c r="F233" i="52"/>
  <c r="E233" i="52" s="1"/>
  <c r="F232" i="52"/>
  <c r="E232" i="52" s="1"/>
  <c r="F231" i="52"/>
  <c r="E231" i="52" s="1"/>
  <c r="F230" i="52"/>
  <c r="E230" i="52" s="1"/>
  <c r="C230" i="52"/>
  <c r="F229" i="52"/>
  <c r="E229" i="52" s="1"/>
  <c r="F228" i="52"/>
  <c r="E228" i="52" s="1"/>
  <c r="F227" i="52"/>
  <c r="E227" i="52" s="1"/>
  <c r="F225" i="52"/>
  <c r="E225" i="52" s="1"/>
  <c r="C225" i="52"/>
  <c r="F224" i="52"/>
  <c r="E224" i="52" s="1"/>
  <c r="F223" i="52"/>
  <c r="E223" i="52" s="1"/>
  <c r="F222" i="52"/>
  <c r="E222" i="52" s="1"/>
  <c r="F221" i="52"/>
  <c r="E221" i="52" s="1"/>
  <c r="C221" i="52"/>
  <c r="F220" i="52"/>
  <c r="E220" i="52" s="1"/>
  <c r="F219" i="52"/>
  <c r="E219" i="52" s="1"/>
  <c r="F218" i="52"/>
  <c r="E218" i="52" s="1"/>
  <c r="F217" i="52"/>
  <c r="E217" i="52" s="1"/>
  <c r="C217" i="52"/>
  <c r="F216" i="52"/>
  <c r="F215" i="52"/>
  <c r="E215" i="52" s="1"/>
  <c r="F214" i="52"/>
  <c r="E214" i="52" s="1"/>
  <c r="F213" i="52"/>
  <c r="E213" i="52" s="1"/>
  <c r="C213" i="52"/>
  <c r="F212" i="52"/>
  <c r="E212" i="52" s="1"/>
  <c r="F211" i="52"/>
  <c r="E211" i="52" s="1"/>
  <c r="F210" i="52"/>
  <c r="E210" i="52" s="1"/>
  <c r="F209" i="52"/>
  <c r="E209" i="52" s="1"/>
  <c r="C209" i="52"/>
  <c r="F208" i="52"/>
  <c r="E208" i="52" s="1"/>
  <c r="F207" i="52"/>
  <c r="E207" i="52" s="1"/>
  <c r="F206" i="52"/>
  <c r="E206" i="52" s="1"/>
  <c r="F205" i="52"/>
  <c r="E205" i="52" s="1"/>
  <c r="C205" i="52"/>
  <c r="F204" i="52"/>
  <c r="E204" i="52" s="1"/>
  <c r="F203" i="52"/>
  <c r="F202" i="52"/>
  <c r="F201" i="52"/>
  <c r="L388" i="52"/>
  <c r="K195" i="52"/>
  <c r="F195" i="52"/>
  <c r="C195" i="52" s="1"/>
  <c r="E195" i="52"/>
  <c r="L387" i="52"/>
  <c r="K194" i="52"/>
  <c r="F194" i="52"/>
  <c r="L386" i="52"/>
  <c r="F193" i="52"/>
  <c r="L385" i="52"/>
  <c r="F192" i="52"/>
  <c r="L384" i="52"/>
  <c r="F191" i="52"/>
  <c r="L383" i="52"/>
  <c r="H191" i="52"/>
  <c r="F190" i="52"/>
  <c r="L382" i="52"/>
  <c r="F189" i="52"/>
  <c r="L381" i="52"/>
  <c r="F188" i="52"/>
  <c r="L380" i="52"/>
  <c r="F187" i="52"/>
  <c r="L379" i="52"/>
  <c r="F186" i="52"/>
  <c r="L378" i="52"/>
  <c r="F185" i="52"/>
  <c r="L377" i="52"/>
  <c r="F184" i="52"/>
  <c r="L376" i="52"/>
  <c r="H184" i="52"/>
  <c r="F183" i="52"/>
  <c r="L375" i="52"/>
  <c r="F182" i="52"/>
  <c r="L374" i="52"/>
  <c r="F181" i="52"/>
  <c r="L373" i="52"/>
  <c r="F180" i="52"/>
  <c r="L372" i="52"/>
  <c r="F179" i="52"/>
  <c r="L371" i="52"/>
  <c r="H178" i="52"/>
  <c r="F178" i="52"/>
  <c r="L370" i="52"/>
  <c r="H173" i="52"/>
  <c r="F172" i="52"/>
  <c r="E172" i="52" s="1"/>
  <c r="H172" i="52"/>
  <c r="F171" i="52"/>
  <c r="E171" i="52" s="1"/>
  <c r="H171" i="52"/>
  <c r="F170" i="52"/>
  <c r="E170" i="52" s="1"/>
  <c r="H170" i="52"/>
  <c r="H169" i="52"/>
  <c r="F168" i="52"/>
  <c r="E168" i="52" s="1"/>
  <c r="H168" i="52"/>
  <c r="F167" i="52"/>
  <c r="E167" i="52" s="1"/>
  <c r="H167" i="52"/>
  <c r="F166" i="52"/>
  <c r="E166" i="52" s="1"/>
  <c r="H166" i="52"/>
  <c r="H165" i="52"/>
  <c r="F164" i="52"/>
  <c r="E164" i="52" s="1"/>
  <c r="H164" i="52"/>
  <c r="F163" i="52"/>
  <c r="E163" i="52" s="1"/>
  <c r="H163" i="52"/>
  <c r="F162" i="52"/>
  <c r="E162" i="52" s="1"/>
  <c r="H162" i="52"/>
  <c r="H161" i="52"/>
  <c r="F160" i="52"/>
  <c r="E160" i="52" s="1"/>
  <c r="H160" i="52"/>
  <c r="F159" i="52"/>
  <c r="H159" i="52"/>
  <c r="F158" i="52"/>
  <c r="E158" i="52" s="1"/>
  <c r="H158" i="52"/>
  <c r="H157" i="52"/>
  <c r="F156" i="52"/>
  <c r="H156" i="52"/>
  <c r="F155" i="52"/>
  <c r="H155" i="52"/>
  <c r="F150" i="52"/>
  <c r="E150" i="52" s="1"/>
  <c r="G150" i="52"/>
  <c r="G149" i="52"/>
  <c r="F149" i="52"/>
  <c r="E149" i="52" s="1"/>
  <c r="G148" i="52"/>
  <c r="F148" i="52"/>
  <c r="E148" i="52"/>
  <c r="F146" i="52"/>
  <c r="E146" i="52" s="1"/>
  <c r="F144" i="52"/>
  <c r="E144" i="52" s="1"/>
  <c r="F142" i="52"/>
  <c r="E142" i="52" s="1"/>
  <c r="F140" i="52"/>
  <c r="F138" i="52"/>
  <c r="F136" i="52"/>
  <c r="E136" i="52" s="1"/>
  <c r="F134" i="52"/>
  <c r="E134" i="52" s="1"/>
  <c r="F133" i="52"/>
  <c r="E133" i="52" s="1"/>
  <c r="F132" i="52"/>
  <c r="E132" i="52" s="1"/>
  <c r="F131" i="52"/>
  <c r="E131" i="52" s="1"/>
  <c r="F129" i="52"/>
  <c r="E129" i="52" s="1"/>
  <c r="F128" i="52"/>
  <c r="E128" i="52" s="1"/>
  <c r="F127" i="52"/>
  <c r="F125" i="52"/>
  <c r="J125" i="52" s="1"/>
  <c r="F124" i="52"/>
  <c r="J124" i="52" s="1"/>
  <c r="F123" i="52"/>
  <c r="J123" i="52" s="1"/>
  <c r="E123" i="52"/>
  <c r="F119" i="52"/>
  <c r="E119" i="52" s="1"/>
  <c r="F117" i="52"/>
  <c r="E117" i="52" s="1"/>
  <c r="F115" i="52"/>
  <c r="E115" i="52" s="1"/>
  <c r="F113" i="52"/>
  <c r="F109" i="52"/>
  <c r="E109" i="52" s="1"/>
  <c r="F108" i="52"/>
  <c r="E108" i="52" s="1"/>
  <c r="F107" i="52"/>
  <c r="E107" i="52"/>
  <c r="F106" i="52"/>
  <c r="E106" i="52" s="1"/>
  <c r="F105" i="52"/>
  <c r="E105" i="52" s="1"/>
  <c r="F104" i="52"/>
  <c r="E104" i="52" s="1"/>
  <c r="F103" i="52"/>
  <c r="E103" i="52" s="1"/>
  <c r="F102" i="52"/>
  <c r="E102" i="52" s="1"/>
  <c r="F101" i="52"/>
  <c r="E101" i="52" s="1"/>
  <c r="F100" i="52"/>
  <c r="F99" i="52"/>
  <c r="E99" i="52"/>
  <c r="F98" i="52"/>
  <c r="F97" i="52"/>
  <c r="E97" i="52" s="1"/>
  <c r="F96" i="52"/>
  <c r="F95" i="52"/>
  <c r="F94" i="52"/>
  <c r="F91" i="52"/>
  <c r="E91" i="52" s="1"/>
  <c r="F90" i="52"/>
  <c r="F86" i="52"/>
  <c r="E86" i="52" s="1"/>
  <c r="F85" i="52"/>
  <c r="E85" i="52" s="1"/>
  <c r="F84" i="52"/>
  <c r="E84" i="52" s="1"/>
  <c r="F83" i="52"/>
  <c r="E83" i="52" s="1"/>
  <c r="F82" i="52"/>
  <c r="E82" i="52"/>
  <c r="F81" i="52"/>
  <c r="E81" i="52" s="1"/>
  <c r="F80" i="52"/>
  <c r="E80" i="52" s="1"/>
  <c r="F79" i="52"/>
  <c r="E79" i="52" s="1"/>
  <c r="F78" i="52"/>
  <c r="E78" i="52" s="1"/>
  <c r="F77" i="52"/>
  <c r="E77" i="52" s="1"/>
  <c r="F76" i="52"/>
  <c r="E76" i="52" s="1"/>
  <c r="F75" i="52"/>
  <c r="E75" i="52" s="1"/>
  <c r="F74" i="52"/>
  <c r="E74" i="52"/>
  <c r="F73" i="52"/>
  <c r="F72" i="52"/>
  <c r="E72" i="52" s="1"/>
  <c r="F71" i="52"/>
  <c r="F70" i="52"/>
  <c r="F69" i="52"/>
  <c r="F68" i="52"/>
  <c r="E68" i="52" s="1"/>
  <c r="F67" i="52"/>
  <c r="E67" i="52" s="1"/>
  <c r="F63" i="52"/>
  <c r="E63" i="52" s="1"/>
  <c r="F62" i="52"/>
  <c r="E62" i="52" s="1"/>
  <c r="F61" i="52"/>
  <c r="E61" i="52" s="1"/>
  <c r="F60" i="52"/>
  <c r="E60" i="52" s="1"/>
  <c r="F59" i="52"/>
  <c r="E59" i="52" s="1"/>
  <c r="F58" i="52"/>
  <c r="E58" i="52" s="1"/>
  <c r="F57" i="52"/>
  <c r="E57" i="52" s="1"/>
  <c r="F56" i="52"/>
  <c r="E56" i="52" s="1"/>
  <c r="F55" i="52"/>
  <c r="E55" i="52" s="1"/>
  <c r="F54" i="52"/>
  <c r="E54" i="52" s="1"/>
  <c r="F53" i="52"/>
  <c r="E53" i="52" s="1"/>
  <c r="F52" i="52"/>
  <c r="E52" i="52" s="1"/>
  <c r="F51" i="52"/>
  <c r="E51" i="52" s="1"/>
  <c r="F50" i="52"/>
  <c r="E50" i="52" s="1"/>
  <c r="F49" i="52"/>
  <c r="E49" i="52" s="1"/>
  <c r="F48" i="52"/>
  <c r="E48" i="52" s="1"/>
  <c r="F47" i="52"/>
  <c r="E47" i="52" s="1"/>
  <c r="F46" i="52"/>
  <c r="E46" i="52" s="1"/>
  <c r="F45" i="52"/>
  <c r="E45" i="52" s="1"/>
  <c r="F44" i="52"/>
  <c r="E44" i="52" s="1"/>
  <c r="F40" i="52"/>
  <c r="E40" i="52" s="1"/>
  <c r="F39" i="52"/>
  <c r="E39" i="52" s="1"/>
  <c r="O39" i="52"/>
  <c r="P39" i="52" s="1"/>
  <c r="F38" i="52"/>
  <c r="E38" i="52" s="1"/>
  <c r="F37" i="52"/>
  <c r="E37" i="52" s="1"/>
  <c r="F36" i="52"/>
  <c r="E36" i="52" s="1"/>
  <c r="F35" i="52"/>
  <c r="E35" i="52" s="1"/>
  <c r="O35" i="52"/>
  <c r="P35" i="52" s="1"/>
  <c r="F34" i="52"/>
  <c r="E34" i="52" s="1"/>
  <c r="F33" i="52"/>
  <c r="E33" i="52" s="1"/>
  <c r="F32" i="52"/>
  <c r="E32" i="52" s="1"/>
  <c r="F31" i="52"/>
  <c r="E31" i="52" s="1"/>
  <c r="O31" i="52"/>
  <c r="P31" i="52" s="1"/>
  <c r="F27" i="52"/>
  <c r="E27" i="52" s="1"/>
  <c r="F26" i="52"/>
  <c r="E26" i="52" s="1"/>
  <c r="F25" i="52"/>
  <c r="E25" i="52" s="1"/>
  <c r="F24" i="52"/>
  <c r="E24" i="52" s="1"/>
  <c r="H21" i="52"/>
  <c r="D21" i="52" s="1"/>
  <c r="E21" i="52" s="1"/>
  <c r="F21" i="52"/>
  <c r="J21" i="52" s="1"/>
  <c r="F20" i="52"/>
  <c r="J20" i="52" s="1"/>
  <c r="H19" i="52"/>
  <c r="D19" i="52" s="1"/>
  <c r="E19" i="52" s="1"/>
  <c r="F19" i="52"/>
  <c r="J19" i="52" s="1"/>
  <c r="F18" i="52"/>
  <c r="J18" i="52" s="1"/>
  <c r="H17" i="52"/>
  <c r="D17" i="52" s="1"/>
  <c r="E17" i="52" s="1"/>
  <c r="H14" i="52"/>
  <c r="I14" i="52"/>
  <c r="F12" i="52"/>
  <c r="E12" i="52" s="1"/>
  <c r="F11" i="52"/>
  <c r="E11" i="52" s="1"/>
  <c r="F10" i="52"/>
  <c r="E10" i="52" s="1"/>
  <c r="F9" i="52"/>
  <c r="E9" i="52" s="1"/>
  <c r="F8" i="52"/>
  <c r="E8" i="52" s="1"/>
  <c r="H18" i="52"/>
  <c r="D18" i="52" s="1"/>
  <c r="E18" i="52" s="1"/>
  <c r="E124" i="52" l="1"/>
  <c r="E125" i="52"/>
  <c r="H192" i="52"/>
  <c r="I191" i="52"/>
  <c r="C211" i="52"/>
  <c r="C219" i="52"/>
  <c r="C228" i="52"/>
  <c r="C236" i="52"/>
  <c r="C244" i="52"/>
  <c r="N35" i="52"/>
  <c r="L35" i="52"/>
  <c r="O69" i="52"/>
  <c r="M69" i="52"/>
  <c r="O77" i="52"/>
  <c r="M77" i="52"/>
  <c r="O85" i="52"/>
  <c r="M85" i="52"/>
  <c r="I184" i="52"/>
  <c r="H185" i="52" s="1"/>
  <c r="N37" i="52"/>
  <c r="L37" i="52"/>
  <c r="M71" i="52"/>
  <c r="O71" i="52"/>
  <c r="M79" i="52"/>
  <c r="O79" i="52"/>
  <c r="M90" i="52"/>
  <c r="O90" i="52"/>
  <c r="M94" i="52"/>
  <c r="O94" i="52"/>
  <c r="H179" i="52"/>
  <c r="I178" i="52"/>
  <c r="C207" i="52"/>
  <c r="C215" i="52"/>
  <c r="C223" i="52"/>
  <c r="C232" i="52"/>
  <c r="C240" i="52"/>
  <c r="C248" i="52"/>
  <c r="N31" i="52"/>
  <c r="L31" i="52"/>
  <c r="N39" i="52"/>
  <c r="L39" i="52"/>
  <c r="O73" i="52"/>
  <c r="M73" i="52"/>
  <c r="O81" i="52"/>
  <c r="M81" i="52"/>
  <c r="O92" i="52"/>
  <c r="M92" i="52"/>
  <c r="O96" i="52"/>
  <c r="M96" i="52"/>
  <c r="F355" i="52"/>
  <c r="C355" i="52" s="1"/>
  <c r="H518" i="52" s="1"/>
  <c r="E518" i="52" s="1"/>
  <c r="F518" i="52" s="1"/>
  <c r="N33" i="52"/>
  <c r="L33" i="52"/>
  <c r="M44" i="52"/>
  <c r="O44" i="52"/>
  <c r="M45" i="52"/>
  <c r="O45" i="52"/>
  <c r="M46" i="52"/>
  <c r="O46" i="52"/>
  <c r="M47" i="52"/>
  <c r="O47" i="52"/>
  <c r="M48" i="52"/>
  <c r="O48" i="52"/>
  <c r="M49" i="52"/>
  <c r="O49" i="52"/>
  <c r="M50" i="52"/>
  <c r="O50" i="52"/>
  <c r="M51" i="52"/>
  <c r="O51" i="52"/>
  <c r="M52" i="52"/>
  <c r="O52" i="52"/>
  <c r="M53" i="52"/>
  <c r="O53" i="52"/>
  <c r="M54" i="52"/>
  <c r="O54" i="52"/>
  <c r="M55" i="52"/>
  <c r="O55" i="52"/>
  <c r="M56" i="52"/>
  <c r="O56" i="52"/>
  <c r="M57" i="52"/>
  <c r="O57" i="52"/>
  <c r="M58" i="52"/>
  <c r="O58" i="52"/>
  <c r="M59" i="52"/>
  <c r="O59" i="52"/>
  <c r="M60" i="52"/>
  <c r="O60" i="52"/>
  <c r="M61" i="52"/>
  <c r="O61" i="52"/>
  <c r="M62" i="52"/>
  <c r="O62" i="52"/>
  <c r="M63" i="52"/>
  <c r="O63" i="52"/>
  <c r="M67" i="52"/>
  <c r="O67" i="52"/>
  <c r="M75" i="52"/>
  <c r="O75" i="52"/>
  <c r="M83" i="52"/>
  <c r="O83" i="52"/>
  <c r="M98" i="52"/>
  <c r="O98" i="52"/>
  <c r="N32" i="52"/>
  <c r="N36" i="52"/>
  <c r="N40" i="52"/>
  <c r="M70" i="52"/>
  <c r="M74" i="52"/>
  <c r="M78" i="52"/>
  <c r="M82" i="52"/>
  <c r="M86" i="52"/>
  <c r="M93" i="52"/>
  <c r="M97" i="52"/>
  <c r="M100" i="52"/>
  <c r="O100" i="52"/>
  <c r="O101" i="52"/>
  <c r="M101" i="52"/>
  <c r="M106" i="52"/>
  <c r="M119" i="52"/>
  <c r="O119" i="52"/>
  <c r="L34" i="52"/>
  <c r="L38" i="52"/>
  <c r="M102" i="52"/>
  <c r="O107" i="52"/>
  <c r="M117" i="52"/>
  <c r="O117" i="52"/>
  <c r="J127" i="52"/>
  <c r="J133" i="52"/>
  <c r="J137" i="52"/>
  <c r="J141" i="52"/>
  <c r="L44" i="52"/>
  <c r="P44" i="52" s="1"/>
  <c r="L45" i="52"/>
  <c r="P45" i="52" s="1"/>
  <c r="L46" i="52"/>
  <c r="P46" i="52" s="1"/>
  <c r="L47" i="52"/>
  <c r="P47" i="52" s="1"/>
  <c r="L48" i="52"/>
  <c r="P48" i="52" s="1"/>
  <c r="L49" i="52"/>
  <c r="P49" i="52" s="1"/>
  <c r="L50" i="52"/>
  <c r="P50" i="52" s="1"/>
  <c r="L51" i="52"/>
  <c r="P51" i="52" s="1"/>
  <c r="L52" i="52"/>
  <c r="P52" i="52" s="1"/>
  <c r="L53" i="52"/>
  <c r="P53" i="52" s="1"/>
  <c r="L54" i="52"/>
  <c r="P54" i="52" s="1"/>
  <c r="L55" i="52"/>
  <c r="P55" i="52" s="1"/>
  <c r="L56" i="52"/>
  <c r="P56" i="52" s="1"/>
  <c r="L57" i="52"/>
  <c r="L58" i="52"/>
  <c r="P58" i="52" s="1"/>
  <c r="L59" i="52"/>
  <c r="P59" i="52" s="1"/>
  <c r="L60" i="52"/>
  <c r="P60" i="52" s="1"/>
  <c r="L61" i="52"/>
  <c r="P61" i="52" s="1"/>
  <c r="L62" i="52"/>
  <c r="P62" i="52" s="1"/>
  <c r="L63" i="52"/>
  <c r="P63" i="52" s="1"/>
  <c r="M68" i="52"/>
  <c r="M72" i="52"/>
  <c r="M76" i="52"/>
  <c r="M80" i="52"/>
  <c r="M84" i="52"/>
  <c r="M91" i="52"/>
  <c r="M95" i="52"/>
  <c r="M99" i="52"/>
  <c r="O103" i="52"/>
  <c r="M104" i="52"/>
  <c r="O104" i="52"/>
  <c r="O105" i="52"/>
  <c r="M105" i="52"/>
  <c r="O109" i="52"/>
  <c r="M109" i="52"/>
  <c r="J126" i="52"/>
  <c r="J132" i="52"/>
  <c r="J138" i="52"/>
  <c r="J140" i="52"/>
  <c r="J142" i="52"/>
  <c r="O108" i="52"/>
  <c r="O113" i="52"/>
  <c r="O115" i="52"/>
  <c r="J155" i="52"/>
  <c r="G157" i="52"/>
  <c r="F157" i="52" s="1"/>
  <c r="J159" i="52"/>
  <c r="G161" i="52"/>
  <c r="F161" i="52" s="1"/>
  <c r="E161" i="52" s="1"/>
  <c r="J163" i="52"/>
  <c r="G165" i="52"/>
  <c r="F165" i="52" s="1"/>
  <c r="E165" i="52" s="1"/>
  <c r="J167" i="52"/>
  <c r="G169" i="52"/>
  <c r="F169" i="52" s="1"/>
  <c r="E169" i="52" s="1"/>
  <c r="J171" i="52"/>
  <c r="G173" i="52"/>
  <c r="F173" i="52" s="1"/>
  <c r="E173" i="52" s="1"/>
  <c r="K324" i="52"/>
  <c r="F325" i="52" s="1"/>
  <c r="P324" i="52"/>
  <c r="I487" i="52" s="1"/>
  <c r="O324" i="52"/>
  <c r="M114" i="52"/>
  <c r="M116" i="52"/>
  <c r="M118" i="52"/>
  <c r="K155" i="52"/>
  <c r="K159" i="52"/>
  <c r="K163" i="52"/>
  <c r="K167" i="52"/>
  <c r="K171" i="52"/>
  <c r="O307" i="52"/>
  <c r="K470" i="52" s="1"/>
  <c r="K307" i="52"/>
  <c r="F308" i="52" s="1"/>
  <c r="K308" i="52"/>
  <c r="O308" i="52"/>
  <c r="O309" i="52"/>
  <c r="K472" i="52" s="1"/>
  <c r="K309" i="52"/>
  <c r="F310" i="52" s="1"/>
  <c r="K310" i="52"/>
  <c r="O310" i="52"/>
  <c r="K473" i="52" s="1"/>
  <c r="O311" i="52"/>
  <c r="K474" i="52" s="1"/>
  <c r="K311" i="52"/>
  <c r="F312" i="52" s="1"/>
  <c r="K312" i="52"/>
  <c r="O312" i="52"/>
  <c r="K475" i="52" s="1"/>
  <c r="O313" i="52"/>
  <c r="K476" i="52" s="1"/>
  <c r="K313" i="52"/>
  <c r="K314" i="52"/>
  <c r="O314" i="52"/>
  <c r="K477" i="52" s="1"/>
  <c r="O315" i="52"/>
  <c r="K478" i="52" s="1"/>
  <c r="K315" i="52"/>
  <c r="F315" i="52" s="1"/>
  <c r="K316" i="52"/>
  <c r="O316" i="52"/>
  <c r="K479" i="52" s="1"/>
  <c r="O317" i="52"/>
  <c r="K480" i="52" s="1"/>
  <c r="K317" i="52"/>
  <c r="K318" i="52"/>
  <c r="O318" i="52"/>
  <c r="K481" i="52" s="1"/>
  <c r="O319" i="52"/>
  <c r="K482" i="52" s="1"/>
  <c r="K319" i="52"/>
  <c r="F320" i="52" s="1"/>
  <c r="K320" i="52"/>
  <c r="O320" i="52"/>
  <c r="K322" i="52"/>
  <c r="P322" i="52"/>
  <c r="I485" i="52" s="1"/>
  <c r="O322" i="52"/>
  <c r="K485" i="52" s="1"/>
  <c r="J157" i="52"/>
  <c r="J161" i="52"/>
  <c r="J165" i="52"/>
  <c r="J169" i="52"/>
  <c r="J173" i="52"/>
  <c r="P307" i="52"/>
  <c r="I470" i="52" s="1"/>
  <c r="P308" i="52"/>
  <c r="I471" i="52" s="1"/>
  <c r="P309" i="52"/>
  <c r="I472" i="52" s="1"/>
  <c r="P310" i="52"/>
  <c r="P311" i="52"/>
  <c r="I474" i="52" s="1"/>
  <c r="P312" i="52"/>
  <c r="I475" i="52" s="1"/>
  <c r="P313" i="52"/>
  <c r="I476" i="52" s="1"/>
  <c r="P314" i="52"/>
  <c r="P315" i="52"/>
  <c r="I478" i="52" s="1"/>
  <c r="P316" i="52"/>
  <c r="I479" i="52" s="1"/>
  <c r="P317" i="52"/>
  <c r="I480" i="52" s="1"/>
  <c r="P318" i="52"/>
  <c r="P319" i="52"/>
  <c r="I482" i="52" s="1"/>
  <c r="P320" i="52"/>
  <c r="I483" i="52" s="1"/>
  <c r="K328" i="52"/>
  <c r="P328" i="52"/>
  <c r="I491" i="52" s="1"/>
  <c r="O328" i="52"/>
  <c r="K326" i="52"/>
  <c r="P326" i="52"/>
  <c r="O326" i="52"/>
  <c r="K489" i="52" s="1"/>
  <c r="K321" i="52"/>
  <c r="K323" i="52"/>
  <c r="F323" i="52" s="1"/>
  <c r="K325" i="52"/>
  <c r="K327" i="52"/>
  <c r="K329" i="52"/>
  <c r="O330" i="52"/>
  <c r="K493" i="52" s="1"/>
  <c r="K331" i="52"/>
  <c r="O332" i="52"/>
  <c r="K495" i="52" s="1"/>
  <c r="K333" i="52"/>
  <c r="O334" i="52"/>
  <c r="K497" i="52" s="1"/>
  <c r="K335" i="52"/>
  <c r="O336" i="52"/>
  <c r="K499" i="52" s="1"/>
  <c r="K337" i="52"/>
  <c r="O338" i="52"/>
  <c r="K501" i="52" s="1"/>
  <c r="K339" i="52"/>
  <c r="O340" i="52"/>
  <c r="K503" i="52" s="1"/>
  <c r="K341" i="52"/>
  <c r="O342" i="52"/>
  <c r="K505" i="52" s="1"/>
  <c r="K343" i="52"/>
  <c r="O344" i="52"/>
  <c r="K507" i="52" s="1"/>
  <c r="K345" i="52"/>
  <c r="O346" i="52"/>
  <c r="K509" i="52" s="1"/>
  <c r="K347" i="52"/>
  <c r="O348" i="52"/>
  <c r="K349" i="52"/>
  <c r="O350" i="52"/>
  <c r="K513" i="52" s="1"/>
  <c r="K351" i="52"/>
  <c r="O352" i="52"/>
  <c r="K353" i="52"/>
  <c r="O354" i="52"/>
  <c r="K517" i="52" s="1"/>
  <c r="K355" i="52"/>
  <c r="O356" i="52"/>
  <c r="K357" i="52"/>
  <c r="O358" i="52"/>
  <c r="K521" i="52" s="1"/>
  <c r="K359" i="52"/>
  <c r="F359" i="52" s="1"/>
  <c r="O360" i="52"/>
  <c r="K361" i="52"/>
  <c r="O362" i="52"/>
  <c r="K525" i="52" s="1"/>
  <c r="K363" i="52"/>
  <c r="F363" i="52" s="1"/>
  <c r="O364" i="52"/>
  <c r="K365" i="52"/>
  <c r="O366" i="52"/>
  <c r="K529" i="52" s="1"/>
  <c r="P330" i="52"/>
  <c r="I493" i="52" s="1"/>
  <c r="P332" i="52"/>
  <c r="I495" i="52" s="1"/>
  <c r="P334" i="52"/>
  <c r="I497" i="52" s="1"/>
  <c r="P336" i="52"/>
  <c r="P338" i="52"/>
  <c r="I501" i="52" s="1"/>
  <c r="P340" i="52"/>
  <c r="I503" i="52" s="1"/>
  <c r="P342" i="52"/>
  <c r="I505" i="52" s="1"/>
  <c r="P344" i="52"/>
  <c r="I507" i="52" s="1"/>
  <c r="P346" i="52"/>
  <c r="I509" i="52" s="1"/>
  <c r="P348" i="52"/>
  <c r="P350" i="52"/>
  <c r="I513" i="52" s="1"/>
  <c r="P352" i="52"/>
  <c r="I515" i="52" s="1"/>
  <c r="P354" i="52"/>
  <c r="I517" i="52" s="1"/>
  <c r="P356" i="52"/>
  <c r="I519" i="52" s="1"/>
  <c r="P358" i="52"/>
  <c r="I521" i="52" s="1"/>
  <c r="P360" i="52"/>
  <c r="I523" i="52" s="1"/>
  <c r="P362" i="52"/>
  <c r="I525" i="52" s="1"/>
  <c r="P364" i="52"/>
  <c r="I527" i="52" s="1"/>
  <c r="P366" i="52"/>
  <c r="O32" i="52"/>
  <c r="P32" i="52" s="1"/>
  <c r="O40" i="52"/>
  <c r="P40" i="52" s="1"/>
  <c r="O34" i="52"/>
  <c r="P34" i="52" s="1"/>
  <c r="O38" i="52"/>
  <c r="P38" i="52" s="1"/>
  <c r="O36" i="52"/>
  <c r="P36" i="52" s="1"/>
  <c r="H20" i="52"/>
  <c r="D20" i="52" s="1"/>
  <c r="E20" i="52" s="1"/>
  <c r="O33" i="52"/>
  <c r="P33" i="52" s="1"/>
  <c r="O37" i="52"/>
  <c r="P37" i="52" s="1"/>
  <c r="E96" i="52"/>
  <c r="F116" i="52"/>
  <c r="E116" i="52" s="1"/>
  <c r="E138" i="52"/>
  <c r="F141" i="52"/>
  <c r="E141" i="52" s="1"/>
  <c r="E178" i="52"/>
  <c r="C178" i="52" s="1"/>
  <c r="C371" i="52" s="1"/>
  <c r="H371" i="52" s="1"/>
  <c r="D371" i="52" s="1"/>
  <c r="E181" i="52"/>
  <c r="C181" i="52" s="1"/>
  <c r="C374" i="52" s="1"/>
  <c r="H374" i="52" s="1"/>
  <c r="D374" i="52" s="1"/>
  <c r="C403" i="52" s="1"/>
  <c r="E187" i="52"/>
  <c r="C187" i="52" s="1"/>
  <c r="E69" i="52"/>
  <c r="E95" i="52"/>
  <c r="E98" i="52"/>
  <c r="E113" i="52"/>
  <c r="E127" i="52"/>
  <c r="F135" i="52"/>
  <c r="E135" i="52" s="1"/>
  <c r="E140" i="52"/>
  <c r="F143" i="52"/>
  <c r="E143" i="52" s="1"/>
  <c r="F151" i="52"/>
  <c r="E151" i="52" s="1"/>
  <c r="G151" i="52"/>
  <c r="E182" i="52"/>
  <c r="C182" i="52" s="1"/>
  <c r="E184" i="52"/>
  <c r="C184" i="52" s="1"/>
  <c r="C377" i="52" s="1"/>
  <c r="H377" i="52" s="1"/>
  <c r="D377" i="52" s="1"/>
  <c r="E188" i="52"/>
  <c r="C188" i="52" s="1"/>
  <c r="C381" i="52" s="1"/>
  <c r="H381" i="52" s="1"/>
  <c r="D381" i="52" s="1"/>
  <c r="E191" i="52"/>
  <c r="C191" i="52" s="1"/>
  <c r="C384" i="52" s="1"/>
  <c r="H384" i="52" s="1"/>
  <c r="D384" i="52" s="1"/>
  <c r="F17" i="52"/>
  <c r="J17" i="52" s="1"/>
  <c r="P57" i="52"/>
  <c r="E71" i="52"/>
  <c r="E90" i="52"/>
  <c r="E100" i="52"/>
  <c r="F114" i="52"/>
  <c r="E114" i="52" s="1"/>
  <c r="F118" i="52"/>
  <c r="E118" i="52" s="1"/>
  <c r="F126" i="52"/>
  <c r="E126" i="52" s="1"/>
  <c r="F130" i="52"/>
  <c r="E130" i="52" s="1"/>
  <c r="F137" i="52"/>
  <c r="E137" i="52" s="1"/>
  <c r="F145" i="52"/>
  <c r="E145" i="52" s="1"/>
  <c r="E179" i="52"/>
  <c r="C179" i="52" s="1"/>
  <c r="C372" i="52" s="1"/>
  <c r="H372" i="52" s="1"/>
  <c r="D372" i="52" s="1"/>
  <c r="E185" i="52"/>
  <c r="C185" i="52" s="1"/>
  <c r="C378" i="52" s="1"/>
  <c r="H378" i="52" s="1"/>
  <c r="D378" i="52" s="1"/>
  <c r="E189" i="52"/>
  <c r="C189" i="52" s="1"/>
  <c r="C382" i="52" s="1"/>
  <c r="H382" i="52" s="1"/>
  <c r="D382" i="52" s="1"/>
  <c r="C413" i="52" s="1"/>
  <c r="E192" i="52"/>
  <c r="C192" i="52" s="1"/>
  <c r="C385" i="52" s="1"/>
  <c r="H385" i="52" s="1"/>
  <c r="D385" i="52" s="1"/>
  <c r="F469" i="52"/>
  <c r="E412" i="52"/>
  <c r="F374" i="52"/>
  <c r="F372" i="52"/>
  <c r="F370" i="52"/>
  <c r="F378" i="52"/>
  <c r="E198" i="52"/>
  <c r="E70" i="52"/>
  <c r="E73" i="52"/>
  <c r="E94" i="52"/>
  <c r="F139" i="52"/>
  <c r="E139" i="52" s="1"/>
  <c r="F147" i="52"/>
  <c r="E147" i="52" s="1"/>
  <c r="G147" i="52"/>
  <c r="E155" i="52"/>
  <c r="E156" i="52"/>
  <c r="E157" i="52"/>
  <c r="E159" i="52"/>
  <c r="E180" i="52"/>
  <c r="C180" i="52" s="1"/>
  <c r="C373" i="52" s="1"/>
  <c r="H373" i="52" s="1"/>
  <c r="D373" i="52" s="1"/>
  <c r="E183" i="52"/>
  <c r="C183" i="52"/>
  <c r="E186" i="52"/>
  <c r="C186" i="52"/>
  <c r="C379" i="52" s="1"/>
  <c r="H379" i="52" s="1"/>
  <c r="D379" i="52" s="1"/>
  <c r="E190" i="52"/>
  <c r="C190" i="52"/>
  <c r="C383" i="52" s="1"/>
  <c r="H383" i="52" s="1"/>
  <c r="D383" i="52" s="1"/>
  <c r="E193" i="52"/>
  <c r="C193" i="52"/>
  <c r="C386" i="52" s="1"/>
  <c r="H386" i="52" s="1"/>
  <c r="D386" i="52" s="1"/>
  <c r="C404" i="52" s="1"/>
  <c r="E203" i="52"/>
  <c r="C203" i="52" s="1"/>
  <c r="C204" i="52"/>
  <c r="C208" i="52"/>
  <c r="C212" i="52"/>
  <c r="C220" i="52"/>
  <c r="C224" i="52"/>
  <c r="C229" i="52"/>
  <c r="C233" i="52"/>
  <c r="C237" i="52"/>
  <c r="C241" i="52"/>
  <c r="C245" i="52"/>
  <c r="C249" i="52"/>
  <c r="E249" i="52"/>
  <c r="E254" i="52"/>
  <c r="C254" i="52" s="1"/>
  <c r="H417" i="52" s="1"/>
  <c r="E417" i="52" s="1"/>
  <c r="F417" i="52" s="1"/>
  <c r="C259" i="52"/>
  <c r="H422" i="52" s="1"/>
  <c r="E422" i="52" s="1"/>
  <c r="F422" i="52" s="1"/>
  <c r="E259" i="52"/>
  <c r="E262" i="52"/>
  <c r="C262" i="52"/>
  <c r="H425" i="52" s="1"/>
  <c r="E425" i="52" s="1"/>
  <c r="F425" i="52" s="1"/>
  <c r="C267" i="52"/>
  <c r="H430" i="52" s="1"/>
  <c r="E430" i="52" s="1"/>
  <c r="F430" i="52" s="1"/>
  <c r="E267" i="52"/>
  <c r="E270" i="52"/>
  <c r="C270" i="52"/>
  <c r="H433" i="52" s="1"/>
  <c r="E433" i="52" s="1"/>
  <c r="F433" i="52" s="1"/>
  <c r="C275" i="52"/>
  <c r="H438" i="52" s="1"/>
  <c r="E438" i="52" s="1"/>
  <c r="F438" i="52" s="1"/>
  <c r="E275" i="52"/>
  <c r="E278" i="52"/>
  <c r="C278" i="52"/>
  <c r="H441" i="52" s="1"/>
  <c r="E441" i="52" s="1"/>
  <c r="F441" i="52" s="1"/>
  <c r="C283" i="52"/>
  <c r="H446" i="52" s="1"/>
  <c r="E446" i="52" s="1"/>
  <c r="F446" i="52" s="1"/>
  <c r="E283" i="52"/>
  <c r="E286" i="52"/>
  <c r="C286" i="52"/>
  <c r="H449" i="52" s="1"/>
  <c r="E449" i="52" s="1"/>
  <c r="F449" i="52" s="1"/>
  <c r="C292" i="52"/>
  <c r="H455" i="52" s="1"/>
  <c r="E455" i="52" s="1"/>
  <c r="F455" i="52" s="1"/>
  <c r="E292" i="52"/>
  <c r="E295" i="52"/>
  <c r="C295" i="52"/>
  <c r="H458" i="52" s="1"/>
  <c r="E458" i="52" s="1"/>
  <c r="F458" i="52" s="1"/>
  <c r="C300" i="52"/>
  <c r="H463" i="52" s="1"/>
  <c r="E463" i="52" s="1"/>
  <c r="F463" i="52" s="1"/>
  <c r="E300" i="52"/>
  <c r="E303" i="52"/>
  <c r="C303" i="52"/>
  <c r="H466" i="52" s="1"/>
  <c r="E466" i="52" s="1"/>
  <c r="F466" i="52" s="1"/>
  <c r="E307" i="52"/>
  <c r="C307" i="52" s="1"/>
  <c r="H470" i="52" s="1"/>
  <c r="E470" i="52" s="1"/>
  <c r="F470" i="52" s="1"/>
  <c r="E216" i="52"/>
  <c r="C216" i="52" s="1"/>
  <c r="E253" i="52"/>
  <c r="C253" i="52"/>
  <c r="H416" i="52" s="1"/>
  <c r="E416" i="52" s="1"/>
  <c r="F416" i="52" s="1"/>
  <c r="E256" i="52"/>
  <c r="C256" i="52"/>
  <c r="H419" i="52" s="1"/>
  <c r="E419" i="52" s="1"/>
  <c r="F419" i="52" s="1"/>
  <c r="E261" i="52"/>
  <c r="C261" i="52"/>
  <c r="H424" i="52" s="1"/>
  <c r="E424" i="52" s="1"/>
  <c r="F424" i="52" s="1"/>
  <c r="E264" i="52"/>
  <c r="C264" i="52"/>
  <c r="H427" i="52" s="1"/>
  <c r="E427" i="52" s="1"/>
  <c r="F427" i="52" s="1"/>
  <c r="E269" i="52"/>
  <c r="C269" i="52"/>
  <c r="H432" i="52" s="1"/>
  <c r="E432" i="52" s="1"/>
  <c r="F432" i="52" s="1"/>
  <c r="E272" i="52"/>
  <c r="C272" i="52"/>
  <c r="H435" i="52" s="1"/>
  <c r="E435" i="52" s="1"/>
  <c r="F435" i="52" s="1"/>
  <c r="E277" i="52"/>
  <c r="C277" i="52"/>
  <c r="H440" i="52" s="1"/>
  <c r="E440" i="52" s="1"/>
  <c r="F440" i="52" s="1"/>
  <c r="E280" i="52"/>
  <c r="C280" i="52"/>
  <c r="H443" i="52" s="1"/>
  <c r="E443" i="52" s="1"/>
  <c r="F443" i="52" s="1"/>
  <c r="E285" i="52"/>
  <c r="C285" i="52"/>
  <c r="H448" i="52" s="1"/>
  <c r="E448" i="52" s="1"/>
  <c r="F448" i="52" s="1"/>
  <c r="E289" i="52"/>
  <c r="C289" i="52"/>
  <c r="H452" i="52" s="1"/>
  <c r="E452" i="52" s="1"/>
  <c r="F452" i="52" s="1"/>
  <c r="E294" i="52"/>
  <c r="C294" i="52"/>
  <c r="H457" i="52" s="1"/>
  <c r="E457" i="52" s="1"/>
  <c r="F457" i="52" s="1"/>
  <c r="E297" i="52"/>
  <c r="C297" i="52"/>
  <c r="H460" i="52" s="1"/>
  <c r="E460" i="52" s="1"/>
  <c r="F460" i="52" s="1"/>
  <c r="E302" i="52"/>
  <c r="C302" i="52"/>
  <c r="H465" i="52" s="1"/>
  <c r="E465" i="52" s="1"/>
  <c r="F465" i="52" s="1"/>
  <c r="E305" i="52"/>
  <c r="C305" i="52"/>
  <c r="H468" i="52" s="1"/>
  <c r="E468" i="52" s="1"/>
  <c r="F468" i="52" s="1"/>
  <c r="F322" i="52"/>
  <c r="C397" i="52"/>
  <c r="H397" i="52" s="1"/>
  <c r="D397" i="52" s="1"/>
  <c r="C395" i="52"/>
  <c r="H395" i="52" s="1"/>
  <c r="D395" i="52" s="1"/>
  <c r="C399" i="52"/>
  <c r="H399" i="52" s="1"/>
  <c r="D399" i="52" s="1"/>
  <c r="C396" i="52"/>
  <c r="H396" i="52" s="1"/>
  <c r="D396" i="52" s="1"/>
  <c r="C394" i="52"/>
  <c r="H394" i="52" s="1"/>
  <c r="D394" i="52" s="1"/>
  <c r="C388" i="52"/>
  <c r="H388" i="52" s="1"/>
  <c r="D388" i="52" s="1"/>
  <c r="C376" i="52"/>
  <c r="H376" i="52" s="1"/>
  <c r="D376" i="52" s="1"/>
  <c r="F177" i="52"/>
  <c r="E194" i="52"/>
  <c r="C194" i="52" s="1"/>
  <c r="C398" i="52" s="1"/>
  <c r="H398" i="52" s="1"/>
  <c r="D398" i="52" s="1"/>
  <c r="E201" i="52"/>
  <c r="C201" i="52" s="1"/>
  <c r="C206" i="52"/>
  <c r="C210" i="52"/>
  <c r="C214" i="52"/>
  <c r="C218" i="52"/>
  <c r="C222" i="52"/>
  <c r="C227" i="52"/>
  <c r="C231" i="52"/>
  <c r="C235" i="52"/>
  <c r="C239" i="52"/>
  <c r="C243" i="52"/>
  <c r="C247" i="52"/>
  <c r="C255" i="52"/>
  <c r="H418" i="52" s="1"/>
  <c r="E418" i="52" s="1"/>
  <c r="F418" i="52" s="1"/>
  <c r="E255" i="52"/>
  <c r="E258" i="52"/>
  <c r="C258" i="52"/>
  <c r="H421" i="52" s="1"/>
  <c r="E421" i="52" s="1"/>
  <c r="F421" i="52" s="1"/>
  <c r="C263" i="52"/>
  <c r="H426" i="52" s="1"/>
  <c r="E426" i="52" s="1"/>
  <c r="F426" i="52" s="1"/>
  <c r="E263" i="52"/>
  <c r="E266" i="52"/>
  <c r="C266" i="52"/>
  <c r="H429" i="52" s="1"/>
  <c r="E429" i="52" s="1"/>
  <c r="F429" i="52" s="1"/>
  <c r="C271" i="52"/>
  <c r="H434" i="52" s="1"/>
  <c r="E434" i="52" s="1"/>
  <c r="F434" i="52" s="1"/>
  <c r="E271" i="52"/>
  <c r="E274" i="52"/>
  <c r="C274" i="52"/>
  <c r="H437" i="52" s="1"/>
  <c r="E437" i="52" s="1"/>
  <c r="F437" i="52" s="1"/>
  <c r="C279" i="52"/>
  <c r="H442" i="52" s="1"/>
  <c r="E442" i="52" s="1"/>
  <c r="F442" i="52" s="1"/>
  <c r="E279" i="52"/>
  <c r="E282" i="52"/>
  <c r="C282" i="52"/>
  <c r="H445" i="52" s="1"/>
  <c r="E445" i="52" s="1"/>
  <c r="F445" i="52" s="1"/>
  <c r="E288" i="52"/>
  <c r="C288" i="52" s="1"/>
  <c r="H451" i="52" s="1"/>
  <c r="E451" i="52" s="1"/>
  <c r="F451" i="52" s="1"/>
  <c r="E291" i="52"/>
  <c r="C291" i="52"/>
  <c r="H454" i="52" s="1"/>
  <c r="E454" i="52" s="1"/>
  <c r="F454" i="52" s="1"/>
  <c r="C296" i="52"/>
  <c r="H459" i="52" s="1"/>
  <c r="E459" i="52" s="1"/>
  <c r="F459" i="52" s="1"/>
  <c r="E296" i="52"/>
  <c r="E299" i="52"/>
  <c r="C299" i="52"/>
  <c r="H462" i="52" s="1"/>
  <c r="E462" i="52" s="1"/>
  <c r="F462" i="52" s="1"/>
  <c r="C304" i="52"/>
  <c r="H467" i="52" s="1"/>
  <c r="E467" i="52" s="1"/>
  <c r="F467" i="52" s="1"/>
  <c r="E304" i="52"/>
  <c r="F318" i="52"/>
  <c r="F321" i="52"/>
  <c r="E202" i="52"/>
  <c r="C202" i="52" s="1"/>
  <c r="E257" i="52"/>
  <c r="C257" i="52"/>
  <c r="H420" i="52" s="1"/>
  <c r="E420" i="52" s="1"/>
  <c r="F420" i="52" s="1"/>
  <c r="E260" i="52"/>
  <c r="C260" i="52"/>
  <c r="H423" i="52" s="1"/>
  <c r="E423" i="52" s="1"/>
  <c r="F423" i="52" s="1"/>
  <c r="E265" i="52"/>
  <c r="C265" i="52"/>
  <c r="H428" i="52" s="1"/>
  <c r="E428" i="52" s="1"/>
  <c r="F428" i="52" s="1"/>
  <c r="E268" i="52"/>
  <c r="C268" i="52"/>
  <c r="H431" i="52" s="1"/>
  <c r="E431" i="52" s="1"/>
  <c r="F431" i="52" s="1"/>
  <c r="E273" i="52"/>
  <c r="C273" i="52"/>
  <c r="H436" i="52" s="1"/>
  <c r="E436" i="52" s="1"/>
  <c r="F436" i="52" s="1"/>
  <c r="E276" i="52"/>
  <c r="C276" i="52"/>
  <c r="H439" i="52" s="1"/>
  <c r="E439" i="52" s="1"/>
  <c r="F439" i="52" s="1"/>
  <c r="E281" i="52"/>
  <c r="C281" i="52"/>
  <c r="H444" i="52" s="1"/>
  <c r="E444" i="52" s="1"/>
  <c r="F444" i="52" s="1"/>
  <c r="E284" i="52"/>
  <c r="C284" i="52"/>
  <c r="H447" i="52" s="1"/>
  <c r="E447" i="52" s="1"/>
  <c r="F447" i="52" s="1"/>
  <c r="E290" i="52"/>
  <c r="C290" i="52"/>
  <c r="H453" i="52" s="1"/>
  <c r="E453" i="52" s="1"/>
  <c r="F453" i="52" s="1"/>
  <c r="E293" i="52"/>
  <c r="C293" i="52"/>
  <c r="H456" i="52" s="1"/>
  <c r="E456" i="52" s="1"/>
  <c r="F456" i="52" s="1"/>
  <c r="E298" i="52"/>
  <c r="C298" i="52"/>
  <c r="H461" i="52" s="1"/>
  <c r="E461" i="52" s="1"/>
  <c r="F461" i="52" s="1"/>
  <c r="E301" i="52"/>
  <c r="C301" i="52"/>
  <c r="H464" i="52" s="1"/>
  <c r="E464" i="52" s="1"/>
  <c r="F464" i="52" s="1"/>
  <c r="E251" i="52"/>
  <c r="F311" i="52"/>
  <c r="I473" i="52"/>
  <c r="I477" i="52"/>
  <c r="F319" i="52"/>
  <c r="I481" i="52"/>
  <c r="F326" i="52"/>
  <c r="I489" i="52"/>
  <c r="F332" i="52"/>
  <c r="F340" i="52"/>
  <c r="I508" i="52"/>
  <c r="F345" i="52"/>
  <c r="K508" i="52"/>
  <c r="I511" i="52"/>
  <c r="K511" i="52"/>
  <c r="F352" i="52"/>
  <c r="F360" i="52"/>
  <c r="F376" i="52"/>
  <c r="F379" i="52"/>
  <c r="K471" i="52"/>
  <c r="K483" i="52"/>
  <c r="K487" i="52"/>
  <c r="K491" i="52"/>
  <c r="I496" i="52"/>
  <c r="F333" i="52"/>
  <c r="K496" i="52"/>
  <c r="F348" i="52"/>
  <c r="F377" i="52"/>
  <c r="F380" i="52"/>
  <c r="F384" i="52"/>
  <c r="F316" i="52"/>
  <c r="F329" i="52"/>
  <c r="I499" i="52"/>
  <c r="F336" i="52"/>
  <c r="I504" i="52"/>
  <c r="F341" i="52"/>
  <c r="K504" i="52"/>
  <c r="F381" i="52"/>
  <c r="F385" i="52"/>
  <c r="F331" i="52"/>
  <c r="I500" i="52"/>
  <c r="F337" i="52"/>
  <c r="K500" i="52"/>
  <c r="F344" i="52"/>
  <c r="F375" i="52"/>
  <c r="F382" i="52"/>
  <c r="F386" i="52"/>
  <c r="F330" i="52"/>
  <c r="F334" i="52"/>
  <c r="F338" i="52"/>
  <c r="F342" i="52"/>
  <c r="F346" i="52"/>
  <c r="K512" i="52"/>
  <c r="F351" i="52"/>
  <c r="K516" i="52"/>
  <c r="K520" i="52"/>
  <c r="K524" i="52"/>
  <c r="K528" i="52"/>
  <c r="F371" i="52"/>
  <c r="F373" i="52"/>
  <c r="F389" i="52"/>
  <c r="V390" i="52"/>
  <c r="V392" i="52"/>
  <c r="V394" i="52"/>
  <c r="E413" i="52"/>
  <c r="F349" i="52"/>
  <c r="K515" i="52"/>
  <c r="K519" i="52"/>
  <c r="K523" i="52"/>
  <c r="K527" i="52"/>
  <c r="F387" i="52"/>
  <c r="F390" i="52"/>
  <c r="F392" i="52"/>
  <c r="F356" i="52"/>
  <c r="F364" i="52"/>
  <c r="F391" i="52"/>
  <c r="V391" i="52"/>
  <c r="P390" i="52" s="1"/>
  <c r="E403" i="52"/>
  <c r="E404" i="52"/>
  <c r="I529" i="52"/>
  <c r="F366" i="52"/>
  <c r="V396" i="52"/>
  <c r="F398" i="52"/>
  <c r="F450" i="52"/>
  <c r="C390" i="52"/>
  <c r="H390" i="52" s="1"/>
  <c r="D390" i="52" s="1"/>
  <c r="C407" i="52"/>
  <c r="C411" i="52"/>
  <c r="AC405" i="52"/>
  <c r="M404" i="52" s="1"/>
  <c r="C391" i="52"/>
  <c r="H391" i="52" s="1"/>
  <c r="D391" i="52" s="1"/>
  <c r="C393" i="52"/>
  <c r="H393" i="52" s="1"/>
  <c r="D393" i="52" s="1"/>
  <c r="C405" i="52"/>
  <c r="C409" i="52"/>
  <c r="G116" i="53"/>
  <c r="I185" i="52" l="1"/>
  <c r="H186" i="52" s="1"/>
  <c r="E363" i="52"/>
  <c r="C363" i="52"/>
  <c r="H526" i="52" s="1"/>
  <c r="E526" i="52" s="1"/>
  <c r="F526" i="52" s="1"/>
  <c r="E359" i="52"/>
  <c r="C359" i="52"/>
  <c r="H522" i="52" s="1"/>
  <c r="E522" i="52" s="1"/>
  <c r="F522" i="52" s="1"/>
  <c r="L409" i="52"/>
  <c r="P395" i="52"/>
  <c r="I192" i="52"/>
  <c r="H193" i="52" s="1"/>
  <c r="I193" i="52" s="1"/>
  <c r="P392" i="52"/>
  <c r="E355" i="52"/>
  <c r="I179" i="52"/>
  <c r="H180" i="52" s="1"/>
  <c r="P394" i="52"/>
  <c r="C387" i="52"/>
  <c r="H387" i="52" s="1"/>
  <c r="D387" i="52" s="1"/>
  <c r="E342" i="52"/>
  <c r="C342" i="52"/>
  <c r="H505" i="52" s="1"/>
  <c r="E505" i="52" s="1"/>
  <c r="F505" i="52" s="1"/>
  <c r="E329" i="52"/>
  <c r="C329" i="52"/>
  <c r="H492" i="52" s="1"/>
  <c r="E492" i="52" s="1"/>
  <c r="F492" i="52" s="1"/>
  <c r="C366" i="52"/>
  <c r="H529" i="52" s="1"/>
  <c r="E529" i="52" s="1"/>
  <c r="F529" i="52" s="1"/>
  <c r="E366" i="52"/>
  <c r="E325" i="52"/>
  <c r="C325" i="52"/>
  <c r="H488" i="52" s="1"/>
  <c r="E488" i="52" s="1"/>
  <c r="F488" i="52" s="1"/>
  <c r="E326" i="52"/>
  <c r="C326" i="52"/>
  <c r="H489" i="52" s="1"/>
  <c r="E489" i="52" s="1"/>
  <c r="F489" i="52" s="1"/>
  <c r="E311" i="52"/>
  <c r="C311" i="52" s="1"/>
  <c r="H474" i="52" s="1"/>
  <c r="E474" i="52" s="1"/>
  <c r="F474" i="52" s="1"/>
  <c r="E346" i="52"/>
  <c r="C346" i="52"/>
  <c r="H509" i="52" s="1"/>
  <c r="E509" i="52" s="1"/>
  <c r="F509" i="52" s="1"/>
  <c r="E315" i="52"/>
  <c r="C315" i="52" s="1"/>
  <c r="H478" i="52" s="1"/>
  <c r="E478" i="52" s="1"/>
  <c r="F478" i="52" s="1"/>
  <c r="E364" i="52"/>
  <c r="C364" i="52"/>
  <c r="H527" i="52" s="1"/>
  <c r="E527" i="52" s="1"/>
  <c r="F527" i="52" s="1"/>
  <c r="E312" i="52"/>
  <c r="C312" i="52"/>
  <c r="H475" i="52" s="1"/>
  <c r="E475" i="52" s="1"/>
  <c r="F475" i="52" s="1"/>
  <c r="C351" i="52"/>
  <c r="H514" i="52" s="1"/>
  <c r="E514" i="52" s="1"/>
  <c r="F514" i="52" s="1"/>
  <c r="E351" i="52"/>
  <c r="E308" i="52"/>
  <c r="C308" i="52"/>
  <c r="H471" i="52" s="1"/>
  <c r="E471" i="52" s="1"/>
  <c r="F471" i="52" s="1"/>
  <c r="C319" i="52"/>
  <c r="H482" i="52" s="1"/>
  <c r="E482" i="52" s="1"/>
  <c r="F482" i="52" s="1"/>
  <c r="E319" i="52"/>
  <c r="E356" i="52"/>
  <c r="C356" i="52"/>
  <c r="H519" i="52" s="1"/>
  <c r="E519" i="52" s="1"/>
  <c r="F519" i="52" s="1"/>
  <c r="C337" i="52"/>
  <c r="H500" i="52" s="1"/>
  <c r="E500" i="52" s="1"/>
  <c r="F500" i="52" s="1"/>
  <c r="E337" i="52"/>
  <c r="E320" i="52"/>
  <c r="C320" i="52"/>
  <c r="H483" i="52" s="1"/>
  <c r="E483" i="52" s="1"/>
  <c r="F483" i="52" s="1"/>
  <c r="E323" i="52"/>
  <c r="C323" i="52" s="1"/>
  <c r="H486" i="52" s="1"/>
  <c r="E486" i="52" s="1"/>
  <c r="F486" i="52" s="1"/>
  <c r="C389" i="52"/>
  <c r="H389" i="52" s="1"/>
  <c r="D389" i="52" s="1"/>
  <c r="C375" i="52"/>
  <c r="H375" i="52" s="1"/>
  <c r="D375" i="52" s="1"/>
  <c r="C412" i="52" s="1"/>
  <c r="E316" i="52"/>
  <c r="C316" i="52"/>
  <c r="H479" i="52" s="1"/>
  <c r="E479" i="52" s="1"/>
  <c r="F479" i="52" s="1"/>
  <c r="C392" i="52"/>
  <c r="H392" i="52" s="1"/>
  <c r="D392" i="52" s="1"/>
  <c r="C380" i="52"/>
  <c r="H380" i="52" s="1"/>
  <c r="D380" i="52" s="1"/>
  <c r="L411" i="52"/>
  <c r="P408" i="52"/>
  <c r="P413" i="52"/>
  <c r="V395" i="52"/>
  <c r="M413" i="52"/>
  <c r="M406" i="52"/>
  <c r="P412" i="52"/>
  <c r="M405" i="52"/>
  <c r="L404" i="52"/>
  <c r="Q408" i="52"/>
  <c r="Q406" i="52"/>
  <c r="E330" i="52"/>
  <c r="C330" i="52"/>
  <c r="H493" i="52" s="1"/>
  <c r="E493" i="52" s="1"/>
  <c r="F493" i="52" s="1"/>
  <c r="C348" i="52"/>
  <c r="H511" i="52" s="1"/>
  <c r="E511" i="52" s="1"/>
  <c r="F511" i="52" s="1"/>
  <c r="E348" i="52"/>
  <c r="E360" i="52"/>
  <c r="C360" i="52"/>
  <c r="H523" i="52" s="1"/>
  <c r="E523" i="52" s="1"/>
  <c r="F523" i="52" s="1"/>
  <c r="F309" i="52"/>
  <c r="L413" i="52"/>
  <c r="Q409" i="52"/>
  <c r="L405" i="52"/>
  <c r="P393" i="52"/>
  <c r="P409" i="52"/>
  <c r="Q411" i="52"/>
  <c r="Q407" i="52"/>
  <c r="Q403" i="52"/>
  <c r="P410" i="52"/>
  <c r="P389" i="52"/>
  <c r="P411" i="52"/>
  <c r="Q404" i="52"/>
  <c r="M411" i="52"/>
  <c r="M408" i="52"/>
  <c r="L410" i="52"/>
  <c r="P396" i="52"/>
  <c r="F365" i="52"/>
  <c r="F357" i="52"/>
  <c r="E349" i="52"/>
  <c r="C349" i="52"/>
  <c r="H512" i="52" s="1"/>
  <c r="E512" i="52" s="1"/>
  <c r="F512" i="52" s="1"/>
  <c r="F350" i="52"/>
  <c r="E336" i="52"/>
  <c r="C336" i="52"/>
  <c r="H499" i="52" s="1"/>
  <c r="E499" i="52" s="1"/>
  <c r="F499" i="52" s="1"/>
  <c r="F335" i="52"/>
  <c r="F347" i="52"/>
  <c r="F327" i="52"/>
  <c r="F324" i="52"/>
  <c r="L403" i="52"/>
  <c r="M407" i="52"/>
  <c r="M412" i="52"/>
  <c r="E331" i="52"/>
  <c r="C331" i="52"/>
  <c r="H494" i="52" s="1"/>
  <c r="E494" i="52" s="1"/>
  <c r="F494" i="52" s="1"/>
  <c r="E322" i="52"/>
  <c r="C322" i="52"/>
  <c r="H485" i="52" s="1"/>
  <c r="E485" i="52" s="1"/>
  <c r="F485" i="52" s="1"/>
  <c r="F313" i="52"/>
  <c r="P404" i="52"/>
  <c r="L412" i="52"/>
  <c r="Q410" i="52"/>
  <c r="E338" i="52"/>
  <c r="C338" i="52"/>
  <c r="H501" i="52" s="1"/>
  <c r="E501" i="52" s="1"/>
  <c r="F501" i="52" s="1"/>
  <c r="F339" i="52"/>
  <c r="C340" i="52"/>
  <c r="H503" i="52" s="1"/>
  <c r="E503" i="52" s="1"/>
  <c r="F503" i="52" s="1"/>
  <c r="E340" i="52"/>
  <c r="F317" i="52"/>
  <c r="E318" i="52"/>
  <c r="C318" i="52"/>
  <c r="H481" i="52" s="1"/>
  <c r="E481" i="52" s="1"/>
  <c r="F481" i="52" s="1"/>
  <c r="P403" i="52"/>
  <c r="V397" i="52"/>
  <c r="Q396" i="52" s="1"/>
  <c r="N396" i="52" s="1"/>
  <c r="P391" i="52"/>
  <c r="P405" i="52"/>
  <c r="Q413" i="52"/>
  <c r="P406" i="52"/>
  <c r="P407" i="52"/>
  <c r="M403" i="52"/>
  <c r="L408" i="52"/>
  <c r="Q412" i="52"/>
  <c r="L406" i="52"/>
  <c r="Q397" i="52"/>
  <c r="N397" i="52" s="1"/>
  <c r="P397" i="52"/>
  <c r="F361" i="52"/>
  <c r="F353" i="52"/>
  <c r="E334" i="52"/>
  <c r="C334" i="52"/>
  <c r="H497" i="52" s="1"/>
  <c r="E497" i="52" s="1"/>
  <c r="F497" i="52" s="1"/>
  <c r="C341" i="52"/>
  <c r="H504" i="52" s="1"/>
  <c r="E504" i="52" s="1"/>
  <c r="F504" i="52" s="1"/>
  <c r="E341" i="52"/>
  <c r="C333" i="52"/>
  <c r="H496" i="52" s="1"/>
  <c r="E496" i="52" s="1"/>
  <c r="F496" i="52" s="1"/>
  <c r="E333" i="52"/>
  <c r="F362" i="52"/>
  <c r="F358" i="52"/>
  <c r="F354" i="52"/>
  <c r="C345" i="52"/>
  <c r="H508" i="52" s="1"/>
  <c r="E508" i="52" s="1"/>
  <c r="F508" i="52" s="1"/>
  <c r="E345" i="52"/>
  <c r="C332" i="52"/>
  <c r="H495" i="52" s="1"/>
  <c r="E495" i="52" s="1"/>
  <c r="F495" i="52" s="1"/>
  <c r="E332" i="52"/>
  <c r="F343" i="52"/>
  <c r="F314" i="52"/>
  <c r="F328" i="52"/>
  <c r="L407" i="52"/>
  <c r="M409" i="52"/>
  <c r="Q405" i="52"/>
  <c r="M410" i="52"/>
  <c r="E344" i="52"/>
  <c r="C344" i="52"/>
  <c r="H507" i="52" s="1"/>
  <c r="E507" i="52" s="1"/>
  <c r="F507" i="52" s="1"/>
  <c r="E352" i="52"/>
  <c r="C352" i="52"/>
  <c r="H515" i="52" s="1"/>
  <c r="E515" i="52" s="1"/>
  <c r="F515" i="52" s="1"/>
  <c r="E321" i="52"/>
  <c r="C321" i="52"/>
  <c r="H484" i="52" s="1"/>
  <c r="E484" i="52" s="1"/>
  <c r="F484" i="52" s="1"/>
  <c r="E310" i="52"/>
  <c r="C310" i="52"/>
  <c r="H473" i="52" s="1"/>
  <c r="E473" i="52" s="1"/>
  <c r="F473" i="52" s="1"/>
  <c r="C177" i="52"/>
  <c r="C370" i="52" s="1"/>
  <c r="H370" i="52" s="1"/>
  <c r="D370" i="52" s="1"/>
  <c r="E177" i="52"/>
  <c r="M3" i="35"/>
  <c r="N3" i="35"/>
  <c r="I180" i="52" l="1"/>
  <c r="H181" i="52" s="1"/>
  <c r="I181" i="52" s="1"/>
  <c r="I186" i="52"/>
  <c r="H187" i="52" s="1"/>
  <c r="Q394" i="52"/>
  <c r="N394" i="52" s="1"/>
  <c r="Q392" i="52"/>
  <c r="N392" i="52" s="1"/>
  <c r="Q389" i="52"/>
  <c r="N389" i="52" s="1"/>
  <c r="E357" i="52"/>
  <c r="C357" i="52"/>
  <c r="H520" i="52" s="1"/>
  <c r="E520" i="52" s="1"/>
  <c r="F520" i="52" s="1"/>
  <c r="E314" i="52"/>
  <c r="C314" i="52" s="1"/>
  <c r="H477" i="52" s="1"/>
  <c r="E477" i="52" s="1"/>
  <c r="F477" i="52" s="1"/>
  <c r="E362" i="52"/>
  <c r="C362" i="52"/>
  <c r="H525" i="52" s="1"/>
  <c r="E525" i="52" s="1"/>
  <c r="F525" i="52" s="1"/>
  <c r="E361" i="52"/>
  <c r="C361" i="52"/>
  <c r="H524" i="52" s="1"/>
  <c r="E524" i="52" s="1"/>
  <c r="F524" i="52" s="1"/>
  <c r="E339" i="52"/>
  <c r="C339" i="52"/>
  <c r="H502" i="52" s="1"/>
  <c r="E502" i="52" s="1"/>
  <c r="F502" i="52" s="1"/>
  <c r="E347" i="52"/>
  <c r="C347" i="52"/>
  <c r="H510" i="52" s="1"/>
  <c r="E510" i="52" s="1"/>
  <c r="F510" i="52" s="1"/>
  <c r="E350" i="52"/>
  <c r="C350" i="52"/>
  <c r="H513" i="52" s="1"/>
  <c r="E513" i="52" s="1"/>
  <c r="F513" i="52" s="1"/>
  <c r="E365" i="52"/>
  <c r="C365" i="52"/>
  <c r="H528" i="52" s="1"/>
  <c r="E528" i="52" s="1"/>
  <c r="F528" i="52" s="1"/>
  <c r="Q390" i="52"/>
  <c r="N390" i="52" s="1"/>
  <c r="E354" i="52"/>
  <c r="C354" i="52"/>
  <c r="H517" i="52" s="1"/>
  <c r="E517" i="52" s="1"/>
  <c r="F517" i="52" s="1"/>
  <c r="E328" i="52"/>
  <c r="C328" i="52"/>
  <c r="H491" i="52" s="1"/>
  <c r="E491" i="52" s="1"/>
  <c r="F491" i="52" s="1"/>
  <c r="E358" i="52"/>
  <c r="C358" i="52"/>
  <c r="H521" i="52" s="1"/>
  <c r="E521" i="52" s="1"/>
  <c r="F521" i="52" s="1"/>
  <c r="C327" i="52"/>
  <c r="H490" i="52" s="1"/>
  <c r="E490" i="52" s="1"/>
  <c r="F490" i="52" s="1"/>
  <c r="E327" i="52"/>
  <c r="E343" i="52"/>
  <c r="C343" i="52"/>
  <c r="H506" i="52" s="1"/>
  <c r="E506" i="52" s="1"/>
  <c r="F506" i="52" s="1"/>
  <c r="E317" i="52"/>
  <c r="C317" i="52"/>
  <c r="H480" i="52" s="1"/>
  <c r="E480" i="52" s="1"/>
  <c r="F480" i="52" s="1"/>
  <c r="E335" i="52"/>
  <c r="C335" i="52"/>
  <c r="H498" i="52" s="1"/>
  <c r="E498" i="52" s="1"/>
  <c r="F498" i="52" s="1"/>
  <c r="E309" i="52"/>
  <c r="C309" i="52"/>
  <c r="H472" i="52" s="1"/>
  <c r="E472" i="52" s="1"/>
  <c r="F472" i="52" s="1"/>
  <c r="E313" i="52"/>
  <c r="C313" i="52"/>
  <c r="H476" i="52" s="1"/>
  <c r="E476" i="52" s="1"/>
  <c r="F476" i="52" s="1"/>
  <c r="E324" i="52"/>
  <c r="C324" i="52"/>
  <c r="H487" i="52" s="1"/>
  <c r="E487" i="52" s="1"/>
  <c r="F487" i="52" s="1"/>
  <c r="E353" i="52"/>
  <c r="C353" i="52"/>
  <c r="H516" i="52" s="1"/>
  <c r="E516" i="52" s="1"/>
  <c r="F516" i="52" s="1"/>
  <c r="Q391" i="52"/>
  <c r="N391" i="52" s="1"/>
  <c r="Q395" i="52"/>
  <c r="N395" i="52" s="1"/>
  <c r="Q393" i="52"/>
  <c r="N393" i="52" s="1"/>
  <c r="J16" i="45"/>
  <c r="I187" i="52" l="1"/>
  <c r="H188" i="52" s="1"/>
  <c r="N2" i="35"/>
  <c r="D74" i="27"/>
  <c r="G30" i="27"/>
  <c r="F30" i="27"/>
  <c r="I15" i="36" s="1"/>
  <c r="J49" i="36"/>
  <c r="G49" i="36"/>
  <c r="J48" i="36"/>
  <c r="G48" i="36"/>
  <c r="J47" i="36"/>
  <c r="G47" i="36"/>
  <c r="J46" i="36"/>
  <c r="G46" i="36"/>
  <c r="J45" i="36"/>
  <c r="G45" i="36"/>
  <c r="J44" i="36"/>
  <c r="G44" i="36"/>
  <c r="J43" i="36"/>
  <c r="G43" i="36"/>
  <c r="J42" i="36"/>
  <c r="G42" i="36"/>
  <c r="J41" i="36"/>
  <c r="G41" i="36"/>
  <c r="J40" i="36"/>
  <c r="G40" i="36"/>
  <c r="J39" i="36"/>
  <c r="G39" i="36"/>
  <c r="J37" i="36"/>
  <c r="G37" i="36"/>
  <c r="J36" i="36"/>
  <c r="G36" i="36"/>
  <c r="J35" i="36"/>
  <c r="G35" i="36"/>
  <c r="J34" i="36"/>
  <c r="G34" i="36"/>
  <c r="J33" i="36"/>
  <c r="G33" i="36"/>
  <c r="J32" i="36"/>
  <c r="G32" i="36"/>
  <c r="J31" i="36"/>
  <c r="G31" i="36"/>
  <c r="J30" i="36"/>
  <c r="G30" i="36"/>
  <c r="J29" i="36"/>
  <c r="G29" i="36"/>
  <c r="K27" i="36"/>
  <c r="J27" i="36"/>
  <c r="I27" i="36"/>
  <c r="H27" i="36"/>
  <c r="G27" i="36"/>
  <c r="F27" i="36"/>
  <c r="K26" i="36"/>
  <c r="J26" i="36"/>
  <c r="I26" i="36"/>
  <c r="H26" i="36"/>
  <c r="G26" i="36"/>
  <c r="F26" i="36"/>
  <c r="K25" i="36"/>
  <c r="J25" i="36"/>
  <c r="I25" i="36"/>
  <c r="H25" i="36"/>
  <c r="G25" i="36"/>
  <c r="F25" i="36"/>
  <c r="K24" i="36"/>
  <c r="J24" i="36"/>
  <c r="I24" i="36"/>
  <c r="H24" i="36"/>
  <c r="G24" i="36"/>
  <c r="F24" i="36"/>
  <c r="K23" i="36"/>
  <c r="J23" i="36"/>
  <c r="I23" i="36"/>
  <c r="H23" i="36"/>
  <c r="G23" i="36"/>
  <c r="F23" i="36"/>
  <c r="K22" i="36"/>
  <c r="J22" i="36"/>
  <c r="I22" i="36"/>
  <c r="H22" i="36"/>
  <c r="G22" i="36"/>
  <c r="F22" i="36"/>
  <c r="K21" i="36"/>
  <c r="J21" i="36"/>
  <c r="I21" i="36"/>
  <c r="H21" i="36"/>
  <c r="G21" i="36"/>
  <c r="F21" i="36"/>
  <c r="K20" i="36"/>
  <c r="J20" i="36"/>
  <c r="I20" i="36"/>
  <c r="H20" i="36"/>
  <c r="G20" i="36"/>
  <c r="F20" i="36"/>
  <c r="K19" i="36"/>
  <c r="J19" i="36"/>
  <c r="I19" i="36"/>
  <c r="H19" i="36"/>
  <c r="G19" i="36"/>
  <c r="F19" i="36"/>
  <c r="K18" i="36"/>
  <c r="J18" i="36"/>
  <c r="I18" i="36"/>
  <c r="H18" i="36"/>
  <c r="G18" i="36"/>
  <c r="F18" i="36"/>
  <c r="K17" i="36"/>
  <c r="J17" i="36"/>
  <c r="I17" i="36"/>
  <c r="H17" i="36"/>
  <c r="G17" i="36"/>
  <c r="F17" i="36"/>
  <c r="K16" i="36"/>
  <c r="J16" i="36"/>
  <c r="I16" i="36"/>
  <c r="H16" i="36"/>
  <c r="G16" i="36"/>
  <c r="F16" i="36"/>
  <c r="K15" i="36"/>
  <c r="J15" i="36"/>
  <c r="G15" i="36"/>
  <c r="F15" i="36"/>
  <c r="K14" i="36"/>
  <c r="J14" i="36"/>
  <c r="I14" i="36"/>
  <c r="H14" i="36"/>
  <c r="G14" i="36"/>
  <c r="F14" i="36"/>
  <c r="K13" i="36"/>
  <c r="J13" i="36"/>
  <c r="I13" i="36"/>
  <c r="H13" i="36"/>
  <c r="G13" i="36"/>
  <c r="F13" i="36"/>
  <c r="K12" i="36"/>
  <c r="J12" i="36"/>
  <c r="I12" i="36"/>
  <c r="H12" i="36"/>
  <c r="G12" i="36"/>
  <c r="F12" i="36"/>
  <c r="K11" i="36"/>
  <c r="J11" i="36"/>
  <c r="I11" i="36"/>
  <c r="H11" i="36"/>
  <c r="G11" i="36"/>
  <c r="F11" i="36"/>
  <c r="J5" i="36"/>
  <c r="I5" i="36"/>
  <c r="H5" i="36"/>
  <c r="G5" i="36"/>
  <c r="J4" i="36"/>
  <c r="I4" i="36"/>
  <c r="H4" i="36"/>
  <c r="G4" i="36"/>
  <c r="F4" i="36"/>
  <c r="F47" i="36"/>
  <c r="H47" i="36" s="1"/>
  <c r="F46" i="36"/>
  <c r="H46" i="36" s="1"/>
  <c r="F45" i="36"/>
  <c r="H45" i="36" s="1"/>
  <c r="F44" i="36"/>
  <c r="H44" i="36" s="1"/>
  <c r="F43" i="36"/>
  <c r="H43" i="36" s="1"/>
  <c r="F42" i="36"/>
  <c r="H42" i="36" s="1"/>
  <c r="F41" i="36"/>
  <c r="H41" i="36" s="1"/>
  <c r="F37" i="36"/>
  <c r="H37" i="36" s="1"/>
  <c r="F36" i="36"/>
  <c r="H36" i="36" s="1"/>
  <c r="F35" i="36"/>
  <c r="H35" i="36" s="1"/>
  <c r="F34" i="36"/>
  <c r="H34" i="36" s="1"/>
  <c r="F33" i="36"/>
  <c r="H33" i="36" s="1"/>
  <c r="F32" i="36"/>
  <c r="H32" i="36" s="1"/>
  <c r="F31" i="36"/>
  <c r="H31" i="36" s="1"/>
  <c r="F30" i="36"/>
  <c r="H30" i="36" s="1"/>
  <c r="F49" i="36"/>
  <c r="H49" i="36" s="1"/>
  <c r="F40" i="36"/>
  <c r="H40" i="36" s="1"/>
  <c r="F29" i="36"/>
  <c r="F39" i="36"/>
  <c r="H39" i="36" s="1"/>
  <c r="F8" i="36"/>
  <c r="I188" i="52" l="1"/>
  <c r="H189" i="52"/>
  <c r="I189" i="52" s="1"/>
  <c r="H29" i="36"/>
  <c r="F48" i="36"/>
  <c r="H48" i="36" s="1"/>
  <c r="F12" i="26" l="1"/>
  <c r="L12" i="30"/>
  <c r="L13" i="30"/>
  <c r="L14" i="30"/>
  <c r="L11" i="30"/>
  <c r="L8" i="30"/>
  <c r="L9" i="30"/>
  <c r="L10" i="30"/>
  <c r="L7" i="30"/>
  <c r="L15" i="30"/>
  <c r="F11" i="26"/>
  <c r="E8" i="30"/>
  <c r="E9" i="30"/>
  <c r="E10" i="30"/>
  <c r="E11" i="30"/>
  <c r="F16" i="26"/>
  <c r="N1" i="30"/>
  <c r="F13" i="30"/>
  <c r="F14" i="30" l="1"/>
  <c r="F10" i="30"/>
  <c r="F9" i="30"/>
  <c r="E13" i="30"/>
  <c r="E14" i="30"/>
  <c r="E15" i="30"/>
  <c r="E16" i="30"/>
  <c r="E17" i="30"/>
  <c r="E18" i="30"/>
  <c r="E19" i="30"/>
  <c r="E20" i="30"/>
  <c r="E21" i="30"/>
  <c r="G29" i="35"/>
  <c r="G44" i="30"/>
  <c r="D12" i="29"/>
  <c r="G50" i="27"/>
  <c r="G51" i="27"/>
  <c r="G52" i="27"/>
  <c r="G49" i="27"/>
  <c r="F34" i="26"/>
  <c r="F33" i="26"/>
  <c r="G41" i="32" l="1"/>
  <c r="G30" i="32"/>
  <c r="M105" i="26" l="1"/>
  <c r="F18" i="26"/>
  <c r="E32" i="42"/>
  <c r="E31" i="42"/>
  <c r="G32" i="32"/>
  <c r="H19" i="32"/>
  <c r="G19" i="32"/>
  <c r="G9" i="32"/>
  <c r="L34" i="31"/>
  <c r="L16" i="31"/>
  <c r="E8" i="29"/>
  <c r="H89" i="27"/>
  <c r="I49" i="36" s="1"/>
  <c r="H51" i="36" s="1"/>
  <c r="E26" i="27"/>
  <c r="M106" i="26"/>
  <c r="E14" i="26"/>
  <c r="F13" i="26"/>
  <c r="E12" i="26"/>
  <c r="F7" i="26"/>
  <c r="F6" i="26"/>
  <c r="Q10" i="45"/>
  <c r="Q9" i="45"/>
  <c r="J15" i="45"/>
  <c r="H16" i="27" l="1"/>
  <c r="E15" i="27" s="1"/>
  <c r="H13" i="27"/>
  <c r="H10" i="27"/>
  <c r="H18" i="27" l="1"/>
  <c r="H5" i="27" l="1"/>
  <c r="E8" i="27"/>
  <c r="E16" i="27"/>
  <c r="O18" i="45" l="1"/>
  <c r="D114" i="26" l="1"/>
  <c r="O16" i="45"/>
  <c r="F19" i="29" l="1"/>
  <c r="F18" i="29"/>
  <c r="F17" i="29"/>
  <c r="F16" i="29"/>
  <c r="F15" i="29"/>
  <c r="F14" i="29"/>
  <c r="F13" i="29"/>
  <c r="F12" i="29"/>
  <c r="F11" i="29"/>
  <c r="C4" i="42"/>
  <c r="H3" i="36" s="1"/>
  <c r="F29" i="32" l="1"/>
  <c r="O17" i="45"/>
  <c r="E20" i="27" l="1"/>
  <c r="I15" i="29"/>
  <c r="G15" i="29"/>
  <c r="H15" i="29"/>
  <c r="K15" i="29"/>
  <c r="M15" i="29" s="1"/>
  <c r="L15" i="29"/>
  <c r="N15" i="29"/>
  <c r="O15" i="29" s="1"/>
  <c r="Q15" i="29"/>
  <c r="R15" i="29"/>
  <c r="S15" i="29"/>
  <c r="G16" i="29"/>
  <c r="H16" i="29"/>
  <c r="K16" i="29"/>
  <c r="L16" i="29" s="1"/>
  <c r="N16" i="29"/>
  <c r="O16" i="29" s="1"/>
  <c r="Q16" i="29"/>
  <c r="R16" i="29"/>
  <c r="S16" i="29"/>
  <c r="G17" i="29"/>
  <c r="H17" i="29"/>
  <c r="K17" i="29"/>
  <c r="L17" i="29" s="1"/>
  <c r="N17" i="29"/>
  <c r="P17" i="29" s="1"/>
  <c r="O17" i="29"/>
  <c r="Q17" i="29"/>
  <c r="R17" i="29"/>
  <c r="S17" i="29"/>
  <c r="G18" i="29"/>
  <c r="H18" i="29"/>
  <c r="I18" i="29"/>
  <c r="J18" i="29"/>
  <c r="K18" i="29"/>
  <c r="L18" i="29"/>
  <c r="M18" i="29"/>
  <c r="N18" i="29"/>
  <c r="O18" i="29"/>
  <c r="P18" i="29"/>
  <c r="Q18" i="29"/>
  <c r="R18" i="29"/>
  <c r="S18" i="29"/>
  <c r="T18" i="29"/>
  <c r="U18" i="29"/>
  <c r="G19" i="29"/>
  <c r="H19" i="29"/>
  <c r="I19" i="29"/>
  <c r="J19" i="29"/>
  <c r="K19" i="29"/>
  <c r="L19" i="29"/>
  <c r="M19" i="29"/>
  <c r="N19" i="29"/>
  <c r="O19" i="29"/>
  <c r="P19" i="29"/>
  <c r="Q19" i="29"/>
  <c r="R19" i="29"/>
  <c r="S19" i="29"/>
  <c r="T19" i="29"/>
  <c r="V19" i="29" s="1"/>
  <c r="W19" i="29" s="1"/>
  <c r="U19" i="29"/>
  <c r="F20" i="29"/>
  <c r="G20" i="29"/>
  <c r="H20" i="29"/>
  <c r="I20" i="29"/>
  <c r="J20" i="29"/>
  <c r="K20" i="29"/>
  <c r="L20" i="29"/>
  <c r="M20" i="29"/>
  <c r="N20" i="29"/>
  <c r="O20" i="29"/>
  <c r="P20" i="29"/>
  <c r="Q20" i="29"/>
  <c r="R20" i="29"/>
  <c r="S20" i="29"/>
  <c r="T20" i="29"/>
  <c r="V20" i="29" s="1"/>
  <c r="W20" i="29" s="1"/>
  <c r="U20" i="29"/>
  <c r="F21" i="29"/>
  <c r="G21" i="29"/>
  <c r="H21" i="29"/>
  <c r="I21" i="29"/>
  <c r="J21" i="29"/>
  <c r="K21" i="29"/>
  <c r="L21" i="29"/>
  <c r="M21" i="29"/>
  <c r="N21" i="29"/>
  <c r="O21" i="29"/>
  <c r="P21" i="29"/>
  <c r="Q21" i="29"/>
  <c r="R21" i="29"/>
  <c r="S21" i="29"/>
  <c r="T21" i="29"/>
  <c r="U21" i="29"/>
  <c r="F22" i="29"/>
  <c r="G22" i="29"/>
  <c r="H22" i="29"/>
  <c r="I22" i="29"/>
  <c r="J22" i="29"/>
  <c r="K22" i="29"/>
  <c r="L22" i="29"/>
  <c r="M22" i="29"/>
  <c r="N22" i="29"/>
  <c r="O22" i="29"/>
  <c r="P22" i="29"/>
  <c r="Q22" i="29"/>
  <c r="R22" i="29"/>
  <c r="S22" i="29"/>
  <c r="T22" i="29"/>
  <c r="V22" i="29" s="1"/>
  <c r="W22" i="29" s="1"/>
  <c r="U22" i="29"/>
  <c r="F23" i="29"/>
  <c r="G23" i="29"/>
  <c r="H23" i="29"/>
  <c r="I23" i="29"/>
  <c r="J23" i="29"/>
  <c r="K23" i="29"/>
  <c r="L23" i="29"/>
  <c r="M23" i="29"/>
  <c r="N23" i="29"/>
  <c r="O23" i="29"/>
  <c r="P23" i="29"/>
  <c r="Q23" i="29"/>
  <c r="R23" i="29"/>
  <c r="S23" i="29"/>
  <c r="T23" i="29"/>
  <c r="U23" i="29"/>
  <c r="F24" i="29"/>
  <c r="G24" i="29"/>
  <c r="H24" i="29"/>
  <c r="I24" i="29"/>
  <c r="J24" i="29"/>
  <c r="K24" i="29"/>
  <c r="L24" i="29"/>
  <c r="M24" i="29"/>
  <c r="N24" i="29"/>
  <c r="O24" i="29"/>
  <c r="P24" i="29"/>
  <c r="Q24" i="29"/>
  <c r="R24" i="29"/>
  <c r="S24" i="29"/>
  <c r="T24" i="29"/>
  <c r="U24" i="29"/>
  <c r="F25" i="29"/>
  <c r="G25" i="29"/>
  <c r="H25" i="29"/>
  <c r="I25" i="29"/>
  <c r="J25" i="29"/>
  <c r="K25" i="29"/>
  <c r="L25" i="29"/>
  <c r="M25" i="29"/>
  <c r="N25" i="29"/>
  <c r="O25" i="29"/>
  <c r="P25" i="29"/>
  <c r="Q25" i="29"/>
  <c r="R25" i="29"/>
  <c r="S25" i="29"/>
  <c r="T25" i="29"/>
  <c r="U25" i="29"/>
  <c r="F26" i="29"/>
  <c r="G26" i="29"/>
  <c r="H26" i="29"/>
  <c r="I26" i="29"/>
  <c r="J26" i="29"/>
  <c r="K26" i="29"/>
  <c r="L26" i="29"/>
  <c r="M26" i="29"/>
  <c r="N26" i="29"/>
  <c r="O26" i="29"/>
  <c r="P26" i="29"/>
  <c r="Q26" i="29"/>
  <c r="R26" i="29"/>
  <c r="S26" i="29"/>
  <c r="T26" i="29"/>
  <c r="V26" i="29" s="1"/>
  <c r="W26" i="29" s="1"/>
  <c r="U26" i="29"/>
  <c r="F27" i="29"/>
  <c r="G27" i="29"/>
  <c r="H27" i="29"/>
  <c r="I27" i="29"/>
  <c r="J27" i="29"/>
  <c r="K27" i="29"/>
  <c r="L27" i="29"/>
  <c r="M27" i="29"/>
  <c r="N27" i="29"/>
  <c r="O27" i="29"/>
  <c r="P27" i="29"/>
  <c r="Q27" i="29"/>
  <c r="R27" i="29"/>
  <c r="S27" i="29"/>
  <c r="T27" i="29"/>
  <c r="V27" i="29" s="1"/>
  <c r="W27" i="29" s="1"/>
  <c r="U27" i="29"/>
  <c r="F28" i="29"/>
  <c r="G28" i="29"/>
  <c r="H28" i="29"/>
  <c r="I28" i="29"/>
  <c r="J28" i="29"/>
  <c r="K28" i="29"/>
  <c r="L28" i="29"/>
  <c r="M28" i="29"/>
  <c r="N28" i="29"/>
  <c r="O28" i="29"/>
  <c r="P28" i="29"/>
  <c r="Q28" i="29"/>
  <c r="R28" i="29"/>
  <c r="S28" i="29"/>
  <c r="T28" i="29"/>
  <c r="V28" i="29" s="1"/>
  <c r="W28" i="29" s="1"/>
  <c r="U28" i="29"/>
  <c r="F29" i="29"/>
  <c r="G29" i="29"/>
  <c r="H29" i="29"/>
  <c r="I29" i="29"/>
  <c r="J29" i="29"/>
  <c r="K29" i="29"/>
  <c r="L29" i="29"/>
  <c r="M29" i="29"/>
  <c r="N29" i="29"/>
  <c r="O29" i="29"/>
  <c r="P29" i="29"/>
  <c r="Q29" i="29"/>
  <c r="R29" i="29"/>
  <c r="S29" i="29"/>
  <c r="T29" i="29"/>
  <c r="U29" i="29"/>
  <c r="U14" i="29"/>
  <c r="T14" i="29"/>
  <c r="S11" i="29"/>
  <c r="S14" i="29"/>
  <c r="S13" i="29"/>
  <c r="S12" i="29"/>
  <c r="R11" i="29"/>
  <c r="R14" i="29"/>
  <c r="R13" i="29"/>
  <c r="R12" i="29"/>
  <c r="Q12" i="29"/>
  <c r="Q13" i="29"/>
  <c r="Q14" i="29"/>
  <c r="Q11" i="29"/>
  <c r="P14" i="29"/>
  <c r="O14" i="29"/>
  <c r="N12" i="29"/>
  <c r="P12" i="29" s="1"/>
  <c r="N13" i="29"/>
  <c r="P13" i="29" s="1"/>
  <c r="N14" i="29"/>
  <c r="N11" i="29"/>
  <c r="P11" i="29" s="1"/>
  <c r="M14" i="29"/>
  <c r="L14" i="29"/>
  <c r="K12" i="29"/>
  <c r="M12" i="29" s="1"/>
  <c r="K13" i="29"/>
  <c r="M13" i="29" s="1"/>
  <c r="K14" i="29"/>
  <c r="K11" i="29"/>
  <c r="M11" i="29" s="1"/>
  <c r="J14" i="29"/>
  <c r="I14" i="29"/>
  <c r="H12" i="29"/>
  <c r="H13" i="29"/>
  <c r="H14" i="29"/>
  <c r="H11" i="29"/>
  <c r="G14" i="29"/>
  <c r="G13" i="29"/>
  <c r="I13" i="29" s="1"/>
  <c r="G12" i="29"/>
  <c r="G11" i="29"/>
  <c r="J11" i="29" s="1"/>
  <c r="L12" i="29" l="1"/>
  <c r="I12" i="29"/>
  <c r="O12" i="29"/>
  <c r="J12" i="29"/>
  <c r="V18" i="29"/>
  <c r="W18" i="29" s="1"/>
  <c r="M16" i="29"/>
  <c r="I16" i="29"/>
  <c r="T16" i="29" s="1"/>
  <c r="V16" i="29" s="1"/>
  <c r="P16" i="29"/>
  <c r="J16" i="29"/>
  <c r="J17" i="29"/>
  <c r="M17" i="29"/>
  <c r="I17" i="29"/>
  <c r="T17" i="29" s="1"/>
  <c r="V17" i="29" s="1"/>
  <c r="V24" i="29"/>
  <c r="W24" i="29" s="1"/>
  <c r="V23" i="29"/>
  <c r="W23" i="29" s="1"/>
  <c r="V29" i="29"/>
  <c r="W29" i="29" s="1"/>
  <c r="V25" i="29"/>
  <c r="W25" i="29" s="1"/>
  <c r="V21" i="29"/>
  <c r="W21" i="29" s="1"/>
  <c r="V14" i="29"/>
  <c r="J13" i="29"/>
  <c r="L11" i="29"/>
  <c r="I11" i="29"/>
  <c r="O11" i="29"/>
  <c r="L13" i="29"/>
  <c r="O13" i="29"/>
  <c r="J15" i="29"/>
  <c r="T15" i="29" s="1"/>
  <c r="V15" i="29" s="1"/>
  <c r="W15" i="29" s="1"/>
  <c r="P15" i="29"/>
  <c r="T12" i="29" l="1"/>
  <c r="V12" i="29" s="1"/>
  <c r="U12" i="29" s="1"/>
  <c r="T11" i="29"/>
  <c r="V11" i="29" s="1"/>
  <c r="U11" i="29" s="1"/>
  <c r="T13" i="29"/>
  <c r="V13" i="29" s="1"/>
  <c r="U13" i="29" s="1"/>
  <c r="W17" i="29"/>
  <c r="U17" i="29"/>
  <c r="W16" i="29"/>
  <c r="U16" i="29"/>
  <c r="U15" i="29"/>
  <c r="W11" i="29" l="1"/>
  <c r="C27" i="45"/>
  <c r="D89" i="27"/>
  <c r="W65" i="27" l="1"/>
  <c r="V116" i="27"/>
  <c r="G124" i="27" l="1"/>
  <c r="G125" i="27"/>
  <c r="G126" i="27"/>
  <c r="B90" i="47"/>
  <c r="A70" i="47"/>
  <c r="A69" i="47"/>
  <c r="A68" i="47"/>
  <c r="A67" i="47"/>
  <c r="A66" i="47"/>
  <c r="A65" i="47"/>
  <c r="A64" i="47"/>
  <c r="A63" i="47"/>
  <c r="A62" i="47"/>
  <c r="A61" i="47"/>
  <c r="A55" i="47"/>
  <c r="A54" i="47"/>
  <c r="A53" i="47"/>
  <c r="A52" i="47"/>
  <c r="A51" i="47"/>
  <c r="A50" i="47"/>
  <c r="U49" i="47"/>
  <c r="T49" i="47"/>
  <c r="S49" i="47"/>
  <c r="R49" i="47"/>
  <c r="Q49" i="47"/>
  <c r="P49" i="47"/>
  <c r="O49" i="47"/>
  <c r="N49" i="47"/>
  <c r="M49" i="47"/>
  <c r="L49" i="47"/>
  <c r="K49" i="47"/>
  <c r="J49" i="47"/>
  <c r="E49" i="47"/>
  <c r="A49" i="47"/>
  <c r="A45" i="47"/>
  <c r="A44" i="47"/>
  <c r="A43" i="47"/>
  <c r="A42" i="47"/>
  <c r="A41" i="47"/>
  <c r="A40" i="47"/>
  <c r="A39" i="47"/>
  <c r="A38" i="47"/>
  <c r="A37" i="47"/>
  <c r="A36" i="47"/>
  <c r="A35" i="47"/>
  <c r="A34" i="47"/>
  <c r="A33" i="47"/>
  <c r="B27" i="47"/>
  <c r="U24" i="47"/>
  <c r="T24" i="47"/>
  <c r="S24" i="47"/>
  <c r="Q24" i="47"/>
  <c r="P24" i="47"/>
  <c r="O24" i="47"/>
  <c r="N24" i="47"/>
  <c r="L24" i="47"/>
  <c r="K24" i="47"/>
  <c r="J24" i="47"/>
  <c r="I24" i="47"/>
  <c r="H24" i="47"/>
  <c r="G24" i="47"/>
  <c r="F24" i="47"/>
  <c r="E24" i="47"/>
  <c r="D24" i="47"/>
  <c r="A24" i="47"/>
  <c r="T23" i="47"/>
  <c r="P23" i="47"/>
  <c r="N23" i="47"/>
  <c r="L23" i="47"/>
  <c r="J23" i="47"/>
  <c r="F23" i="47"/>
  <c r="D23" i="47"/>
  <c r="A23" i="47"/>
  <c r="U22" i="47"/>
  <c r="T22" i="47"/>
  <c r="Q22" i="47"/>
  <c r="P22" i="47"/>
  <c r="N22" i="47"/>
  <c r="L22" i="47"/>
  <c r="J22" i="47"/>
  <c r="I22" i="47"/>
  <c r="H22" i="47"/>
  <c r="G22" i="47"/>
  <c r="F22" i="47"/>
  <c r="E22" i="47"/>
  <c r="D22" i="47"/>
  <c r="A22" i="47"/>
  <c r="U21" i="47"/>
  <c r="T21" i="47"/>
  <c r="S21" i="47"/>
  <c r="Q21" i="47"/>
  <c r="P21" i="47"/>
  <c r="O21" i="47"/>
  <c r="N21" i="47"/>
  <c r="M21" i="47"/>
  <c r="L21" i="47"/>
  <c r="K21" i="47"/>
  <c r="J21" i="47"/>
  <c r="I21" i="47"/>
  <c r="H21" i="47"/>
  <c r="G21" i="47"/>
  <c r="F21" i="47"/>
  <c r="E21" i="47"/>
  <c r="D21" i="47"/>
  <c r="A21" i="47"/>
  <c r="A20" i="47"/>
  <c r="U13" i="47"/>
  <c r="T13" i="47"/>
  <c r="S13" i="47"/>
  <c r="R13" i="47"/>
  <c r="P13" i="47"/>
  <c r="O13" i="47"/>
  <c r="N13" i="47"/>
  <c r="M13" i="47"/>
  <c r="K13" i="47"/>
  <c r="J13" i="47"/>
  <c r="I13" i="47"/>
  <c r="H13" i="47"/>
  <c r="G13" i="47"/>
  <c r="F13" i="47"/>
  <c r="E13" i="47"/>
  <c r="D13" i="47"/>
  <c r="C13" i="47"/>
  <c r="U12" i="47"/>
  <c r="S12" i="47"/>
  <c r="O12" i="47"/>
  <c r="M12" i="47"/>
  <c r="K12" i="47"/>
  <c r="I12" i="47"/>
  <c r="E12" i="47"/>
  <c r="C12" i="47"/>
  <c r="U11" i="47"/>
  <c r="T11" i="47"/>
  <c r="S11" i="47"/>
  <c r="P11" i="47"/>
  <c r="O11" i="47"/>
  <c r="M11" i="47"/>
  <c r="K11" i="47"/>
  <c r="I11" i="47"/>
  <c r="H11" i="47"/>
  <c r="G11" i="47"/>
  <c r="F11" i="47"/>
  <c r="E11" i="47"/>
  <c r="D11" i="47"/>
  <c r="C11" i="47"/>
  <c r="U10" i="47"/>
  <c r="T10" i="47"/>
  <c r="S10" i="47"/>
  <c r="R10" i="47"/>
  <c r="P10" i="47"/>
  <c r="O10" i="47"/>
  <c r="N10" i="47"/>
  <c r="M10" i="47"/>
  <c r="L10" i="47"/>
  <c r="K10" i="47"/>
  <c r="J10" i="47"/>
  <c r="I10" i="47"/>
  <c r="H10" i="47"/>
  <c r="G10" i="47"/>
  <c r="F10" i="47"/>
  <c r="E10" i="47"/>
  <c r="D10" i="47"/>
  <c r="C10" i="47"/>
  <c r="A7" i="47"/>
  <c r="A6" i="47"/>
  <c r="A5" i="47"/>
  <c r="A4" i="47"/>
  <c r="B60" i="47"/>
  <c r="B48" i="47"/>
  <c r="B32" i="47"/>
  <c r="V28" i="47"/>
  <c r="U28" i="47"/>
  <c r="T28" i="47"/>
  <c r="S28" i="47"/>
  <c r="R28" i="47"/>
  <c r="Q28" i="47"/>
  <c r="P28" i="47"/>
  <c r="O28" i="47"/>
  <c r="N28" i="47"/>
  <c r="M28" i="47"/>
  <c r="L28" i="47"/>
  <c r="K28" i="47"/>
  <c r="J28" i="47"/>
  <c r="I28" i="47"/>
  <c r="H28" i="47"/>
  <c r="G28" i="47"/>
  <c r="F28" i="47"/>
  <c r="E28" i="47"/>
  <c r="D28" i="47"/>
  <c r="C28" i="47"/>
  <c r="V26" i="47"/>
  <c r="U26" i="47"/>
  <c r="T26" i="47"/>
  <c r="S26" i="47"/>
  <c r="R26" i="47"/>
  <c r="Q26" i="47"/>
  <c r="P26" i="47"/>
  <c r="O26" i="47"/>
  <c r="N26" i="47"/>
  <c r="M26" i="47"/>
  <c r="L26" i="47"/>
  <c r="K26" i="47"/>
  <c r="J26" i="47"/>
  <c r="I26" i="47"/>
  <c r="H26" i="47"/>
  <c r="G26" i="47"/>
  <c r="F26" i="47"/>
  <c r="E26" i="47"/>
  <c r="D26" i="47"/>
  <c r="C26" i="47"/>
  <c r="B26" i="47"/>
  <c r="V19" i="47"/>
  <c r="C19" i="47"/>
  <c r="V17" i="47"/>
  <c r="U17" i="47"/>
  <c r="T17" i="47"/>
  <c r="S17" i="47"/>
  <c r="R17" i="47"/>
  <c r="Q17" i="47"/>
  <c r="P17" i="47"/>
  <c r="O17" i="47"/>
  <c r="N17" i="47"/>
  <c r="M17" i="47"/>
  <c r="L17" i="47"/>
  <c r="K17" i="47"/>
  <c r="J17" i="47"/>
  <c r="I17" i="47"/>
  <c r="H17" i="47"/>
  <c r="G17" i="47"/>
  <c r="F17" i="47"/>
  <c r="E17" i="47"/>
  <c r="D17" i="47"/>
  <c r="C17" i="47"/>
  <c r="C16" i="47" s="1"/>
  <c r="R22" i="45"/>
  <c r="S22" i="45" s="1"/>
  <c r="Q22" i="45"/>
  <c r="C10" i="36" s="1"/>
  <c r="R21" i="45"/>
  <c r="Q21" i="45"/>
  <c r="V16" i="47" l="1"/>
  <c r="T22" i="45"/>
  <c r="Q11" i="45" l="1"/>
  <c r="L14" i="45" s="1"/>
  <c r="B122" i="39"/>
  <c r="B123" i="39"/>
  <c r="B92" i="39"/>
  <c r="B93" i="39"/>
  <c r="B94" i="39"/>
  <c r="B95" i="39"/>
  <c r="B96" i="39"/>
  <c r="B97" i="39"/>
  <c r="B98" i="39"/>
  <c r="B99" i="39"/>
  <c r="B100" i="39"/>
  <c r="B101" i="39"/>
  <c r="B102" i="39"/>
  <c r="B103" i="39"/>
  <c r="B104" i="39"/>
  <c r="B105" i="39"/>
  <c r="B106" i="39"/>
  <c r="B107" i="39"/>
  <c r="B108" i="39"/>
  <c r="B109" i="39"/>
  <c r="B110" i="39"/>
  <c r="B111" i="39"/>
  <c r="B112" i="39"/>
  <c r="B113" i="39"/>
  <c r="B114" i="39"/>
  <c r="B115" i="39"/>
  <c r="B116" i="39"/>
  <c r="B117" i="39"/>
  <c r="B118" i="39"/>
  <c r="B119" i="39"/>
  <c r="B120" i="39"/>
  <c r="B121" i="39"/>
  <c r="N7" i="33"/>
  <c r="E5" i="33"/>
  <c r="N6" i="33" s="1"/>
  <c r="L15" i="45"/>
  <c r="L17" i="45"/>
  <c r="L18" i="45"/>
  <c r="L19" i="45"/>
  <c r="L20" i="45"/>
  <c r="L21" i="45"/>
  <c r="L22" i="45"/>
  <c r="L16" i="45" l="1"/>
  <c r="N5" i="33"/>
  <c r="N8" i="33" s="1"/>
  <c r="F5" i="33"/>
  <c r="CH76" i="22"/>
  <c r="C16" i="36" l="1"/>
  <c r="F42" i="32"/>
  <c r="F43" i="32"/>
  <c r="F44" i="32"/>
  <c r="F45" i="32"/>
  <c r="F41" i="32"/>
  <c r="F30" i="32"/>
  <c r="F31" i="32"/>
  <c r="F32" i="32"/>
  <c r="F33" i="32"/>
  <c r="F34" i="32"/>
  <c r="F35" i="32"/>
  <c r="F36" i="32"/>
  <c r="T150" i="27"/>
  <c r="S150" i="27"/>
  <c r="T149" i="27"/>
  <c r="S149" i="27"/>
  <c r="T148" i="27"/>
  <c r="S148" i="27"/>
  <c r="V147" i="27"/>
  <c r="T147" i="27"/>
  <c r="S147" i="27"/>
  <c r="T146" i="27"/>
  <c r="S146" i="27"/>
  <c r="V145" i="27"/>
  <c r="T145" i="27"/>
  <c r="S145" i="27"/>
  <c r="V144" i="27"/>
  <c r="T144" i="27"/>
  <c r="S144" i="27"/>
  <c r="V143" i="27"/>
  <c r="T143" i="27"/>
  <c r="S143" i="27"/>
  <c r="V142" i="27"/>
  <c r="T142" i="27"/>
  <c r="S142" i="27"/>
  <c r="T141" i="27"/>
  <c r="S141" i="27"/>
  <c r="T140" i="27"/>
  <c r="S140" i="27"/>
  <c r="S139" i="27"/>
  <c r="T138" i="27"/>
  <c r="S138" i="27"/>
  <c r="T137" i="27"/>
  <c r="S137" i="27"/>
  <c r="T136" i="27"/>
  <c r="S136" i="27"/>
  <c r="T135" i="27"/>
  <c r="S135" i="27"/>
  <c r="T134" i="27"/>
  <c r="S134" i="27"/>
  <c r="L26" i="30"/>
  <c r="L27" i="30"/>
  <c r="L28" i="30"/>
  <c r="L29" i="30"/>
  <c r="L30" i="30"/>
  <c r="L31" i="30"/>
  <c r="L32" i="30"/>
  <c r="L33" i="30"/>
  <c r="L34" i="30"/>
  <c r="L35" i="30"/>
  <c r="L36" i="30"/>
  <c r="L37" i="30"/>
  <c r="L38" i="30"/>
  <c r="L39" i="30"/>
  <c r="L40" i="30"/>
  <c r="L16" i="30"/>
  <c r="S125" i="27"/>
  <c r="S124" i="27"/>
  <c r="D126" i="27"/>
  <c r="D125" i="27"/>
  <c r="D124" i="27"/>
  <c r="D123" i="27" l="1"/>
  <c r="AS44" i="27" l="1"/>
  <c r="T109" i="22"/>
  <c r="T110" i="22"/>
  <c r="T111" i="22"/>
  <c r="T112" i="22"/>
  <c r="T113" i="22"/>
  <c r="T101" i="22"/>
  <c r="T102" i="22"/>
  <c r="T103" i="22"/>
  <c r="T104" i="22"/>
  <c r="T105" i="22"/>
  <c r="T106" i="22"/>
  <c r="T107" i="22"/>
  <c r="T108" i="22"/>
  <c r="T98" i="22"/>
  <c r="T99" i="22"/>
  <c r="T100" i="22"/>
  <c r="T97" i="22"/>
  <c r="H68" i="22"/>
  <c r="H47" i="22"/>
  <c r="AO6" i="31"/>
  <c r="AN6" i="31"/>
  <c r="AM6" i="31"/>
  <c r="AL6" i="31"/>
  <c r="AK6" i="31"/>
  <c r="AJ6" i="31"/>
  <c r="AI6" i="31"/>
  <c r="AE8" i="31"/>
  <c r="AE9" i="31"/>
  <c r="AE10" i="31"/>
  <c r="AE11" i="31"/>
  <c r="AE12" i="31"/>
  <c r="AE13" i="31"/>
  <c r="AE14" i="31"/>
  <c r="AE15" i="31"/>
  <c r="AE16" i="31"/>
  <c r="AE17" i="31"/>
  <c r="AE18" i="31"/>
  <c r="AE19" i="31"/>
  <c r="AE20" i="31"/>
  <c r="AE21" i="31"/>
  <c r="AE22" i="31"/>
  <c r="AE23" i="31"/>
  <c r="AE7" i="31"/>
  <c r="S102" i="27"/>
  <c r="S101" i="27"/>
  <c r="S100" i="27"/>
  <c r="S99" i="27"/>
  <c r="S98" i="27"/>
  <c r="S97" i="27"/>
  <c r="S96" i="27"/>
  <c r="AW26" i="35"/>
  <c r="AV26" i="35"/>
  <c r="AU26" i="35"/>
  <c r="AT26" i="35"/>
  <c r="AS26" i="35"/>
  <c r="AR26" i="35"/>
  <c r="AQ26" i="35"/>
  <c r="AP26" i="35"/>
  <c r="AO26" i="35"/>
  <c r="AN26" i="35"/>
  <c r="AM26" i="35"/>
  <c r="AL26" i="35"/>
  <c r="AK26" i="35"/>
  <c r="AJ26" i="35"/>
  <c r="AI26" i="35"/>
  <c r="AH26" i="35"/>
  <c r="AG26" i="35"/>
  <c r="AF26" i="35"/>
  <c r="AE26" i="35"/>
  <c r="AD26" i="35"/>
  <c r="AB7" i="35"/>
  <c r="Y88" i="35" s="1"/>
  <c r="E13" i="35"/>
  <c r="G13" i="35" s="1"/>
  <c r="AW6" i="35"/>
  <c r="AW66" i="35" s="1"/>
  <c r="AV6" i="35"/>
  <c r="AV66" i="35" s="1"/>
  <c r="AU6" i="35"/>
  <c r="AU66" i="35" s="1"/>
  <c r="AT6" i="35"/>
  <c r="AT66" i="35" s="1"/>
  <c r="AS6" i="35"/>
  <c r="AS66" i="35" s="1"/>
  <c r="AR6" i="35"/>
  <c r="AR66" i="35" s="1"/>
  <c r="AQ6" i="35"/>
  <c r="AQ66" i="35" s="1"/>
  <c r="AP6" i="35"/>
  <c r="AP66" i="35" s="1"/>
  <c r="AO6" i="35"/>
  <c r="AO66" i="35" s="1"/>
  <c r="AN6" i="35"/>
  <c r="AN66" i="35" s="1"/>
  <c r="AM6" i="35"/>
  <c r="AM66" i="35" s="1"/>
  <c r="AL6" i="35"/>
  <c r="AL66" i="35" s="1"/>
  <c r="AK6" i="35"/>
  <c r="AK66" i="35" s="1"/>
  <c r="AJ6" i="35"/>
  <c r="AJ66" i="35" s="1"/>
  <c r="AI6" i="35"/>
  <c r="AI66" i="35" s="1"/>
  <c r="AH6" i="35"/>
  <c r="AH66" i="35" s="1"/>
  <c r="AG6" i="35"/>
  <c r="AG66" i="35" s="1"/>
  <c r="AF6" i="35"/>
  <c r="AF66" i="35" s="1"/>
  <c r="AE6" i="35"/>
  <c r="AE66" i="35" s="1"/>
  <c r="AD6" i="35"/>
  <c r="AD66" i="35" s="1"/>
  <c r="AB23" i="35"/>
  <c r="AB83" i="35" s="1"/>
  <c r="AB22" i="35"/>
  <c r="Y103" i="35" s="1"/>
  <c r="AB21" i="35"/>
  <c r="AB81" i="35" s="1"/>
  <c r="AB20" i="35"/>
  <c r="Y101" i="35" s="1"/>
  <c r="AB19" i="35"/>
  <c r="AB79" i="35" s="1"/>
  <c r="AB18" i="35"/>
  <c r="Y99" i="35" s="1"/>
  <c r="AB17" i="35"/>
  <c r="AB77" i="35" s="1"/>
  <c r="AB16" i="35"/>
  <c r="Y97" i="35" s="1"/>
  <c r="AB15" i="35"/>
  <c r="AB75" i="35" s="1"/>
  <c r="AB14" i="35"/>
  <c r="Y95" i="35" s="1"/>
  <c r="AB13" i="35"/>
  <c r="AB73" i="35" s="1"/>
  <c r="AB12" i="35"/>
  <c r="Y93" i="35" s="1"/>
  <c r="AB11" i="35"/>
  <c r="AB71" i="35" s="1"/>
  <c r="AB10" i="35"/>
  <c r="Y91" i="35" s="1"/>
  <c r="AB9" i="35"/>
  <c r="AB69" i="35" s="1"/>
  <c r="AB8" i="35"/>
  <c r="Y89" i="35" s="1"/>
  <c r="AC8" i="30"/>
  <c r="AC9" i="30"/>
  <c r="AC10" i="30"/>
  <c r="AC11" i="30"/>
  <c r="AC12" i="30"/>
  <c r="AC13" i="30"/>
  <c r="AC14" i="30"/>
  <c r="AC15" i="30"/>
  <c r="AC16" i="30"/>
  <c r="AC17" i="30"/>
  <c r="AC18" i="30"/>
  <c r="AC19" i="30"/>
  <c r="AC20" i="30"/>
  <c r="AC21" i="30"/>
  <c r="AC22" i="30"/>
  <c r="AC23" i="30"/>
  <c r="AC7" i="30"/>
  <c r="N148" i="39"/>
  <c r="N144" i="39"/>
  <c r="N145" i="39"/>
  <c r="N146" i="39"/>
  <c r="N143" i="39"/>
  <c r="B155" i="39"/>
  <c r="N147" i="39" s="1"/>
  <c r="G156" i="39"/>
  <c r="G153" i="39"/>
  <c r="G154" i="39"/>
  <c r="G155" i="39"/>
  <c r="G152" i="39"/>
  <c r="H88" i="27"/>
  <c r="V88" i="27"/>
  <c r="H87" i="27"/>
  <c r="I47" i="36" s="1"/>
  <c r="H86" i="27"/>
  <c r="I46" i="36" s="1"/>
  <c r="H85" i="27"/>
  <c r="I45" i="36" s="1"/>
  <c r="H84" i="27"/>
  <c r="I44" i="36" s="1"/>
  <c r="H83" i="27"/>
  <c r="I43" i="36" s="1"/>
  <c r="H82" i="27"/>
  <c r="I42" i="36" s="1"/>
  <c r="H81" i="27"/>
  <c r="I41" i="36" s="1"/>
  <c r="H80" i="27"/>
  <c r="H79" i="27"/>
  <c r="W64" i="27"/>
  <c r="W63" i="27"/>
  <c r="W62" i="27"/>
  <c r="W61" i="27"/>
  <c r="W60" i="27"/>
  <c r="W59" i="27"/>
  <c r="W58" i="27"/>
  <c r="W57" i="27"/>
  <c r="W56" i="27"/>
  <c r="W55" i="27"/>
  <c r="W54" i="27"/>
  <c r="W53" i="27"/>
  <c r="W52" i="27"/>
  <c r="W51" i="27"/>
  <c r="W50" i="27"/>
  <c r="W49" i="27"/>
  <c r="W48" i="27"/>
  <c r="S110" i="27"/>
  <c r="S111" i="27"/>
  <c r="S112" i="27"/>
  <c r="S113" i="27"/>
  <c r="S114" i="27"/>
  <c r="S115" i="27"/>
  <c r="S116" i="27"/>
  <c r="AN12" i="29"/>
  <c r="AN13" i="29"/>
  <c r="AN14" i="29"/>
  <c r="AN15" i="29"/>
  <c r="AN16" i="29"/>
  <c r="AN17" i="29"/>
  <c r="AN18" i="29"/>
  <c r="AN19" i="29"/>
  <c r="AN20" i="29"/>
  <c r="AN21" i="29"/>
  <c r="AN22" i="29"/>
  <c r="AN23" i="29"/>
  <c r="AN24" i="29"/>
  <c r="AN25" i="29"/>
  <c r="AN26" i="29"/>
  <c r="AN27" i="29"/>
  <c r="AN28" i="29"/>
  <c r="AN29" i="29"/>
  <c r="AN11" i="29"/>
  <c r="P8" i="35"/>
  <c r="P10" i="35"/>
  <c r="P14" i="35"/>
  <c r="P18" i="35"/>
  <c r="P20" i="35"/>
  <c r="P21" i="35"/>
  <c r="P23" i="35"/>
  <c r="P24" i="35"/>
  <c r="X13" i="29"/>
  <c r="X24" i="29"/>
  <c r="X28" i="29"/>
  <c r="AO11" i="29"/>
  <c r="D39" i="29"/>
  <c r="B39" i="29" s="1"/>
  <c r="AO12" i="29"/>
  <c r="AO13" i="29"/>
  <c r="AO14" i="29"/>
  <c r="AO15" i="29"/>
  <c r="AO16" i="29"/>
  <c r="AO17" i="29"/>
  <c r="AO18" i="29"/>
  <c r="AO19" i="29"/>
  <c r="AO20" i="29"/>
  <c r="AO21" i="29"/>
  <c r="AO22" i="29"/>
  <c r="AO23" i="29"/>
  <c r="AO24" i="29"/>
  <c r="AO25" i="29"/>
  <c r="AO26" i="29"/>
  <c r="AO27" i="29"/>
  <c r="AO28" i="29"/>
  <c r="AO29" i="29"/>
  <c r="H8" i="42"/>
  <c r="C57" i="42" s="1"/>
  <c r="C7" i="22"/>
  <c r="B35" i="39"/>
  <c r="B36" i="39"/>
  <c r="B37" i="39"/>
  <c r="B38" i="39"/>
  <c r="B28" i="39"/>
  <c r="B29" i="39"/>
  <c r="B30" i="39"/>
  <c r="B31" i="39"/>
  <c r="B32" i="39"/>
  <c r="B33" i="39"/>
  <c r="B34" i="39"/>
  <c r="B27" i="39"/>
  <c r="B25" i="39"/>
  <c r="G92" i="39"/>
  <c r="H92" i="39"/>
  <c r="I92" i="39"/>
  <c r="J92" i="39"/>
  <c r="K92" i="39"/>
  <c r="G93" i="39"/>
  <c r="H93" i="39"/>
  <c r="I93" i="39"/>
  <c r="J93" i="39"/>
  <c r="K93" i="39"/>
  <c r="H88" i="39"/>
  <c r="I88" i="39"/>
  <c r="J88" i="39"/>
  <c r="K88" i="39"/>
  <c r="H89" i="39"/>
  <c r="I89" i="39"/>
  <c r="J89" i="39"/>
  <c r="K89" i="39"/>
  <c r="H90" i="39"/>
  <c r="I90" i="39"/>
  <c r="J90" i="39"/>
  <c r="K90" i="39"/>
  <c r="H91" i="39"/>
  <c r="I91" i="39"/>
  <c r="J91" i="39"/>
  <c r="K91" i="39"/>
  <c r="G88" i="39"/>
  <c r="G89" i="39"/>
  <c r="G90" i="39"/>
  <c r="G91" i="39"/>
  <c r="G87" i="39"/>
  <c r="G65" i="39"/>
  <c r="G66" i="39"/>
  <c r="G67" i="39"/>
  <c r="G68" i="39"/>
  <c r="G69" i="39"/>
  <c r="G70" i="39"/>
  <c r="G71" i="39"/>
  <c r="G72" i="39"/>
  <c r="G73" i="39"/>
  <c r="G74" i="39"/>
  <c r="G75" i="39"/>
  <c r="G76" i="39"/>
  <c r="G77" i="39"/>
  <c r="G78" i="39"/>
  <c r="G79" i="39"/>
  <c r="G80" i="39"/>
  <c r="G81" i="39"/>
  <c r="G82" i="39"/>
  <c r="G83" i="39"/>
  <c r="G64" i="39"/>
  <c r="G42" i="39"/>
  <c r="G43" i="39"/>
  <c r="G44" i="39"/>
  <c r="G45" i="39"/>
  <c r="G46" i="39"/>
  <c r="G47" i="39"/>
  <c r="G48" i="39"/>
  <c r="G49" i="39"/>
  <c r="G50" i="39"/>
  <c r="G51" i="39"/>
  <c r="G52" i="39"/>
  <c r="G53" i="39"/>
  <c r="G54" i="39"/>
  <c r="G55" i="39"/>
  <c r="G56" i="39"/>
  <c r="G57" i="39"/>
  <c r="G58" i="39"/>
  <c r="G59" i="39"/>
  <c r="G60" i="39"/>
  <c r="G41" i="39"/>
  <c r="G29" i="39"/>
  <c r="G30" i="39"/>
  <c r="G31" i="39"/>
  <c r="G32" i="39"/>
  <c r="G33" i="39"/>
  <c r="G34" i="39"/>
  <c r="G35" i="39"/>
  <c r="G36" i="39"/>
  <c r="G37" i="39"/>
  <c r="G28" i="39"/>
  <c r="G24" i="39"/>
  <c r="G6" i="39"/>
  <c r="G7" i="39"/>
  <c r="G8" i="39"/>
  <c r="G9" i="39"/>
  <c r="G10" i="39"/>
  <c r="G11" i="39"/>
  <c r="G12" i="39"/>
  <c r="G13" i="39"/>
  <c r="G14" i="39"/>
  <c r="G15" i="39"/>
  <c r="G16" i="39"/>
  <c r="G17" i="39"/>
  <c r="G18" i="39"/>
  <c r="G19" i="39"/>
  <c r="G20" i="39"/>
  <c r="G21" i="39"/>
  <c r="G22" i="39"/>
  <c r="G23" i="39"/>
  <c r="G5" i="39"/>
  <c r="H45" i="32"/>
  <c r="I45" i="32" s="1"/>
  <c r="H44" i="32"/>
  <c r="I44" i="32" s="1"/>
  <c r="H43" i="32"/>
  <c r="I43" i="32" s="1"/>
  <c r="H42" i="32"/>
  <c r="I42" i="32" s="1"/>
  <c r="I41" i="32"/>
  <c r="I28" i="32"/>
  <c r="BB212" i="22" s="1"/>
  <c r="I29" i="32"/>
  <c r="I30" i="32"/>
  <c r="I31" i="32"/>
  <c r="I32" i="32"/>
  <c r="I33" i="32"/>
  <c r="I34" i="32"/>
  <c r="I35" i="32"/>
  <c r="I36" i="32"/>
  <c r="D37" i="39"/>
  <c r="C19" i="36"/>
  <c r="C32" i="36"/>
  <c r="BA117" i="22"/>
  <c r="BC117" i="22"/>
  <c r="BD117" i="22"/>
  <c r="BE117" i="22"/>
  <c r="BF117" i="22"/>
  <c r="BG117" i="22"/>
  <c r="BH117" i="22"/>
  <c r="BI117" i="22"/>
  <c r="BJ117" i="22"/>
  <c r="BK117" i="22"/>
  <c r="BL117" i="22"/>
  <c r="BM117" i="22"/>
  <c r="BN117" i="22"/>
  <c r="BO117" i="22"/>
  <c r="BP117" i="22"/>
  <c r="BQ117" i="22"/>
  <c r="BR117" i="22"/>
  <c r="BS117" i="22"/>
  <c r="BT117" i="22"/>
  <c r="T123" i="27"/>
  <c r="T124" i="27"/>
  <c r="CE3" i="22"/>
  <c r="CF3" i="22"/>
  <c r="H11" i="22" s="1"/>
  <c r="BC4" i="22"/>
  <c r="BD4" i="22"/>
  <c r="BE4" i="22"/>
  <c r="BF4" i="22"/>
  <c r="BG4" i="22"/>
  <c r="BH4" i="22"/>
  <c r="BI4" i="22"/>
  <c r="BJ4" i="22"/>
  <c r="BK4" i="22"/>
  <c r="BL4" i="22"/>
  <c r="BM4" i="22"/>
  <c r="BN4" i="22"/>
  <c r="BO4" i="22"/>
  <c r="BP4" i="22"/>
  <c r="BQ4" i="22"/>
  <c r="BR4" i="22"/>
  <c r="BS4" i="22"/>
  <c r="BT4" i="22"/>
  <c r="BC5" i="22"/>
  <c r="BD5" i="22"/>
  <c r="BE5" i="22"/>
  <c r="BF5" i="22"/>
  <c r="BG5" i="22"/>
  <c r="BH5" i="22"/>
  <c r="BI5" i="22"/>
  <c r="BJ5" i="22"/>
  <c r="BK5" i="22"/>
  <c r="BL5" i="22"/>
  <c r="BM5" i="22"/>
  <c r="BN5" i="22"/>
  <c r="BO5" i="22"/>
  <c r="BP5" i="22"/>
  <c r="BQ5" i="22"/>
  <c r="BR5" i="22"/>
  <c r="BS5" i="22"/>
  <c r="BT5" i="22"/>
  <c r="BA6" i="22"/>
  <c r="BC6" i="22"/>
  <c r="BD6" i="22"/>
  <c r="BE6" i="22"/>
  <c r="BF6" i="22"/>
  <c r="BG6" i="22"/>
  <c r="BH6" i="22"/>
  <c r="BI6" i="22"/>
  <c r="BJ6" i="22"/>
  <c r="BK6" i="22"/>
  <c r="BL6" i="22"/>
  <c r="BM6" i="22"/>
  <c r="BN6" i="22"/>
  <c r="BO6" i="22"/>
  <c r="BP6" i="22"/>
  <c r="BQ6" i="22"/>
  <c r="BR6" i="22"/>
  <c r="BS6" i="22"/>
  <c r="BT6" i="22"/>
  <c r="BA9" i="22"/>
  <c r="BC9" i="22"/>
  <c r="BD9" i="22"/>
  <c r="BE9" i="22"/>
  <c r="BF9" i="22"/>
  <c r="BG9" i="22"/>
  <c r="BH9" i="22"/>
  <c r="BI9" i="22"/>
  <c r="BJ9" i="22"/>
  <c r="BK9" i="22"/>
  <c r="BL9" i="22"/>
  <c r="BM9" i="22"/>
  <c r="BN9" i="22"/>
  <c r="BO9" i="22"/>
  <c r="BP9" i="22"/>
  <c r="BQ9" i="22"/>
  <c r="BR9" i="22"/>
  <c r="BS9" i="22"/>
  <c r="BT9" i="22"/>
  <c r="BA12" i="22"/>
  <c r="BC12" i="22"/>
  <c r="BD12" i="22"/>
  <c r="BE12" i="22"/>
  <c r="BF12" i="22"/>
  <c r="BG12" i="22"/>
  <c r="BH12" i="22"/>
  <c r="BI12" i="22"/>
  <c r="BJ12" i="22"/>
  <c r="BK12" i="22"/>
  <c r="BL12" i="22"/>
  <c r="BM12" i="22"/>
  <c r="BN12" i="22"/>
  <c r="BO12" i="22"/>
  <c r="BP12" i="22"/>
  <c r="BQ12" i="22"/>
  <c r="BR12" i="22"/>
  <c r="BS12" i="22"/>
  <c r="BT12" i="22"/>
  <c r="O13" i="22"/>
  <c r="BA13" i="22"/>
  <c r="BC13" i="22"/>
  <c r="BD13" i="22"/>
  <c r="BE13" i="22"/>
  <c r="BF13" i="22"/>
  <c r="BG13" i="22"/>
  <c r="BH13" i="22"/>
  <c r="BI13" i="22"/>
  <c r="BJ13" i="22"/>
  <c r="BK13" i="22"/>
  <c r="BL13" i="22"/>
  <c r="BM13" i="22"/>
  <c r="BN13" i="22"/>
  <c r="BO13" i="22"/>
  <c r="BP13" i="22"/>
  <c r="BQ13" i="22"/>
  <c r="BR13" i="22"/>
  <c r="BS13" i="22"/>
  <c r="BT13" i="22"/>
  <c r="BA14" i="22"/>
  <c r="BC14" i="22"/>
  <c r="BD14" i="22"/>
  <c r="BE14" i="22"/>
  <c r="BF14" i="22"/>
  <c r="BG14" i="22"/>
  <c r="BH14" i="22"/>
  <c r="BI14" i="22"/>
  <c r="BJ14" i="22"/>
  <c r="BK14" i="22"/>
  <c r="BL14" i="22"/>
  <c r="BM14" i="22"/>
  <c r="BN14" i="22"/>
  <c r="BO14" i="22"/>
  <c r="BP14" i="22"/>
  <c r="BQ14" i="22"/>
  <c r="BR14" i="22"/>
  <c r="BS14" i="22"/>
  <c r="BT14" i="22"/>
  <c r="BC15" i="22"/>
  <c r="BD15" i="22"/>
  <c r="BE15" i="22"/>
  <c r="BF15" i="22"/>
  <c r="BG15" i="22"/>
  <c r="BH15" i="22"/>
  <c r="BI15" i="22"/>
  <c r="BJ15" i="22"/>
  <c r="BK15" i="22"/>
  <c r="BL15" i="22"/>
  <c r="BM15" i="22"/>
  <c r="BN15" i="22"/>
  <c r="BO15" i="22"/>
  <c r="BP15" i="22"/>
  <c r="BQ15" i="22"/>
  <c r="BR15" i="22"/>
  <c r="BS15" i="22"/>
  <c r="BT15" i="22"/>
  <c r="BC25" i="22"/>
  <c r="BD25" i="22"/>
  <c r="BE25" i="22"/>
  <c r="BF25" i="22"/>
  <c r="BG25" i="22"/>
  <c r="BH25" i="22"/>
  <c r="BI25" i="22"/>
  <c r="BJ25" i="22"/>
  <c r="BK25" i="22"/>
  <c r="BL25" i="22"/>
  <c r="BM25" i="22"/>
  <c r="BN25" i="22"/>
  <c r="BO25" i="22"/>
  <c r="BP25" i="22"/>
  <c r="BQ25" i="22"/>
  <c r="BR25" i="22"/>
  <c r="BS25" i="22"/>
  <c r="BT25" i="22"/>
  <c r="BB37" i="22"/>
  <c r="BB44" i="22" s="1"/>
  <c r="BC37" i="22"/>
  <c r="BD37" i="22"/>
  <c r="BE37" i="22"/>
  <c r="BF37" i="22"/>
  <c r="BG37" i="22"/>
  <c r="BH37" i="22"/>
  <c r="BI37" i="22"/>
  <c r="BJ37" i="22"/>
  <c r="BK37" i="22"/>
  <c r="BL37" i="22"/>
  <c r="BM37" i="22"/>
  <c r="BN37" i="22"/>
  <c r="BO37" i="22"/>
  <c r="BP37" i="22"/>
  <c r="BQ37" i="22"/>
  <c r="BR37" i="22"/>
  <c r="BS37" i="22"/>
  <c r="BT37" i="22"/>
  <c r="BB38" i="22"/>
  <c r="BC38" i="22"/>
  <c r="BD38" i="22"/>
  <c r="BE38" i="22"/>
  <c r="BF38" i="22"/>
  <c r="BG38" i="22"/>
  <c r="BH38" i="22"/>
  <c r="BI38" i="22"/>
  <c r="BJ38" i="22"/>
  <c r="BK38" i="22"/>
  <c r="BL38" i="22"/>
  <c r="BM38" i="22"/>
  <c r="BN38" i="22"/>
  <c r="BO38" i="22"/>
  <c r="BP38" i="22"/>
  <c r="BQ38" i="22"/>
  <c r="BR38" i="22"/>
  <c r="BS38" i="22"/>
  <c r="BT38" i="22"/>
  <c r="BA39" i="22"/>
  <c r="BB39" i="22"/>
  <c r="BC39" i="22"/>
  <c r="BD39" i="22"/>
  <c r="BE39" i="22"/>
  <c r="BF39" i="22"/>
  <c r="BG39" i="22"/>
  <c r="BH39" i="22"/>
  <c r="BI39" i="22"/>
  <c r="BJ39" i="22"/>
  <c r="BK39" i="22"/>
  <c r="BL39" i="22"/>
  <c r="BM39" i="22"/>
  <c r="BN39" i="22"/>
  <c r="BO39" i="22"/>
  <c r="BP39" i="22"/>
  <c r="BQ39" i="22"/>
  <c r="BR39" i="22"/>
  <c r="BS39" i="22"/>
  <c r="BT39" i="22"/>
  <c r="BA40" i="22"/>
  <c r="BB40" i="22"/>
  <c r="BC40" i="22"/>
  <c r="BD40" i="22"/>
  <c r="BE40" i="22"/>
  <c r="BF40" i="22"/>
  <c r="BG40" i="22"/>
  <c r="BH40" i="22"/>
  <c r="BI40" i="22"/>
  <c r="BJ40" i="22"/>
  <c r="BK40" i="22"/>
  <c r="BL40" i="22"/>
  <c r="BM40" i="22"/>
  <c r="BN40" i="22"/>
  <c r="BO40" i="22"/>
  <c r="BP40" i="22"/>
  <c r="BQ40" i="22"/>
  <c r="BR40" i="22"/>
  <c r="BS40" i="22"/>
  <c r="BT40" i="22"/>
  <c r="BA41" i="22"/>
  <c r="BB41" i="22"/>
  <c r="BC41" i="22"/>
  <c r="BD41" i="22"/>
  <c r="BE41" i="22"/>
  <c r="BF41" i="22"/>
  <c r="BG41" i="22"/>
  <c r="BH41" i="22"/>
  <c r="BI41" i="22"/>
  <c r="BJ41" i="22"/>
  <c r="BK41" i="22"/>
  <c r="BL41" i="22"/>
  <c r="BM41" i="22"/>
  <c r="BN41" i="22"/>
  <c r="BO41" i="22"/>
  <c r="BP41" i="22"/>
  <c r="BQ41" i="22"/>
  <c r="BR41" i="22"/>
  <c r="BS41" i="22"/>
  <c r="BT41" i="22"/>
  <c r="BA43" i="22"/>
  <c r="BB43" i="22"/>
  <c r="BC43" i="22"/>
  <c r="BD43" i="22"/>
  <c r="BE43" i="22"/>
  <c r="BF43" i="22"/>
  <c r="BG43" i="22"/>
  <c r="BH43" i="22"/>
  <c r="BI43" i="22"/>
  <c r="BJ43" i="22"/>
  <c r="BK43" i="22"/>
  <c r="BL43" i="22"/>
  <c r="BM43" i="22"/>
  <c r="BN43" i="22"/>
  <c r="BO43" i="22"/>
  <c r="BP43" i="22"/>
  <c r="BQ43" i="22"/>
  <c r="BR43" i="22"/>
  <c r="BS43" i="22"/>
  <c r="BT43" i="22"/>
  <c r="BA46" i="22"/>
  <c r="BC46" i="22"/>
  <c r="BD46" i="22"/>
  <c r="BE46" i="22"/>
  <c r="BF46" i="22"/>
  <c r="BG46" i="22"/>
  <c r="BH46" i="22"/>
  <c r="BI46" i="22"/>
  <c r="BJ46" i="22"/>
  <c r="BK46" i="22"/>
  <c r="BL46" i="22"/>
  <c r="BM46" i="22"/>
  <c r="BN46" i="22"/>
  <c r="BO46" i="22"/>
  <c r="BP46" i="22"/>
  <c r="BQ46" i="22"/>
  <c r="BR46" i="22"/>
  <c r="BS46" i="22"/>
  <c r="BT46" i="22"/>
  <c r="BA47" i="22"/>
  <c r="BC47" i="22"/>
  <c r="BD47" i="22"/>
  <c r="BE47" i="22"/>
  <c r="BF47" i="22"/>
  <c r="BG47" i="22"/>
  <c r="BH47" i="22"/>
  <c r="BI47" i="22"/>
  <c r="BJ47" i="22"/>
  <c r="BK47" i="22"/>
  <c r="BL47" i="22"/>
  <c r="BM47" i="22"/>
  <c r="BN47" i="22"/>
  <c r="BO47" i="22"/>
  <c r="BP47" i="22"/>
  <c r="BQ47" i="22"/>
  <c r="BR47" i="22"/>
  <c r="BS47" i="22"/>
  <c r="BT47" i="22"/>
  <c r="BA48" i="22"/>
  <c r="BC48" i="22"/>
  <c r="BD48" i="22"/>
  <c r="BE48" i="22"/>
  <c r="BF48" i="22"/>
  <c r="BG48" i="22"/>
  <c r="BH48" i="22"/>
  <c r="BI48" i="22"/>
  <c r="BJ48" i="22"/>
  <c r="BK48" i="22"/>
  <c r="BL48" i="22"/>
  <c r="BM48" i="22"/>
  <c r="BN48" i="22"/>
  <c r="BO48" i="22"/>
  <c r="BP48" i="22"/>
  <c r="BQ48" i="22"/>
  <c r="BR48" i="22"/>
  <c r="BS48" i="22"/>
  <c r="BT48" i="22"/>
  <c r="BA49" i="22"/>
  <c r="BC49" i="22"/>
  <c r="BD49" i="22"/>
  <c r="BE49" i="22"/>
  <c r="BF49" i="22"/>
  <c r="BG49" i="22"/>
  <c r="BH49" i="22"/>
  <c r="BI49" i="22"/>
  <c r="BJ49" i="22"/>
  <c r="BK49" i="22"/>
  <c r="BL49" i="22"/>
  <c r="BM49" i="22"/>
  <c r="BN49" i="22"/>
  <c r="BO49" i="22"/>
  <c r="BP49" i="22"/>
  <c r="BQ49" i="22"/>
  <c r="BR49" i="22"/>
  <c r="BS49" i="22"/>
  <c r="BT49" i="22"/>
  <c r="BA50" i="22"/>
  <c r="BC50" i="22"/>
  <c r="BD50" i="22"/>
  <c r="BE50" i="22"/>
  <c r="BF50" i="22"/>
  <c r="BG50" i="22"/>
  <c r="BH50" i="22"/>
  <c r="BI50" i="22"/>
  <c r="BJ50" i="22"/>
  <c r="BK50" i="22"/>
  <c r="BL50" i="22"/>
  <c r="BM50" i="22"/>
  <c r="BN50" i="22"/>
  <c r="BO50" i="22"/>
  <c r="BP50" i="22"/>
  <c r="BQ50" i="22"/>
  <c r="BR50" i="22"/>
  <c r="BS50" i="22"/>
  <c r="BT50" i="22"/>
  <c r="BA51" i="22"/>
  <c r="BC51" i="22"/>
  <c r="BD51" i="22"/>
  <c r="BE51" i="22"/>
  <c r="BF51" i="22"/>
  <c r="BG51" i="22"/>
  <c r="BH51" i="22"/>
  <c r="BI51" i="22"/>
  <c r="BJ51" i="22"/>
  <c r="BK51" i="22"/>
  <c r="BL51" i="22"/>
  <c r="BM51" i="22"/>
  <c r="BN51" i="22"/>
  <c r="BO51" i="22"/>
  <c r="BP51" i="22"/>
  <c r="BQ51" i="22"/>
  <c r="BR51" i="22"/>
  <c r="BS51" i="22"/>
  <c r="BT51" i="22"/>
  <c r="BA52" i="22"/>
  <c r="BC52" i="22"/>
  <c r="BD52" i="22"/>
  <c r="BE52" i="22"/>
  <c r="BF52" i="22"/>
  <c r="BG52" i="22"/>
  <c r="BH52" i="22"/>
  <c r="BI52" i="22"/>
  <c r="BJ52" i="22"/>
  <c r="BK52" i="22"/>
  <c r="BL52" i="22"/>
  <c r="BM52" i="22"/>
  <c r="BN52" i="22"/>
  <c r="BO52" i="22"/>
  <c r="BP52" i="22"/>
  <c r="BQ52" i="22"/>
  <c r="BR52" i="22"/>
  <c r="BS52" i="22"/>
  <c r="BT52" i="22"/>
  <c r="BA53" i="22"/>
  <c r="BC53" i="22"/>
  <c r="BD53" i="22"/>
  <c r="BE53" i="22"/>
  <c r="BF53" i="22"/>
  <c r="BG53" i="22"/>
  <c r="BH53" i="22"/>
  <c r="BI53" i="22"/>
  <c r="BJ53" i="22"/>
  <c r="BK53" i="22"/>
  <c r="BL53" i="22"/>
  <c r="BM53" i="22"/>
  <c r="BN53" i="22"/>
  <c r="BO53" i="22"/>
  <c r="BP53" i="22"/>
  <c r="BQ53" i="22"/>
  <c r="BR53" i="22"/>
  <c r="BS53" i="22"/>
  <c r="BT53" i="22"/>
  <c r="C54" i="22"/>
  <c r="BA66" i="22"/>
  <c r="BB66" i="22"/>
  <c r="BB107" i="22" s="1"/>
  <c r="BC66" i="22"/>
  <c r="BC107" i="22" s="1"/>
  <c r="BD66" i="22"/>
  <c r="BD107" i="22" s="1"/>
  <c r="BE66" i="22"/>
  <c r="BE107" i="22" s="1"/>
  <c r="BF66" i="22"/>
  <c r="BF107" i="22" s="1"/>
  <c r="BG66" i="22"/>
  <c r="BG107" i="22" s="1"/>
  <c r="BH66" i="22"/>
  <c r="BH107" i="22" s="1"/>
  <c r="BI66" i="22"/>
  <c r="BI107" i="22" s="1"/>
  <c r="BJ66" i="22"/>
  <c r="BJ107" i="22" s="1"/>
  <c r="BK66" i="22"/>
  <c r="BK107" i="22" s="1"/>
  <c r="BL66" i="22"/>
  <c r="BL107" i="22" s="1"/>
  <c r="BM66" i="22"/>
  <c r="BM107" i="22" s="1"/>
  <c r="BN66" i="22"/>
  <c r="BN107" i="22" s="1"/>
  <c r="BO66" i="22"/>
  <c r="BO107" i="22" s="1"/>
  <c r="BP66" i="22"/>
  <c r="BP107" i="22" s="1"/>
  <c r="BQ66" i="22"/>
  <c r="BR66" i="22"/>
  <c r="BR107" i="22" s="1"/>
  <c r="BS66" i="22"/>
  <c r="BS107" i="22" s="1"/>
  <c r="BT66" i="22"/>
  <c r="BT107" i="22" s="1"/>
  <c r="BA67" i="22"/>
  <c r="BB67" i="22"/>
  <c r="BC67" i="22"/>
  <c r="BD67" i="22"/>
  <c r="BE67" i="22"/>
  <c r="BF67" i="22"/>
  <c r="BG67" i="22"/>
  <c r="BH67" i="22"/>
  <c r="BI67" i="22"/>
  <c r="BJ67" i="22"/>
  <c r="BK67" i="22"/>
  <c r="BL67" i="22"/>
  <c r="BM67" i="22"/>
  <c r="BN67" i="22"/>
  <c r="BO67" i="22"/>
  <c r="BP67" i="22"/>
  <c r="BQ67" i="22"/>
  <c r="BR67" i="22"/>
  <c r="BS67" i="22"/>
  <c r="BT67" i="22"/>
  <c r="BA68" i="22"/>
  <c r="BB68" i="22"/>
  <c r="BC68" i="22"/>
  <c r="BD68" i="22"/>
  <c r="BE68" i="22"/>
  <c r="BF68" i="22"/>
  <c r="BG68" i="22"/>
  <c r="BH68" i="22"/>
  <c r="BI68" i="22"/>
  <c r="BJ68" i="22"/>
  <c r="BK68" i="22"/>
  <c r="BL68" i="22"/>
  <c r="BM68" i="22"/>
  <c r="BN68" i="22"/>
  <c r="BO68" i="22"/>
  <c r="BP68" i="22"/>
  <c r="BQ68" i="22"/>
  <c r="BR68" i="22"/>
  <c r="BS68" i="22"/>
  <c r="BT68" i="22"/>
  <c r="BA70" i="22"/>
  <c r="BB70" i="22"/>
  <c r="BC70" i="22"/>
  <c r="BD70" i="22"/>
  <c r="BE70" i="22"/>
  <c r="BF70" i="22"/>
  <c r="BG70" i="22"/>
  <c r="BH70" i="22"/>
  <c r="BI70" i="22"/>
  <c r="BJ70" i="22"/>
  <c r="BK70" i="22"/>
  <c r="BL70" i="22"/>
  <c r="BM70" i="22"/>
  <c r="BN70" i="22"/>
  <c r="BO70" i="22"/>
  <c r="BP70" i="22"/>
  <c r="BQ70" i="22"/>
  <c r="BR70" i="22"/>
  <c r="BS70" i="22"/>
  <c r="BT70" i="22"/>
  <c r="BA71" i="22"/>
  <c r="BB71" i="22"/>
  <c r="BC71" i="22"/>
  <c r="BD71" i="22"/>
  <c r="BE71" i="22"/>
  <c r="BF71" i="22"/>
  <c r="BG71" i="22"/>
  <c r="BH71" i="22"/>
  <c r="BI71" i="22"/>
  <c r="BJ71" i="22"/>
  <c r="BK71" i="22"/>
  <c r="BL71" i="22"/>
  <c r="BM71" i="22"/>
  <c r="BN71" i="22"/>
  <c r="BO71" i="22"/>
  <c r="BP71" i="22"/>
  <c r="BQ71" i="22"/>
  <c r="BR71" i="22"/>
  <c r="BS71" i="22"/>
  <c r="BT71" i="22"/>
  <c r="BA73" i="22"/>
  <c r="BB73" i="22"/>
  <c r="BC73" i="22"/>
  <c r="BD73" i="22"/>
  <c r="BE73" i="22"/>
  <c r="BF73" i="22"/>
  <c r="BG73" i="22"/>
  <c r="BH73" i="22"/>
  <c r="BI73" i="22"/>
  <c r="BJ73" i="22"/>
  <c r="BK73" i="22"/>
  <c r="BL73" i="22"/>
  <c r="BM73" i="22"/>
  <c r="BN73" i="22"/>
  <c r="BO73" i="22"/>
  <c r="BP73" i="22"/>
  <c r="BQ73" i="22"/>
  <c r="BR73" i="22"/>
  <c r="BS73" i="22"/>
  <c r="BT73" i="22"/>
  <c r="BA75" i="22"/>
  <c r="BB75" i="22"/>
  <c r="BC75" i="22"/>
  <c r="BD75" i="22"/>
  <c r="BE75" i="22"/>
  <c r="BF75" i="22"/>
  <c r="BG75" i="22"/>
  <c r="BH75" i="22"/>
  <c r="BI75" i="22"/>
  <c r="BJ75" i="22"/>
  <c r="BK75" i="22"/>
  <c r="BL75" i="22"/>
  <c r="BM75" i="22"/>
  <c r="BN75" i="22"/>
  <c r="BO75" i="22"/>
  <c r="BP75" i="22"/>
  <c r="BQ75" i="22"/>
  <c r="BR75" i="22"/>
  <c r="BS75" i="22"/>
  <c r="BT75" i="22"/>
  <c r="BA77" i="22"/>
  <c r="BB77" i="22"/>
  <c r="BC77" i="22"/>
  <c r="BD77" i="22"/>
  <c r="BE77" i="22"/>
  <c r="BF77" i="22"/>
  <c r="BG77" i="22"/>
  <c r="BH77" i="22"/>
  <c r="BI77" i="22"/>
  <c r="BJ77" i="22"/>
  <c r="BK77" i="22"/>
  <c r="BL77" i="22"/>
  <c r="BM77" i="22"/>
  <c r="BN77" i="22"/>
  <c r="BO77" i="22"/>
  <c r="BP77" i="22"/>
  <c r="BQ77" i="22"/>
  <c r="BR77" i="22"/>
  <c r="BS77" i="22"/>
  <c r="BT77" i="22"/>
  <c r="BA81" i="22"/>
  <c r="BB81" i="22"/>
  <c r="BC81" i="22"/>
  <c r="BD81" i="22"/>
  <c r="BE81" i="22"/>
  <c r="BF81" i="22"/>
  <c r="BG81" i="22"/>
  <c r="BH81" i="22"/>
  <c r="BI81" i="22"/>
  <c r="BJ81" i="22"/>
  <c r="BK81" i="22"/>
  <c r="BL81" i="22"/>
  <c r="BM81" i="22"/>
  <c r="BN81" i="22"/>
  <c r="BO81" i="22"/>
  <c r="BP81" i="22"/>
  <c r="BQ81" i="22"/>
  <c r="BR81" i="22"/>
  <c r="BS81" i="22"/>
  <c r="BT81" i="22"/>
  <c r="BA82" i="22"/>
  <c r="BB82" i="22"/>
  <c r="BC82" i="22"/>
  <c r="BD82" i="22"/>
  <c r="BE82" i="22"/>
  <c r="BF82" i="22"/>
  <c r="BG82" i="22"/>
  <c r="BH82" i="22"/>
  <c r="BI82" i="22"/>
  <c r="BJ82" i="22"/>
  <c r="BK82" i="22"/>
  <c r="BL82" i="22"/>
  <c r="BM82" i="22"/>
  <c r="BN82" i="22"/>
  <c r="BO82" i="22"/>
  <c r="BP82" i="22"/>
  <c r="BQ82" i="22"/>
  <c r="BR82" i="22"/>
  <c r="BS82" i="22"/>
  <c r="BT82" i="22"/>
  <c r="BA88" i="22"/>
  <c r="BB88" i="22"/>
  <c r="BC88" i="22"/>
  <c r="BD88" i="22"/>
  <c r="BE88" i="22"/>
  <c r="BF88" i="22"/>
  <c r="BG88" i="22"/>
  <c r="BH88" i="22"/>
  <c r="BI88" i="22"/>
  <c r="BJ88" i="22"/>
  <c r="BK88" i="22"/>
  <c r="BL88" i="22"/>
  <c r="BM88" i="22"/>
  <c r="BN88" i="22"/>
  <c r="BO88" i="22"/>
  <c r="BP88" i="22"/>
  <c r="BQ88" i="22"/>
  <c r="BR88" i="22"/>
  <c r="BS88" i="22"/>
  <c r="BT88" i="22"/>
  <c r="BA91" i="22"/>
  <c r="BB91" i="22"/>
  <c r="BC91" i="22"/>
  <c r="BD91" i="22"/>
  <c r="BE91" i="22"/>
  <c r="BF91" i="22"/>
  <c r="BG91" i="22"/>
  <c r="BH91" i="22"/>
  <c r="BI91" i="22"/>
  <c r="BJ91" i="22"/>
  <c r="BK91" i="22"/>
  <c r="BL91" i="22"/>
  <c r="BM91" i="22"/>
  <c r="BN91" i="22"/>
  <c r="BO91" i="22"/>
  <c r="BP91" i="22"/>
  <c r="BQ91" i="22"/>
  <c r="BR91" i="22"/>
  <c r="BS91" i="22"/>
  <c r="BT91" i="22"/>
  <c r="BA92" i="22"/>
  <c r="BB92" i="22"/>
  <c r="BC92" i="22"/>
  <c r="BD92" i="22"/>
  <c r="BE92" i="22"/>
  <c r="BF92" i="22"/>
  <c r="BG92" i="22"/>
  <c r="BH92" i="22"/>
  <c r="BI92" i="22"/>
  <c r="BJ92" i="22"/>
  <c r="BK92" i="22"/>
  <c r="BL92" i="22"/>
  <c r="BM92" i="22"/>
  <c r="BN92" i="22"/>
  <c r="BO92" i="22"/>
  <c r="BP92" i="22"/>
  <c r="BQ92" i="22"/>
  <c r="BR92" i="22"/>
  <c r="BS92" i="22"/>
  <c r="BT92" i="22"/>
  <c r="BA95" i="22"/>
  <c r="BB95" i="22"/>
  <c r="BC95" i="22"/>
  <c r="BD95" i="22"/>
  <c r="BE95" i="22"/>
  <c r="BF95" i="22"/>
  <c r="BG95" i="22"/>
  <c r="BH95" i="22"/>
  <c r="BI95" i="22"/>
  <c r="BJ95" i="22"/>
  <c r="BK95" i="22"/>
  <c r="BL95" i="22"/>
  <c r="BM95" i="22"/>
  <c r="BN95" i="22"/>
  <c r="BO95" i="22"/>
  <c r="BP95" i="22"/>
  <c r="BQ95" i="22"/>
  <c r="BR95" i="22"/>
  <c r="BS95" i="22"/>
  <c r="BT95" i="22"/>
  <c r="BA96" i="22"/>
  <c r="BB96" i="22"/>
  <c r="BC96" i="22"/>
  <c r="BD96" i="22"/>
  <c r="BE96" i="22"/>
  <c r="BF96" i="22"/>
  <c r="BG96" i="22"/>
  <c r="BH96" i="22"/>
  <c r="BI96" i="22"/>
  <c r="BJ96" i="22"/>
  <c r="BK96" i="22"/>
  <c r="BL96" i="22"/>
  <c r="BM96" i="22"/>
  <c r="BN96" i="22"/>
  <c r="BO96" i="22"/>
  <c r="BP96" i="22"/>
  <c r="BQ96" i="22"/>
  <c r="BR96" i="22"/>
  <c r="BS96" i="22"/>
  <c r="BT96" i="22"/>
  <c r="BA97" i="22"/>
  <c r="BB97" i="22"/>
  <c r="BC97" i="22"/>
  <c r="BD97" i="22"/>
  <c r="BE97" i="22"/>
  <c r="BF97" i="22"/>
  <c r="BG97" i="22"/>
  <c r="BH97" i="22"/>
  <c r="BI97" i="22"/>
  <c r="BJ97" i="22"/>
  <c r="BK97" i="22"/>
  <c r="BL97" i="22"/>
  <c r="BM97" i="22"/>
  <c r="BN97" i="22"/>
  <c r="BO97" i="22"/>
  <c r="BP97" i="22"/>
  <c r="BQ97" i="22"/>
  <c r="BR97" i="22"/>
  <c r="BS97" i="22"/>
  <c r="BT97" i="22"/>
  <c r="BA100" i="22"/>
  <c r="BB100" i="22"/>
  <c r="BC100" i="22"/>
  <c r="BD100" i="22"/>
  <c r="BE100" i="22"/>
  <c r="BF100" i="22"/>
  <c r="BG100" i="22"/>
  <c r="BH100" i="22"/>
  <c r="BI100" i="22"/>
  <c r="BJ100" i="22"/>
  <c r="BK100" i="22"/>
  <c r="BL100" i="22"/>
  <c r="BM100" i="22"/>
  <c r="BN100" i="22"/>
  <c r="BO100" i="22"/>
  <c r="BP100" i="22"/>
  <c r="BQ100" i="22"/>
  <c r="BR100" i="22"/>
  <c r="BS100" i="22"/>
  <c r="BT100" i="22"/>
  <c r="BA101" i="22"/>
  <c r="BB101" i="22"/>
  <c r="BC101" i="22"/>
  <c r="BD101" i="22"/>
  <c r="BE101" i="22"/>
  <c r="BF101" i="22"/>
  <c r="BG101" i="22"/>
  <c r="BH101" i="22"/>
  <c r="BI101" i="22"/>
  <c r="BJ101" i="22"/>
  <c r="BK101" i="22"/>
  <c r="BL101" i="22"/>
  <c r="BM101" i="22"/>
  <c r="BN101" i="22"/>
  <c r="BO101" i="22"/>
  <c r="BP101" i="22"/>
  <c r="BQ101" i="22"/>
  <c r="BR101" i="22"/>
  <c r="BS101" i="22"/>
  <c r="BT101" i="22"/>
  <c r="BA102" i="22"/>
  <c r="BB102" i="22"/>
  <c r="BC102" i="22"/>
  <c r="BD102" i="22"/>
  <c r="BE102" i="22"/>
  <c r="BF102" i="22"/>
  <c r="BG102" i="22"/>
  <c r="BH102" i="22"/>
  <c r="BI102" i="22"/>
  <c r="BJ102" i="22"/>
  <c r="BK102" i="22"/>
  <c r="BL102" i="22"/>
  <c r="BM102" i="22"/>
  <c r="BN102" i="22"/>
  <c r="BO102" i="22"/>
  <c r="BP102" i="22"/>
  <c r="BQ102" i="22"/>
  <c r="BR102" i="22"/>
  <c r="BS102" i="22"/>
  <c r="BT102" i="22"/>
  <c r="BA103" i="22"/>
  <c r="BB103" i="22"/>
  <c r="BC103" i="22"/>
  <c r="BD103" i="22"/>
  <c r="BE103" i="22"/>
  <c r="BF103" i="22"/>
  <c r="BG103" i="22"/>
  <c r="BH103" i="22"/>
  <c r="BI103" i="22"/>
  <c r="BJ103" i="22"/>
  <c r="BK103" i="22"/>
  <c r="BL103" i="22"/>
  <c r="BM103" i="22"/>
  <c r="BN103" i="22"/>
  <c r="BO103" i="22"/>
  <c r="BP103" i="22"/>
  <c r="BQ103" i="22"/>
  <c r="BR103" i="22"/>
  <c r="BS103" i="22"/>
  <c r="BT103" i="22"/>
  <c r="BA104" i="22"/>
  <c r="BB104" i="22"/>
  <c r="BC104" i="22"/>
  <c r="BD104" i="22"/>
  <c r="BE104" i="22"/>
  <c r="BF104" i="22"/>
  <c r="BG104" i="22"/>
  <c r="BH104" i="22"/>
  <c r="BI104" i="22"/>
  <c r="BJ104" i="22"/>
  <c r="BK104" i="22"/>
  <c r="BL104" i="22"/>
  <c r="BM104" i="22"/>
  <c r="BN104" i="22"/>
  <c r="BO104" i="22"/>
  <c r="BP104" i="22"/>
  <c r="BQ104" i="22"/>
  <c r="BR104" i="22"/>
  <c r="BS104" i="22"/>
  <c r="BT104" i="22"/>
  <c r="BA105" i="22"/>
  <c r="BB105" i="22"/>
  <c r="BC105" i="22"/>
  <c r="BD105" i="22"/>
  <c r="BE105" i="22"/>
  <c r="BF105" i="22"/>
  <c r="BG105" i="22"/>
  <c r="BH105" i="22"/>
  <c r="BI105" i="22"/>
  <c r="BJ105" i="22"/>
  <c r="BK105" i="22"/>
  <c r="BL105" i="22"/>
  <c r="BM105" i="22"/>
  <c r="BN105" i="22"/>
  <c r="BO105" i="22"/>
  <c r="BP105" i="22"/>
  <c r="BQ105" i="22"/>
  <c r="BR105" i="22"/>
  <c r="BS105" i="22"/>
  <c r="BT105" i="22"/>
  <c r="BA106" i="22"/>
  <c r="BB106" i="22"/>
  <c r="BC106" i="22"/>
  <c r="BD106" i="22"/>
  <c r="BE106" i="22"/>
  <c r="BF106" i="22"/>
  <c r="BG106" i="22"/>
  <c r="BH106" i="22"/>
  <c r="BI106" i="22"/>
  <c r="BJ106" i="22"/>
  <c r="BK106" i="22"/>
  <c r="BL106" i="22"/>
  <c r="BM106" i="22"/>
  <c r="BN106" i="22"/>
  <c r="BO106" i="22"/>
  <c r="BP106" i="22"/>
  <c r="BQ106" i="22"/>
  <c r="BR106" i="22"/>
  <c r="BS106" i="22"/>
  <c r="BT106" i="22"/>
  <c r="BQ107" i="22"/>
  <c r="BA108" i="22"/>
  <c r="BC108" i="22"/>
  <c r="BD108" i="22"/>
  <c r="BE108" i="22"/>
  <c r="BF108" i="22"/>
  <c r="BG108" i="22"/>
  <c r="BH108" i="22"/>
  <c r="BI108" i="22"/>
  <c r="BJ108" i="22"/>
  <c r="BK108" i="22"/>
  <c r="BL108" i="22"/>
  <c r="BM108" i="22"/>
  <c r="BN108" i="22"/>
  <c r="BO108" i="22"/>
  <c r="BP108" i="22"/>
  <c r="BQ108" i="22"/>
  <c r="BR108" i="22"/>
  <c r="BS108" i="22"/>
  <c r="BT108" i="22"/>
  <c r="BA115" i="22"/>
  <c r="BC115" i="22"/>
  <c r="BD115" i="22"/>
  <c r="BE115" i="22"/>
  <c r="BF115" i="22"/>
  <c r="BG115" i="22"/>
  <c r="BH115" i="22"/>
  <c r="BI115" i="22"/>
  <c r="BJ115" i="22"/>
  <c r="BK115" i="22"/>
  <c r="BL115" i="22"/>
  <c r="BM115" i="22"/>
  <c r="BN115" i="22"/>
  <c r="BO115" i="22"/>
  <c r="BP115" i="22"/>
  <c r="BQ115" i="22"/>
  <c r="BR115" i="22"/>
  <c r="BS115" i="22"/>
  <c r="BT115" i="22"/>
  <c r="BA116" i="22"/>
  <c r="BC116" i="22"/>
  <c r="BD116" i="22"/>
  <c r="BE116" i="22"/>
  <c r="BF116" i="22"/>
  <c r="BG116" i="22"/>
  <c r="BH116" i="22"/>
  <c r="BI116" i="22"/>
  <c r="BJ116" i="22"/>
  <c r="BK116" i="22"/>
  <c r="BL116" i="22"/>
  <c r="BM116" i="22"/>
  <c r="BN116" i="22"/>
  <c r="BO116" i="22"/>
  <c r="BP116" i="22"/>
  <c r="BQ116" i="22"/>
  <c r="BR116" i="22"/>
  <c r="BS116" i="22"/>
  <c r="BT116" i="22"/>
  <c r="BA118" i="22"/>
  <c r="BC118" i="22"/>
  <c r="BD118" i="22"/>
  <c r="BE118" i="22"/>
  <c r="BF118" i="22"/>
  <c r="BG118" i="22"/>
  <c r="BH118" i="22"/>
  <c r="BI118" i="22"/>
  <c r="BJ118" i="22"/>
  <c r="BK118" i="22"/>
  <c r="BL118" i="22"/>
  <c r="BM118" i="22"/>
  <c r="BN118" i="22"/>
  <c r="BO118" i="22"/>
  <c r="BP118" i="22"/>
  <c r="BQ118" i="22"/>
  <c r="BR118" i="22"/>
  <c r="BS118" i="22"/>
  <c r="BT118" i="22"/>
  <c r="BA120" i="22"/>
  <c r="BC120" i="22"/>
  <c r="BD120" i="22"/>
  <c r="BE120" i="22"/>
  <c r="BF120" i="22"/>
  <c r="BG120" i="22"/>
  <c r="BH120" i="22"/>
  <c r="BI120" i="22"/>
  <c r="BJ120" i="22"/>
  <c r="BK120" i="22"/>
  <c r="BL120" i="22"/>
  <c r="BM120" i="22"/>
  <c r="BN120" i="22"/>
  <c r="BO120" i="22"/>
  <c r="BP120" i="22"/>
  <c r="BQ120" i="22"/>
  <c r="BR120" i="22"/>
  <c r="BS120" i="22"/>
  <c r="BT120" i="22"/>
  <c r="BA121" i="22"/>
  <c r="BC121" i="22"/>
  <c r="BD121" i="22"/>
  <c r="BE121" i="22"/>
  <c r="BF121" i="22"/>
  <c r="BG121" i="22"/>
  <c r="BH121" i="22"/>
  <c r="BI121" i="22"/>
  <c r="BJ121" i="22"/>
  <c r="BK121" i="22"/>
  <c r="BL121" i="22"/>
  <c r="BM121" i="22"/>
  <c r="BN121" i="22"/>
  <c r="BO121" i="22"/>
  <c r="BP121" i="22"/>
  <c r="BQ121" i="22"/>
  <c r="BR121" i="22"/>
  <c r="BS121" i="22"/>
  <c r="BT121" i="22"/>
  <c r="BA122" i="22"/>
  <c r="BC122" i="22"/>
  <c r="BD122" i="22"/>
  <c r="BE122" i="22"/>
  <c r="BF122" i="22"/>
  <c r="BG122" i="22"/>
  <c r="BH122" i="22"/>
  <c r="BI122" i="22"/>
  <c r="BJ122" i="22"/>
  <c r="BK122" i="22"/>
  <c r="BL122" i="22"/>
  <c r="BM122" i="22"/>
  <c r="BN122" i="22"/>
  <c r="BO122" i="22"/>
  <c r="BP122" i="22"/>
  <c r="BQ122" i="22"/>
  <c r="BR122" i="22"/>
  <c r="BS122" i="22"/>
  <c r="BT122" i="22"/>
  <c r="BA123" i="22"/>
  <c r="BC123" i="22"/>
  <c r="BD123" i="22"/>
  <c r="BE123" i="22"/>
  <c r="BF123" i="22"/>
  <c r="BG123" i="22"/>
  <c r="BH123" i="22"/>
  <c r="BI123" i="22"/>
  <c r="BJ123" i="22"/>
  <c r="BK123" i="22"/>
  <c r="BL123" i="22"/>
  <c r="BM123" i="22"/>
  <c r="BN123" i="22"/>
  <c r="BO123" i="22"/>
  <c r="BP123" i="22"/>
  <c r="BQ123" i="22"/>
  <c r="BR123" i="22"/>
  <c r="BS123" i="22"/>
  <c r="BT123" i="22"/>
  <c r="BA124" i="22"/>
  <c r="BC124" i="22"/>
  <c r="BD124" i="22"/>
  <c r="BE124" i="22"/>
  <c r="BF124" i="22"/>
  <c r="BG124" i="22"/>
  <c r="BH124" i="22"/>
  <c r="BI124" i="22"/>
  <c r="BJ124" i="22"/>
  <c r="BK124" i="22"/>
  <c r="BL124" i="22"/>
  <c r="BM124" i="22"/>
  <c r="BN124" i="22"/>
  <c r="BO124" i="22"/>
  <c r="BP124" i="22"/>
  <c r="BQ124" i="22"/>
  <c r="BR124" i="22"/>
  <c r="BS124" i="22"/>
  <c r="BT124" i="22"/>
  <c r="BA125" i="22"/>
  <c r="BC125" i="22"/>
  <c r="BD125" i="22"/>
  <c r="BE125" i="22"/>
  <c r="BF125" i="22"/>
  <c r="BG125" i="22"/>
  <c r="BH125" i="22"/>
  <c r="BI125" i="22"/>
  <c r="BJ125" i="22"/>
  <c r="BK125" i="22"/>
  <c r="BL125" i="22"/>
  <c r="BM125" i="22"/>
  <c r="BN125" i="22"/>
  <c r="BO125" i="22"/>
  <c r="BP125" i="22"/>
  <c r="BQ125" i="22"/>
  <c r="BR125" i="22"/>
  <c r="BS125" i="22"/>
  <c r="BT125" i="22"/>
  <c r="BA126" i="22"/>
  <c r="BC126" i="22"/>
  <c r="BD126" i="22"/>
  <c r="BE126" i="22"/>
  <c r="BF126" i="22"/>
  <c r="BG126" i="22"/>
  <c r="BH126" i="22"/>
  <c r="BI126" i="22"/>
  <c r="BJ126" i="22"/>
  <c r="BK126" i="22"/>
  <c r="BL126" i="22"/>
  <c r="BM126" i="22"/>
  <c r="BN126" i="22"/>
  <c r="BO126" i="22"/>
  <c r="BP126" i="22"/>
  <c r="BQ126" i="22"/>
  <c r="BR126" i="22"/>
  <c r="BS126" i="22"/>
  <c r="BT126" i="22"/>
  <c r="BC127" i="22"/>
  <c r="BD127" i="22"/>
  <c r="BE127" i="22"/>
  <c r="BF127" i="22"/>
  <c r="BG127" i="22"/>
  <c r="BH127" i="22"/>
  <c r="BI127" i="22"/>
  <c r="BJ127" i="22"/>
  <c r="BK127" i="22"/>
  <c r="BL127" i="22"/>
  <c r="BM127" i="22"/>
  <c r="BN127" i="22"/>
  <c r="BO127" i="22"/>
  <c r="BP127" i="22"/>
  <c r="BQ127" i="22"/>
  <c r="BR127" i="22"/>
  <c r="BS127" i="22"/>
  <c r="BT127" i="22"/>
  <c r="BC128" i="22"/>
  <c r="BD128" i="22"/>
  <c r="BE128" i="22"/>
  <c r="BF128" i="22"/>
  <c r="BG128" i="22"/>
  <c r="BH128" i="22"/>
  <c r="BI128" i="22"/>
  <c r="BJ128" i="22"/>
  <c r="BK128" i="22"/>
  <c r="BL128" i="22"/>
  <c r="BM128" i="22"/>
  <c r="BN128" i="22"/>
  <c r="BO128" i="22"/>
  <c r="BP128" i="22"/>
  <c r="BQ128" i="22"/>
  <c r="BR128" i="22"/>
  <c r="BS128" i="22"/>
  <c r="BT128" i="22"/>
  <c r="BC129" i="22"/>
  <c r="BD129" i="22"/>
  <c r="BE129" i="22"/>
  <c r="BF129" i="22"/>
  <c r="BG129" i="22"/>
  <c r="BH129" i="22"/>
  <c r="BI129" i="22"/>
  <c r="BJ129" i="22"/>
  <c r="BK129" i="22"/>
  <c r="BL129" i="22"/>
  <c r="BM129" i="22"/>
  <c r="BN129" i="22"/>
  <c r="BO129" i="22"/>
  <c r="BP129" i="22"/>
  <c r="BQ129" i="22"/>
  <c r="BR129" i="22"/>
  <c r="BS129" i="22"/>
  <c r="BT129" i="22"/>
  <c r="BC130" i="22"/>
  <c r="BD130" i="22"/>
  <c r="BE130" i="22"/>
  <c r="BF130" i="22"/>
  <c r="BG130" i="22"/>
  <c r="BH130" i="22"/>
  <c r="BI130" i="22"/>
  <c r="BJ130" i="22"/>
  <c r="BK130" i="22"/>
  <c r="BL130" i="22"/>
  <c r="BM130" i="22"/>
  <c r="BN130" i="22"/>
  <c r="BO130" i="22"/>
  <c r="BP130" i="22"/>
  <c r="BQ130" i="22"/>
  <c r="BR130" i="22"/>
  <c r="BS130" i="22"/>
  <c r="BT130" i="22"/>
  <c r="BA131" i="22"/>
  <c r="BC131" i="22"/>
  <c r="BD131" i="22"/>
  <c r="BE131" i="22"/>
  <c r="BF131" i="22"/>
  <c r="BG131" i="22"/>
  <c r="BH131" i="22"/>
  <c r="BI131" i="22"/>
  <c r="BJ131" i="22"/>
  <c r="BK131" i="22"/>
  <c r="BL131" i="22"/>
  <c r="BM131" i="22"/>
  <c r="BN131" i="22"/>
  <c r="BO131" i="22"/>
  <c r="BP131" i="22"/>
  <c r="BQ131" i="22"/>
  <c r="BR131" i="22"/>
  <c r="BS131" i="22"/>
  <c r="BT131" i="22"/>
  <c r="BA132" i="22"/>
  <c r="BC132" i="22"/>
  <c r="BD132" i="22"/>
  <c r="BE132" i="22"/>
  <c r="BF132" i="22"/>
  <c r="BG132" i="22"/>
  <c r="BH132" i="22"/>
  <c r="BI132" i="22"/>
  <c r="BJ132" i="22"/>
  <c r="BK132" i="22"/>
  <c r="BL132" i="22"/>
  <c r="BM132" i="22"/>
  <c r="BN132" i="22"/>
  <c r="BO132" i="22"/>
  <c r="BP132" i="22"/>
  <c r="BQ132" i="22"/>
  <c r="BR132" i="22"/>
  <c r="BS132" i="22"/>
  <c r="BT132" i="22"/>
  <c r="BA133" i="22"/>
  <c r="BC133" i="22"/>
  <c r="BD133" i="22"/>
  <c r="BE133" i="22"/>
  <c r="BF133" i="22"/>
  <c r="BG133" i="22"/>
  <c r="BH133" i="22"/>
  <c r="BI133" i="22"/>
  <c r="BJ133" i="22"/>
  <c r="BK133" i="22"/>
  <c r="BL133" i="22"/>
  <c r="BM133" i="22"/>
  <c r="BN133" i="22"/>
  <c r="BO133" i="22"/>
  <c r="BP133" i="22"/>
  <c r="BQ133" i="22"/>
  <c r="BR133" i="22"/>
  <c r="BS133" i="22"/>
  <c r="BT133" i="22"/>
  <c r="BA134" i="22"/>
  <c r="BC134" i="22"/>
  <c r="BD134" i="22"/>
  <c r="BE134" i="22"/>
  <c r="BF134" i="22"/>
  <c r="BG134" i="22"/>
  <c r="BH134" i="22"/>
  <c r="BI134" i="22"/>
  <c r="BJ134" i="22"/>
  <c r="BK134" i="22"/>
  <c r="BL134" i="22"/>
  <c r="BM134" i="22"/>
  <c r="BN134" i="22"/>
  <c r="BO134" i="22"/>
  <c r="BP134" i="22"/>
  <c r="BQ134" i="22"/>
  <c r="BR134" i="22"/>
  <c r="BS134" i="22"/>
  <c r="BT134" i="22"/>
  <c r="BA135" i="22"/>
  <c r="BC135" i="22"/>
  <c r="BD135" i="22"/>
  <c r="BE135" i="22"/>
  <c r="BF135" i="22"/>
  <c r="BG135" i="22"/>
  <c r="BH135" i="22"/>
  <c r="BI135" i="22"/>
  <c r="BJ135" i="22"/>
  <c r="BK135" i="22"/>
  <c r="BL135" i="22"/>
  <c r="BM135" i="22"/>
  <c r="BN135" i="22"/>
  <c r="BO135" i="22"/>
  <c r="BP135" i="22"/>
  <c r="BQ135" i="22"/>
  <c r="BR135" i="22"/>
  <c r="BS135" i="22"/>
  <c r="BT135" i="22"/>
  <c r="BA138" i="22"/>
  <c r="BC138" i="22"/>
  <c r="BD138" i="22"/>
  <c r="BE138" i="22"/>
  <c r="BF138" i="22"/>
  <c r="BG138" i="22"/>
  <c r="BH138" i="22"/>
  <c r="BI138" i="22"/>
  <c r="BJ138" i="22"/>
  <c r="BK138" i="22"/>
  <c r="BL138" i="22"/>
  <c r="BM138" i="22"/>
  <c r="BN138" i="22"/>
  <c r="BO138" i="22"/>
  <c r="BP138" i="22"/>
  <c r="BQ138" i="22"/>
  <c r="BR138" i="22"/>
  <c r="BS138" i="22"/>
  <c r="BT138" i="22"/>
  <c r="BA139" i="22"/>
  <c r="BC139" i="22"/>
  <c r="BD139" i="22"/>
  <c r="BE139" i="22"/>
  <c r="BF139" i="22"/>
  <c r="BG139" i="22"/>
  <c r="BH139" i="22"/>
  <c r="BI139" i="22"/>
  <c r="BJ139" i="22"/>
  <c r="BK139" i="22"/>
  <c r="BL139" i="22"/>
  <c r="BM139" i="22"/>
  <c r="BN139" i="22"/>
  <c r="BO139" i="22"/>
  <c r="BP139" i="22"/>
  <c r="BQ139" i="22"/>
  <c r="BR139" i="22"/>
  <c r="BS139" i="22"/>
  <c r="BT139" i="22"/>
  <c r="BA140" i="22"/>
  <c r="BC140" i="22"/>
  <c r="BD140" i="22"/>
  <c r="BE140" i="22"/>
  <c r="BF140" i="22"/>
  <c r="BG140" i="22"/>
  <c r="BH140" i="22"/>
  <c r="BI140" i="22"/>
  <c r="BJ140" i="22"/>
  <c r="BK140" i="22"/>
  <c r="BL140" i="22"/>
  <c r="BM140" i="22"/>
  <c r="BN140" i="22"/>
  <c r="BO140" i="22"/>
  <c r="BP140" i="22"/>
  <c r="BQ140" i="22"/>
  <c r="BR140" i="22"/>
  <c r="BS140" i="22"/>
  <c r="BT140" i="22"/>
  <c r="BA141" i="22"/>
  <c r="BC141" i="22"/>
  <c r="BD141" i="22"/>
  <c r="BE141" i="22"/>
  <c r="BF141" i="22"/>
  <c r="BG141" i="22"/>
  <c r="BH141" i="22"/>
  <c r="BI141" i="22"/>
  <c r="BJ141" i="22"/>
  <c r="BK141" i="22"/>
  <c r="BL141" i="22"/>
  <c r="BM141" i="22"/>
  <c r="BN141" i="22"/>
  <c r="BO141" i="22"/>
  <c r="BP141" i="22"/>
  <c r="BQ141" i="22"/>
  <c r="BR141" i="22"/>
  <c r="BS141" i="22"/>
  <c r="BT141" i="22"/>
  <c r="BA142" i="22"/>
  <c r="BC142" i="22"/>
  <c r="BD142" i="22"/>
  <c r="BE142" i="22"/>
  <c r="BF142" i="22"/>
  <c r="BG142" i="22"/>
  <c r="BH142" i="22"/>
  <c r="BI142" i="22"/>
  <c r="BJ142" i="22"/>
  <c r="BK142" i="22"/>
  <c r="BL142" i="22"/>
  <c r="BM142" i="22"/>
  <c r="BN142" i="22"/>
  <c r="BO142" i="22"/>
  <c r="BP142" i="22"/>
  <c r="BQ142" i="22"/>
  <c r="BR142" i="22"/>
  <c r="BS142" i="22"/>
  <c r="BT142" i="22"/>
  <c r="BA143" i="22"/>
  <c r="BC143" i="22"/>
  <c r="BD143" i="22"/>
  <c r="BE143" i="22"/>
  <c r="BF143" i="22"/>
  <c r="BG143" i="22"/>
  <c r="BH143" i="22"/>
  <c r="BI143" i="22"/>
  <c r="BJ143" i="22"/>
  <c r="BK143" i="22"/>
  <c r="BL143" i="22"/>
  <c r="BM143" i="22"/>
  <c r="BN143" i="22"/>
  <c r="BO143" i="22"/>
  <c r="BP143" i="22"/>
  <c r="BQ143" i="22"/>
  <c r="BR143" i="22"/>
  <c r="BS143" i="22"/>
  <c r="BT143" i="22"/>
  <c r="BA144" i="22"/>
  <c r="BC144" i="22"/>
  <c r="BD144" i="22"/>
  <c r="BE144" i="22"/>
  <c r="BF144" i="22"/>
  <c r="BG144" i="22"/>
  <c r="BH144" i="22"/>
  <c r="BI144" i="22"/>
  <c r="BJ144" i="22"/>
  <c r="BK144" i="22"/>
  <c r="BL144" i="22"/>
  <c r="BM144" i="22"/>
  <c r="BN144" i="22"/>
  <c r="BO144" i="22"/>
  <c r="BP144" i="22"/>
  <c r="BQ144" i="22"/>
  <c r="BR144" i="22"/>
  <c r="BS144" i="22"/>
  <c r="BT144" i="22"/>
  <c r="BA145" i="22"/>
  <c r="BC145" i="22"/>
  <c r="BD145" i="22"/>
  <c r="BE145" i="22"/>
  <c r="BF145" i="22"/>
  <c r="BG145" i="22"/>
  <c r="BH145" i="22"/>
  <c r="BI145" i="22"/>
  <c r="BJ145" i="22"/>
  <c r="BK145" i="22"/>
  <c r="BL145" i="22"/>
  <c r="BM145" i="22"/>
  <c r="BN145" i="22"/>
  <c r="BO145" i="22"/>
  <c r="BP145" i="22"/>
  <c r="BQ145" i="22"/>
  <c r="BR145" i="22"/>
  <c r="BS145" i="22"/>
  <c r="BT145" i="22"/>
  <c r="BA146" i="22"/>
  <c r="BC146" i="22"/>
  <c r="BD146" i="22"/>
  <c r="BE146" i="22"/>
  <c r="BF146" i="22"/>
  <c r="BG146" i="22"/>
  <c r="BH146" i="22"/>
  <c r="BI146" i="22"/>
  <c r="BJ146" i="22"/>
  <c r="BK146" i="22"/>
  <c r="BL146" i="22"/>
  <c r="BM146" i="22"/>
  <c r="BN146" i="22"/>
  <c r="BO146" i="22"/>
  <c r="BP146" i="22"/>
  <c r="BQ146" i="22"/>
  <c r="BR146" i="22"/>
  <c r="BS146" i="22"/>
  <c r="BT146" i="22"/>
  <c r="BA147" i="22"/>
  <c r="BC147" i="22"/>
  <c r="BD147" i="22"/>
  <c r="BE147" i="22"/>
  <c r="BF147" i="22"/>
  <c r="BG147" i="22"/>
  <c r="BH147" i="22"/>
  <c r="BI147" i="22"/>
  <c r="BJ147" i="22"/>
  <c r="BK147" i="22"/>
  <c r="BL147" i="22"/>
  <c r="BM147" i="22"/>
  <c r="BN147" i="22"/>
  <c r="BO147" i="22"/>
  <c r="BP147" i="22"/>
  <c r="BQ147" i="22"/>
  <c r="BR147" i="22"/>
  <c r="BS147" i="22"/>
  <c r="BT147" i="22"/>
  <c r="BA148" i="22"/>
  <c r="BC148" i="22"/>
  <c r="BD148" i="22"/>
  <c r="BE148" i="22"/>
  <c r="BF148" i="22"/>
  <c r="BG148" i="22"/>
  <c r="BH148" i="22"/>
  <c r="BI148" i="22"/>
  <c r="BJ148" i="22"/>
  <c r="BK148" i="22"/>
  <c r="BL148" i="22"/>
  <c r="BM148" i="22"/>
  <c r="BN148" i="22"/>
  <c r="BO148" i="22"/>
  <c r="BP148" i="22"/>
  <c r="BQ148" i="22"/>
  <c r="BR148" i="22"/>
  <c r="BS148" i="22"/>
  <c r="BT148" i="22"/>
  <c r="BA149" i="22"/>
  <c r="BC149" i="22"/>
  <c r="BD149" i="22"/>
  <c r="BE149" i="22"/>
  <c r="BF149" i="22"/>
  <c r="BG149" i="22"/>
  <c r="BH149" i="22"/>
  <c r="BI149" i="22"/>
  <c r="BJ149" i="22"/>
  <c r="BK149" i="22"/>
  <c r="BL149" i="22"/>
  <c r="BM149" i="22"/>
  <c r="BN149" i="22"/>
  <c r="BO149" i="22"/>
  <c r="BP149" i="22"/>
  <c r="BQ149" i="22"/>
  <c r="BR149" i="22"/>
  <c r="BS149" i="22"/>
  <c r="BT149" i="22"/>
  <c r="BA150" i="22"/>
  <c r="BC150" i="22"/>
  <c r="BD150" i="22"/>
  <c r="BE150" i="22"/>
  <c r="BF150" i="22"/>
  <c r="BG150" i="22"/>
  <c r="BH150" i="22"/>
  <c r="BI150" i="22"/>
  <c r="BJ150" i="22"/>
  <c r="BK150" i="22"/>
  <c r="BL150" i="22"/>
  <c r="BM150" i="22"/>
  <c r="BN150" i="22"/>
  <c r="BO150" i="22"/>
  <c r="BP150" i="22"/>
  <c r="BQ150" i="22"/>
  <c r="BR150" i="22"/>
  <c r="BS150" i="22"/>
  <c r="BT150" i="22"/>
  <c r="BA151" i="22"/>
  <c r="BC151" i="22"/>
  <c r="BD151" i="22"/>
  <c r="BE151" i="22"/>
  <c r="BF151" i="22"/>
  <c r="BG151" i="22"/>
  <c r="BH151" i="22"/>
  <c r="BI151" i="22"/>
  <c r="BJ151" i="22"/>
  <c r="BK151" i="22"/>
  <c r="BL151" i="22"/>
  <c r="BM151" i="22"/>
  <c r="BN151" i="22"/>
  <c r="BO151" i="22"/>
  <c r="BP151" i="22"/>
  <c r="BQ151" i="22"/>
  <c r="BR151" i="22"/>
  <c r="BS151" i="22"/>
  <c r="BT151" i="22"/>
  <c r="BA152" i="22"/>
  <c r="BC152" i="22"/>
  <c r="BD152" i="22"/>
  <c r="BE152" i="22"/>
  <c r="BF152" i="22"/>
  <c r="BG152" i="22"/>
  <c r="BH152" i="22"/>
  <c r="BI152" i="22"/>
  <c r="BJ152" i="22"/>
  <c r="BK152" i="22"/>
  <c r="BL152" i="22"/>
  <c r="BM152" i="22"/>
  <c r="BN152" i="22"/>
  <c r="BO152" i="22"/>
  <c r="BP152" i="22"/>
  <c r="BQ152" i="22"/>
  <c r="BR152" i="22"/>
  <c r="BS152" i="22"/>
  <c r="BT152" i="22"/>
  <c r="BA153" i="22"/>
  <c r="BC153" i="22"/>
  <c r="BD153" i="22"/>
  <c r="BE153" i="22"/>
  <c r="BF153" i="22"/>
  <c r="BG153" i="22"/>
  <c r="BH153" i="22"/>
  <c r="BI153" i="22"/>
  <c r="BJ153" i="22"/>
  <c r="BK153" i="22"/>
  <c r="BL153" i="22"/>
  <c r="BM153" i="22"/>
  <c r="BN153" i="22"/>
  <c r="BO153" i="22"/>
  <c r="BP153" i="22"/>
  <c r="BQ153" i="22"/>
  <c r="BR153" i="22"/>
  <c r="BS153" i="22"/>
  <c r="BT153" i="22"/>
  <c r="BA154" i="22"/>
  <c r="BC154" i="22"/>
  <c r="BD154" i="22"/>
  <c r="BE154" i="22"/>
  <c r="BF154" i="22"/>
  <c r="BG154" i="22"/>
  <c r="BH154" i="22"/>
  <c r="BI154" i="22"/>
  <c r="BJ154" i="22"/>
  <c r="BK154" i="22"/>
  <c r="BL154" i="22"/>
  <c r="BM154" i="22"/>
  <c r="BN154" i="22"/>
  <c r="BO154" i="22"/>
  <c r="BP154" i="22"/>
  <c r="BQ154" i="22"/>
  <c r="BR154" i="22"/>
  <c r="BS154" i="22"/>
  <c r="BT154" i="22"/>
  <c r="BA155" i="22"/>
  <c r="BC155" i="22"/>
  <c r="BD155" i="22"/>
  <c r="BE155" i="22"/>
  <c r="BF155" i="22"/>
  <c r="BG155" i="22"/>
  <c r="BH155" i="22"/>
  <c r="BI155" i="22"/>
  <c r="BJ155" i="22"/>
  <c r="BK155" i="22"/>
  <c r="BL155" i="22"/>
  <c r="BM155" i="22"/>
  <c r="BN155" i="22"/>
  <c r="BO155" i="22"/>
  <c r="BP155" i="22"/>
  <c r="BQ155" i="22"/>
  <c r="BR155" i="22"/>
  <c r="BS155" i="22"/>
  <c r="BT155" i="22"/>
  <c r="BA156" i="22"/>
  <c r="BC156" i="22"/>
  <c r="BD156" i="22"/>
  <c r="BE156" i="22"/>
  <c r="BF156" i="22"/>
  <c r="BG156" i="22"/>
  <c r="BH156" i="22"/>
  <c r="BI156" i="22"/>
  <c r="BJ156" i="22"/>
  <c r="BK156" i="22"/>
  <c r="BL156" i="22"/>
  <c r="BM156" i="22"/>
  <c r="BN156" i="22"/>
  <c r="BO156" i="22"/>
  <c r="BP156" i="22"/>
  <c r="BQ156" i="22"/>
  <c r="BR156" i="22"/>
  <c r="BS156" i="22"/>
  <c r="BT156" i="22"/>
  <c r="BA157" i="22"/>
  <c r="BC157" i="22"/>
  <c r="BD157" i="22"/>
  <c r="BE157" i="22"/>
  <c r="BF157" i="22"/>
  <c r="BG157" i="22"/>
  <c r="BH157" i="22"/>
  <c r="BI157" i="22"/>
  <c r="BJ157" i="22"/>
  <c r="BK157" i="22"/>
  <c r="BL157" i="22"/>
  <c r="BM157" i="22"/>
  <c r="BN157" i="22"/>
  <c r="BO157" i="22"/>
  <c r="BP157" i="22"/>
  <c r="BQ157" i="22"/>
  <c r="BR157" i="22"/>
  <c r="BS157" i="22"/>
  <c r="BT157" i="22"/>
  <c r="BA158" i="22"/>
  <c r="BC158" i="22"/>
  <c r="BD158" i="22"/>
  <c r="BE158" i="22"/>
  <c r="BF158" i="22"/>
  <c r="BG158" i="22"/>
  <c r="BH158" i="22"/>
  <c r="BI158" i="22"/>
  <c r="BJ158" i="22"/>
  <c r="BK158" i="22"/>
  <c r="BL158" i="22"/>
  <c r="BM158" i="22"/>
  <c r="BN158" i="22"/>
  <c r="BO158" i="22"/>
  <c r="BP158" i="22"/>
  <c r="BQ158" i="22"/>
  <c r="BR158" i="22"/>
  <c r="BS158" i="22"/>
  <c r="BT158" i="22"/>
  <c r="BA159" i="22"/>
  <c r="BC159" i="22"/>
  <c r="BD159" i="22"/>
  <c r="BE159" i="22"/>
  <c r="BF159" i="22"/>
  <c r="BG159" i="22"/>
  <c r="BH159" i="22"/>
  <c r="BI159" i="22"/>
  <c r="BJ159" i="22"/>
  <c r="BK159" i="22"/>
  <c r="BL159" i="22"/>
  <c r="BM159" i="22"/>
  <c r="BN159" i="22"/>
  <c r="BO159" i="22"/>
  <c r="BP159" i="22"/>
  <c r="BQ159" i="22"/>
  <c r="BR159" i="22"/>
  <c r="BS159" i="22"/>
  <c r="BT159" i="22"/>
  <c r="BA160" i="22"/>
  <c r="BC160" i="22"/>
  <c r="BD160" i="22"/>
  <c r="BE160" i="22"/>
  <c r="BF160" i="22"/>
  <c r="BG160" i="22"/>
  <c r="BH160" i="22"/>
  <c r="BI160" i="22"/>
  <c r="BJ160" i="22"/>
  <c r="BK160" i="22"/>
  <c r="BL160" i="22"/>
  <c r="BM160" i="22"/>
  <c r="BN160" i="22"/>
  <c r="BO160" i="22"/>
  <c r="BP160" i="22"/>
  <c r="BQ160" i="22"/>
  <c r="BR160" i="22"/>
  <c r="BS160" i="22"/>
  <c r="BT160" i="22"/>
  <c r="BA161" i="22"/>
  <c r="BC161" i="22"/>
  <c r="BD161" i="22"/>
  <c r="BE161" i="22"/>
  <c r="BF161" i="22"/>
  <c r="BG161" i="22"/>
  <c r="BH161" i="22"/>
  <c r="BI161" i="22"/>
  <c r="BJ161" i="22"/>
  <c r="BK161" i="22"/>
  <c r="BL161" i="22"/>
  <c r="BM161" i="22"/>
  <c r="BN161" i="22"/>
  <c r="BO161" i="22"/>
  <c r="BP161" i="22"/>
  <c r="BQ161" i="22"/>
  <c r="BR161" i="22"/>
  <c r="BS161" i="22"/>
  <c r="BT161" i="22"/>
  <c r="BA162" i="22"/>
  <c r="BC162" i="22"/>
  <c r="BD162" i="22"/>
  <c r="BE162" i="22"/>
  <c r="BF162" i="22"/>
  <c r="BG162" i="22"/>
  <c r="BH162" i="22"/>
  <c r="BI162" i="22"/>
  <c r="BJ162" i="22"/>
  <c r="BK162" i="22"/>
  <c r="BL162" i="22"/>
  <c r="BM162" i="22"/>
  <c r="BN162" i="22"/>
  <c r="BO162" i="22"/>
  <c r="BP162" i="22"/>
  <c r="BQ162" i="22"/>
  <c r="BR162" i="22"/>
  <c r="BS162" i="22"/>
  <c r="BT162" i="22"/>
  <c r="BA163" i="22"/>
  <c r="BC163" i="22"/>
  <c r="BD163" i="22"/>
  <c r="BE163" i="22"/>
  <c r="BF163" i="22"/>
  <c r="BG163" i="22"/>
  <c r="BH163" i="22"/>
  <c r="BI163" i="22"/>
  <c r="BJ163" i="22"/>
  <c r="BK163" i="22"/>
  <c r="BL163" i="22"/>
  <c r="BM163" i="22"/>
  <c r="BN163" i="22"/>
  <c r="BO163" i="22"/>
  <c r="BP163" i="22"/>
  <c r="BQ163" i="22"/>
  <c r="BR163" i="22"/>
  <c r="BS163" i="22"/>
  <c r="BT163" i="22"/>
  <c r="BA164" i="22"/>
  <c r="BC164" i="22"/>
  <c r="BD164" i="22"/>
  <c r="BE164" i="22"/>
  <c r="BF164" i="22"/>
  <c r="BG164" i="22"/>
  <c r="BH164" i="22"/>
  <c r="BI164" i="22"/>
  <c r="BJ164" i="22"/>
  <c r="BK164" i="22"/>
  <c r="BL164" i="22"/>
  <c r="BM164" i="22"/>
  <c r="BN164" i="22"/>
  <c r="BO164" i="22"/>
  <c r="BP164" i="22"/>
  <c r="BQ164" i="22"/>
  <c r="BR164" i="22"/>
  <c r="BS164" i="22"/>
  <c r="BT164" i="22"/>
  <c r="BA165" i="22"/>
  <c r="BC165" i="22"/>
  <c r="BD165" i="22"/>
  <c r="BE165" i="22"/>
  <c r="BF165" i="22"/>
  <c r="BG165" i="22"/>
  <c r="BH165" i="22"/>
  <c r="BI165" i="22"/>
  <c r="BJ165" i="22"/>
  <c r="BK165" i="22"/>
  <c r="BL165" i="22"/>
  <c r="BM165" i="22"/>
  <c r="BN165" i="22"/>
  <c r="BO165" i="22"/>
  <c r="BP165" i="22"/>
  <c r="BQ165" i="22"/>
  <c r="BR165" i="22"/>
  <c r="BS165" i="22"/>
  <c r="BT165" i="22"/>
  <c r="BA166" i="22"/>
  <c r="BC166" i="22"/>
  <c r="BD166" i="22"/>
  <c r="BE166" i="22"/>
  <c r="BF166" i="22"/>
  <c r="BG166" i="22"/>
  <c r="BH166" i="22"/>
  <c r="BI166" i="22"/>
  <c r="BJ166" i="22"/>
  <c r="BK166" i="22"/>
  <c r="BL166" i="22"/>
  <c r="BM166" i="22"/>
  <c r="BN166" i="22"/>
  <c r="BO166" i="22"/>
  <c r="BP166" i="22"/>
  <c r="BQ166" i="22"/>
  <c r="BR166" i="22"/>
  <c r="BS166" i="22"/>
  <c r="BT166" i="22"/>
  <c r="BA167" i="22"/>
  <c r="BC167" i="22"/>
  <c r="BD167" i="22"/>
  <c r="BE167" i="22"/>
  <c r="BF167" i="22"/>
  <c r="BG167" i="22"/>
  <c r="BH167" i="22"/>
  <c r="BI167" i="22"/>
  <c r="BJ167" i="22"/>
  <c r="BK167" i="22"/>
  <c r="BL167" i="22"/>
  <c r="BM167" i="22"/>
  <c r="BN167" i="22"/>
  <c r="BO167" i="22"/>
  <c r="BP167" i="22"/>
  <c r="BQ167" i="22"/>
  <c r="BR167" i="22"/>
  <c r="BS167" i="22"/>
  <c r="BT167" i="22"/>
  <c r="BA168" i="22"/>
  <c r="BC168" i="22"/>
  <c r="BD168" i="22"/>
  <c r="BE168" i="22"/>
  <c r="BF168" i="22"/>
  <c r="BG168" i="22"/>
  <c r="BH168" i="22"/>
  <c r="BI168" i="22"/>
  <c r="BJ168" i="22"/>
  <c r="BK168" i="22"/>
  <c r="BL168" i="22"/>
  <c r="BM168" i="22"/>
  <c r="BN168" i="22"/>
  <c r="BO168" i="22"/>
  <c r="BP168" i="22"/>
  <c r="BQ168" i="22"/>
  <c r="BR168" i="22"/>
  <c r="BS168" i="22"/>
  <c r="BT168" i="22"/>
  <c r="BA169" i="22"/>
  <c r="BC169" i="22"/>
  <c r="BD169" i="22"/>
  <c r="BE169" i="22"/>
  <c r="BF169" i="22"/>
  <c r="BG169" i="22"/>
  <c r="BH169" i="22"/>
  <c r="BI169" i="22"/>
  <c r="BJ169" i="22"/>
  <c r="BK169" i="22"/>
  <c r="BL169" i="22"/>
  <c r="BM169" i="22"/>
  <c r="BN169" i="22"/>
  <c r="BO169" i="22"/>
  <c r="BP169" i="22"/>
  <c r="BQ169" i="22"/>
  <c r="BR169" i="22"/>
  <c r="BS169" i="22"/>
  <c r="BT169" i="22"/>
  <c r="BA170" i="22"/>
  <c r="BC170" i="22"/>
  <c r="BD170" i="22"/>
  <c r="BE170" i="22"/>
  <c r="BF170" i="22"/>
  <c r="BG170" i="22"/>
  <c r="BH170" i="22"/>
  <c r="BI170" i="22"/>
  <c r="BJ170" i="22"/>
  <c r="BK170" i="22"/>
  <c r="BL170" i="22"/>
  <c r="BM170" i="22"/>
  <c r="BN170" i="22"/>
  <c r="BO170" i="22"/>
  <c r="BP170" i="22"/>
  <c r="BQ170" i="22"/>
  <c r="BR170" i="22"/>
  <c r="BS170" i="22"/>
  <c r="BT170" i="22"/>
  <c r="BA171" i="22"/>
  <c r="BC171" i="22"/>
  <c r="BD171" i="22"/>
  <c r="BE171" i="22"/>
  <c r="BF171" i="22"/>
  <c r="BG171" i="22"/>
  <c r="BH171" i="22"/>
  <c r="BI171" i="22"/>
  <c r="BJ171" i="22"/>
  <c r="BK171" i="22"/>
  <c r="BL171" i="22"/>
  <c r="BM171" i="22"/>
  <c r="BN171" i="22"/>
  <c r="BO171" i="22"/>
  <c r="BP171" i="22"/>
  <c r="BQ171" i="22"/>
  <c r="BR171" i="22"/>
  <c r="BS171" i="22"/>
  <c r="BT171" i="22"/>
  <c r="BA172" i="22"/>
  <c r="BC172" i="22"/>
  <c r="BD172" i="22"/>
  <c r="BE172" i="22"/>
  <c r="BF172" i="22"/>
  <c r="BG172" i="22"/>
  <c r="BH172" i="22"/>
  <c r="BI172" i="22"/>
  <c r="BJ172" i="22"/>
  <c r="BK172" i="22"/>
  <c r="BL172" i="22"/>
  <c r="BM172" i="22"/>
  <c r="BN172" i="22"/>
  <c r="BO172" i="22"/>
  <c r="BP172" i="22"/>
  <c r="BQ172" i="22"/>
  <c r="BR172" i="22"/>
  <c r="BS172" i="22"/>
  <c r="BT172" i="22"/>
  <c r="BA173" i="22"/>
  <c r="BC173" i="22"/>
  <c r="BD173" i="22"/>
  <c r="BE173" i="22"/>
  <c r="BF173" i="22"/>
  <c r="BG173" i="22"/>
  <c r="BH173" i="22"/>
  <c r="BI173" i="22"/>
  <c r="BJ173" i="22"/>
  <c r="BK173" i="22"/>
  <c r="BL173" i="22"/>
  <c r="BM173" i="22"/>
  <c r="BN173" i="22"/>
  <c r="BO173" i="22"/>
  <c r="BP173" i="22"/>
  <c r="BQ173" i="22"/>
  <c r="BR173" i="22"/>
  <c r="BS173" i="22"/>
  <c r="BT173" i="22"/>
  <c r="BA174" i="22"/>
  <c r="BC174" i="22"/>
  <c r="BD174" i="22"/>
  <c r="BE174" i="22"/>
  <c r="BF174" i="22"/>
  <c r="BG174" i="22"/>
  <c r="BH174" i="22"/>
  <c r="BI174" i="22"/>
  <c r="BJ174" i="22"/>
  <c r="BK174" i="22"/>
  <c r="BL174" i="22"/>
  <c r="BM174" i="22"/>
  <c r="BN174" i="22"/>
  <c r="BO174" i="22"/>
  <c r="BP174" i="22"/>
  <c r="BQ174" i="22"/>
  <c r="BR174" i="22"/>
  <c r="BS174" i="22"/>
  <c r="BT174" i="22"/>
  <c r="BA175" i="22"/>
  <c r="BC175" i="22"/>
  <c r="BD175" i="22"/>
  <c r="BE175" i="22"/>
  <c r="BF175" i="22"/>
  <c r="BG175" i="22"/>
  <c r="BH175" i="22"/>
  <c r="BI175" i="22"/>
  <c r="BJ175" i="22"/>
  <c r="BK175" i="22"/>
  <c r="BL175" i="22"/>
  <c r="BM175" i="22"/>
  <c r="BN175" i="22"/>
  <c r="BO175" i="22"/>
  <c r="BP175" i="22"/>
  <c r="BQ175" i="22"/>
  <c r="BR175" i="22"/>
  <c r="BS175" i="22"/>
  <c r="BT175" i="22"/>
  <c r="BA176" i="22"/>
  <c r="BC176" i="22"/>
  <c r="BD176" i="22"/>
  <c r="BE176" i="22"/>
  <c r="BF176" i="22"/>
  <c r="BG176" i="22"/>
  <c r="BH176" i="22"/>
  <c r="BI176" i="22"/>
  <c r="BJ176" i="22"/>
  <c r="BK176" i="22"/>
  <c r="BL176" i="22"/>
  <c r="BM176" i="22"/>
  <c r="BN176" i="22"/>
  <c r="BO176" i="22"/>
  <c r="BP176" i="22"/>
  <c r="BQ176" i="22"/>
  <c r="BR176" i="22"/>
  <c r="BS176" i="22"/>
  <c r="BT176" i="22"/>
  <c r="BA177" i="22"/>
  <c r="BC177" i="22"/>
  <c r="BD177" i="22"/>
  <c r="BE177" i="22"/>
  <c r="BF177" i="22"/>
  <c r="BG177" i="22"/>
  <c r="BH177" i="22"/>
  <c r="BI177" i="22"/>
  <c r="BJ177" i="22"/>
  <c r="BK177" i="22"/>
  <c r="BL177" i="22"/>
  <c r="BM177" i="22"/>
  <c r="BN177" i="22"/>
  <c r="BO177" i="22"/>
  <c r="BP177" i="22"/>
  <c r="BQ177" i="22"/>
  <c r="BR177" i="22"/>
  <c r="BS177" i="22"/>
  <c r="BT177" i="22"/>
  <c r="BA178" i="22"/>
  <c r="BC178" i="22"/>
  <c r="BD178" i="22"/>
  <c r="BE178" i="22"/>
  <c r="BF178" i="22"/>
  <c r="BG178" i="22"/>
  <c r="BH178" i="22"/>
  <c r="BI178" i="22"/>
  <c r="BJ178" i="22"/>
  <c r="BK178" i="22"/>
  <c r="BL178" i="22"/>
  <c r="BM178" i="22"/>
  <c r="BN178" i="22"/>
  <c r="BO178" i="22"/>
  <c r="BP178" i="22"/>
  <c r="BQ178" i="22"/>
  <c r="BR178" i="22"/>
  <c r="BS178" i="22"/>
  <c r="BT178" i="22"/>
  <c r="BA179" i="22"/>
  <c r="BC179" i="22"/>
  <c r="BD179" i="22"/>
  <c r="BE179" i="22"/>
  <c r="BF179" i="22"/>
  <c r="BG179" i="22"/>
  <c r="BH179" i="22"/>
  <c r="BI179" i="22"/>
  <c r="BJ179" i="22"/>
  <c r="BK179" i="22"/>
  <c r="BL179" i="22"/>
  <c r="BM179" i="22"/>
  <c r="BN179" i="22"/>
  <c r="BO179" i="22"/>
  <c r="BP179" i="22"/>
  <c r="BQ179" i="22"/>
  <c r="BR179" i="22"/>
  <c r="BS179" i="22"/>
  <c r="BT179" i="22"/>
  <c r="BA180" i="22"/>
  <c r="BC180" i="22"/>
  <c r="BD180" i="22"/>
  <c r="BE180" i="22"/>
  <c r="BF180" i="22"/>
  <c r="BG180" i="22"/>
  <c r="BH180" i="22"/>
  <c r="BI180" i="22"/>
  <c r="BJ180" i="22"/>
  <c r="BK180" i="22"/>
  <c r="BL180" i="22"/>
  <c r="BM180" i="22"/>
  <c r="BN180" i="22"/>
  <c r="BO180" i="22"/>
  <c r="BP180" i="22"/>
  <c r="BQ180" i="22"/>
  <c r="BR180" i="22"/>
  <c r="BS180" i="22"/>
  <c r="BT180" i="22"/>
  <c r="BA181" i="22"/>
  <c r="BC181" i="22"/>
  <c r="BD181" i="22"/>
  <c r="BE181" i="22"/>
  <c r="BF181" i="22"/>
  <c r="BG181" i="22"/>
  <c r="BH181" i="22"/>
  <c r="BI181" i="22"/>
  <c r="BJ181" i="22"/>
  <c r="BK181" i="22"/>
  <c r="BL181" i="22"/>
  <c r="BM181" i="22"/>
  <c r="BN181" i="22"/>
  <c r="BO181" i="22"/>
  <c r="BP181" i="22"/>
  <c r="BQ181" i="22"/>
  <c r="BR181" i="22"/>
  <c r="BS181" i="22"/>
  <c r="BT181" i="22"/>
  <c r="BA182" i="22"/>
  <c r="BC182" i="22"/>
  <c r="BD182" i="22"/>
  <c r="BE182" i="22"/>
  <c r="BF182" i="22"/>
  <c r="BG182" i="22"/>
  <c r="BH182" i="22"/>
  <c r="BI182" i="22"/>
  <c r="BJ182" i="22"/>
  <c r="BK182" i="22"/>
  <c r="BL182" i="22"/>
  <c r="BM182" i="22"/>
  <c r="BN182" i="22"/>
  <c r="BO182" i="22"/>
  <c r="BP182" i="22"/>
  <c r="BQ182" i="22"/>
  <c r="BR182" i="22"/>
  <c r="BS182" i="22"/>
  <c r="BT182" i="22"/>
  <c r="BA183" i="22"/>
  <c r="BC183" i="22"/>
  <c r="BD183" i="22"/>
  <c r="BE183" i="22"/>
  <c r="BF183" i="22"/>
  <c r="BG183" i="22"/>
  <c r="BH183" i="22"/>
  <c r="BI183" i="22"/>
  <c r="BJ183" i="22"/>
  <c r="BK183" i="22"/>
  <c r="BL183" i="22"/>
  <c r="BM183" i="22"/>
  <c r="BN183" i="22"/>
  <c r="BO183" i="22"/>
  <c r="BP183" i="22"/>
  <c r="BQ183" i="22"/>
  <c r="BR183" i="22"/>
  <c r="BS183" i="22"/>
  <c r="BT183" i="22"/>
  <c r="BA184" i="22"/>
  <c r="BC184" i="22"/>
  <c r="BD184" i="22"/>
  <c r="BE184" i="22"/>
  <c r="BF184" i="22"/>
  <c r="BG184" i="22"/>
  <c r="BH184" i="22"/>
  <c r="BI184" i="22"/>
  <c r="BJ184" i="22"/>
  <c r="BK184" i="22"/>
  <c r="BL184" i="22"/>
  <c r="BM184" i="22"/>
  <c r="BN184" i="22"/>
  <c r="BO184" i="22"/>
  <c r="BP184" i="22"/>
  <c r="BQ184" i="22"/>
  <c r="BR184" i="22"/>
  <c r="BS184" i="22"/>
  <c r="BT184" i="22"/>
  <c r="BA185" i="22"/>
  <c r="BC185" i="22"/>
  <c r="BD185" i="22"/>
  <c r="BE185" i="22"/>
  <c r="BF185" i="22"/>
  <c r="BG185" i="22"/>
  <c r="BH185" i="22"/>
  <c r="BI185" i="22"/>
  <c r="BJ185" i="22"/>
  <c r="BK185" i="22"/>
  <c r="BL185" i="22"/>
  <c r="BM185" i="22"/>
  <c r="BN185" i="22"/>
  <c r="BO185" i="22"/>
  <c r="BP185" i="22"/>
  <c r="BQ185" i="22"/>
  <c r="BR185" i="22"/>
  <c r="BS185" i="22"/>
  <c r="BT185" i="22"/>
  <c r="BA186" i="22"/>
  <c r="BC186" i="22"/>
  <c r="BD186" i="22"/>
  <c r="BE186" i="22"/>
  <c r="BF186" i="22"/>
  <c r="BG186" i="22"/>
  <c r="BH186" i="22"/>
  <c r="BI186" i="22"/>
  <c r="BJ186" i="22"/>
  <c r="BK186" i="22"/>
  <c r="BL186" i="22"/>
  <c r="BM186" i="22"/>
  <c r="BN186" i="22"/>
  <c r="BO186" i="22"/>
  <c r="BP186" i="22"/>
  <c r="BQ186" i="22"/>
  <c r="BR186" i="22"/>
  <c r="BS186" i="22"/>
  <c r="BT186" i="22"/>
  <c r="BA187" i="22"/>
  <c r="BC187" i="22"/>
  <c r="BD187" i="22"/>
  <c r="BE187" i="22"/>
  <c r="BF187" i="22"/>
  <c r="BG187" i="22"/>
  <c r="BH187" i="22"/>
  <c r="BI187" i="22"/>
  <c r="BJ187" i="22"/>
  <c r="BK187" i="22"/>
  <c r="BL187" i="22"/>
  <c r="BM187" i="22"/>
  <c r="BN187" i="22"/>
  <c r="BO187" i="22"/>
  <c r="BP187" i="22"/>
  <c r="BQ187" i="22"/>
  <c r="BR187" i="22"/>
  <c r="BS187" i="22"/>
  <c r="BT187" i="22"/>
  <c r="BA188" i="22"/>
  <c r="BC188" i="22"/>
  <c r="BD188" i="22"/>
  <c r="BE188" i="22"/>
  <c r="BF188" i="22"/>
  <c r="BG188" i="22"/>
  <c r="BH188" i="22"/>
  <c r="BI188" i="22"/>
  <c r="BJ188" i="22"/>
  <c r="BK188" i="22"/>
  <c r="BL188" i="22"/>
  <c r="BM188" i="22"/>
  <c r="BN188" i="22"/>
  <c r="BO188" i="22"/>
  <c r="BP188" i="22"/>
  <c r="BQ188" i="22"/>
  <c r="BR188" i="22"/>
  <c r="BS188" i="22"/>
  <c r="BT188" i="22"/>
  <c r="BA189" i="22"/>
  <c r="BC189" i="22"/>
  <c r="BD189" i="22"/>
  <c r="BE189" i="22"/>
  <c r="BF189" i="22"/>
  <c r="BG189" i="22"/>
  <c r="BH189" i="22"/>
  <c r="BI189" i="22"/>
  <c r="BJ189" i="22"/>
  <c r="BK189" i="22"/>
  <c r="BL189" i="22"/>
  <c r="BM189" i="22"/>
  <c r="BN189" i="22"/>
  <c r="BO189" i="22"/>
  <c r="BP189" i="22"/>
  <c r="BQ189" i="22"/>
  <c r="BR189" i="22"/>
  <c r="BS189" i="22"/>
  <c r="BT189" i="22"/>
  <c r="BA190" i="22"/>
  <c r="BC190" i="22"/>
  <c r="BD190" i="22"/>
  <c r="BE190" i="22"/>
  <c r="BF190" i="22"/>
  <c r="BG190" i="22"/>
  <c r="BH190" i="22"/>
  <c r="BI190" i="22"/>
  <c r="BJ190" i="22"/>
  <c r="BK190" i="22"/>
  <c r="BL190" i="22"/>
  <c r="BM190" i="22"/>
  <c r="BN190" i="22"/>
  <c r="BO190" i="22"/>
  <c r="BP190" i="22"/>
  <c r="BQ190" i="22"/>
  <c r="BR190" i="22"/>
  <c r="BS190" i="22"/>
  <c r="BT190" i="22"/>
  <c r="BA191" i="22"/>
  <c r="BC191" i="22"/>
  <c r="BD191" i="22"/>
  <c r="BE191" i="22"/>
  <c r="BF191" i="22"/>
  <c r="BG191" i="22"/>
  <c r="BH191" i="22"/>
  <c r="BI191" i="22"/>
  <c r="BJ191" i="22"/>
  <c r="BK191" i="22"/>
  <c r="BL191" i="22"/>
  <c r="BM191" i="22"/>
  <c r="BN191" i="22"/>
  <c r="BO191" i="22"/>
  <c r="BP191" i="22"/>
  <c r="BQ191" i="22"/>
  <c r="BR191" i="22"/>
  <c r="BS191" i="22"/>
  <c r="BT191" i="22"/>
  <c r="BA192" i="22"/>
  <c r="BC192" i="22"/>
  <c r="BD192" i="22"/>
  <c r="BE192" i="22"/>
  <c r="BF192" i="22"/>
  <c r="BG192" i="22"/>
  <c r="BH192" i="22"/>
  <c r="BI192" i="22"/>
  <c r="BJ192" i="22"/>
  <c r="BK192" i="22"/>
  <c r="BL192" i="22"/>
  <c r="BM192" i="22"/>
  <c r="BN192" i="22"/>
  <c r="BO192" i="22"/>
  <c r="BP192" i="22"/>
  <c r="BQ192" i="22"/>
  <c r="BR192" i="22"/>
  <c r="BS192" i="22"/>
  <c r="BT192" i="22"/>
  <c r="BA193" i="22"/>
  <c r="BC193" i="22"/>
  <c r="BD193" i="22"/>
  <c r="BE193" i="22"/>
  <c r="BF193" i="22"/>
  <c r="BG193" i="22"/>
  <c r="BH193" i="22"/>
  <c r="BI193" i="22"/>
  <c r="BJ193" i="22"/>
  <c r="BK193" i="22"/>
  <c r="BL193" i="22"/>
  <c r="BM193" i="22"/>
  <c r="BN193" i="22"/>
  <c r="BO193" i="22"/>
  <c r="BP193" i="22"/>
  <c r="BQ193" i="22"/>
  <c r="BR193" i="22"/>
  <c r="BS193" i="22"/>
  <c r="BT193" i="22"/>
  <c r="BA194" i="22"/>
  <c r="BC194" i="22"/>
  <c r="BD194" i="22"/>
  <c r="BE194" i="22"/>
  <c r="BF194" i="22"/>
  <c r="BG194" i="22"/>
  <c r="BH194" i="22"/>
  <c r="BI194" i="22"/>
  <c r="BJ194" i="22"/>
  <c r="BK194" i="22"/>
  <c r="BL194" i="22"/>
  <c r="BM194" i="22"/>
  <c r="BN194" i="22"/>
  <c r="BO194" i="22"/>
  <c r="BP194" i="22"/>
  <c r="BQ194" i="22"/>
  <c r="BR194" i="22"/>
  <c r="BS194" i="22"/>
  <c r="BT194" i="22"/>
  <c r="BA195" i="22"/>
  <c r="BC195" i="22"/>
  <c r="BD195" i="22"/>
  <c r="BE195" i="22"/>
  <c r="BF195" i="22"/>
  <c r="BG195" i="22"/>
  <c r="BH195" i="22"/>
  <c r="BI195" i="22"/>
  <c r="BJ195" i="22"/>
  <c r="BK195" i="22"/>
  <c r="BL195" i="22"/>
  <c r="BM195" i="22"/>
  <c r="BN195" i="22"/>
  <c r="BO195" i="22"/>
  <c r="BP195" i="22"/>
  <c r="BQ195" i="22"/>
  <c r="BR195" i="22"/>
  <c r="BS195" i="22"/>
  <c r="BT195" i="22"/>
  <c r="BA196" i="22"/>
  <c r="BC196" i="22"/>
  <c r="BD196" i="22"/>
  <c r="BE196" i="22"/>
  <c r="BF196" i="22"/>
  <c r="BG196" i="22"/>
  <c r="BH196" i="22"/>
  <c r="BI196" i="22"/>
  <c r="BJ196" i="22"/>
  <c r="BK196" i="22"/>
  <c r="BL196" i="22"/>
  <c r="BM196" i="22"/>
  <c r="BN196" i="22"/>
  <c r="BO196" i="22"/>
  <c r="BP196" i="22"/>
  <c r="BQ196" i="22"/>
  <c r="BR196" i="22"/>
  <c r="BS196" i="22"/>
  <c r="BT196" i="22"/>
  <c r="BA197" i="22"/>
  <c r="BC197" i="22"/>
  <c r="BD197" i="22"/>
  <c r="BE197" i="22"/>
  <c r="BF197" i="22"/>
  <c r="BG197" i="22"/>
  <c r="BH197" i="22"/>
  <c r="BI197" i="22"/>
  <c r="BJ197" i="22"/>
  <c r="BK197" i="22"/>
  <c r="BL197" i="22"/>
  <c r="BM197" i="22"/>
  <c r="BN197" i="22"/>
  <c r="BO197" i="22"/>
  <c r="BP197" i="22"/>
  <c r="BQ197" i="22"/>
  <c r="BR197" i="22"/>
  <c r="BS197" i="22"/>
  <c r="BT197" i="22"/>
  <c r="BA200" i="22"/>
  <c r="BC200" i="22"/>
  <c r="BD200" i="22"/>
  <c r="BE200" i="22"/>
  <c r="BF200" i="22"/>
  <c r="BG200" i="22"/>
  <c r="BH200" i="22"/>
  <c r="BI200" i="22"/>
  <c r="BJ200" i="22"/>
  <c r="BK200" i="22"/>
  <c r="BL200" i="22"/>
  <c r="BM200" i="22"/>
  <c r="BN200" i="22"/>
  <c r="BO200" i="22"/>
  <c r="BP200" i="22"/>
  <c r="BQ200" i="22"/>
  <c r="BR200" i="22"/>
  <c r="BS200" i="22"/>
  <c r="BT200" i="22"/>
  <c r="BA201" i="22"/>
  <c r="BC201" i="22"/>
  <c r="BD201" i="22"/>
  <c r="BE201" i="22"/>
  <c r="BF201" i="22"/>
  <c r="BG201" i="22"/>
  <c r="BH201" i="22"/>
  <c r="BI201" i="22"/>
  <c r="BJ201" i="22"/>
  <c r="BK201" i="22"/>
  <c r="BL201" i="22"/>
  <c r="BM201" i="22"/>
  <c r="BN201" i="22"/>
  <c r="BO201" i="22"/>
  <c r="BP201" i="22"/>
  <c r="BQ201" i="22"/>
  <c r="BR201" i="22"/>
  <c r="BS201" i="22"/>
  <c r="BT201" i="22"/>
  <c r="BA202" i="22"/>
  <c r="BC202" i="22"/>
  <c r="BD202" i="22"/>
  <c r="BE202" i="22"/>
  <c r="BF202" i="22"/>
  <c r="BG202" i="22"/>
  <c r="BH202" i="22"/>
  <c r="BI202" i="22"/>
  <c r="BJ202" i="22"/>
  <c r="BK202" i="22"/>
  <c r="BL202" i="22"/>
  <c r="BM202" i="22"/>
  <c r="BN202" i="22"/>
  <c r="BO202" i="22"/>
  <c r="BP202" i="22"/>
  <c r="BQ202" i="22"/>
  <c r="BR202" i="22"/>
  <c r="BS202" i="22"/>
  <c r="BT202" i="22"/>
  <c r="BA203" i="22"/>
  <c r="BC203" i="22"/>
  <c r="BD203" i="22"/>
  <c r="BE203" i="22"/>
  <c r="BF203" i="22"/>
  <c r="BG203" i="22"/>
  <c r="BH203" i="22"/>
  <c r="BI203" i="22"/>
  <c r="BJ203" i="22"/>
  <c r="BK203" i="22"/>
  <c r="BL203" i="22"/>
  <c r="BM203" i="22"/>
  <c r="BN203" i="22"/>
  <c r="BO203" i="22"/>
  <c r="BP203" i="22"/>
  <c r="BQ203" i="22"/>
  <c r="BR203" i="22"/>
  <c r="BS203" i="22"/>
  <c r="BT203" i="22"/>
  <c r="BA204" i="22"/>
  <c r="BC204" i="22"/>
  <c r="BD204" i="22"/>
  <c r="BE204" i="22"/>
  <c r="BF204" i="22"/>
  <c r="BG204" i="22"/>
  <c r="BH204" i="22"/>
  <c r="BI204" i="22"/>
  <c r="BJ204" i="22"/>
  <c r="BK204" i="22"/>
  <c r="BL204" i="22"/>
  <c r="BM204" i="22"/>
  <c r="BN204" i="22"/>
  <c r="BO204" i="22"/>
  <c r="BP204" i="22"/>
  <c r="BQ204" i="22"/>
  <c r="BR204" i="22"/>
  <c r="BS204" i="22"/>
  <c r="BT204" i="22"/>
  <c r="BA205" i="22"/>
  <c r="BC205" i="22"/>
  <c r="BD205" i="22"/>
  <c r="BE205" i="22"/>
  <c r="BF205" i="22"/>
  <c r="BG205" i="22"/>
  <c r="BH205" i="22"/>
  <c r="BI205" i="22"/>
  <c r="BJ205" i="22"/>
  <c r="BK205" i="22"/>
  <c r="BL205" i="22"/>
  <c r="BM205" i="22"/>
  <c r="BN205" i="22"/>
  <c r="BO205" i="22"/>
  <c r="BP205" i="22"/>
  <c r="BQ205" i="22"/>
  <c r="BR205" i="22"/>
  <c r="BS205" i="22"/>
  <c r="BT205" i="22"/>
  <c r="BA206" i="22"/>
  <c r="BC206" i="22"/>
  <c r="BD206" i="22"/>
  <c r="BE206" i="22"/>
  <c r="BF206" i="22"/>
  <c r="BG206" i="22"/>
  <c r="BH206" i="22"/>
  <c r="BI206" i="22"/>
  <c r="BJ206" i="22"/>
  <c r="BK206" i="22"/>
  <c r="BL206" i="22"/>
  <c r="BM206" i="22"/>
  <c r="BN206" i="22"/>
  <c r="BO206" i="22"/>
  <c r="BP206" i="22"/>
  <c r="BQ206" i="22"/>
  <c r="BR206" i="22"/>
  <c r="BS206" i="22"/>
  <c r="BT206" i="22"/>
  <c r="BA207" i="22"/>
  <c r="BC207" i="22"/>
  <c r="BD207" i="22"/>
  <c r="BE207" i="22"/>
  <c r="BF207" i="22"/>
  <c r="BG207" i="22"/>
  <c r="BH207" i="22"/>
  <c r="BI207" i="22"/>
  <c r="BJ207" i="22"/>
  <c r="BK207" i="22"/>
  <c r="BL207" i="22"/>
  <c r="BM207" i="22"/>
  <c r="BN207" i="22"/>
  <c r="BO207" i="22"/>
  <c r="BP207" i="22"/>
  <c r="BQ207" i="22"/>
  <c r="BR207" i="22"/>
  <c r="BS207" i="22"/>
  <c r="BT207" i="22"/>
  <c r="BA208" i="22"/>
  <c r="BC208" i="22"/>
  <c r="BD208" i="22"/>
  <c r="BE208" i="22"/>
  <c r="BF208" i="22"/>
  <c r="BG208" i="22"/>
  <c r="BH208" i="22"/>
  <c r="BI208" i="22"/>
  <c r="BJ208" i="22"/>
  <c r="BK208" i="22"/>
  <c r="BL208" i="22"/>
  <c r="BM208" i="22"/>
  <c r="BN208" i="22"/>
  <c r="BO208" i="22"/>
  <c r="BP208" i="22"/>
  <c r="BQ208" i="22"/>
  <c r="BR208" i="22"/>
  <c r="BS208" i="22"/>
  <c r="BT208" i="22"/>
  <c r="BA209" i="22"/>
  <c r="BC209" i="22"/>
  <c r="BD209" i="22"/>
  <c r="BE209" i="22"/>
  <c r="BF209" i="22"/>
  <c r="BG209" i="22"/>
  <c r="BH209" i="22"/>
  <c r="BI209" i="22"/>
  <c r="BJ209" i="22"/>
  <c r="BK209" i="22"/>
  <c r="BL209" i="22"/>
  <c r="BM209" i="22"/>
  <c r="BN209" i="22"/>
  <c r="BO209" i="22"/>
  <c r="BP209" i="22"/>
  <c r="BQ209" i="22"/>
  <c r="BR209" i="22"/>
  <c r="BS209" i="22"/>
  <c r="BT209" i="22"/>
  <c r="BA210" i="22"/>
  <c r="BC210" i="22"/>
  <c r="BD210" i="22"/>
  <c r="BE210" i="22"/>
  <c r="BF210" i="22"/>
  <c r="BG210" i="22"/>
  <c r="BH210" i="22"/>
  <c r="BI210" i="22"/>
  <c r="BJ210" i="22"/>
  <c r="BK210" i="22"/>
  <c r="BL210" i="22"/>
  <c r="BM210" i="22"/>
  <c r="BN210" i="22"/>
  <c r="BO210" i="22"/>
  <c r="BP210" i="22"/>
  <c r="BQ210" i="22"/>
  <c r="BR210" i="22"/>
  <c r="BS210" i="22"/>
  <c r="BT210" i="22"/>
  <c r="BA211" i="22"/>
  <c r="BC211" i="22"/>
  <c r="BD211" i="22"/>
  <c r="BE211" i="22"/>
  <c r="BF211" i="22"/>
  <c r="BG211" i="22"/>
  <c r="BH211" i="22"/>
  <c r="BI211" i="22"/>
  <c r="BJ211" i="22"/>
  <c r="BK211" i="22"/>
  <c r="BL211" i="22"/>
  <c r="BM211" i="22"/>
  <c r="BN211" i="22"/>
  <c r="BO211" i="22"/>
  <c r="BP211" i="22"/>
  <c r="BQ211" i="22"/>
  <c r="BR211" i="22"/>
  <c r="BS211" i="22"/>
  <c r="BT211" i="22"/>
  <c r="BA212" i="22"/>
  <c r="BC212" i="22"/>
  <c r="BD212" i="22"/>
  <c r="BE212" i="22"/>
  <c r="BF212" i="22"/>
  <c r="BG212" i="22"/>
  <c r="BH212" i="22"/>
  <c r="BI212" i="22"/>
  <c r="BJ212" i="22"/>
  <c r="BK212" i="22"/>
  <c r="BL212" i="22"/>
  <c r="BM212" i="22"/>
  <c r="BN212" i="22"/>
  <c r="BO212" i="22"/>
  <c r="BP212" i="22"/>
  <c r="BQ212" i="22"/>
  <c r="BR212" i="22"/>
  <c r="BS212" i="22"/>
  <c r="BT212" i="22"/>
  <c r="BA213" i="22"/>
  <c r="BC213" i="22"/>
  <c r="BD213" i="22"/>
  <c r="BE213" i="22"/>
  <c r="BF213" i="22"/>
  <c r="BG213" i="22"/>
  <c r="BH213" i="22"/>
  <c r="BI213" i="22"/>
  <c r="BJ213" i="22"/>
  <c r="BK213" i="22"/>
  <c r="BL213" i="22"/>
  <c r="BM213" i="22"/>
  <c r="BN213" i="22"/>
  <c r="BO213" i="22"/>
  <c r="BP213" i="22"/>
  <c r="BQ213" i="22"/>
  <c r="BR213" i="22"/>
  <c r="BS213" i="22"/>
  <c r="BT213" i="22"/>
  <c r="BA214" i="22"/>
  <c r="BC214" i="22"/>
  <c r="BD214" i="22"/>
  <c r="BE214" i="22"/>
  <c r="BF214" i="22"/>
  <c r="BG214" i="22"/>
  <c r="BH214" i="22"/>
  <c r="BI214" i="22"/>
  <c r="BJ214" i="22"/>
  <c r="BK214" i="22"/>
  <c r="BL214" i="22"/>
  <c r="BM214" i="22"/>
  <c r="BN214" i="22"/>
  <c r="BO214" i="22"/>
  <c r="BP214" i="22"/>
  <c r="BQ214" i="22"/>
  <c r="BR214" i="22"/>
  <c r="BS214" i="22"/>
  <c r="BT214" i="22"/>
  <c r="BA215" i="22"/>
  <c r="BC215" i="22"/>
  <c r="BD215" i="22"/>
  <c r="BE215" i="22"/>
  <c r="BF215" i="22"/>
  <c r="BG215" i="22"/>
  <c r="BH215" i="22"/>
  <c r="BI215" i="22"/>
  <c r="BJ215" i="22"/>
  <c r="BK215" i="22"/>
  <c r="BL215" i="22"/>
  <c r="BM215" i="22"/>
  <c r="BN215" i="22"/>
  <c r="BO215" i="22"/>
  <c r="BP215" i="22"/>
  <c r="BQ215" i="22"/>
  <c r="BR215" i="22"/>
  <c r="BS215" i="22"/>
  <c r="BT215" i="22"/>
  <c r="BA216" i="22"/>
  <c r="BC216" i="22"/>
  <c r="BD216" i="22"/>
  <c r="BE216" i="22"/>
  <c r="BF216" i="22"/>
  <c r="BG216" i="22"/>
  <c r="BH216" i="22"/>
  <c r="BI216" i="22"/>
  <c r="BJ216" i="22"/>
  <c r="BK216" i="22"/>
  <c r="BL216" i="22"/>
  <c r="BM216" i="22"/>
  <c r="BN216" i="22"/>
  <c r="BO216" i="22"/>
  <c r="BP216" i="22"/>
  <c r="BQ216" i="22"/>
  <c r="BR216" i="22"/>
  <c r="BS216" i="22"/>
  <c r="BT216" i="22"/>
  <c r="BA217" i="22"/>
  <c r="BC217" i="22"/>
  <c r="BD217" i="22"/>
  <c r="BE217" i="22"/>
  <c r="BF217" i="22"/>
  <c r="BG217" i="22"/>
  <c r="BH217" i="22"/>
  <c r="BI217" i="22"/>
  <c r="BJ217" i="22"/>
  <c r="BK217" i="22"/>
  <c r="BL217" i="22"/>
  <c r="BM217" i="22"/>
  <c r="BN217" i="22"/>
  <c r="BO217" i="22"/>
  <c r="BP217" i="22"/>
  <c r="BQ217" i="22"/>
  <c r="BR217" i="22"/>
  <c r="BS217" i="22"/>
  <c r="BT217" i="22"/>
  <c r="BA218" i="22"/>
  <c r="BC218" i="22"/>
  <c r="BD218" i="22"/>
  <c r="BE218" i="22"/>
  <c r="BF218" i="22"/>
  <c r="BG218" i="22"/>
  <c r="BH218" i="22"/>
  <c r="BI218" i="22"/>
  <c r="BJ218" i="22"/>
  <c r="BK218" i="22"/>
  <c r="BL218" i="22"/>
  <c r="BM218" i="22"/>
  <c r="BN218" i="22"/>
  <c r="BO218" i="22"/>
  <c r="BP218" i="22"/>
  <c r="BQ218" i="22"/>
  <c r="BR218" i="22"/>
  <c r="BS218" i="22"/>
  <c r="BT218" i="22"/>
  <c r="B182" i="39"/>
  <c r="B183" i="39"/>
  <c r="B184" i="39"/>
  <c r="B185" i="39"/>
  <c r="B186" i="39"/>
  <c r="B187" i="39"/>
  <c r="B188" i="39"/>
  <c r="B189" i="39"/>
  <c r="B190" i="39"/>
  <c r="B191" i="39"/>
  <c r="B181" i="39"/>
  <c r="AA6" i="27"/>
  <c r="H7" i="27" s="1"/>
  <c r="F27" i="27"/>
  <c r="H27" i="27" s="1"/>
  <c r="C73" i="36" s="1"/>
  <c r="CK11" i="29"/>
  <c r="CK12" i="29"/>
  <c r="CK13" i="29"/>
  <c r="CK14" i="29"/>
  <c r="CK15" i="29"/>
  <c r="CK16" i="29"/>
  <c r="CK17" i="29"/>
  <c r="CK18" i="29"/>
  <c r="CK19" i="29"/>
  <c r="CK20" i="29"/>
  <c r="CK21" i="29"/>
  <c r="CK22" i="29"/>
  <c r="CK23" i="29"/>
  <c r="CK24" i="29"/>
  <c r="CK25" i="29"/>
  <c r="CK26" i="29"/>
  <c r="CK27" i="29"/>
  <c r="CK28" i="29"/>
  <c r="CK29" i="29"/>
  <c r="X27" i="32"/>
  <c r="V16" i="30"/>
  <c r="W16" i="30" s="1"/>
  <c r="R33" i="26"/>
  <c r="O33" i="26" s="1"/>
  <c r="K26" i="30"/>
  <c r="N26" i="30" s="1"/>
  <c r="C116" i="36" s="1"/>
  <c r="K27" i="30"/>
  <c r="N27" i="30" s="1"/>
  <c r="C117" i="36" s="1"/>
  <c r="K28" i="30"/>
  <c r="N28" i="30" s="1"/>
  <c r="C118" i="36" s="1"/>
  <c r="K29" i="30"/>
  <c r="N29" i="30" s="1"/>
  <c r="C119" i="36" s="1"/>
  <c r="K30" i="30"/>
  <c r="N30" i="30" s="1"/>
  <c r="C120" i="36" s="1"/>
  <c r="K31" i="30"/>
  <c r="N31" i="30" s="1"/>
  <c r="K32" i="30"/>
  <c r="N32" i="30" s="1"/>
  <c r="K33" i="30"/>
  <c r="N33" i="30" s="1"/>
  <c r="K34" i="30"/>
  <c r="N34" i="30" s="1"/>
  <c r="C121" i="36" s="1"/>
  <c r="K35" i="30"/>
  <c r="N35" i="30" s="1"/>
  <c r="C122" i="36" s="1"/>
  <c r="K36" i="30"/>
  <c r="N36" i="30" s="1"/>
  <c r="C123" i="36" s="1"/>
  <c r="K37" i="30"/>
  <c r="N37" i="30" s="1"/>
  <c r="C124" i="36" s="1"/>
  <c r="K38" i="30"/>
  <c r="N38" i="30" s="1"/>
  <c r="C125" i="36" s="1"/>
  <c r="K39" i="30"/>
  <c r="N39" i="30" s="1"/>
  <c r="K40" i="30"/>
  <c r="N40" i="30" s="1"/>
  <c r="J26" i="30"/>
  <c r="J27" i="30"/>
  <c r="J28" i="30"/>
  <c r="J29" i="30"/>
  <c r="J30" i="30"/>
  <c r="J31" i="30"/>
  <c r="J32" i="30"/>
  <c r="J33" i="30"/>
  <c r="J34" i="30"/>
  <c r="J35" i="30"/>
  <c r="J36" i="30"/>
  <c r="J37" i="30"/>
  <c r="J38" i="30"/>
  <c r="J39" i="30"/>
  <c r="J40" i="30"/>
  <c r="F28" i="32"/>
  <c r="I31" i="27"/>
  <c r="P105" i="26"/>
  <c r="R19" i="45"/>
  <c r="C12" i="36" s="1"/>
  <c r="O80" i="26"/>
  <c r="Q80" i="26" s="1"/>
  <c r="R80" i="26" s="1"/>
  <c r="H26" i="27"/>
  <c r="C72" i="36" s="1"/>
  <c r="I26" i="27"/>
  <c r="J26" i="27"/>
  <c r="S15" i="26"/>
  <c r="J19" i="39"/>
  <c r="T16" i="26"/>
  <c r="W14" i="45"/>
  <c r="X28" i="32"/>
  <c r="X29" i="32"/>
  <c r="X30" i="32"/>
  <c r="X31" i="32"/>
  <c r="X36" i="32"/>
  <c r="P2" i="39"/>
  <c r="F30" i="35"/>
  <c r="X30" i="35" s="1"/>
  <c r="F31" i="35"/>
  <c r="X31" i="35" s="1"/>
  <c r="F32" i="35"/>
  <c r="X32" i="35" s="1"/>
  <c r="F29" i="35"/>
  <c r="X29" i="35" s="1"/>
  <c r="F45" i="30"/>
  <c r="AE45" i="30" s="1"/>
  <c r="F46" i="30"/>
  <c r="AE46" i="30" s="1"/>
  <c r="F47" i="30"/>
  <c r="AE47" i="30" s="1"/>
  <c r="AU46" i="27"/>
  <c r="AV46" i="27" s="1"/>
  <c r="L17" i="30" s="1"/>
  <c r="V17" i="30" s="1"/>
  <c r="W17" i="30" s="1"/>
  <c r="AO88" i="27"/>
  <c r="E54" i="27"/>
  <c r="S53" i="27" s="1"/>
  <c r="AQ51" i="27" s="1"/>
  <c r="Q49" i="27"/>
  <c r="AP47" i="27" s="1"/>
  <c r="Q50" i="27"/>
  <c r="AP48" i="27" s="1"/>
  <c r="Q51" i="27"/>
  <c r="AP49" i="27" s="1"/>
  <c r="Q52" i="27"/>
  <c r="AP50" i="27" s="1"/>
  <c r="Q54" i="27"/>
  <c r="AP52" i="27" s="1"/>
  <c r="Q61" i="27"/>
  <c r="AP59" i="27" s="1"/>
  <c r="Q62" i="27"/>
  <c r="AP60" i="27" s="1"/>
  <c r="Q63" i="27"/>
  <c r="AP61" i="27" s="1"/>
  <c r="Q64" i="27"/>
  <c r="AP62" i="27" s="1"/>
  <c r="Q48" i="27"/>
  <c r="AP46" i="27" s="1"/>
  <c r="R34" i="30"/>
  <c r="R35" i="30"/>
  <c r="R36" i="30"/>
  <c r="R37" i="30"/>
  <c r="R38" i="30"/>
  <c r="R39" i="30"/>
  <c r="R40" i="30"/>
  <c r="R31" i="30"/>
  <c r="R32" i="30"/>
  <c r="R33" i="30"/>
  <c r="R27" i="30"/>
  <c r="R28" i="30"/>
  <c r="R29" i="30"/>
  <c r="R30" i="30"/>
  <c r="V34" i="30"/>
  <c r="W34" i="30" s="1"/>
  <c r="V36" i="30"/>
  <c r="W36" i="30" s="1"/>
  <c r="V37" i="30"/>
  <c r="W37" i="30" s="1"/>
  <c r="V38" i="30"/>
  <c r="W38" i="30" s="1"/>
  <c r="V39" i="30"/>
  <c r="V40" i="30"/>
  <c r="W40" i="30" s="1"/>
  <c r="V31" i="30"/>
  <c r="W31" i="30" s="1"/>
  <c r="V32" i="30"/>
  <c r="W32" i="30" s="1"/>
  <c r="V33" i="30"/>
  <c r="V27" i="30"/>
  <c r="W27" i="30" s="1"/>
  <c r="V28" i="30"/>
  <c r="V29" i="30"/>
  <c r="W29" i="30" s="1"/>
  <c r="V30" i="30"/>
  <c r="W30" i="30" s="1"/>
  <c r="E34" i="30"/>
  <c r="G34" i="30" s="1"/>
  <c r="E35" i="30"/>
  <c r="G35" i="30" s="1"/>
  <c r="E36" i="30"/>
  <c r="G36" i="30" s="1"/>
  <c r="E37" i="30"/>
  <c r="G37" i="30" s="1"/>
  <c r="E38" i="30"/>
  <c r="G38" i="30" s="1"/>
  <c r="E39" i="30"/>
  <c r="E40" i="30"/>
  <c r="G40" i="30" s="1"/>
  <c r="E31" i="30"/>
  <c r="G31" i="30" s="1"/>
  <c r="E32" i="30"/>
  <c r="G32" i="30" s="1"/>
  <c r="E33" i="30"/>
  <c r="G33" i="30" s="1"/>
  <c r="G8" i="30"/>
  <c r="G9" i="30"/>
  <c r="G10" i="30"/>
  <c r="G11" i="30"/>
  <c r="E12" i="30"/>
  <c r="G12" i="30" s="1"/>
  <c r="G13" i="30"/>
  <c r="G14" i="30"/>
  <c r="G15" i="30"/>
  <c r="G16" i="30"/>
  <c r="G17" i="30"/>
  <c r="G18" i="30"/>
  <c r="G19" i="30"/>
  <c r="G20" i="30"/>
  <c r="G21" i="30"/>
  <c r="E22" i="30"/>
  <c r="G22" i="30" s="1"/>
  <c r="E23" i="30"/>
  <c r="G23" i="30" s="1"/>
  <c r="E24" i="30"/>
  <c r="G24" i="30" s="1"/>
  <c r="E25" i="30"/>
  <c r="G25" i="30" s="1"/>
  <c r="E26" i="30"/>
  <c r="G26" i="30" s="1"/>
  <c r="E27" i="30"/>
  <c r="G27" i="30" s="1"/>
  <c r="E28" i="30"/>
  <c r="G28" i="30" s="1"/>
  <c r="E29" i="30"/>
  <c r="G29" i="30" s="1"/>
  <c r="E30" i="30"/>
  <c r="G30" i="30" s="1"/>
  <c r="J8" i="35"/>
  <c r="O8" i="35" s="1"/>
  <c r="K8" i="35"/>
  <c r="N8" i="35" s="1"/>
  <c r="J10" i="35"/>
  <c r="O10" i="35" s="1"/>
  <c r="K10" i="35"/>
  <c r="N10" i="35" s="1"/>
  <c r="J11" i="35"/>
  <c r="K11" i="35"/>
  <c r="J13" i="35"/>
  <c r="O13" i="35" s="1"/>
  <c r="P13" i="35"/>
  <c r="K13" i="35"/>
  <c r="N13" i="35" s="1"/>
  <c r="J14" i="35"/>
  <c r="O14" i="35" s="1"/>
  <c r="K14" i="35"/>
  <c r="N14" i="35" s="1"/>
  <c r="J16" i="35"/>
  <c r="O16" i="35" s="1"/>
  <c r="P16" i="35"/>
  <c r="K16" i="35"/>
  <c r="N16" i="35" s="1"/>
  <c r="J17" i="35"/>
  <c r="O17" i="35" s="1"/>
  <c r="P17" i="35" s="1"/>
  <c r="K17" i="35"/>
  <c r="N17" i="35" s="1"/>
  <c r="J18" i="35"/>
  <c r="O18" i="35" s="1"/>
  <c r="K18" i="35"/>
  <c r="N18" i="35" s="1"/>
  <c r="J20" i="35"/>
  <c r="O20" i="35" s="1"/>
  <c r="K20" i="35"/>
  <c r="N20" i="35" s="1"/>
  <c r="J21" i="35"/>
  <c r="O21" i="35" s="1"/>
  <c r="K21" i="35"/>
  <c r="J23" i="35"/>
  <c r="O23" i="35" s="1"/>
  <c r="K23" i="35"/>
  <c r="N23" i="35" s="1"/>
  <c r="J24" i="35"/>
  <c r="O24" i="35" s="1"/>
  <c r="K24" i="35"/>
  <c r="N24" i="35" s="1"/>
  <c r="AU47" i="27"/>
  <c r="AV47" i="27" s="1"/>
  <c r="AU48" i="27"/>
  <c r="AV48" i="27" s="1"/>
  <c r="AU49" i="27"/>
  <c r="AV49" i="27" s="1"/>
  <c r="AU50" i="27"/>
  <c r="AV50" i="27" s="1"/>
  <c r="AU52" i="27"/>
  <c r="AV52" i="27" s="1"/>
  <c r="L19" i="30" s="1"/>
  <c r="V19" i="30" s="1"/>
  <c r="AU59" i="27"/>
  <c r="AV59" i="27" s="1"/>
  <c r="AU60" i="27"/>
  <c r="AV60" i="27" s="1"/>
  <c r="AU61" i="27"/>
  <c r="AV61" i="27" s="1"/>
  <c r="AU62" i="27"/>
  <c r="AV62" i="27" s="1"/>
  <c r="E35" i="27"/>
  <c r="J35" i="27" s="1"/>
  <c r="Q110" i="31"/>
  <c r="P110" i="31"/>
  <c r="Z110" i="31" s="1"/>
  <c r="Q109" i="31"/>
  <c r="P109" i="31"/>
  <c r="Z109" i="31" s="1"/>
  <c r="Q108" i="31"/>
  <c r="P108" i="31"/>
  <c r="Z108" i="31" s="1"/>
  <c r="Q107" i="31"/>
  <c r="P107" i="31"/>
  <c r="Z107" i="31" s="1"/>
  <c r="Q106" i="31"/>
  <c r="P106" i="31"/>
  <c r="Z106" i="31" s="1"/>
  <c r="Q101" i="31"/>
  <c r="P101" i="31"/>
  <c r="Z101" i="31" s="1"/>
  <c r="Q100" i="31"/>
  <c r="P100" i="31"/>
  <c r="Z100" i="31" s="1"/>
  <c r="Q99" i="31"/>
  <c r="P99" i="31"/>
  <c r="Z99" i="31" s="1"/>
  <c r="Q98" i="31"/>
  <c r="P98" i="31"/>
  <c r="Z98" i="31" s="1"/>
  <c r="Q97" i="31"/>
  <c r="P97" i="31"/>
  <c r="Z97" i="31" s="1"/>
  <c r="Q92" i="31"/>
  <c r="P92" i="31"/>
  <c r="Z92" i="31" s="1"/>
  <c r="Q91" i="31"/>
  <c r="P91" i="31"/>
  <c r="Z91" i="31" s="1"/>
  <c r="Q90" i="31"/>
  <c r="P90" i="31"/>
  <c r="Z90" i="31" s="1"/>
  <c r="Q89" i="31"/>
  <c r="P89" i="31"/>
  <c r="Z89" i="31" s="1"/>
  <c r="Q88" i="31"/>
  <c r="P88" i="31"/>
  <c r="Z88" i="31" s="1"/>
  <c r="Q83" i="31"/>
  <c r="P83" i="31"/>
  <c r="Z83" i="31" s="1"/>
  <c r="Q82" i="31"/>
  <c r="P82" i="31"/>
  <c r="Z82" i="31" s="1"/>
  <c r="Q81" i="31"/>
  <c r="P81" i="31"/>
  <c r="Z81" i="31" s="1"/>
  <c r="Q80" i="31"/>
  <c r="P80" i="31"/>
  <c r="Z80" i="31" s="1"/>
  <c r="Q79" i="31"/>
  <c r="P79" i="31"/>
  <c r="Z79" i="31" s="1"/>
  <c r="Q74" i="31"/>
  <c r="P74" i="31"/>
  <c r="Z74" i="31" s="1"/>
  <c r="Q73" i="31"/>
  <c r="P73" i="31"/>
  <c r="Z73" i="31" s="1"/>
  <c r="Q72" i="31"/>
  <c r="P72" i="31"/>
  <c r="Z72" i="31" s="1"/>
  <c r="Q71" i="31"/>
  <c r="P71" i="31"/>
  <c r="Z71" i="31" s="1"/>
  <c r="Q70" i="31"/>
  <c r="P70" i="31"/>
  <c r="Z70" i="31" s="1"/>
  <c r="Q65" i="31"/>
  <c r="P65" i="31"/>
  <c r="Z65" i="31" s="1"/>
  <c r="Q64" i="31"/>
  <c r="P64" i="31"/>
  <c r="Z64" i="31" s="1"/>
  <c r="Q63" i="31"/>
  <c r="P63" i="31"/>
  <c r="Z63" i="31" s="1"/>
  <c r="Q62" i="31"/>
  <c r="P62" i="31"/>
  <c r="Z62" i="31" s="1"/>
  <c r="Q61" i="31"/>
  <c r="P61" i="31"/>
  <c r="Z61" i="31" s="1"/>
  <c r="Q56" i="31"/>
  <c r="P56" i="31"/>
  <c r="Z56" i="31" s="1"/>
  <c r="Q55" i="31"/>
  <c r="P55" i="31"/>
  <c r="Z55" i="31" s="1"/>
  <c r="Q54" i="31"/>
  <c r="P54" i="31"/>
  <c r="Z54" i="31" s="1"/>
  <c r="Q53" i="31"/>
  <c r="P53" i="31"/>
  <c r="Z53" i="31" s="1"/>
  <c r="Q52" i="31"/>
  <c r="P52" i="31"/>
  <c r="Z52" i="31" s="1"/>
  <c r="Q47" i="31"/>
  <c r="P47" i="31"/>
  <c r="Z47" i="31" s="1"/>
  <c r="Q46" i="31"/>
  <c r="P46" i="31"/>
  <c r="Z46" i="31" s="1"/>
  <c r="Q45" i="31"/>
  <c r="P45" i="31"/>
  <c r="Z45" i="31" s="1"/>
  <c r="Q44" i="31"/>
  <c r="P44" i="31"/>
  <c r="Z44" i="31" s="1"/>
  <c r="Q43" i="31"/>
  <c r="P43" i="31"/>
  <c r="Z43" i="31" s="1"/>
  <c r="Q38" i="31"/>
  <c r="P38" i="31"/>
  <c r="Z38" i="31" s="1"/>
  <c r="Q37" i="31"/>
  <c r="P37" i="31"/>
  <c r="Z37" i="31" s="1"/>
  <c r="Q36" i="31"/>
  <c r="P36" i="31"/>
  <c r="Z36" i="31" s="1"/>
  <c r="Q20" i="31"/>
  <c r="P20" i="31"/>
  <c r="Z20" i="31" s="1"/>
  <c r="AQ44" i="27"/>
  <c r="AE79" i="27"/>
  <c r="AE80" i="27"/>
  <c r="AE81" i="27"/>
  <c r="AE82" i="27"/>
  <c r="AE83" i="27"/>
  <c r="L38" i="42"/>
  <c r="W16" i="45"/>
  <c r="E38" i="27"/>
  <c r="H38" i="27" s="1"/>
  <c r="C84" i="36" s="1"/>
  <c r="F49" i="27"/>
  <c r="B132" i="39"/>
  <c r="B145" i="39"/>
  <c r="B138" i="39"/>
  <c r="B139" i="39"/>
  <c r="B136" i="39"/>
  <c r="B141" i="39"/>
  <c r="B142" i="39"/>
  <c r="B140" i="39"/>
  <c r="B143" i="39"/>
  <c r="B137" i="39"/>
  <c r="B144" i="39"/>
  <c r="B134" i="39"/>
  <c r="B133" i="39"/>
  <c r="B135" i="39"/>
  <c r="W83" i="27"/>
  <c r="X83" i="27" s="1"/>
  <c r="W84" i="27"/>
  <c r="X84" i="27" s="1"/>
  <c r="W85" i="27"/>
  <c r="X85" i="27" s="1"/>
  <c r="V80" i="27"/>
  <c r="V81" i="27"/>
  <c r="V82" i="27"/>
  <c r="V83" i="27"/>
  <c r="V84" i="27"/>
  <c r="V85" i="27"/>
  <c r="V86" i="27"/>
  <c r="T18" i="39"/>
  <c r="T19" i="39"/>
  <c r="T20" i="39"/>
  <c r="T21" i="39"/>
  <c r="S19" i="39"/>
  <c r="S20" i="39"/>
  <c r="S21" i="39"/>
  <c r="S6" i="39"/>
  <c r="S7" i="39"/>
  <c r="S8" i="39"/>
  <c r="S9" i="39"/>
  <c r="S10" i="39"/>
  <c r="S11" i="39"/>
  <c r="S12" i="39"/>
  <c r="S13" i="39"/>
  <c r="S14" i="39"/>
  <c r="S15" i="39"/>
  <c r="S16" i="39"/>
  <c r="S17" i="39"/>
  <c r="S18" i="39"/>
  <c r="S5" i="39"/>
  <c r="B73" i="36"/>
  <c r="B74" i="36"/>
  <c r="B75" i="36"/>
  <c r="B76" i="36"/>
  <c r="B77" i="36"/>
  <c r="B78" i="36"/>
  <c r="B79" i="36"/>
  <c r="B80" i="36"/>
  <c r="B81" i="36"/>
  <c r="B82" i="36"/>
  <c r="B83" i="36"/>
  <c r="B84" i="36"/>
  <c r="B85" i="36"/>
  <c r="B86" i="36"/>
  <c r="B87" i="36"/>
  <c r="B88" i="36"/>
  <c r="B72" i="36"/>
  <c r="B54" i="36"/>
  <c r="B55" i="36"/>
  <c r="B56" i="36"/>
  <c r="B57" i="36"/>
  <c r="B58" i="36"/>
  <c r="B59" i="36"/>
  <c r="B60" i="36"/>
  <c r="B61" i="36"/>
  <c r="B62" i="36"/>
  <c r="B63" i="36"/>
  <c r="B64" i="36"/>
  <c r="B65" i="36"/>
  <c r="B66" i="36"/>
  <c r="B67" i="36"/>
  <c r="B68" i="36"/>
  <c r="B69" i="36"/>
  <c r="B70" i="36"/>
  <c r="C40" i="36"/>
  <c r="C39" i="36"/>
  <c r="C38" i="36"/>
  <c r="C46" i="36"/>
  <c r="C36" i="36"/>
  <c r="C35" i="36"/>
  <c r="B49" i="36"/>
  <c r="B50" i="36"/>
  <c r="B51" i="36"/>
  <c r="B35" i="36"/>
  <c r="B36" i="36"/>
  <c r="B37" i="36"/>
  <c r="B38" i="36"/>
  <c r="B39" i="36"/>
  <c r="B40" i="36"/>
  <c r="B41" i="36"/>
  <c r="B42" i="36"/>
  <c r="B43" i="36"/>
  <c r="B44" i="36"/>
  <c r="B45" i="36"/>
  <c r="B46" i="36"/>
  <c r="B47" i="36"/>
  <c r="B48" i="36"/>
  <c r="B34" i="36"/>
  <c r="C27" i="42"/>
  <c r="Z19" i="42" s="1"/>
  <c r="AU44" i="27"/>
  <c r="E7" i="35"/>
  <c r="AS109" i="27"/>
  <c r="AS110" i="27"/>
  <c r="AS111" i="27"/>
  <c r="AS112" i="27"/>
  <c r="AS113" i="27"/>
  <c r="AS114" i="27"/>
  <c r="AS115" i="27"/>
  <c r="AS116" i="27"/>
  <c r="AR109" i="27"/>
  <c r="AR110" i="27"/>
  <c r="AR111" i="27"/>
  <c r="AR112" i="27"/>
  <c r="AR113" i="27"/>
  <c r="AR114" i="27"/>
  <c r="AR115" i="27"/>
  <c r="AR116" i="27"/>
  <c r="AQ109" i="27"/>
  <c r="AQ110" i="27"/>
  <c r="AQ111" i="27"/>
  <c r="AQ112" i="27"/>
  <c r="AQ113" i="27"/>
  <c r="AQ114" i="27"/>
  <c r="AQ115" i="27"/>
  <c r="AQ116" i="27"/>
  <c r="AP109" i="27"/>
  <c r="AP110" i="27"/>
  <c r="AP111" i="27"/>
  <c r="AP112" i="27"/>
  <c r="AP113" i="27"/>
  <c r="AP114" i="27"/>
  <c r="AP115" i="27"/>
  <c r="AP116" i="27"/>
  <c r="AO109" i="27"/>
  <c r="AO110" i="27"/>
  <c r="AO111" i="27"/>
  <c r="AO112" i="27"/>
  <c r="AO113" i="27"/>
  <c r="AO114" i="27"/>
  <c r="AO115" i="27"/>
  <c r="AO116" i="27"/>
  <c r="AN109" i="27"/>
  <c r="AN110" i="27"/>
  <c r="AN111" i="27"/>
  <c r="AN112" i="27"/>
  <c r="AN113" i="27"/>
  <c r="AN114" i="27"/>
  <c r="AN115" i="27"/>
  <c r="AN116" i="27"/>
  <c r="AM109" i="27"/>
  <c r="AM110" i="27"/>
  <c r="AM111" i="27"/>
  <c r="AM112" i="27"/>
  <c r="AM113" i="27"/>
  <c r="AM114" i="27"/>
  <c r="AM115" i="27"/>
  <c r="AM116" i="27"/>
  <c r="AL109" i="27"/>
  <c r="AL110" i="27"/>
  <c r="AL111" i="27"/>
  <c r="AL112" i="27"/>
  <c r="AL113" i="27"/>
  <c r="AL114" i="27"/>
  <c r="AL115" i="27"/>
  <c r="AL116" i="27"/>
  <c r="AK109" i="27"/>
  <c r="AK110" i="27"/>
  <c r="AK111" i="27"/>
  <c r="AK112" i="27"/>
  <c r="AK113" i="27"/>
  <c r="AK114" i="27"/>
  <c r="AK115" i="27"/>
  <c r="AK116" i="27"/>
  <c r="AJ109" i="27"/>
  <c r="AJ110" i="27"/>
  <c r="AJ111" i="27"/>
  <c r="AJ112" i="27"/>
  <c r="AJ113" i="27"/>
  <c r="AJ114" i="27"/>
  <c r="AJ115" i="27"/>
  <c r="AJ116" i="27"/>
  <c r="AI109" i="27"/>
  <c r="AI110" i="27"/>
  <c r="AI111" i="27"/>
  <c r="AI112" i="27"/>
  <c r="AI113" i="27"/>
  <c r="AI114" i="27"/>
  <c r="AI115" i="27"/>
  <c r="AI116" i="27"/>
  <c r="AH109" i="27"/>
  <c r="AH110" i="27"/>
  <c r="AH111" i="27"/>
  <c r="AH112" i="27"/>
  <c r="AH113" i="27"/>
  <c r="AH114" i="27"/>
  <c r="AH115" i="27"/>
  <c r="AH116" i="27"/>
  <c r="AG109" i="27"/>
  <c r="AG110" i="27"/>
  <c r="AG111" i="27"/>
  <c r="AG112" i="27"/>
  <c r="AG113" i="27"/>
  <c r="AG114" i="27"/>
  <c r="AG115" i="27"/>
  <c r="AG116" i="27"/>
  <c r="AG108" i="27"/>
  <c r="AF109" i="27"/>
  <c r="AF110" i="27"/>
  <c r="AF111" i="27"/>
  <c r="AF112" i="27"/>
  <c r="AF113" i="27"/>
  <c r="AF114" i="27"/>
  <c r="AF115" i="27"/>
  <c r="AF116" i="27"/>
  <c r="AF108" i="27"/>
  <c r="AE109" i="27"/>
  <c r="AE110" i="27"/>
  <c r="AE111" i="27"/>
  <c r="AE112" i="27"/>
  <c r="AE113" i="27"/>
  <c r="AE114" i="27"/>
  <c r="AE115" i="27"/>
  <c r="AE116" i="27"/>
  <c r="AD109" i="27"/>
  <c r="AD110" i="27"/>
  <c r="AD111" i="27"/>
  <c r="AD112" i="27"/>
  <c r="AD113" i="27"/>
  <c r="AD114" i="27"/>
  <c r="AD115" i="27"/>
  <c r="AD116" i="27"/>
  <c r="AC109" i="27"/>
  <c r="AC110" i="27"/>
  <c r="AC111" i="27"/>
  <c r="AC112" i="27"/>
  <c r="AC113" i="27"/>
  <c r="AC114" i="27"/>
  <c r="AC115" i="27"/>
  <c r="AC116" i="27"/>
  <c r="AS108" i="27"/>
  <c r="AR108" i="27"/>
  <c r="AO63" i="27"/>
  <c r="AP44" i="27"/>
  <c r="AR44" i="27"/>
  <c r="AT44" i="27"/>
  <c r="AO44" i="27"/>
  <c r="T116" i="27"/>
  <c r="AK65" i="27"/>
  <c r="AK66" i="27"/>
  <c r="AJ66" i="27"/>
  <c r="AJ65" i="27"/>
  <c r="AJ64" i="27"/>
  <c r="AJ62" i="27"/>
  <c r="AJ63" i="27"/>
  <c r="AJ59" i="27"/>
  <c r="AJ60" i="27"/>
  <c r="AJ61" i="27"/>
  <c r="AJ49" i="27"/>
  <c r="AJ50" i="27"/>
  <c r="AJ51" i="27"/>
  <c r="AJ52" i="27"/>
  <c r="AJ53" i="27"/>
  <c r="AJ54" i="27"/>
  <c r="AJ55" i="27"/>
  <c r="AJ56" i="27"/>
  <c r="AJ57" i="27"/>
  <c r="AJ58" i="27"/>
  <c r="AJ48" i="27"/>
  <c r="AJ72" i="27"/>
  <c r="AL66" i="27" s="1"/>
  <c r="AJ71" i="27"/>
  <c r="AL65" i="27" s="1"/>
  <c r="AK71" i="27"/>
  <c r="AM65" i="27" s="1"/>
  <c r="AM72" i="27"/>
  <c r="AM71" i="27"/>
  <c r="AL71" i="27"/>
  <c r="H70" i="27" s="1"/>
  <c r="T125" i="27"/>
  <c r="AQ108" i="27"/>
  <c r="AP108" i="27"/>
  <c r="AO108" i="27"/>
  <c r="AN108" i="27"/>
  <c r="AM108" i="27"/>
  <c r="AL108" i="27"/>
  <c r="AK108" i="27"/>
  <c r="AJ108" i="27"/>
  <c r="AI108" i="27"/>
  <c r="AE108" i="27"/>
  <c r="AD108" i="27"/>
  <c r="AC108" i="27"/>
  <c r="G80" i="27"/>
  <c r="G81" i="27"/>
  <c r="G84" i="27"/>
  <c r="G85" i="27"/>
  <c r="G86" i="27"/>
  <c r="G87" i="27"/>
  <c r="G88" i="27"/>
  <c r="G89" i="27"/>
  <c r="D96" i="27"/>
  <c r="D97" i="27"/>
  <c r="D98" i="27"/>
  <c r="D99" i="27"/>
  <c r="D100" i="27"/>
  <c r="D101" i="27"/>
  <c r="D102" i="27"/>
  <c r="D103" i="27"/>
  <c r="G99" i="27"/>
  <c r="T98" i="27" s="1"/>
  <c r="G100" i="27"/>
  <c r="T99" i="27" s="1"/>
  <c r="G101" i="27"/>
  <c r="T100" i="27" s="1"/>
  <c r="G102" i="27"/>
  <c r="T101" i="27" s="1"/>
  <c r="G103" i="27"/>
  <c r="T102" i="27" s="1"/>
  <c r="D95" i="27"/>
  <c r="G110" i="27"/>
  <c r="G111" i="27"/>
  <c r="T110" i="27" s="1"/>
  <c r="G112" i="27"/>
  <c r="G113" i="27"/>
  <c r="G114" i="27"/>
  <c r="T113" i="27" s="1"/>
  <c r="G115" i="27"/>
  <c r="V150" i="27" s="1"/>
  <c r="G116" i="27"/>
  <c r="V146" i="27" s="1"/>
  <c r="T115" i="27"/>
  <c r="G117" i="27"/>
  <c r="E112" i="27"/>
  <c r="U111" i="27" s="1"/>
  <c r="E113" i="27"/>
  <c r="U112" i="27" s="1"/>
  <c r="E114" i="27"/>
  <c r="U113" i="27" s="1"/>
  <c r="E115" i="27"/>
  <c r="U114" i="27" s="1"/>
  <c r="E116" i="27"/>
  <c r="U115" i="27" s="1"/>
  <c r="E117" i="27"/>
  <c r="U116" i="27" s="1"/>
  <c r="W116" i="27" s="1"/>
  <c r="AB84" i="27"/>
  <c r="R84" i="27" s="1"/>
  <c r="AB86" i="27"/>
  <c r="R86" i="27" s="1"/>
  <c r="AB111" i="27"/>
  <c r="AB112" i="27"/>
  <c r="AB113" i="27"/>
  <c r="AB114" i="27"/>
  <c r="AB115" i="27"/>
  <c r="AB116" i="27"/>
  <c r="U84" i="27"/>
  <c r="T79" i="27"/>
  <c r="T80" i="27"/>
  <c r="T83" i="27"/>
  <c r="T85" i="27"/>
  <c r="T86" i="27"/>
  <c r="T87" i="27"/>
  <c r="T88" i="27"/>
  <c r="T78" i="27"/>
  <c r="I86" i="27"/>
  <c r="D188" i="39" s="1"/>
  <c r="I87" i="27"/>
  <c r="BB15" i="22" s="1"/>
  <c r="G79" i="27"/>
  <c r="E80" i="27"/>
  <c r="E81" i="27"/>
  <c r="U80" i="27"/>
  <c r="W80" i="27"/>
  <c r="X80" i="27" s="1"/>
  <c r="I81" i="27"/>
  <c r="BB6" i="22" s="1"/>
  <c r="E82" i="27"/>
  <c r="U81" i="27"/>
  <c r="W81" i="27"/>
  <c r="X81" i="27" s="1"/>
  <c r="E83" i="27"/>
  <c r="E84" i="27"/>
  <c r="I84" i="27"/>
  <c r="D186" i="39" s="1"/>
  <c r="S83" i="27"/>
  <c r="E85" i="27"/>
  <c r="E86" i="27"/>
  <c r="U85" i="27"/>
  <c r="E87" i="27"/>
  <c r="U86" i="27"/>
  <c r="W86" i="27"/>
  <c r="X86" i="27" s="1"/>
  <c r="E88" i="27"/>
  <c r="E89" i="27"/>
  <c r="E79" i="27"/>
  <c r="AN79" i="27"/>
  <c r="AN80" i="27"/>
  <c r="AN81" i="27"/>
  <c r="AN82" i="27"/>
  <c r="AN83" i="27"/>
  <c r="AN84" i="27"/>
  <c r="AN85" i="27"/>
  <c r="AN86" i="27"/>
  <c r="AN87" i="27"/>
  <c r="AN88" i="27"/>
  <c r="AM79" i="27"/>
  <c r="AM80" i="27"/>
  <c r="AM81" i="27"/>
  <c r="AM82" i="27"/>
  <c r="AM83" i="27"/>
  <c r="AM84" i="27"/>
  <c r="AM85" i="27"/>
  <c r="AM86" i="27"/>
  <c r="AM87" i="27"/>
  <c r="AM88" i="27"/>
  <c r="AO79" i="27"/>
  <c r="AP79" i="27"/>
  <c r="AQ79" i="27"/>
  <c r="AR79" i="27"/>
  <c r="AT79" i="27"/>
  <c r="AU79" i="27"/>
  <c r="AV79" i="27"/>
  <c r="AW79" i="27"/>
  <c r="AX79" i="27"/>
  <c r="AO80" i="27"/>
  <c r="AP80" i="27"/>
  <c r="AQ80" i="27"/>
  <c r="AR80" i="27"/>
  <c r="AS80" i="27"/>
  <c r="AT80" i="27"/>
  <c r="AU80" i="27"/>
  <c r="AV80" i="27"/>
  <c r="AW80" i="27"/>
  <c r="AX80" i="27"/>
  <c r="AO81" i="27"/>
  <c r="AP81" i="27"/>
  <c r="AQ81" i="27"/>
  <c r="AR81" i="27"/>
  <c r="AS81" i="27"/>
  <c r="AT81" i="27"/>
  <c r="AU81" i="27"/>
  <c r="AV81" i="27"/>
  <c r="AW81" i="27"/>
  <c r="AX81" i="27"/>
  <c r="AO82" i="27"/>
  <c r="AP82" i="27"/>
  <c r="AQ82" i="27"/>
  <c r="AR82" i="27"/>
  <c r="AS82" i="27"/>
  <c r="AT82" i="27"/>
  <c r="AU82" i="27"/>
  <c r="AV82" i="27"/>
  <c r="AW82" i="27"/>
  <c r="AX82" i="27"/>
  <c r="AO83" i="27"/>
  <c r="AP83" i="27"/>
  <c r="AQ83" i="27"/>
  <c r="AR83" i="27"/>
  <c r="AS83" i="27"/>
  <c r="AT83" i="27"/>
  <c r="AU83" i="27"/>
  <c r="AV83" i="27"/>
  <c r="AW83" i="27"/>
  <c r="AX83" i="27"/>
  <c r="AO84" i="27"/>
  <c r="AP84" i="27"/>
  <c r="AQ84" i="27"/>
  <c r="AR84" i="27"/>
  <c r="AS84" i="27"/>
  <c r="AT84" i="27"/>
  <c r="AU84" i="27"/>
  <c r="AV84" i="27"/>
  <c r="AW84" i="27"/>
  <c r="AX84" i="27"/>
  <c r="AO85" i="27"/>
  <c r="AP85" i="27"/>
  <c r="AQ85" i="27"/>
  <c r="AR85" i="27"/>
  <c r="AS85" i="27"/>
  <c r="AT85" i="27"/>
  <c r="AU85" i="27"/>
  <c r="AV85" i="27"/>
  <c r="AW85" i="27"/>
  <c r="AX85" i="27"/>
  <c r="AO86" i="27"/>
  <c r="AP86" i="27"/>
  <c r="AQ86" i="27"/>
  <c r="AR86" i="27"/>
  <c r="AS86" i="27"/>
  <c r="AT86" i="27"/>
  <c r="AU86" i="27"/>
  <c r="AV86" i="27"/>
  <c r="AW86" i="27"/>
  <c r="AX86" i="27"/>
  <c r="AO87" i="27"/>
  <c r="AP87" i="27"/>
  <c r="AQ87" i="27"/>
  <c r="AR87" i="27"/>
  <c r="AS87" i="27"/>
  <c r="AT87" i="27"/>
  <c r="AU87" i="27"/>
  <c r="AV87" i="27"/>
  <c r="AW87" i="27"/>
  <c r="AX87" i="27"/>
  <c r="AP88" i="27"/>
  <c r="AQ88" i="27"/>
  <c r="AR88" i="27"/>
  <c r="AS88" i="27"/>
  <c r="AT88" i="27"/>
  <c r="AU88" i="27"/>
  <c r="AV88" i="27"/>
  <c r="AW88" i="27"/>
  <c r="AX88" i="27"/>
  <c r="AX78" i="27"/>
  <c r="AW78" i="27"/>
  <c r="AV78" i="27"/>
  <c r="AU78" i="27"/>
  <c r="AT78" i="27"/>
  <c r="AS78" i="27"/>
  <c r="AR78" i="27"/>
  <c r="AQ78" i="27"/>
  <c r="AP78" i="27"/>
  <c r="AO78" i="27"/>
  <c r="AN78" i="27"/>
  <c r="AM78" i="27"/>
  <c r="AD79" i="27"/>
  <c r="AD80" i="27"/>
  <c r="AD81" i="27"/>
  <c r="AD82" i="27"/>
  <c r="AD83" i="27"/>
  <c r="AD84" i="27"/>
  <c r="AD85" i="27"/>
  <c r="AD86" i="27"/>
  <c r="AD87" i="27"/>
  <c r="AD88" i="27"/>
  <c r="AC80" i="27"/>
  <c r="AC81" i="27"/>
  <c r="AC82" i="27"/>
  <c r="AC83" i="27"/>
  <c r="AC84" i="27"/>
  <c r="AC85" i="27"/>
  <c r="AC86" i="27"/>
  <c r="AC87" i="27"/>
  <c r="AC88" i="27"/>
  <c r="B53" i="36"/>
  <c r="AC49" i="27"/>
  <c r="AC50" i="27"/>
  <c r="AC51" i="27"/>
  <c r="AC52" i="27"/>
  <c r="AC53" i="27"/>
  <c r="AC54" i="27"/>
  <c r="AC55" i="27"/>
  <c r="AC56" i="27"/>
  <c r="AC57" i="27"/>
  <c r="AC58" i="27"/>
  <c r="AC59" i="27"/>
  <c r="AC60" i="27"/>
  <c r="AC61" i="27"/>
  <c r="AC62" i="27"/>
  <c r="AC63" i="27"/>
  <c r="AC64" i="27"/>
  <c r="AC48" i="27"/>
  <c r="F42" i="27"/>
  <c r="H42" i="27" s="1"/>
  <c r="F41" i="27"/>
  <c r="H41" i="27" s="1"/>
  <c r="F40" i="27"/>
  <c r="H40" i="27" s="1"/>
  <c r="H30" i="27"/>
  <c r="F29" i="27"/>
  <c r="H29" i="27" s="1"/>
  <c r="C75" i="36" s="1"/>
  <c r="E111" i="27"/>
  <c r="U110" i="27" s="1"/>
  <c r="F28" i="27"/>
  <c r="H28" i="27" s="1"/>
  <c r="C74" i="36" s="1"/>
  <c r="F34" i="27"/>
  <c r="F33" i="27"/>
  <c r="E33" i="27"/>
  <c r="I33" i="27" s="1"/>
  <c r="AE62" i="27"/>
  <c r="AF62" i="27" s="1"/>
  <c r="AE54" i="27"/>
  <c r="AF54" i="27" s="1"/>
  <c r="W17" i="45"/>
  <c r="W19" i="45"/>
  <c r="W21" i="45"/>
  <c r="W22" i="45"/>
  <c r="W15" i="45"/>
  <c r="J17" i="27"/>
  <c r="J18" i="27"/>
  <c r="J19" i="27"/>
  <c r="J20" i="27"/>
  <c r="J21" i="27"/>
  <c r="J16" i="27"/>
  <c r="E110" i="27"/>
  <c r="U109" i="27" s="1"/>
  <c r="Z6" i="27"/>
  <c r="C3" i="36" s="1"/>
  <c r="D25" i="39" s="1"/>
  <c r="B50" i="45"/>
  <c r="R17" i="45"/>
  <c r="Q17" i="45"/>
  <c r="L16" i="27" s="1"/>
  <c r="S21" i="45"/>
  <c r="L20" i="27"/>
  <c r="R20" i="45"/>
  <c r="T20" i="45" s="1"/>
  <c r="R18" i="45"/>
  <c r="K17" i="45"/>
  <c r="K18" i="45"/>
  <c r="K19" i="45"/>
  <c r="K20" i="45"/>
  <c r="K21" i="45"/>
  <c r="K22" i="45"/>
  <c r="Q20" i="45"/>
  <c r="L19" i="27" s="1"/>
  <c r="AC15" i="33"/>
  <c r="CH58" i="22" s="1"/>
  <c r="C57" i="22" s="1"/>
  <c r="AC19" i="33"/>
  <c r="CH65" i="22" s="1"/>
  <c r="C64" i="22" s="1"/>
  <c r="I64" i="22" s="1"/>
  <c r="AC18" i="33"/>
  <c r="AC17" i="33"/>
  <c r="CH61" i="22" s="1"/>
  <c r="C60" i="22" s="1"/>
  <c r="AC16" i="33"/>
  <c r="CH59" i="22" s="1"/>
  <c r="C58" i="22" s="1"/>
  <c r="B91" i="39"/>
  <c r="D5" i="39"/>
  <c r="H5" i="39"/>
  <c r="I5" i="39"/>
  <c r="J5" i="39"/>
  <c r="K5" i="39"/>
  <c r="H6" i="39"/>
  <c r="I6" i="39"/>
  <c r="J6" i="39"/>
  <c r="K6" i="39"/>
  <c r="D7" i="39"/>
  <c r="H7" i="39"/>
  <c r="J7" i="39"/>
  <c r="K7" i="39"/>
  <c r="D8" i="39"/>
  <c r="H8" i="39"/>
  <c r="J8" i="39"/>
  <c r="K8" i="39"/>
  <c r="D9" i="39"/>
  <c r="H9" i="39"/>
  <c r="I9" i="39"/>
  <c r="K9" i="39"/>
  <c r="H10" i="39"/>
  <c r="I10" i="39"/>
  <c r="J10" i="39"/>
  <c r="K10" i="39"/>
  <c r="H11" i="39"/>
  <c r="I11" i="39"/>
  <c r="J11" i="39"/>
  <c r="K11" i="39"/>
  <c r="H12" i="39"/>
  <c r="I12" i="39"/>
  <c r="J12" i="39"/>
  <c r="K12" i="39"/>
  <c r="H13" i="39"/>
  <c r="I13" i="39"/>
  <c r="J13" i="39"/>
  <c r="K13" i="39"/>
  <c r="H14" i="39"/>
  <c r="I14" i="39"/>
  <c r="K14" i="39"/>
  <c r="H15" i="39"/>
  <c r="I15" i="39"/>
  <c r="K15" i="39"/>
  <c r="H16" i="39"/>
  <c r="I16" i="39"/>
  <c r="J16" i="39"/>
  <c r="K16" i="39"/>
  <c r="H17" i="39"/>
  <c r="I17" i="39"/>
  <c r="J17" i="39"/>
  <c r="K17" i="39"/>
  <c r="H18" i="39"/>
  <c r="I18" i="39"/>
  <c r="J18" i="39"/>
  <c r="K18" i="39"/>
  <c r="H19" i="39"/>
  <c r="I19" i="39"/>
  <c r="K19" i="39"/>
  <c r="H20" i="39"/>
  <c r="I20" i="39"/>
  <c r="J20" i="39"/>
  <c r="K20" i="39"/>
  <c r="H21" i="39"/>
  <c r="I21" i="39"/>
  <c r="J21" i="39"/>
  <c r="K21" i="39"/>
  <c r="H22" i="39"/>
  <c r="I22" i="39"/>
  <c r="J22" i="39"/>
  <c r="K22" i="39"/>
  <c r="T26" i="39"/>
  <c r="U26" i="39"/>
  <c r="H23" i="39"/>
  <c r="I23" i="39"/>
  <c r="J23" i="39"/>
  <c r="K23" i="39"/>
  <c r="T27" i="39"/>
  <c r="U27" i="39"/>
  <c r="H24" i="39"/>
  <c r="I24" i="39"/>
  <c r="J24" i="39"/>
  <c r="K24" i="39"/>
  <c r="H28" i="39"/>
  <c r="I28" i="39"/>
  <c r="J28" i="39"/>
  <c r="K28" i="39"/>
  <c r="H29" i="39"/>
  <c r="I29" i="39"/>
  <c r="J29" i="39"/>
  <c r="K29" i="39"/>
  <c r="H30" i="39"/>
  <c r="I30" i="39"/>
  <c r="J30" i="39"/>
  <c r="K30" i="39"/>
  <c r="H31" i="39"/>
  <c r="I31" i="39"/>
  <c r="J31" i="39"/>
  <c r="K31" i="39"/>
  <c r="H32" i="39"/>
  <c r="I32" i="39"/>
  <c r="J32" i="39"/>
  <c r="K32" i="39"/>
  <c r="H33" i="39"/>
  <c r="I33" i="39"/>
  <c r="J33" i="39"/>
  <c r="K33" i="39"/>
  <c r="H34" i="39"/>
  <c r="I34" i="39"/>
  <c r="J34" i="39"/>
  <c r="K34" i="39"/>
  <c r="H35" i="39"/>
  <c r="I35" i="39"/>
  <c r="J35" i="39"/>
  <c r="K35" i="39"/>
  <c r="H36" i="39"/>
  <c r="I36" i="39"/>
  <c r="J36" i="39"/>
  <c r="K36" i="39"/>
  <c r="H37" i="39"/>
  <c r="I37" i="39"/>
  <c r="J37" i="39"/>
  <c r="K37" i="39"/>
  <c r="H41" i="39"/>
  <c r="I41" i="39"/>
  <c r="J41" i="39"/>
  <c r="K41" i="39"/>
  <c r="H42" i="39"/>
  <c r="I42" i="39"/>
  <c r="J42" i="39"/>
  <c r="K42" i="39"/>
  <c r="H43" i="39"/>
  <c r="I43" i="39"/>
  <c r="J43" i="39"/>
  <c r="K43" i="39"/>
  <c r="H44" i="39"/>
  <c r="I44" i="39"/>
  <c r="J44" i="39"/>
  <c r="K44" i="39"/>
  <c r="H45" i="39"/>
  <c r="I45" i="39"/>
  <c r="J45" i="39"/>
  <c r="K45" i="39"/>
  <c r="H46" i="39"/>
  <c r="I46" i="39"/>
  <c r="J46" i="39"/>
  <c r="K46" i="39"/>
  <c r="H47" i="39"/>
  <c r="I47" i="39"/>
  <c r="J47" i="39"/>
  <c r="K47" i="39"/>
  <c r="H48" i="39"/>
  <c r="I48" i="39"/>
  <c r="J48" i="39"/>
  <c r="K48" i="39"/>
  <c r="H49" i="39"/>
  <c r="I49" i="39"/>
  <c r="J49" i="39"/>
  <c r="K49" i="39"/>
  <c r="H50" i="39"/>
  <c r="I50" i="39"/>
  <c r="J50" i="39"/>
  <c r="K50" i="39"/>
  <c r="H51" i="39"/>
  <c r="I51" i="39"/>
  <c r="J51" i="39"/>
  <c r="K51" i="39"/>
  <c r="H52" i="39"/>
  <c r="I52" i="39"/>
  <c r="J52" i="39"/>
  <c r="K52" i="39"/>
  <c r="H53" i="39"/>
  <c r="I53" i="39"/>
  <c r="J53" i="39"/>
  <c r="K53" i="39"/>
  <c r="H54" i="39"/>
  <c r="I54" i="39"/>
  <c r="J54" i="39"/>
  <c r="K54" i="39"/>
  <c r="H55" i="39"/>
  <c r="I55" i="39"/>
  <c r="J55" i="39"/>
  <c r="K55" i="39"/>
  <c r="H56" i="39"/>
  <c r="I56" i="39"/>
  <c r="J56" i="39"/>
  <c r="K56" i="39"/>
  <c r="H57" i="39"/>
  <c r="I57" i="39"/>
  <c r="J57" i="39"/>
  <c r="K57" i="39"/>
  <c r="H58" i="39"/>
  <c r="I58" i="39"/>
  <c r="J58" i="39"/>
  <c r="K58" i="39"/>
  <c r="H59" i="39"/>
  <c r="I59" i="39"/>
  <c r="J59" i="39"/>
  <c r="K59" i="39"/>
  <c r="H60" i="39"/>
  <c r="I60" i="39"/>
  <c r="J60" i="39"/>
  <c r="K60" i="39"/>
  <c r="H64" i="39"/>
  <c r="I64" i="39"/>
  <c r="J64" i="39"/>
  <c r="K64" i="39"/>
  <c r="H65" i="39"/>
  <c r="I65" i="39"/>
  <c r="J65" i="39"/>
  <c r="K65" i="39"/>
  <c r="H66" i="39"/>
  <c r="I66" i="39"/>
  <c r="J66" i="39"/>
  <c r="K66" i="39"/>
  <c r="H67" i="39"/>
  <c r="I67" i="39"/>
  <c r="J67" i="39"/>
  <c r="K67" i="39"/>
  <c r="H68" i="39"/>
  <c r="I68" i="39"/>
  <c r="J68" i="39"/>
  <c r="K68" i="39"/>
  <c r="H69" i="39"/>
  <c r="I69" i="39"/>
  <c r="J69" i="39"/>
  <c r="K69" i="39"/>
  <c r="H70" i="39"/>
  <c r="I70" i="39"/>
  <c r="J70" i="39"/>
  <c r="K70" i="39"/>
  <c r="H71" i="39"/>
  <c r="I71" i="39"/>
  <c r="J71" i="39"/>
  <c r="K71" i="39"/>
  <c r="H72" i="39"/>
  <c r="I72" i="39"/>
  <c r="J72" i="39"/>
  <c r="K72" i="39"/>
  <c r="H73" i="39"/>
  <c r="I73" i="39"/>
  <c r="J73" i="39"/>
  <c r="K73" i="39"/>
  <c r="H74" i="39"/>
  <c r="I74" i="39"/>
  <c r="J74" i="39"/>
  <c r="K74" i="39"/>
  <c r="H75" i="39"/>
  <c r="I75" i="39"/>
  <c r="J75" i="39"/>
  <c r="K75" i="39"/>
  <c r="H76" i="39"/>
  <c r="I76" i="39"/>
  <c r="J76" i="39"/>
  <c r="K76" i="39"/>
  <c r="H77" i="39"/>
  <c r="I77" i="39"/>
  <c r="J77" i="39"/>
  <c r="K77" i="39"/>
  <c r="H78" i="39"/>
  <c r="I78" i="39"/>
  <c r="J78" i="39"/>
  <c r="K78" i="39"/>
  <c r="H79" i="39"/>
  <c r="I79" i="39"/>
  <c r="J79" i="39"/>
  <c r="K79" i="39"/>
  <c r="H80" i="39"/>
  <c r="I80" i="39"/>
  <c r="J80" i="39"/>
  <c r="K80" i="39"/>
  <c r="H81" i="39"/>
  <c r="I81" i="39"/>
  <c r="J81" i="39"/>
  <c r="K81" i="39"/>
  <c r="H82" i="39"/>
  <c r="I82" i="39"/>
  <c r="J82" i="39"/>
  <c r="K82" i="39"/>
  <c r="H83" i="39"/>
  <c r="I83" i="39"/>
  <c r="J83" i="39"/>
  <c r="K83" i="39"/>
  <c r="H87" i="39"/>
  <c r="I87" i="39"/>
  <c r="J87" i="39"/>
  <c r="K87" i="39"/>
  <c r="F8" i="32"/>
  <c r="I8" i="32"/>
  <c r="BB200" i="22" s="1"/>
  <c r="F9" i="32"/>
  <c r="I9" i="32"/>
  <c r="BB201" i="22" s="1"/>
  <c r="F10" i="32"/>
  <c r="I10" i="32"/>
  <c r="BB202" i="22" s="1"/>
  <c r="F11" i="32"/>
  <c r="I11" i="32"/>
  <c r="BB203" i="22" s="1"/>
  <c r="F12" i="32"/>
  <c r="I12" i="32"/>
  <c r="BB204" i="22" s="1"/>
  <c r="F13" i="32"/>
  <c r="I13" i="32"/>
  <c r="BB205" i="22" s="1"/>
  <c r="F18" i="32"/>
  <c r="I18" i="32"/>
  <c r="BB206" i="22" s="1"/>
  <c r="F19" i="32"/>
  <c r="I19" i="32"/>
  <c r="BB207" i="22" s="1"/>
  <c r="F20" i="32"/>
  <c r="I20" i="32"/>
  <c r="BB208" i="22" s="1"/>
  <c r="F21" i="32"/>
  <c r="I21" i="32"/>
  <c r="BB209" i="22" s="1"/>
  <c r="F22" i="32"/>
  <c r="I22" i="32"/>
  <c r="BB210" i="22" s="1"/>
  <c r="F27" i="32"/>
  <c r="I27" i="32"/>
  <c r="BB211" i="22" s="1"/>
  <c r="BB213" i="22"/>
  <c r="BB214" i="22"/>
  <c r="H50" i="32"/>
  <c r="CE50" i="32"/>
  <c r="CF50" i="32"/>
  <c r="H51" i="32"/>
  <c r="CE51" i="32"/>
  <c r="CF51" i="32"/>
  <c r="H52" i="32"/>
  <c r="BB217" i="22" s="1"/>
  <c r="CE52" i="32"/>
  <c r="CF52" i="32"/>
  <c r="H53" i="32"/>
  <c r="BB218" i="22"/>
  <c r="CE53" i="32"/>
  <c r="CF53" i="32"/>
  <c r="C7" i="31"/>
  <c r="M7" i="31"/>
  <c r="T7" i="31"/>
  <c r="U7" i="31" s="1"/>
  <c r="CG7" i="31"/>
  <c r="CH7" i="31"/>
  <c r="CI7" i="31"/>
  <c r="CJ7" i="31"/>
  <c r="CK7" i="31"/>
  <c r="CL7" i="31"/>
  <c r="CM7" i="31"/>
  <c r="CN7" i="31"/>
  <c r="CO7" i="31"/>
  <c r="CP7" i="31"/>
  <c r="CR7" i="31"/>
  <c r="CS7" i="31"/>
  <c r="CT7" i="31"/>
  <c r="CU7" i="31"/>
  <c r="CV7" i="31"/>
  <c r="CW7" i="31"/>
  <c r="CX7" i="31"/>
  <c r="CY7" i="31"/>
  <c r="CZ7" i="31"/>
  <c r="DA7" i="31"/>
  <c r="DC7" i="31"/>
  <c r="DD7" i="31"/>
  <c r="DE7" i="31"/>
  <c r="DF7" i="31"/>
  <c r="DG7" i="31"/>
  <c r="DH7" i="31"/>
  <c r="DI7" i="31"/>
  <c r="DJ7" i="31"/>
  <c r="DK7" i="31"/>
  <c r="DL7" i="31"/>
  <c r="DN7" i="31"/>
  <c r="DO7" i="31"/>
  <c r="DP7" i="31"/>
  <c r="DQ7" i="31"/>
  <c r="DR7" i="31"/>
  <c r="DS7" i="31"/>
  <c r="DT7" i="31"/>
  <c r="DU7" i="31"/>
  <c r="DV7" i="31"/>
  <c r="DW7" i="31"/>
  <c r="DY7" i="31"/>
  <c r="DZ7" i="31"/>
  <c r="EA7" i="31"/>
  <c r="EB7" i="31"/>
  <c r="EC7" i="31"/>
  <c r="ED7" i="31"/>
  <c r="EE7" i="31"/>
  <c r="EF7" i="31"/>
  <c r="EG7" i="31"/>
  <c r="EH7" i="31"/>
  <c r="EJ7" i="31"/>
  <c r="EK7" i="31"/>
  <c r="EL7" i="31"/>
  <c r="EM7" i="31"/>
  <c r="EN7" i="31"/>
  <c r="EO7" i="31"/>
  <c r="EP7" i="31"/>
  <c r="EQ7" i="31"/>
  <c r="ER7" i="31"/>
  <c r="ES7" i="31"/>
  <c r="EU7" i="31"/>
  <c r="EV7" i="31"/>
  <c r="EW7" i="31"/>
  <c r="EX7" i="31"/>
  <c r="EY7" i="31"/>
  <c r="EZ7" i="31"/>
  <c r="FA7" i="31"/>
  <c r="FB7" i="31"/>
  <c r="FC7" i="31"/>
  <c r="FD7" i="31"/>
  <c r="FF7" i="31"/>
  <c r="FG7" i="31"/>
  <c r="FH7" i="31"/>
  <c r="FI7" i="31"/>
  <c r="FJ7" i="31"/>
  <c r="FK7" i="31"/>
  <c r="FL7" i="31"/>
  <c r="FM7" i="31"/>
  <c r="FN7" i="31"/>
  <c r="FO7" i="31"/>
  <c r="FQ7" i="31"/>
  <c r="FR7" i="31"/>
  <c r="FS7" i="31"/>
  <c r="FT7" i="31"/>
  <c r="FU7" i="31"/>
  <c r="FV7" i="31"/>
  <c r="FW7" i="31"/>
  <c r="FX7" i="31"/>
  <c r="FY7" i="31"/>
  <c r="FZ7" i="31"/>
  <c r="GB7" i="31"/>
  <c r="GC7" i="31"/>
  <c r="GD7" i="31"/>
  <c r="GE7" i="31"/>
  <c r="GF7" i="31"/>
  <c r="GG7" i="31"/>
  <c r="GH7" i="31"/>
  <c r="GI7" i="31"/>
  <c r="GJ7" i="31"/>
  <c r="GK7" i="31"/>
  <c r="GM7" i="31"/>
  <c r="GN7" i="31"/>
  <c r="GO7" i="31"/>
  <c r="GP7" i="31"/>
  <c r="GQ7" i="31"/>
  <c r="GR7" i="31"/>
  <c r="GS7" i="31"/>
  <c r="GT7" i="31"/>
  <c r="GU7" i="31"/>
  <c r="GV7" i="31"/>
  <c r="GX7" i="31"/>
  <c r="GY7" i="31"/>
  <c r="GZ7" i="31"/>
  <c r="HA7" i="31"/>
  <c r="HB7" i="31"/>
  <c r="HC7" i="31"/>
  <c r="HD7" i="31"/>
  <c r="HE7" i="31"/>
  <c r="HF7" i="31"/>
  <c r="HG7" i="31"/>
  <c r="C8" i="31"/>
  <c r="M8" i="31"/>
  <c r="T8" i="31"/>
  <c r="U8" i="31" s="1"/>
  <c r="AX8" i="31"/>
  <c r="CG8" i="31"/>
  <c r="CH8" i="31"/>
  <c r="CI8" i="31"/>
  <c r="CJ8" i="31"/>
  <c r="CK8" i="31"/>
  <c r="CL8" i="31"/>
  <c r="CM8" i="31"/>
  <c r="CN8" i="31"/>
  <c r="CO8" i="31"/>
  <c r="CP8" i="31"/>
  <c r="CR8" i="31"/>
  <c r="CS8" i="31"/>
  <c r="CT8" i="31"/>
  <c r="CU8" i="31"/>
  <c r="CV8" i="31"/>
  <c r="CW8" i="31"/>
  <c r="CX8" i="31"/>
  <c r="CY8" i="31"/>
  <c r="CZ8" i="31"/>
  <c r="DA8" i="31"/>
  <c r="DC8" i="31"/>
  <c r="DD8" i="31"/>
  <c r="DE8" i="31"/>
  <c r="DF8" i="31"/>
  <c r="DG8" i="31"/>
  <c r="DH8" i="31"/>
  <c r="DI8" i="31"/>
  <c r="DJ8" i="31"/>
  <c r="DK8" i="31"/>
  <c r="DL8" i="31"/>
  <c r="DN8" i="31"/>
  <c r="DO8" i="31"/>
  <c r="DP8" i="31"/>
  <c r="DQ8" i="31"/>
  <c r="DR8" i="31"/>
  <c r="DS8" i="31"/>
  <c r="DT8" i="31"/>
  <c r="DU8" i="31"/>
  <c r="DV8" i="31"/>
  <c r="DW8" i="31"/>
  <c r="DY8" i="31"/>
  <c r="DZ8" i="31"/>
  <c r="EA8" i="31"/>
  <c r="EB8" i="31"/>
  <c r="EC8" i="31"/>
  <c r="ED8" i="31"/>
  <c r="EE8" i="31"/>
  <c r="EF8" i="31"/>
  <c r="EG8" i="31"/>
  <c r="EH8" i="31"/>
  <c r="EJ8" i="31"/>
  <c r="EK8" i="31"/>
  <c r="EL8" i="31"/>
  <c r="EM8" i="31"/>
  <c r="EN8" i="31"/>
  <c r="EO8" i="31"/>
  <c r="EP8" i="31"/>
  <c r="EQ8" i="31"/>
  <c r="ER8" i="31"/>
  <c r="ES8" i="31"/>
  <c r="EU8" i="31"/>
  <c r="EV8" i="31"/>
  <c r="EW8" i="31"/>
  <c r="EX8" i="31"/>
  <c r="EY8" i="31"/>
  <c r="EZ8" i="31"/>
  <c r="FA8" i="31"/>
  <c r="FB8" i="31"/>
  <c r="FC8" i="31"/>
  <c r="FD8" i="31"/>
  <c r="FF8" i="31"/>
  <c r="FG8" i="31"/>
  <c r="FH8" i="31"/>
  <c r="FI8" i="31"/>
  <c r="FJ8" i="31"/>
  <c r="FK8" i="31"/>
  <c r="FL8" i="31"/>
  <c r="FM8" i="31"/>
  <c r="FN8" i="31"/>
  <c r="FO8" i="31"/>
  <c r="FQ8" i="31"/>
  <c r="FR8" i="31"/>
  <c r="FS8" i="31"/>
  <c r="FT8" i="31"/>
  <c r="FU8" i="31"/>
  <c r="FV8" i="31"/>
  <c r="FW8" i="31"/>
  <c r="FX8" i="31"/>
  <c r="FY8" i="31"/>
  <c r="FZ8" i="31"/>
  <c r="GB8" i="31"/>
  <c r="GC8" i="31"/>
  <c r="GD8" i="31"/>
  <c r="GE8" i="31"/>
  <c r="GF8" i="31"/>
  <c r="GG8" i="31"/>
  <c r="GH8" i="31"/>
  <c r="GI8" i="31"/>
  <c r="GJ8" i="31"/>
  <c r="GK8" i="31"/>
  <c r="GM8" i="31"/>
  <c r="GN8" i="31"/>
  <c r="GO8" i="31"/>
  <c r="GP8" i="31"/>
  <c r="GQ8" i="31"/>
  <c r="GR8" i="31"/>
  <c r="GS8" i="31"/>
  <c r="GT8" i="31"/>
  <c r="GU8" i="31"/>
  <c r="GV8" i="31"/>
  <c r="GX8" i="31"/>
  <c r="GY8" i="31"/>
  <c r="GZ8" i="31"/>
  <c r="HA8" i="31"/>
  <c r="HB8" i="31"/>
  <c r="HC8" i="31"/>
  <c r="HD8" i="31"/>
  <c r="HE8" i="31"/>
  <c r="HF8" i="31"/>
  <c r="HG8" i="31"/>
  <c r="C9" i="31"/>
  <c r="M9" i="31"/>
  <c r="AZ8" i="31"/>
  <c r="T9" i="31"/>
  <c r="U9" i="31" s="1"/>
  <c r="AX9" i="31"/>
  <c r="AY9" i="31"/>
  <c r="AZ9" i="31"/>
  <c r="BA9" i="31"/>
  <c r="BB9" i="31"/>
  <c r="CG9" i="31"/>
  <c r="CH9" i="31"/>
  <c r="CI9" i="31"/>
  <c r="CJ9" i="31"/>
  <c r="CK9" i="31"/>
  <c r="CL9" i="31"/>
  <c r="CM9" i="31"/>
  <c r="CN9" i="31"/>
  <c r="CO9" i="31"/>
  <c r="CP9" i="31"/>
  <c r="CR9" i="31"/>
  <c r="CS9" i="31"/>
  <c r="CT9" i="31"/>
  <c r="CU9" i="31"/>
  <c r="CV9" i="31"/>
  <c r="CW9" i="31"/>
  <c r="CX9" i="31"/>
  <c r="CY9" i="31"/>
  <c r="CZ9" i="31"/>
  <c r="DA9" i="31"/>
  <c r="DC9" i="31"/>
  <c r="DD9" i="31"/>
  <c r="DE9" i="31"/>
  <c r="DF9" i="31"/>
  <c r="DG9" i="31"/>
  <c r="DH9" i="31"/>
  <c r="DI9" i="31"/>
  <c r="DJ9" i="31"/>
  <c r="DK9" i="31"/>
  <c r="DL9" i="31"/>
  <c r="DN9" i="31"/>
  <c r="DO9" i="31"/>
  <c r="DP9" i="31"/>
  <c r="DQ9" i="31"/>
  <c r="DR9" i="31"/>
  <c r="DS9" i="31"/>
  <c r="DT9" i="31"/>
  <c r="DU9" i="31"/>
  <c r="DV9" i="31"/>
  <c r="DW9" i="31"/>
  <c r="DY9" i="31"/>
  <c r="DZ9" i="31"/>
  <c r="EA9" i="31"/>
  <c r="EB9" i="31"/>
  <c r="EC9" i="31"/>
  <c r="ED9" i="31"/>
  <c r="EE9" i="31"/>
  <c r="EF9" i="31"/>
  <c r="EG9" i="31"/>
  <c r="EH9" i="31"/>
  <c r="EJ9" i="31"/>
  <c r="EK9" i="31"/>
  <c r="EL9" i="31"/>
  <c r="EM9" i="31"/>
  <c r="EN9" i="31"/>
  <c r="EO9" i="31"/>
  <c r="EP9" i="31"/>
  <c r="EQ9" i="31"/>
  <c r="ER9" i="31"/>
  <c r="ES9" i="31"/>
  <c r="EU9" i="31"/>
  <c r="EV9" i="31"/>
  <c r="EW9" i="31"/>
  <c r="EX9" i="31"/>
  <c r="EY9" i="31"/>
  <c r="EZ9" i="31"/>
  <c r="FA9" i="31"/>
  <c r="FB9" i="31"/>
  <c r="FC9" i="31"/>
  <c r="FD9" i="31"/>
  <c r="FF9" i="31"/>
  <c r="FG9" i="31"/>
  <c r="FH9" i="31"/>
  <c r="FI9" i="31"/>
  <c r="FJ9" i="31"/>
  <c r="FK9" i="31"/>
  <c r="FL9" i="31"/>
  <c r="FM9" i="31"/>
  <c r="FN9" i="31"/>
  <c r="FO9" i="31"/>
  <c r="FQ9" i="31"/>
  <c r="FR9" i="31"/>
  <c r="FS9" i="31"/>
  <c r="FT9" i="31"/>
  <c r="FU9" i="31"/>
  <c r="FV9" i="31"/>
  <c r="FW9" i="31"/>
  <c r="FX9" i="31"/>
  <c r="FY9" i="31"/>
  <c r="FZ9" i="31"/>
  <c r="GB9" i="31"/>
  <c r="GC9" i="31"/>
  <c r="GD9" i="31"/>
  <c r="GE9" i="31"/>
  <c r="GF9" i="31"/>
  <c r="GG9" i="31"/>
  <c r="GH9" i="31"/>
  <c r="GI9" i="31"/>
  <c r="GJ9" i="31"/>
  <c r="GK9" i="31"/>
  <c r="GM9" i="31"/>
  <c r="GN9" i="31"/>
  <c r="GO9" i="31"/>
  <c r="GP9" i="31"/>
  <c r="GQ9" i="31"/>
  <c r="GR9" i="31"/>
  <c r="GS9" i="31"/>
  <c r="GT9" i="31"/>
  <c r="GU9" i="31"/>
  <c r="GV9" i="31"/>
  <c r="GX9" i="31"/>
  <c r="GY9" i="31"/>
  <c r="GZ9" i="31"/>
  <c r="HA9" i="31"/>
  <c r="HB9" i="31"/>
  <c r="HC9" i="31"/>
  <c r="HD9" i="31"/>
  <c r="HE9" i="31"/>
  <c r="HF9" i="31"/>
  <c r="HG9" i="31"/>
  <c r="C10" i="31"/>
  <c r="M10" i="31"/>
  <c r="T10" i="31"/>
  <c r="U10" i="31" s="1"/>
  <c r="AX10" i="31"/>
  <c r="AY10" i="31"/>
  <c r="BA10" i="31"/>
  <c r="BB10" i="31"/>
  <c r="CG10" i="31"/>
  <c r="CH10" i="31"/>
  <c r="CI10" i="31"/>
  <c r="CJ10" i="31"/>
  <c r="CK10" i="31"/>
  <c r="CL10" i="31"/>
  <c r="CM10" i="31"/>
  <c r="CN10" i="31"/>
  <c r="CO10" i="31"/>
  <c r="CP10" i="31"/>
  <c r="CR10" i="31"/>
  <c r="CS10" i="31"/>
  <c r="CT10" i="31"/>
  <c r="CU10" i="31"/>
  <c r="CV10" i="31"/>
  <c r="CW10" i="31"/>
  <c r="CX10" i="31"/>
  <c r="CY10" i="31"/>
  <c r="CZ10" i="31"/>
  <c r="DA10" i="31"/>
  <c r="DC10" i="31"/>
  <c r="DD10" i="31"/>
  <c r="DE10" i="31"/>
  <c r="DF10" i="31"/>
  <c r="DG10" i="31"/>
  <c r="DH10" i="31"/>
  <c r="DI10" i="31"/>
  <c r="DJ10" i="31"/>
  <c r="DK10" i="31"/>
  <c r="DL10" i="31"/>
  <c r="DN10" i="31"/>
  <c r="DO10" i="31"/>
  <c r="DP10" i="31"/>
  <c r="DQ10" i="31"/>
  <c r="DR10" i="31"/>
  <c r="DS10" i="31"/>
  <c r="DT10" i="31"/>
  <c r="DU10" i="31"/>
  <c r="DV10" i="31"/>
  <c r="DW10" i="31"/>
  <c r="DY10" i="31"/>
  <c r="DZ10" i="31"/>
  <c r="EA10" i="31"/>
  <c r="EB10" i="31"/>
  <c r="EC10" i="31"/>
  <c r="ED10" i="31"/>
  <c r="EE10" i="31"/>
  <c r="EF10" i="31"/>
  <c r="EG10" i="31"/>
  <c r="EH10" i="31"/>
  <c r="EJ10" i="31"/>
  <c r="EK10" i="31"/>
  <c r="EL10" i="31"/>
  <c r="EM10" i="31"/>
  <c r="EN10" i="31"/>
  <c r="EO10" i="31"/>
  <c r="EP10" i="31"/>
  <c r="EQ10" i="31"/>
  <c r="ER10" i="31"/>
  <c r="ES10" i="31"/>
  <c r="EU10" i="31"/>
  <c r="EV10" i="31"/>
  <c r="EW10" i="31"/>
  <c r="EX10" i="31"/>
  <c r="EY10" i="31"/>
  <c r="EZ10" i="31"/>
  <c r="FA10" i="31"/>
  <c r="FB10" i="31"/>
  <c r="FC10" i="31"/>
  <c r="FD10" i="31"/>
  <c r="FF10" i="31"/>
  <c r="FG10" i="31"/>
  <c r="FH10" i="31"/>
  <c r="FI10" i="31"/>
  <c r="FJ10" i="31"/>
  <c r="FK10" i="31"/>
  <c r="FL10" i="31"/>
  <c r="FM10" i="31"/>
  <c r="FN10" i="31"/>
  <c r="FO10" i="31"/>
  <c r="FQ10" i="31"/>
  <c r="FR10" i="31"/>
  <c r="FS10" i="31"/>
  <c r="FT10" i="31"/>
  <c r="FU10" i="31"/>
  <c r="FV10" i="31"/>
  <c r="FW10" i="31"/>
  <c r="FX10" i="31"/>
  <c r="FY10" i="31"/>
  <c r="FZ10" i="31"/>
  <c r="GB10" i="31"/>
  <c r="GC10" i="31"/>
  <c r="GD10" i="31"/>
  <c r="GE10" i="31"/>
  <c r="GF10" i="31"/>
  <c r="GG10" i="31"/>
  <c r="GH10" i="31"/>
  <c r="GI10" i="31"/>
  <c r="GJ10" i="31"/>
  <c r="GK10" i="31"/>
  <c r="GM10" i="31"/>
  <c r="GN10" i="31"/>
  <c r="GO10" i="31"/>
  <c r="GP10" i="31"/>
  <c r="GQ10" i="31"/>
  <c r="GR10" i="31"/>
  <c r="GS10" i="31"/>
  <c r="GT10" i="31"/>
  <c r="GU10" i="31"/>
  <c r="GV10" i="31"/>
  <c r="GX10" i="31"/>
  <c r="GY10" i="31"/>
  <c r="GZ10" i="31"/>
  <c r="HA10" i="31"/>
  <c r="HB10" i="31"/>
  <c r="HC10" i="31"/>
  <c r="HD10" i="31"/>
  <c r="HE10" i="31"/>
  <c r="HF10" i="31"/>
  <c r="HG10" i="31"/>
  <c r="C11" i="31"/>
  <c r="M11" i="31"/>
  <c r="BB11" i="31"/>
  <c r="T11" i="31"/>
  <c r="U11" i="31" s="1"/>
  <c r="AX11" i="31"/>
  <c r="AY11" i="31"/>
  <c r="AZ11" i="31"/>
  <c r="BA11" i="31"/>
  <c r="CG11" i="31"/>
  <c r="CH11" i="31"/>
  <c r="CI11" i="31"/>
  <c r="CJ11" i="31"/>
  <c r="CK11" i="31"/>
  <c r="CL11" i="31"/>
  <c r="CM11" i="31"/>
  <c r="CN11" i="31"/>
  <c r="CO11" i="31"/>
  <c r="CP11" i="31"/>
  <c r="CR11" i="31"/>
  <c r="CS11" i="31"/>
  <c r="CT11" i="31"/>
  <c r="CU11" i="31"/>
  <c r="CV11" i="31"/>
  <c r="CW11" i="31"/>
  <c r="CX11" i="31"/>
  <c r="CY11" i="31"/>
  <c r="CZ11" i="31"/>
  <c r="DA11" i="31"/>
  <c r="DC11" i="31"/>
  <c r="DD11" i="31"/>
  <c r="DE11" i="31"/>
  <c r="DF11" i="31"/>
  <c r="DG11" i="31"/>
  <c r="DH11" i="31"/>
  <c r="DI11" i="31"/>
  <c r="DJ11" i="31"/>
  <c r="DK11" i="31"/>
  <c r="DL11" i="31"/>
  <c r="DN11" i="31"/>
  <c r="DO11" i="31"/>
  <c r="DP11" i="31"/>
  <c r="DQ11" i="31"/>
  <c r="DR11" i="31"/>
  <c r="DS11" i="31"/>
  <c r="DT11" i="31"/>
  <c r="DU11" i="31"/>
  <c r="DV11" i="31"/>
  <c r="DW11" i="31"/>
  <c r="DY11" i="31"/>
  <c r="DZ11" i="31"/>
  <c r="EA11" i="31"/>
  <c r="EB11" i="31"/>
  <c r="EC11" i="31"/>
  <c r="ED11" i="31"/>
  <c r="EE11" i="31"/>
  <c r="EF11" i="31"/>
  <c r="EG11" i="31"/>
  <c r="EH11" i="31"/>
  <c r="EJ11" i="31"/>
  <c r="EK11" i="31"/>
  <c r="EL11" i="31"/>
  <c r="EM11" i="31"/>
  <c r="EN11" i="31"/>
  <c r="EO11" i="31"/>
  <c r="EP11" i="31"/>
  <c r="EQ11" i="31"/>
  <c r="ER11" i="31"/>
  <c r="ES11" i="31"/>
  <c r="EU11" i="31"/>
  <c r="EV11" i="31"/>
  <c r="EW11" i="31"/>
  <c r="EX11" i="31"/>
  <c r="EY11" i="31"/>
  <c r="EZ11" i="31"/>
  <c r="FA11" i="31"/>
  <c r="FB11" i="31"/>
  <c r="FC11" i="31"/>
  <c r="FD11" i="31"/>
  <c r="FF11" i="31"/>
  <c r="FG11" i="31"/>
  <c r="FH11" i="31"/>
  <c r="FI11" i="31"/>
  <c r="FJ11" i="31"/>
  <c r="FK11" i="31"/>
  <c r="FL11" i="31"/>
  <c r="FM11" i="31"/>
  <c r="FN11" i="31"/>
  <c r="FO11" i="31"/>
  <c r="FQ11" i="31"/>
  <c r="FR11" i="31"/>
  <c r="FS11" i="31"/>
  <c r="FT11" i="31"/>
  <c r="FU11" i="31"/>
  <c r="FV11" i="31"/>
  <c r="FW11" i="31"/>
  <c r="FX11" i="31"/>
  <c r="FY11" i="31"/>
  <c r="FZ11" i="31"/>
  <c r="GB11" i="31"/>
  <c r="GC11" i="31"/>
  <c r="GD11" i="31"/>
  <c r="GE11" i="31"/>
  <c r="GF11" i="31"/>
  <c r="GG11" i="31"/>
  <c r="GH11" i="31"/>
  <c r="GI11" i="31"/>
  <c r="GJ11" i="31"/>
  <c r="GK11" i="31"/>
  <c r="GM11" i="31"/>
  <c r="GN11" i="31"/>
  <c r="GO11" i="31"/>
  <c r="GP11" i="31"/>
  <c r="GQ11" i="31"/>
  <c r="GR11" i="31"/>
  <c r="GS11" i="31"/>
  <c r="GT11" i="31"/>
  <c r="GU11" i="31"/>
  <c r="GV11" i="31"/>
  <c r="GX11" i="31"/>
  <c r="GY11" i="31"/>
  <c r="GZ11" i="31"/>
  <c r="HA11" i="31"/>
  <c r="HB11" i="31"/>
  <c r="HC11" i="31"/>
  <c r="HD11" i="31"/>
  <c r="HE11" i="31"/>
  <c r="HF11" i="31"/>
  <c r="HG11" i="31"/>
  <c r="AY12" i="31"/>
  <c r="AZ12" i="31"/>
  <c r="BA12" i="31"/>
  <c r="BB12" i="31"/>
  <c r="CG12" i="31"/>
  <c r="CH12" i="31"/>
  <c r="CI12" i="31"/>
  <c r="CJ12" i="31"/>
  <c r="CK12" i="31"/>
  <c r="CL12" i="31"/>
  <c r="CM12" i="31"/>
  <c r="CN12" i="31"/>
  <c r="CO12" i="31"/>
  <c r="CP12" i="31"/>
  <c r="CR12" i="31"/>
  <c r="CS12" i="31"/>
  <c r="CT12" i="31"/>
  <c r="CU12" i="31"/>
  <c r="CV12" i="31"/>
  <c r="CW12" i="31"/>
  <c r="CX12" i="31"/>
  <c r="CY12" i="31"/>
  <c r="CZ12" i="31"/>
  <c r="DA12" i="31"/>
  <c r="DC12" i="31"/>
  <c r="DD12" i="31"/>
  <c r="DE12" i="31"/>
  <c r="DF12" i="31"/>
  <c r="DG12" i="31"/>
  <c r="DH12" i="31"/>
  <c r="DI12" i="31"/>
  <c r="DJ12" i="31"/>
  <c r="DK12" i="31"/>
  <c r="DL12" i="31"/>
  <c r="DN12" i="31"/>
  <c r="DO12" i="31"/>
  <c r="DP12" i="31"/>
  <c r="DQ12" i="31"/>
  <c r="DR12" i="31"/>
  <c r="DS12" i="31"/>
  <c r="DT12" i="31"/>
  <c r="DU12" i="31"/>
  <c r="DV12" i="31"/>
  <c r="DW12" i="31"/>
  <c r="DY12" i="31"/>
  <c r="DZ12" i="31"/>
  <c r="EA12" i="31"/>
  <c r="EB12" i="31"/>
  <c r="EC12" i="31"/>
  <c r="ED12" i="31"/>
  <c r="EE12" i="31"/>
  <c r="EF12" i="31"/>
  <c r="EG12" i="31"/>
  <c r="EH12" i="31"/>
  <c r="EJ12" i="31"/>
  <c r="EK12" i="31"/>
  <c r="EL12" i="31"/>
  <c r="EM12" i="31"/>
  <c r="EN12" i="31"/>
  <c r="EO12" i="31"/>
  <c r="EP12" i="31"/>
  <c r="EQ12" i="31"/>
  <c r="ER12" i="31"/>
  <c r="ES12" i="31"/>
  <c r="EU12" i="31"/>
  <c r="EV12" i="31"/>
  <c r="EW12" i="31"/>
  <c r="EX12" i="31"/>
  <c r="EY12" i="31"/>
  <c r="EZ12" i="31"/>
  <c r="FA12" i="31"/>
  <c r="FB12" i="31"/>
  <c r="FC12" i="31"/>
  <c r="FD12" i="31"/>
  <c r="FF12" i="31"/>
  <c r="FG12" i="31"/>
  <c r="FH12" i="31"/>
  <c r="FI12" i="31"/>
  <c r="FJ12" i="31"/>
  <c r="FK12" i="31"/>
  <c r="FL12" i="31"/>
  <c r="FM12" i="31"/>
  <c r="FN12" i="31"/>
  <c r="FO12" i="31"/>
  <c r="FQ12" i="31"/>
  <c r="FR12" i="31"/>
  <c r="FS12" i="31"/>
  <c r="FT12" i="31"/>
  <c r="FU12" i="31"/>
  <c r="FV12" i="31"/>
  <c r="FW12" i="31"/>
  <c r="FX12" i="31"/>
  <c r="FY12" i="31"/>
  <c r="FZ12" i="31"/>
  <c r="GB12" i="31"/>
  <c r="GC12" i="31"/>
  <c r="GD12" i="31"/>
  <c r="GE12" i="31"/>
  <c r="GF12" i="31"/>
  <c r="GG12" i="31"/>
  <c r="GH12" i="31"/>
  <c r="GI12" i="31"/>
  <c r="GJ12" i="31"/>
  <c r="GK12" i="31"/>
  <c r="GM12" i="31"/>
  <c r="GN12" i="31"/>
  <c r="GO12" i="31"/>
  <c r="GP12" i="31"/>
  <c r="GQ12" i="31"/>
  <c r="GR12" i="31"/>
  <c r="GS12" i="31"/>
  <c r="GT12" i="31"/>
  <c r="GU12" i="31"/>
  <c r="GV12" i="31"/>
  <c r="GX12" i="31"/>
  <c r="GY12" i="31"/>
  <c r="GZ12" i="31"/>
  <c r="HA12" i="31"/>
  <c r="HB12" i="31"/>
  <c r="HC12" i="31"/>
  <c r="HD12" i="31"/>
  <c r="HE12" i="31"/>
  <c r="HF12" i="31"/>
  <c r="HG12" i="31"/>
  <c r="AX13" i="31"/>
  <c r="AY13" i="31"/>
  <c r="AZ13" i="31"/>
  <c r="BA13" i="31"/>
  <c r="BB13" i="31"/>
  <c r="CG13" i="31"/>
  <c r="CH13" i="31"/>
  <c r="CI13" i="31"/>
  <c r="CJ13" i="31"/>
  <c r="CK13" i="31"/>
  <c r="CL13" i="31"/>
  <c r="CM13" i="31"/>
  <c r="CN13" i="31"/>
  <c r="CO13" i="31"/>
  <c r="CP13" i="31"/>
  <c r="CR13" i="31"/>
  <c r="CS13" i="31"/>
  <c r="CT13" i="31"/>
  <c r="CU13" i="31"/>
  <c r="CV13" i="31"/>
  <c r="CW13" i="31"/>
  <c r="CX13" i="31"/>
  <c r="CY13" i="31"/>
  <c r="CZ13" i="31"/>
  <c r="DA13" i="31"/>
  <c r="DC13" i="31"/>
  <c r="DD13" i="31"/>
  <c r="DE13" i="31"/>
  <c r="DF13" i="31"/>
  <c r="DG13" i="31"/>
  <c r="DH13" i="31"/>
  <c r="DI13" i="31"/>
  <c r="DJ13" i="31"/>
  <c r="DK13" i="31"/>
  <c r="DL13" i="31"/>
  <c r="DN13" i="31"/>
  <c r="DO13" i="31"/>
  <c r="DP13" i="31"/>
  <c r="DQ13" i="31"/>
  <c r="DR13" i="31"/>
  <c r="DS13" i="31"/>
  <c r="DT13" i="31"/>
  <c r="DU13" i="31"/>
  <c r="DV13" i="31"/>
  <c r="DW13" i="31"/>
  <c r="DY13" i="31"/>
  <c r="DZ13" i="31"/>
  <c r="EA13" i="31"/>
  <c r="EB13" i="31"/>
  <c r="EC13" i="31"/>
  <c r="ED13" i="31"/>
  <c r="EE13" i="31"/>
  <c r="EF13" i="31"/>
  <c r="EG13" i="31"/>
  <c r="EH13" i="31"/>
  <c r="EJ13" i="31"/>
  <c r="EK13" i="31"/>
  <c r="EL13" i="31"/>
  <c r="EM13" i="31"/>
  <c r="EN13" i="31"/>
  <c r="EO13" i="31"/>
  <c r="EP13" i="31"/>
  <c r="EQ13" i="31"/>
  <c r="ER13" i="31"/>
  <c r="ES13" i="31"/>
  <c r="EU13" i="31"/>
  <c r="EV13" i="31"/>
  <c r="EW13" i="31"/>
  <c r="EX13" i="31"/>
  <c r="EY13" i="31"/>
  <c r="EZ13" i="31"/>
  <c r="FA13" i="31"/>
  <c r="FB13" i="31"/>
  <c r="FC13" i="31"/>
  <c r="FD13" i="31"/>
  <c r="FF13" i="31"/>
  <c r="FG13" i="31"/>
  <c r="FH13" i="31"/>
  <c r="FI13" i="31"/>
  <c r="FJ13" i="31"/>
  <c r="FK13" i="31"/>
  <c r="FL13" i="31"/>
  <c r="FM13" i="31"/>
  <c r="FN13" i="31"/>
  <c r="FO13" i="31"/>
  <c r="FQ13" i="31"/>
  <c r="FR13" i="31"/>
  <c r="FS13" i="31"/>
  <c r="FT13" i="31"/>
  <c r="FU13" i="31"/>
  <c r="FV13" i="31"/>
  <c r="FW13" i="31"/>
  <c r="FX13" i="31"/>
  <c r="FY13" i="31"/>
  <c r="FZ13" i="31"/>
  <c r="GB13" i="31"/>
  <c r="GC13" i="31"/>
  <c r="GD13" i="31"/>
  <c r="GE13" i="31"/>
  <c r="GF13" i="31"/>
  <c r="GG13" i="31"/>
  <c r="GH13" i="31"/>
  <c r="GI13" i="31"/>
  <c r="GJ13" i="31"/>
  <c r="GK13" i="31"/>
  <c r="GM13" i="31"/>
  <c r="GN13" i="31"/>
  <c r="GO13" i="31"/>
  <c r="GP13" i="31"/>
  <c r="GQ13" i="31"/>
  <c r="GR13" i="31"/>
  <c r="GS13" i="31"/>
  <c r="GT13" i="31"/>
  <c r="GU13" i="31"/>
  <c r="GV13" i="31"/>
  <c r="GX13" i="31"/>
  <c r="GY13" i="31"/>
  <c r="GZ13" i="31"/>
  <c r="HA13" i="31"/>
  <c r="HB13" i="31"/>
  <c r="HC13" i="31"/>
  <c r="HD13" i="31"/>
  <c r="HE13" i="31"/>
  <c r="HF13" i="31"/>
  <c r="HG13" i="31"/>
  <c r="CG14" i="31"/>
  <c r="CH14" i="31"/>
  <c r="CI14" i="31"/>
  <c r="CJ14" i="31"/>
  <c r="CK14" i="31"/>
  <c r="CL14" i="31"/>
  <c r="CM14" i="31"/>
  <c r="CN14" i="31"/>
  <c r="CO14" i="31"/>
  <c r="CP14" i="31"/>
  <c r="CR14" i="31"/>
  <c r="CS14" i="31"/>
  <c r="CT14" i="31"/>
  <c r="CU14" i="31"/>
  <c r="CV14" i="31"/>
  <c r="CW14" i="31"/>
  <c r="CX14" i="31"/>
  <c r="CY14" i="31"/>
  <c r="CZ14" i="31"/>
  <c r="DA14" i="31"/>
  <c r="DC14" i="31"/>
  <c r="DD14" i="31"/>
  <c r="DE14" i="31"/>
  <c r="DF14" i="31"/>
  <c r="DG14" i="31"/>
  <c r="DH14" i="31"/>
  <c r="DI14" i="31"/>
  <c r="DJ14" i="31"/>
  <c r="DK14" i="31"/>
  <c r="DL14" i="31"/>
  <c r="DN14" i="31"/>
  <c r="DO14" i="31"/>
  <c r="DP14" i="31"/>
  <c r="DQ14" i="31"/>
  <c r="DR14" i="31"/>
  <c r="DS14" i="31"/>
  <c r="DT14" i="31"/>
  <c r="DU14" i="31"/>
  <c r="DV14" i="31"/>
  <c r="DW14" i="31"/>
  <c r="DY14" i="31"/>
  <c r="DZ14" i="31"/>
  <c r="EA14" i="31"/>
  <c r="EB14" i="31"/>
  <c r="EC14" i="31"/>
  <c r="ED14" i="31"/>
  <c r="EE14" i="31"/>
  <c r="EF14" i="31"/>
  <c r="EG14" i="31"/>
  <c r="EH14" i="31"/>
  <c r="EJ14" i="31"/>
  <c r="EK14" i="31"/>
  <c r="EL14" i="31"/>
  <c r="EM14" i="31"/>
  <c r="EN14" i="31"/>
  <c r="EO14" i="31"/>
  <c r="EP14" i="31"/>
  <c r="EQ14" i="31"/>
  <c r="ER14" i="31"/>
  <c r="ES14" i="31"/>
  <c r="EU14" i="31"/>
  <c r="EV14" i="31"/>
  <c r="EW14" i="31"/>
  <c r="EX14" i="31"/>
  <c r="EY14" i="31"/>
  <c r="EZ14" i="31"/>
  <c r="FA14" i="31"/>
  <c r="FB14" i="31"/>
  <c r="FC14" i="31"/>
  <c r="FD14" i="31"/>
  <c r="FF14" i="31"/>
  <c r="FG14" i="31"/>
  <c r="FH14" i="31"/>
  <c r="FI14" i="31"/>
  <c r="FJ14" i="31"/>
  <c r="FK14" i="31"/>
  <c r="FL14" i="31"/>
  <c r="FM14" i="31"/>
  <c r="FN14" i="31"/>
  <c r="FO14" i="31"/>
  <c r="FQ14" i="31"/>
  <c r="FR14" i="31"/>
  <c r="FS14" i="31"/>
  <c r="FT14" i="31"/>
  <c r="FU14" i="31"/>
  <c r="FV14" i="31"/>
  <c r="FW14" i="31"/>
  <c r="FX14" i="31"/>
  <c r="FY14" i="31"/>
  <c r="FZ14" i="31"/>
  <c r="GB14" i="31"/>
  <c r="GC14" i="31"/>
  <c r="GD14" i="31"/>
  <c r="GE14" i="31"/>
  <c r="GF14" i="31"/>
  <c r="GG14" i="31"/>
  <c r="GH14" i="31"/>
  <c r="GI14" i="31"/>
  <c r="GJ14" i="31"/>
  <c r="GK14" i="31"/>
  <c r="GM14" i="31"/>
  <c r="GN14" i="31"/>
  <c r="GO14" i="31"/>
  <c r="GP14" i="31"/>
  <c r="GQ14" i="31"/>
  <c r="GR14" i="31"/>
  <c r="GS14" i="31"/>
  <c r="GT14" i="31"/>
  <c r="GU14" i="31"/>
  <c r="GV14" i="31"/>
  <c r="GX14" i="31"/>
  <c r="GY14" i="31"/>
  <c r="GZ14" i="31"/>
  <c r="HA14" i="31"/>
  <c r="HB14" i="31"/>
  <c r="HC14" i="31"/>
  <c r="HD14" i="31"/>
  <c r="HE14" i="31"/>
  <c r="HF14" i="31"/>
  <c r="HG14" i="31"/>
  <c r="CG15" i="31"/>
  <c r="CH15" i="31"/>
  <c r="CI15" i="31"/>
  <c r="CJ15" i="31"/>
  <c r="CK15" i="31"/>
  <c r="CL15" i="31"/>
  <c r="CM15" i="31"/>
  <c r="CN15" i="31"/>
  <c r="CO15" i="31"/>
  <c r="CP15" i="31"/>
  <c r="CR15" i="31"/>
  <c r="CS15" i="31"/>
  <c r="CT15" i="31"/>
  <c r="CU15" i="31"/>
  <c r="CV15" i="31"/>
  <c r="CW15" i="31"/>
  <c r="CX15" i="31"/>
  <c r="CY15" i="31"/>
  <c r="CZ15" i="31"/>
  <c r="DA15" i="31"/>
  <c r="DC15" i="31"/>
  <c r="DD15" i="31"/>
  <c r="DE15" i="31"/>
  <c r="DF15" i="31"/>
  <c r="DG15" i="31"/>
  <c r="DH15" i="31"/>
  <c r="DI15" i="31"/>
  <c r="DJ15" i="31"/>
  <c r="DK15" i="31"/>
  <c r="DL15" i="31"/>
  <c r="DN15" i="31"/>
  <c r="DO15" i="31"/>
  <c r="DP15" i="31"/>
  <c r="DQ15" i="31"/>
  <c r="DR15" i="31"/>
  <c r="DS15" i="31"/>
  <c r="DT15" i="31"/>
  <c r="DU15" i="31"/>
  <c r="DV15" i="31"/>
  <c r="DW15" i="31"/>
  <c r="DY15" i="31"/>
  <c r="DZ15" i="31"/>
  <c r="EA15" i="31"/>
  <c r="EB15" i="31"/>
  <c r="EC15" i="31"/>
  <c r="ED15" i="31"/>
  <c r="EE15" i="31"/>
  <c r="EF15" i="31"/>
  <c r="EG15" i="31"/>
  <c r="EH15" i="31"/>
  <c r="EJ15" i="31"/>
  <c r="EK15" i="31"/>
  <c r="EL15" i="31"/>
  <c r="EM15" i="31"/>
  <c r="EN15" i="31"/>
  <c r="EO15" i="31"/>
  <c r="EP15" i="31"/>
  <c r="EQ15" i="31"/>
  <c r="ER15" i="31"/>
  <c r="ES15" i="31"/>
  <c r="EU15" i="31"/>
  <c r="EV15" i="31"/>
  <c r="EW15" i="31"/>
  <c r="EX15" i="31"/>
  <c r="EY15" i="31"/>
  <c r="EZ15" i="31"/>
  <c r="FA15" i="31"/>
  <c r="FB15" i="31"/>
  <c r="FC15" i="31"/>
  <c r="FD15" i="31"/>
  <c r="FF15" i="31"/>
  <c r="FG15" i="31"/>
  <c r="FH15" i="31"/>
  <c r="FI15" i="31"/>
  <c r="FJ15" i="31"/>
  <c r="FK15" i="31"/>
  <c r="FL15" i="31"/>
  <c r="FM15" i="31"/>
  <c r="FN15" i="31"/>
  <c r="FO15" i="31"/>
  <c r="FQ15" i="31"/>
  <c r="FR15" i="31"/>
  <c r="FS15" i="31"/>
  <c r="FT15" i="31"/>
  <c r="FU15" i="31"/>
  <c r="FV15" i="31"/>
  <c r="FW15" i="31"/>
  <c r="FX15" i="31"/>
  <c r="FY15" i="31"/>
  <c r="FZ15" i="31"/>
  <c r="GB15" i="31"/>
  <c r="GC15" i="31"/>
  <c r="GD15" i="31"/>
  <c r="GE15" i="31"/>
  <c r="GF15" i="31"/>
  <c r="GG15" i="31"/>
  <c r="GH15" i="31"/>
  <c r="GI15" i="31"/>
  <c r="GJ15" i="31"/>
  <c r="GK15" i="31"/>
  <c r="GM15" i="31"/>
  <c r="GN15" i="31"/>
  <c r="GO15" i="31"/>
  <c r="GP15" i="31"/>
  <c r="GQ15" i="31"/>
  <c r="GR15" i="31"/>
  <c r="GS15" i="31"/>
  <c r="GT15" i="31"/>
  <c r="GU15" i="31"/>
  <c r="GV15" i="31"/>
  <c r="GX15" i="31"/>
  <c r="GY15" i="31"/>
  <c r="GZ15" i="31"/>
  <c r="HA15" i="31"/>
  <c r="HB15" i="31"/>
  <c r="HC15" i="31"/>
  <c r="HD15" i="31"/>
  <c r="HE15" i="31"/>
  <c r="HF15" i="31"/>
  <c r="HG15" i="31"/>
  <c r="C16" i="31"/>
  <c r="M16" i="31"/>
  <c r="T16" i="31"/>
  <c r="U16" i="31" s="1"/>
  <c r="BB16" i="31"/>
  <c r="CG16" i="31"/>
  <c r="CH16" i="31"/>
  <c r="CI16" i="31"/>
  <c r="CJ16" i="31"/>
  <c r="CK16" i="31"/>
  <c r="CL16" i="31"/>
  <c r="CM16" i="31"/>
  <c r="CN16" i="31"/>
  <c r="CO16" i="31"/>
  <c r="CP16" i="31"/>
  <c r="CR16" i="31"/>
  <c r="CS16" i="31"/>
  <c r="CT16" i="31"/>
  <c r="CU16" i="31"/>
  <c r="CV16" i="31"/>
  <c r="CW16" i="31"/>
  <c r="CX16" i="31"/>
  <c r="CY16" i="31"/>
  <c r="CZ16" i="31"/>
  <c r="DA16" i="31"/>
  <c r="DC16" i="31"/>
  <c r="DD16" i="31"/>
  <c r="DE16" i="31"/>
  <c r="DF16" i="31"/>
  <c r="DG16" i="31"/>
  <c r="DH16" i="31"/>
  <c r="DI16" i="31"/>
  <c r="DJ16" i="31"/>
  <c r="DK16" i="31"/>
  <c r="DL16" i="31"/>
  <c r="DN16" i="31"/>
  <c r="DO16" i="31"/>
  <c r="DP16" i="31"/>
  <c r="DQ16" i="31"/>
  <c r="DR16" i="31"/>
  <c r="DS16" i="31"/>
  <c r="DT16" i="31"/>
  <c r="DU16" i="31"/>
  <c r="DV16" i="31"/>
  <c r="DW16" i="31"/>
  <c r="DY16" i="31"/>
  <c r="DZ16" i="31"/>
  <c r="EA16" i="31"/>
  <c r="EB16" i="31"/>
  <c r="EC16" i="31"/>
  <c r="ED16" i="31"/>
  <c r="EE16" i="31"/>
  <c r="EF16" i="31"/>
  <c r="EG16" i="31"/>
  <c r="EH16" i="31"/>
  <c r="EJ16" i="31"/>
  <c r="EK16" i="31"/>
  <c r="EL16" i="31"/>
  <c r="EM16" i="31"/>
  <c r="EN16" i="31"/>
  <c r="EO16" i="31"/>
  <c r="EP16" i="31"/>
  <c r="EQ16" i="31"/>
  <c r="ER16" i="31"/>
  <c r="ES16" i="31"/>
  <c r="EU16" i="31"/>
  <c r="EV16" i="31"/>
  <c r="EW16" i="31"/>
  <c r="EX16" i="31"/>
  <c r="EY16" i="31"/>
  <c r="EZ16" i="31"/>
  <c r="FA16" i="31"/>
  <c r="FB16" i="31"/>
  <c r="FC16" i="31"/>
  <c r="FD16" i="31"/>
  <c r="FF16" i="31"/>
  <c r="FG16" i="31"/>
  <c r="FH16" i="31"/>
  <c r="FI16" i="31"/>
  <c r="FJ16" i="31"/>
  <c r="FK16" i="31"/>
  <c r="FL16" i="31"/>
  <c r="FM16" i="31"/>
  <c r="FN16" i="31"/>
  <c r="FO16" i="31"/>
  <c r="FQ16" i="31"/>
  <c r="FR16" i="31"/>
  <c r="FS16" i="31"/>
  <c r="FT16" i="31"/>
  <c r="FU16" i="31"/>
  <c r="FV16" i="31"/>
  <c r="FW16" i="31"/>
  <c r="FX16" i="31"/>
  <c r="FY16" i="31"/>
  <c r="FZ16" i="31"/>
  <c r="GB16" i="31"/>
  <c r="GC16" i="31"/>
  <c r="GD16" i="31"/>
  <c r="GE16" i="31"/>
  <c r="GF16" i="31"/>
  <c r="GG16" i="31"/>
  <c r="GH16" i="31"/>
  <c r="GI16" i="31"/>
  <c r="GJ16" i="31"/>
  <c r="GK16" i="31"/>
  <c r="GM16" i="31"/>
  <c r="GN16" i="31"/>
  <c r="GO16" i="31"/>
  <c r="GP16" i="31"/>
  <c r="GQ16" i="31"/>
  <c r="GR16" i="31"/>
  <c r="GS16" i="31"/>
  <c r="GT16" i="31"/>
  <c r="GU16" i="31"/>
  <c r="GV16" i="31"/>
  <c r="GX16" i="31"/>
  <c r="GY16" i="31"/>
  <c r="GZ16" i="31"/>
  <c r="HA16" i="31"/>
  <c r="HB16" i="31"/>
  <c r="HC16" i="31"/>
  <c r="HD16" i="31"/>
  <c r="HE16" i="31"/>
  <c r="HF16" i="31"/>
  <c r="HG16" i="31"/>
  <c r="C17" i="31"/>
  <c r="M17" i="31"/>
  <c r="T17" i="31"/>
  <c r="U17" i="31" s="1"/>
  <c r="CG17" i="31"/>
  <c r="CH17" i="31"/>
  <c r="CI17" i="31"/>
  <c r="CJ17" i="31"/>
  <c r="CK17" i="31"/>
  <c r="CL17" i="31"/>
  <c r="CM17" i="31"/>
  <c r="CN17" i="31"/>
  <c r="CO17" i="31"/>
  <c r="CP17" i="31"/>
  <c r="CR17" i="31"/>
  <c r="CS17" i="31"/>
  <c r="CT17" i="31"/>
  <c r="CU17" i="31"/>
  <c r="CV17" i="31"/>
  <c r="CW17" i="31"/>
  <c r="CX17" i="31"/>
  <c r="CY17" i="31"/>
  <c r="CZ17" i="31"/>
  <c r="DA17" i="31"/>
  <c r="DC17" i="31"/>
  <c r="DD17" i="31"/>
  <c r="DE17" i="31"/>
  <c r="DF17" i="31"/>
  <c r="DG17" i="31"/>
  <c r="DH17" i="31"/>
  <c r="DI17" i="31"/>
  <c r="DJ17" i="31"/>
  <c r="DK17" i="31"/>
  <c r="DL17" i="31"/>
  <c r="DN17" i="31"/>
  <c r="DO17" i="31"/>
  <c r="DP17" i="31"/>
  <c r="DQ17" i="31"/>
  <c r="DR17" i="31"/>
  <c r="DS17" i="31"/>
  <c r="DT17" i="31"/>
  <c r="DU17" i="31"/>
  <c r="DV17" i="31"/>
  <c r="DW17" i="31"/>
  <c r="DY17" i="31"/>
  <c r="DZ17" i="31"/>
  <c r="EA17" i="31"/>
  <c r="EB17" i="31"/>
  <c r="EC17" i="31"/>
  <c r="ED17" i="31"/>
  <c r="EE17" i="31"/>
  <c r="EF17" i="31"/>
  <c r="EG17" i="31"/>
  <c r="EH17" i="31"/>
  <c r="EJ17" i="31"/>
  <c r="EK17" i="31"/>
  <c r="EL17" i="31"/>
  <c r="EM17" i="31"/>
  <c r="EN17" i="31"/>
  <c r="EO17" i="31"/>
  <c r="EP17" i="31"/>
  <c r="EQ17" i="31"/>
  <c r="ER17" i="31"/>
  <c r="ES17" i="31"/>
  <c r="EU17" i="31"/>
  <c r="EV17" i="31"/>
  <c r="EW17" i="31"/>
  <c r="EX17" i="31"/>
  <c r="EY17" i="31"/>
  <c r="EZ17" i="31"/>
  <c r="FA17" i="31"/>
  <c r="FB17" i="31"/>
  <c r="FC17" i="31"/>
  <c r="FD17" i="31"/>
  <c r="FF17" i="31"/>
  <c r="FG17" i="31"/>
  <c r="FH17" i="31"/>
  <c r="FI17" i="31"/>
  <c r="FJ17" i="31"/>
  <c r="FK17" i="31"/>
  <c r="FL17" i="31"/>
  <c r="FM17" i="31"/>
  <c r="FN17" i="31"/>
  <c r="FO17" i="31"/>
  <c r="FQ17" i="31"/>
  <c r="FR17" i="31"/>
  <c r="FS17" i="31"/>
  <c r="FT17" i="31"/>
  <c r="FU17" i="31"/>
  <c r="FV17" i="31"/>
  <c r="FW17" i="31"/>
  <c r="FX17" i="31"/>
  <c r="FY17" i="31"/>
  <c r="FZ17" i="31"/>
  <c r="GB17" i="31"/>
  <c r="GC17" i="31"/>
  <c r="GD17" i="31"/>
  <c r="GE17" i="31"/>
  <c r="GF17" i="31"/>
  <c r="GG17" i="31"/>
  <c r="GH17" i="31"/>
  <c r="GI17" i="31"/>
  <c r="GJ17" i="31"/>
  <c r="GK17" i="31"/>
  <c r="GM17" i="31"/>
  <c r="GN17" i="31"/>
  <c r="GO17" i="31"/>
  <c r="GP17" i="31"/>
  <c r="GQ17" i="31"/>
  <c r="GR17" i="31"/>
  <c r="GS17" i="31"/>
  <c r="GT17" i="31"/>
  <c r="GU17" i="31"/>
  <c r="GV17" i="31"/>
  <c r="GX17" i="31"/>
  <c r="GY17" i="31"/>
  <c r="GZ17" i="31"/>
  <c r="HA17" i="31"/>
  <c r="HB17" i="31"/>
  <c r="HC17" i="31"/>
  <c r="HD17" i="31"/>
  <c r="HE17" i="31"/>
  <c r="HF17" i="31"/>
  <c r="HG17" i="31"/>
  <c r="C18" i="31"/>
  <c r="M18" i="31"/>
  <c r="T18" i="31"/>
  <c r="U18" i="31" s="1"/>
  <c r="CG18" i="31"/>
  <c r="CH18" i="31"/>
  <c r="CI18" i="31"/>
  <c r="CJ18" i="31"/>
  <c r="CK18" i="31"/>
  <c r="CL18" i="31"/>
  <c r="CM18" i="31"/>
  <c r="CN18" i="31"/>
  <c r="CO18" i="31"/>
  <c r="CP18" i="31"/>
  <c r="CR18" i="31"/>
  <c r="CS18" i="31"/>
  <c r="CT18" i="31"/>
  <c r="CU18" i="31"/>
  <c r="CV18" i="31"/>
  <c r="CW18" i="31"/>
  <c r="CX18" i="31"/>
  <c r="CY18" i="31"/>
  <c r="CZ18" i="31"/>
  <c r="DA18" i="31"/>
  <c r="DC18" i="31"/>
  <c r="DD18" i="31"/>
  <c r="DE18" i="31"/>
  <c r="DF18" i="31"/>
  <c r="DG18" i="31"/>
  <c r="DH18" i="31"/>
  <c r="DI18" i="31"/>
  <c r="DJ18" i="31"/>
  <c r="DK18" i="31"/>
  <c r="DL18" i="31"/>
  <c r="DN18" i="31"/>
  <c r="DO18" i="31"/>
  <c r="DP18" i="31"/>
  <c r="DQ18" i="31"/>
  <c r="DR18" i="31"/>
  <c r="DS18" i="31"/>
  <c r="DT18" i="31"/>
  <c r="DU18" i="31"/>
  <c r="DV18" i="31"/>
  <c r="DW18" i="31"/>
  <c r="DY18" i="31"/>
  <c r="DZ18" i="31"/>
  <c r="EA18" i="31"/>
  <c r="EB18" i="31"/>
  <c r="EC18" i="31"/>
  <c r="ED18" i="31"/>
  <c r="EE18" i="31"/>
  <c r="EF18" i="31"/>
  <c r="EG18" i="31"/>
  <c r="EH18" i="31"/>
  <c r="EJ18" i="31"/>
  <c r="EK18" i="31"/>
  <c r="EL18" i="31"/>
  <c r="EM18" i="31"/>
  <c r="EN18" i="31"/>
  <c r="EO18" i="31"/>
  <c r="EP18" i="31"/>
  <c r="EQ18" i="31"/>
  <c r="ER18" i="31"/>
  <c r="ES18" i="31"/>
  <c r="EU18" i="31"/>
  <c r="EV18" i="31"/>
  <c r="EW18" i="31"/>
  <c r="EX18" i="31"/>
  <c r="EY18" i="31"/>
  <c r="EZ18" i="31"/>
  <c r="FA18" i="31"/>
  <c r="FB18" i="31"/>
  <c r="FC18" i="31"/>
  <c r="FD18" i="31"/>
  <c r="FF18" i="31"/>
  <c r="FG18" i="31"/>
  <c r="FH18" i="31"/>
  <c r="FI18" i="31"/>
  <c r="FJ18" i="31"/>
  <c r="FK18" i="31"/>
  <c r="FL18" i="31"/>
  <c r="FM18" i="31"/>
  <c r="FN18" i="31"/>
  <c r="FO18" i="31"/>
  <c r="FQ18" i="31"/>
  <c r="FR18" i="31"/>
  <c r="FS18" i="31"/>
  <c r="FT18" i="31"/>
  <c r="FU18" i="31"/>
  <c r="FV18" i="31"/>
  <c r="FW18" i="31"/>
  <c r="FX18" i="31"/>
  <c r="FY18" i="31"/>
  <c r="FZ18" i="31"/>
  <c r="GB18" i="31"/>
  <c r="GC18" i="31"/>
  <c r="GD18" i="31"/>
  <c r="GE18" i="31"/>
  <c r="GF18" i="31"/>
  <c r="GG18" i="31"/>
  <c r="GH18" i="31"/>
  <c r="GI18" i="31"/>
  <c r="GJ18" i="31"/>
  <c r="GK18" i="31"/>
  <c r="GM18" i="31"/>
  <c r="GN18" i="31"/>
  <c r="GO18" i="31"/>
  <c r="GP18" i="31"/>
  <c r="GQ18" i="31"/>
  <c r="GR18" i="31"/>
  <c r="GS18" i="31"/>
  <c r="GT18" i="31"/>
  <c r="GU18" i="31"/>
  <c r="GV18" i="31"/>
  <c r="GX18" i="31"/>
  <c r="GY18" i="31"/>
  <c r="GZ18" i="31"/>
  <c r="HA18" i="31"/>
  <c r="HB18" i="31"/>
  <c r="HC18" i="31"/>
  <c r="HD18" i="31"/>
  <c r="HE18" i="31"/>
  <c r="HF18" i="31"/>
  <c r="HG18" i="31"/>
  <c r="C19" i="31"/>
  <c r="BA18" i="31"/>
  <c r="T19" i="31"/>
  <c r="U19" i="31" s="1"/>
  <c r="AX19" i="31"/>
  <c r="AY19" i="31"/>
  <c r="AZ19" i="31"/>
  <c r="BA19" i="31"/>
  <c r="CG19" i="31"/>
  <c r="CH19" i="31"/>
  <c r="CI19" i="31"/>
  <c r="CJ19" i="31"/>
  <c r="CK19" i="31"/>
  <c r="CL19" i="31"/>
  <c r="CM19" i="31"/>
  <c r="CN19" i="31"/>
  <c r="CO19" i="31"/>
  <c r="CP19" i="31"/>
  <c r="CR19" i="31"/>
  <c r="CS19" i="31"/>
  <c r="CT19" i="31"/>
  <c r="CU19" i="31"/>
  <c r="CV19" i="31"/>
  <c r="CW19" i="31"/>
  <c r="CX19" i="31"/>
  <c r="CY19" i="31"/>
  <c r="CZ19" i="31"/>
  <c r="DA19" i="31"/>
  <c r="DC19" i="31"/>
  <c r="DD19" i="31"/>
  <c r="DE19" i="31"/>
  <c r="DF19" i="31"/>
  <c r="DG19" i="31"/>
  <c r="DH19" i="31"/>
  <c r="DI19" i="31"/>
  <c r="DJ19" i="31"/>
  <c r="DK19" i="31"/>
  <c r="DL19" i="31"/>
  <c r="DN19" i="31"/>
  <c r="DO19" i="31"/>
  <c r="DP19" i="31"/>
  <c r="DQ19" i="31"/>
  <c r="DR19" i="31"/>
  <c r="DS19" i="31"/>
  <c r="DT19" i="31"/>
  <c r="DU19" i="31"/>
  <c r="DV19" i="31"/>
  <c r="DW19" i="31"/>
  <c r="DY19" i="31"/>
  <c r="DZ19" i="31"/>
  <c r="EA19" i="31"/>
  <c r="EB19" i="31"/>
  <c r="EC19" i="31"/>
  <c r="ED19" i="31"/>
  <c r="EE19" i="31"/>
  <c r="EF19" i="31"/>
  <c r="EG19" i="31"/>
  <c r="EH19" i="31"/>
  <c r="EJ19" i="31"/>
  <c r="EK19" i="31"/>
  <c r="EL19" i="31"/>
  <c r="EM19" i="31"/>
  <c r="EN19" i="31"/>
  <c r="EO19" i="31"/>
  <c r="EP19" i="31"/>
  <c r="EQ19" i="31"/>
  <c r="ER19" i="31"/>
  <c r="ES19" i="31"/>
  <c r="EU19" i="31"/>
  <c r="EV19" i="31"/>
  <c r="EW19" i="31"/>
  <c r="EX19" i="31"/>
  <c r="EY19" i="31"/>
  <c r="EZ19" i="31"/>
  <c r="FA19" i="31"/>
  <c r="FB19" i="31"/>
  <c r="FC19" i="31"/>
  <c r="FD19" i="31"/>
  <c r="FF19" i="31"/>
  <c r="FG19" i="31"/>
  <c r="FH19" i="31"/>
  <c r="FI19" i="31"/>
  <c r="FJ19" i="31"/>
  <c r="FK19" i="31"/>
  <c r="FL19" i="31"/>
  <c r="FM19" i="31"/>
  <c r="FN19" i="31"/>
  <c r="FO19" i="31"/>
  <c r="FQ19" i="31"/>
  <c r="FR19" i="31"/>
  <c r="FS19" i="31"/>
  <c r="FT19" i="31"/>
  <c r="FU19" i="31"/>
  <c r="FV19" i="31"/>
  <c r="FW19" i="31"/>
  <c r="FX19" i="31"/>
  <c r="FY19" i="31"/>
  <c r="FZ19" i="31"/>
  <c r="GB19" i="31"/>
  <c r="GC19" i="31"/>
  <c r="GD19" i="31"/>
  <c r="GE19" i="31"/>
  <c r="GF19" i="31"/>
  <c r="GG19" i="31"/>
  <c r="GH19" i="31"/>
  <c r="GI19" i="31"/>
  <c r="GJ19" i="31"/>
  <c r="GK19" i="31"/>
  <c r="GM19" i="31"/>
  <c r="GN19" i="31"/>
  <c r="GO19" i="31"/>
  <c r="GP19" i="31"/>
  <c r="GQ19" i="31"/>
  <c r="GR19" i="31"/>
  <c r="GS19" i="31"/>
  <c r="GT19" i="31"/>
  <c r="GU19" i="31"/>
  <c r="GV19" i="31"/>
  <c r="GX19" i="31"/>
  <c r="GY19" i="31"/>
  <c r="GZ19" i="31"/>
  <c r="HA19" i="31"/>
  <c r="HB19" i="31"/>
  <c r="HC19" i="31"/>
  <c r="HD19" i="31"/>
  <c r="HE19" i="31"/>
  <c r="HF19" i="31"/>
  <c r="HG19" i="31"/>
  <c r="C20" i="31"/>
  <c r="M20" i="31"/>
  <c r="V20" i="31"/>
  <c r="BB17" i="31"/>
  <c r="BB18" i="31"/>
  <c r="BB19" i="31"/>
  <c r="T20" i="31"/>
  <c r="U20" i="31" s="1"/>
  <c r="AY20" i="31"/>
  <c r="AZ20" i="31"/>
  <c r="BA20" i="31"/>
  <c r="BB20" i="31"/>
  <c r="CG20" i="31"/>
  <c r="CH20" i="31"/>
  <c r="CI20" i="31"/>
  <c r="CJ20" i="31"/>
  <c r="CK20" i="31"/>
  <c r="CL20" i="31"/>
  <c r="CM20" i="31"/>
  <c r="CN20" i="31"/>
  <c r="CO20" i="31"/>
  <c r="CP20" i="31"/>
  <c r="CR20" i="31"/>
  <c r="CS20" i="31"/>
  <c r="CT20" i="31"/>
  <c r="CU20" i="31"/>
  <c r="CV20" i="31"/>
  <c r="CW20" i="31"/>
  <c r="CX20" i="31"/>
  <c r="CY20" i="31"/>
  <c r="CZ20" i="31"/>
  <c r="DA20" i="31"/>
  <c r="DC20" i="31"/>
  <c r="DD20" i="31"/>
  <c r="DE20" i="31"/>
  <c r="DF20" i="31"/>
  <c r="DG20" i="31"/>
  <c r="DH20" i="31"/>
  <c r="DI20" i="31"/>
  <c r="DJ20" i="31"/>
  <c r="DK20" i="31"/>
  <c r="DL20" i="31"/>
  <c r="DN20" i="31"/>
  <c r="DO20" i="31"/>
  <c r="DP20" i="31"/>
  <c r="DQ20" i="31"/>
  <c r="DR20" i="31"/>
  <c r="DS20" i="31"/>
  <c r="DT20" i="31"/>
  <c r="DU20" i="31"/>
  <c r="DV20" i="31"/>
  <c r="DW20" i="31"/>
  <c r="DY20" i="31"/>
  <c r="DZ20" i="31"/>
  <c r="EA20" i="31"/>
  <c r="EB20" i="31"/>
  <c r="EC20" i="31"/>
  <c r="ED20" i="31"/>
  <c r="EE20" i="31"/>
  <c r="EF20" i="31"/>
  <c r="EG20" i="31"/>
  <c r="EH20" i="31"/>
  <c r="EJ20" i="31"/>
  <c r="EK20" i="31"/>
  <c r="EL20" i="31"/>
  <c r="EM20" i="31"/>
  <c r="EN20" i="31"/>
  <c r="EO20" i="31"/>
  <c r="EP20" i="31"/>
  <c r="EQ20" i="31"/>
  <c r="ER20" i="31"/>
  <c r="ES20" i="31"/>
  <c r="EU20" i="31"/>
  <c r="EV20" i="31"/>
  <c r="EW20" i="31"/>
  <c r="EX20" i="31"/>
  <c r="EY20" i="31"/>
  <c r="EZ20" i="31"/>
  <c r="FA20" i="31"/>
  <c r="FB20" i="31"/>
  <c r="FC20" i="31"/>
  <c r="FD20" i="31"/>
  <c r="FF20" i="31"/>
  <c r="FG20" i="31"/>
  <c r="FH20" i="31"/>
  <c r="FI20" i="31"/>
  <c r="FJ20" i="31"/>
  <c r="FK20" i="31"/>
  <c r="FL20" i="31"/>
  <c r="FM20" i="31"/>
  <c r="FN20" i="31"/>
  <c r="FO20" i="31"/>
  <c r="FQ20" i="31"/>
  <c r="FR20" i="31"/>
  <c r="FS20" i="31"/>
  <c r="FT20" i="31"/>
  <c r="FU20" i="31"/>
  <c r="FV20" i="31"/>
  <c r="FW20" i="31"/>
  <c r="FX20" i="31"/>
  <c r="FY20" i="31"/>
  <c r="FZ20" i="31"/>
  <c r="GB20" i="31"/>
  <c r="GC20" i="31"/>
  <c r="GD20" i="31"/>
  <c r="GE20" i="31"/>
  <c r="GF20" i="31"/>
  <c r="GG20" i="31"/>
  <c r="GH20" i="31"/>
  <c r="GI20" i="31"/>
  <c r="GJ20" i="31"/>
  <c r="GK20" i="31"/>
  <c r="GM20" i="31"/>
  <c r="GN20" i="31"/>
  <c r="GO20" i="31"/>
  <c r="GP20" i="31"/>
  <c r="GQ20" i="31"/>
  <c r="GR20" i="31"/>
  <c r="GS20" i="31"/>
  <c r="GT20" i="31"/>
  <c r="GU20" i="31"/>
  <c r="GV20" i="31"/>
  <c r="GX20" i="31"/>
  <c r="GY20" i="31"/>
  <c r="GZ20" i="31"/>
  <c r="HA20" i="31"/>
  <c r="HB20" i="31"/>
  <c r="HC20" i="31"/>
  <c r="HD20" i="31"/>
  <c r="HE20" i="31"/>
  <c r="HF20" i="31"/>
  <c r="HG20" i="31"/>
  <c r="AX21" i="31"/>
  <c r="AY21" i="31"/>
  <c r="AZ21" i="31"/>
  <c r="BA21" i="31"/>
  <c r="BB21" i="31"/>
  <c r="CG21" i="31"/>
  <c r="CH21" i="31"/>
  <c r="CI21" i="31"/>
  <c r="CJ21" i="31"/>
  <c r="CK21" i="31"/>
  <c r="CL21" i="31"/>
  <c r="CM21" i="31"/>
  <c r="CN21" i="31"/>
  <c r="CO21" i="31"/>
  <c r="CP21" i="31"/>
  <c r="CR21" i="31"/>
  <c r="CS21" i="31"/>
  <c r="CT21" i="31"/>
  <c r="CU21" i="31"/>
  <c r="CV21" i="31"/>
  <c r="CW21" i="31"/>
  <c r="CX21" i="31"/>
  <c r="CY21" i="31"/>
  <c r="CZ21" i="31"/>
  <c r="DA21" i="31"/>
  <c r="DC21" i="31"/>
  <c r="DD21" i="31"/>
  <c r="DE21" i="31"/>
  <c r="DF21" i="31"/>
  <c r="DG21" i="31"/>
  <c r="DH21" i="31"/>
  <c r="DI21" i="31"/>
  <c r="DJ21" i="31"/>
  <c r="DK21" i="31"/>
  <c r="DL21" i="31"/>
  <c r="DN21" i="31"/>
  <c r="DO21" i="31"/>
  <c r="DP21" i="31"/>
  <c r="DQ21" i="31"/>
  <c r="DR21" i="31"/>
  <c r="DS21" i="31"/>
  <c r="DT21" i="31"/>
  <c r="DU21" i="31"/>
  <c r="DV21" i="31"/>
  <c r="DW21" i="31"/>
  <c r="DY21" i="31"/>
  <c r="DZ21" i="31"/>
  <c r="EA21" i="31"/>
  <c r="EB21" i="31"/>
  <c r="EC21" i="31"/>
  <c r="ED21" i="31"/>
  <c r="EE21" i="31"/>
  <c r="EF21" i="31"/>
  <c r="EG21" i="31"/>
  <c r="EH21" i="31"/>
  <c r="EJ21" i="31"/>
  <c r="EK21" i="31"/>
  <c r="EL21" i="31"/>
  <c r="EM21" i="31"/>
  <c r="EN21" i="31"/>
  <c r="EO21" i="31"/>
  <c r="EP21" i="31"/>
  <c r="EQ21" i="31"/>
  <c r="ER21" i="31"/>
  <c r="ES21" i="31"/>
  <c r="EU21" i="31"/>
  <c r="EV21" i="31"/>
  <c r="EW21" i="31"/>
  <c r="EX21" i="31"/>
  <c r="EY21" i="31"/>
  <c r="EZ21" i="31"/>
  <c r="FA21" i="31"/>
  <c r="FB21" i="31"/>
  <c r="FC21" i="31"/>
  <c r="FD21" i="31"/>
  <c r="FF21" i="31"/>
  <c r="FG21" i="31"/>
  <c r="FH21" i="31"/>
  <c r="FI21" i="31"/>
  <c r="FJ21" i="31"/>
  <c r="FK21" i="31"/>
  <c r="FL21" i="31"/>
  <c r="FM21" i="31"/>
  <c r="FN21" i="31"/>
  <c r="FO21" i="31"/>
  <c r="FQ21" i="31"/>
  <c r="FR21" i="31"/>
  <c r="FS21" i="31"/>
  <c r="FT21" i="31"/>
  <c r="FU21" i="31"/>
  <c r="FV21" i="31"/>
  <c r="FW21" i="31"/>
  <c r="FX21" i="31"/>
  <c r="FY21" i="31"/>
  <c r="FZ21" i="31"/>
  <c r="GB21" i="31"/>
  <c r="GC21" i="31"/>
  <c r="GD21" i="31"/>
  <c r="GE21" i="31"/>
  <c r="GF21" i="31"/>
  <c r="GG21" i="31"/>
  <c r="GH21" i="31"/>
  <c r="GI21" i="31"/>
  <c r="GJ21" i="31"/>
  <c r="GK21" i="31"/>
  <c r="GM21" i="31"/>
  <c r="GN21" i="31"/>
  <c r="GO21" i="31"/>
  <c r="GP21" i="31"/>
  <c r="GQ21" i="31"/>
  <c r="GR21" i="31"/>
  <c r="GS21" i="31"/>
  <c r="GT21" i="31"/>
  <c r="GU21" i="31"/>
  <c r="GV21" i="31"/>
  <c r="GX21" i="31"/>
  <c r="GY21" i="31"/>
  <c r="GZ21" i="31"/>
  <c r="HA21" i="31"/>
  <c r="HB21" i="31"/>
  <c r="HC21" i="31"/>
  <c r="HD21" i="31"/>
  <c r="HE21" i="31"/>
  <c r="HF21" i="31"/>
  <c r="HG21" i="31"/>
  <c r="AX22" i="31"/>
  <c r="AY22" i="31"/>
  <c r="AZ22" i="31"/>
  <c r="BA22" i="31"/>
  <c r="BB22" i="31"/>
  <c r="CG22" i="31"/>
  <c r="CH22" i="31"/>
  <c r="CI22" i="31"/>
  <c r="CJ22" i="31"/>
  <c r="CK22" i="31"/>
  <c r="CL22" i="31"/>
  <c r="CM22" i="31"/>
  <c r="CN22" i="31"/>
  <c r="CO22" i="31"/>
  <c r="CP22" i="31"/>
  <c r="CR22" i="31"/>
  <c r="CS22" i="31"/>
  <c r="CT22" i="31"/>
  <c r="CU22" i="31"/>
  <c r="CV22" i="31"/>
  <c r="CW22" i="31"/>
  <c r="CX22" i="31"/>
  <c r="CY22" i="31"/>
  <c r="CZ22" i="31"/>
  <c r="DA22" i="31"/>
  <c r="DC22" i="31"/>
  <c r="DD22" i="31"/>
  <c r="DE22" i="31"/>
  <c r="DF22" i="31"/>
  <c r="DG22" i="31"/>
  <c r="DH22" i="31"/>
  <c r="DI22" i="31"/>
  <c r="DJ22" i="31"/>
  <c r="DK22" i="31"/>
  <c r="DL22" i="31"/>
  <c r="DN22" i="31"/>
  <c r="DO22" i="31"/>
  <c r="DP22" i="31"/>
  <c r="DQ22" i="31"/>
  <c r="DR22" i="31"/>
  <c r="DS22" i="31"/>
  <c r="DT22" i="31"/>
  <c r="DU22" i="31"/>
  <c r="DV22" i="31"/>
  <c r="DW22" i="31"/>
  <c r="DY22" i="31"/>
  <c r="DZ22" i="31"/>
  <c r="EA22" i="31"/>
  <c r="EB22" i="31"/>
  <c r="EC22" i="31"/>
  <c r="ED22" i="31"/>
  <c r="EE22" i="31"/>
  <c r="EF22" i="31"/>
  <c r="EG22" i="31"/>
  <c r="EH22" i="31"/>
  <c r="EJ22" i="31"/>
  <c r="EK22" i="31"/>
  <c r="EL22" i="31"/>
  <c r="EM22" i="31"/>
  <c r="EN22" i="31"/>
  <c r="EO22" i="31"/>
  <c r="EP22" i="31"/>
  <c r="EQ22" i="31"/>
  <c r="ER22" i="31"/>
  <c r="ES22" i="31"/>
  <c r="EU22" i="31"/>
  <c r="EV22" i="31"/>
  <c r="EW22" i="31"/>
  <c r="EX22" i="31"/>
  <c r="EY22" i="31"/>
  <c r="EZ22" i="31"/>
  <c r="FA22" i="31"/>
  <c r="FB22" i="31"/>
  <c r="FC22" i="31"/>
  <c r="FD22" i="31"/>
  <c r="FF22" i="31"/>
  <c r="FG22" i="31"/>
  <c r="FH22" i="31"/>
  <c r="FI22" i="31"/>
  <c r="FJ22" i="31"/>
  <c r="FK22" i="31"/>
  <c r="FL22" i="31"/>
  <c r="FM22" i="31"/>
  <c r="FN22" i="31"/>
  <c r="FO22" i="31"/>
  <c r="FQ22" i="31"/>
  <c r="FR22" i="31"/>
  <c r="FS22" i="31"/>
  <c r="FT22" i="31"/>
  <c r="FU22" i="31"/>
  <c r="FV22" i="31"/>
  <c r="FW22" i="31"/>
  <c r="FX22" i="31"/>
  <c r="FY22" i="31"/>
  <c r="FZ22" i="31"/>
  <c r="GB22" i="31"/>
  <c r="GC22" i="31"/>
  <c r="GD22" i="31"/>
  <c r="GE22" i="31"/>
  <c r="GF22" i="31"/>
  <c r="GG22" i="31"/>
  <c r="GH22" i="31"/>
  <c r="GI22" i="31"/>
  <c r="GJ22" i="31"/>
  <c r="GK22" i="31"/>
  <c r="GM22" i="31"/>
  <c r="GN22" i="31"/>
  <c r="GO22" i="31"/>
  <c r="GP22" i="31"/>
  <c r="GQ22" i="31"/>
  <c r="GR22" i="31"/>
  <c r="GS22" i="31"/>
  <c r="GT22" i="31"/>
  <c r="GU22" i="31"/>
  <c r="GV22" i="31"/>
  <c r="GX22" i="31"/>
  <c r="GY22" i="31"/>
  <c r="GZ22" i="31"/>
  <c r="HA22" i="31"/>
  <c r="HB22" i="31"/>
  <c r="HC22" i="31"/>
  <c r="HD22" i="31"/>
  <c r="HE22" i="31"/>
  <c r="HF22" i="31"/>
  <c r="HG22" i="31"/>
  <c r="CG23" i="31"/>
  <c r="CH23" i="31"/>
  <c r="CI23" i="31"/>
  <c r="CJ23" i="31"/>
  <c r="CK23" i="31"/>
  <c r="CL23" i="31"/>
  <c r="CM23" i="31"/>
  <c r="CN23" i="31"/>
  <c r="CO23" i="31"/>
  <c r="CP23" i="31"/>
  <c r="CR23" i="31"/>
  <c r="CS23" i="31"/>
  <c r="CT23" i="31"/>
  <c r="CU23" i="31"/>
  <c r="CV23" i="31"/>
  <c r="CW23" i="31"/>
  <c r="CX23" i="31"/>
  <c r="CY23" i="31"/>
  <c r="CZ23" i="31"/>
  <c r="DA23" i="31"/>
  <c r="DC23" i="31"/>
  <c r="DD23" i="31"/>
  <c r="DE23" i="31"/>
  <c r="DF23" i="31"/>
  <c r="DG23" i="31"/>
  <c r="DH23" i="31"/>
  <c r="DI23" i="31"/>
  <c r="DJ23" i="31"/>
  <c r="DK23" i="31"/>
  <c r="DL23" i="31"/>
  <c r="DN23" i="31"/>
  <c r="DO23" i="31"/>
  <c r="DP23" i="31"/>
  <c r="DQ23" i="31"/>
  <c r="DR23" i="31"/>
  <c r="DS23" i="31"/>
  <c r="DT23" i="31"/>
  <c r="DU23" i="31"/>
  <c r="DV23" i="31"/>
  <c r="DW23" i="31"/>
  <c r="DY23" i="31"/>
  <c r="DZ23" i="31"/>
  <c r="EA23" i="31"/>
  <c r="EB23" i="31"/>
  <c r="EC23" i="31"/>
  <c r="ED23" i="31"/>
  <c r="EE23" i="31"/>
  <c r="EF23" i="31"/>
  <c r="EG23" i="31"/>
  <c r="EH23" i="31"/>
  <c r="EJ23" i="31"/>
  <c r="EK23" i="31"/>
  <c r="EL23" i="31"/>
  <c r="EM23" i="31"/>
  <c r="EN23" i="31"/>
  <c r="EO23" i="31"/>
  <c r="EP23" i="31"/>
  <c r="EQ23" i="31"/>
  <c r="ER23" i="31"/>
  <c r="ES23" i="31"/>
  <c r="EU23" i="31"/>
  <c r="EV23" i="31"/>
  <c r="EW23" i="31"/>
  <c r="EX23" i="31"/>
  <c r="EY23" i="31"/>
  <c r="EZ23" i="31"/>
  <c r="FA23" i="31"/>
  <c r="FB23" i="31"/>
  <c r="FC23" i="31"/>
  <c r="FD23" i="31"/>
  <c r="FF23" i="31"/>
  <c r="FG23" i="31"/>
  <c r="FH23" i="31"/>
  <c r="FI23" i="31"/>
  <c r="FJ23" i="31"/>
  <c r="FK23" i="31"/>
  <c r="FL23" i="31"/>
  <c r="FM23" i="31"/>
  <c r="FN23" i="31"/>
  <c r="FO23" i="31"/>
  <c r="FQ23" i="31"/>
  <c r="FR23" i="31"/>
  <c r="FS23" i="31"/>
  <c r="FT23" i="31"/>
  <c r="FU23" i="31"/>
  <c r="FV23" i="31"/>
  <c r="FW23" i="31"/>
  <c r="FX23" i="31"/>
  <c r="FY23" i="31"/>
  <c r="FZ23" i="31"/>
  <c r="GB23" i="31"/>
  <c r="GC23" i="31"/>
  <c r="GD23" i="31"/>
  <c r="GE23" i="31"/>
  <c r="GF23" i="31"/>
  <c r="GG23" i="31"/>
  <c r="GH23" i="31"/>
  <c r="GI23" i="31"/>
  <c r="GJ23" i="31"/>
  <c r="GK23" i="31"/>
  <c r="GM23" i="31"/>
  <c r="GN23" i="31"/>
  <c r="GO23" i="31"/>
  <c r="GP23" i="31"/>
  <c r="GQ23" i="31"/>
  <c r="GR23" i="31"/>
  <c r="GS23" i="31"/>
  <c r="GT23" i="31"/>
  <c r="GU23" i="31"/>
  <c r="GV23" i="31"/>
  <c r="GX23" i="31"/>
  <c r="GY23" i="31"/>
  <c r="GZ23" i="31"/>
  <c r="HA23" i="31"/>
  <c r="HB23" i="31"/>
  <c r="HC23" i="31"/>
  <c r="HD23" i="31"/>
  <c r="HE23" i="31"/>
  <c r="HF23" i="31"/>
  <c r="HG23" i="31"/>
  <c r="CG24" i="31"/>
  <c r="CH24" i="31"/>
  <c r="CI24" i="31"/>
  <c r="CJ24" i="31"/>
  <c r="CK24" i="31"/>
  <c r="CL24" i="31"/>
  <c r="CM24" i="31"/>
  <c r="CN24" i="31"/>
  <c r="CO24" i="31"/>
  <c r="CP24" i="31"/>
  <c r="CR24" i="31"/>
  <c r="CS24" i="31"/>
  <c r="CT24" i="31"/>
  <c r="CU24" i="31"/>
  <c r="CV24" i="31"/>
  <c r="CW24" i="31"/>
  <c r="CX24" i="31"/>
  <c r="CY24" i="31"/>
  <c r="CZ24" i="31"/>
  <c r="DA24" i="31"/>
  <c r="DC24" i="31"/>
  <c r="DD24" i="31"/>
  <c r="DE24" i="31"/>
  <c r="DF24" i="31"/>
  <c r="DG24" i="31"/>
  <c r="DH24" i="31"/>
  <c r="DI24" i="31"/>
  <c r="DJ24" i="31"/>
  <c r="DK24" i="31"/>
  <c r="DL24" i="31"/>
  <c r="DN24" i="31"/>
  <c r="DO24" i="31"/>
  <c r="DP24" i="31"/>
  <c r="DQ24" i="31"/>
  <c r="DR24" i="31"/>
  <c r="DS24" i="31"/>
  <c r="DT24" i="31"/>
  <c r="DU24" i="31"/>
  <c r="DV24" i="31"/>
  <c r="DW24" i="31"/>
  <c r="DY24" i="31"/>
  <c r="DZ24" i="31"/>
  <c r="EA24" i="31"/>
  <c r="EB24" i="31"/>
  <c r="EC24" i="31"/>
  <c r="ED24" i="31"/>
  <c r="EE24" i="31"/>
  <c r="EF24" i="31"/>
  <c r="EG24" i="31"/>
  <c r="EH24" i="31"/>
  <c r="EJ24" i="31"/>
  <c r="EK24" i="31"/>
  <c r="EL24" i="31"/>
  <c r="EM24" i="31"/>
  <c r="EN24" i="31"/>
  <c r="EO24" i="31"/>
  <c r="EP24" i="31"/>
  <c r="EQ24" i="31"/>
  <c r="ER24" i="31"/>
  <c r="ES24" i="31"/>
  <c r="EU24" i="31"/>
  <c r="EV24" i="31"/>
  <c r="EW24" i="31"/>
  <c r="EX24" i="31"/>
  <c r="EY24" i="31"/>
  <c r="EZ24" i="31"/>
  <c r="FA24" i="31"/>
  <c r="FB24" i="31"/>
  <c r="FC24" i="31"/>
  <c r="FD24" i="31"/>
  <c r="FF24" i="31"/>
  <c r="FG24" i="31"/>
  <c r="FH24" i="31"/>
  <c r="FI24" i="31"/>
  <c r="FJ24" i="31"/>
  <c r="FK24" i="31"/>
  <c r="FL24" i="31"/>
  <c r="FM24" i="31"/>
  <c r="FN24" i="31"/>
  <c r="FO24" i="31"/>
  <c r="FQ24" i="31"/>
  <c r="FR24" i="31"/>
  <c r="FS24" i="31"/>
  <c r="FT24" i="31"/>
  <c r="FU24" i="31"/>
  <c r="FV24" i="31"/>
  <c r="FW24" i="31"/>
  <c r="FX24" i="31"/>
  <c r="FY24" i="31"/>
  <c r="FZ24" i="31"/>
  <c r="GB24" i="31"/>
  <c r="GC24" i="31"/>
  <c r="GD24" i="31"/>
  <c r="GE24" i="31"/>
  <c r="GF24" i="31"/>
  <c r="GG24" i="31"/>
  <c r="GH24" i="31"/>
  <c r="GI24" i="31"/>
  <c r="GJ24" i="31"/>
  <c r="GK24" i="31"/>
  <c r="GM24" i="31"/>
  <c r="GN24" i="31"/>
  <c r="GO24" i="31"/>
  <c r="GP24" i="31"/>
  <c r="GQ24" i="31"/>
  <c r="GR24" i="31"/>
  <c r="GS24" i="31"/>
  <c r="GT24" i="31"/>
  <c r="GU24" i="31"/>
  <c r="GV24" i="31"/>
  <c r="GX24" i="31"/>
  <c r="GY24" i="31"/>
  <c r="GZ24" i="31"/>
  <c r="HA24" i="31"/>
  <c r="HB24" i="31"/>
  <c r="HC24" i="31"/>
  <c r="HD24" i="31"/>
  <c r="HE24" i="31"/>
  <c r="HF24" i="31"/>
  <c r="HG24" i="31"/>
  <c r="C25" i="31"/>
  <c r="M25" i="31"/>
  <c r="T25" i="31"/>
  <c r="U25" i="31" s="1"/>
  <c r="AX25" i="31"/>
  <c r="AY25" i="31"/>
  <c r="AZ25" i="31"/>
  <c r="BA25" i="31"/>
  <c r="BB25" i="31"/>
  <c r="CG25" i="31"/>
  <c r="CH25" i="31"/>
  <c r="CI25" i="31"/>
  <c r="CJ25" i="31"/>
  <c r="CK25" i="31"/>
  <c r="CL25" i="31"/>
  <c r="CM25" i="31"/>
  <c r="CN25" i="31"/>
  <c r="CO25" i="31"/>
  <c r="CP25" i="31"/>
  <c r="CR25" i="31"/>
  <c r="CS25" i="31"/>
  <c r="CT25" i="31"/>
  <c r="CU25" i="31"/>
  <c r="CV25" i="31"/>
  <c r="CW25" i="31"/>
  <c r="CX25" i="31"/>
  <c r="CY25" i="31"/>
  <c r="CZ25" i="31"/>
  <c r="DA25" i="31"/>
  <c r="DC25" i="31"/>
  <c r="DD25" i="31"/>
  <c r="DE25" i="31"/>
  <c r="DF25" i="31"/>
  <c r="DG25" i="31"/>
  <c r="DH25" i="31"/>
  <c r="DI25" i="31"/>
  <c r="DJ25" i="31"/>
  <c r="DK25" i="31"/>
  <c r="DL25" i="31"/>
  <c r="DN25" i="31"/>
  <c r="DO25" i="31"/>
  <c r="DP25" i="31"/>
  <c r="DQ25" i="31"/>
  <c r="DR25" i="31"/>
  <c r="DS25" i="31"/>
  <c r="DT25" i="31"/>
  <c r="DU25" i="31"/>
  <c r="DV25" i="31"/>
  <c r="DW25" i="31"/>
  <c r="DY25" i="31"/>
  <c r="DZ25" i="31"/>
  <c r="EA25" i="31"/>
  <c r="EB25" i="31"/>
  <c r="EC25" i="31"/>
  <c r="ED25" i="31"/>
  <c r="EE25" i="31"/>
  <c r="EF25" i="31"/>
  <c r="EG25" i="31"/>
  <c r="EH25" i="31"/>
  <c r="EJ25" i="31"/>
  <c r="EK25" i="31"/>
  <c r="EL25" i="31"/>
  <c r="EM25" i="31"/>
  <c r="EN25" i="31"/>
  <c r="EO25" i="31"/>
  <c r="EP25" i="31"/>
  <c r="EQ25" i="31"/>
  <c r="ER25" i="31"/>
  <c r="ES25" i="31"/>
  <c r="EU25" i="31"/>
  <c r="EV25" i="31"/>
  <c r="EW25" i="31"/>
  <c r="EX25" i="31"/>
  <c r="EY25" i="31"/>
  <c r="EZ25" i="31"/>
  <c r="FA25" i="31"/>
  <c r="FB25" i="31"/>
  <c r="FC25" i="31"/>
  <c r="FD25" i="31"/>
  <c r="FF25" i="31"/>
  <c r="FG25" i="31"/>
  <c r="FH25" i="31"/>
  <c r="FI25" i="31"/>
  <c r="FJ25" i="31"/>
  <c r="FK25" i="31"/>
  <c r="FL25" i="31"/>
  <c r="FM25" i="31"/>
  <c r="FN25" i="31"/>
  <c r="FO25" i="31"/>
  <c r="FQ25" i="31"/>
  <c r="FR25" i="31"/>
  <c r="FS25" i="31"/>
  <c r="FT25" i="31"/>
  <c r="FU25" i="31"/>
  <c r="FV25" i="31"/>
  <c r="FW25" i="31"/>
  <c r="FX25" i="31"/>
  <c r="FY25" i="31"/>
  <c r="FZ25" i="31"/>
  <c r="GB25" i="31"/>
  <c r="GC25" i="31"/>
  <c r="GD25" i="31"/>
  <c r="GE25" i="31"/>
  <c r="GF25" i="31"/>
  <c r="GG25" i="31"/>
  <c r="GH25" i="31"/>
  <c r="GI25" i="31"/>
  <c r="GJ25" i="31"/>
  <c r="GK25" i="31"/>
  <c r="GM25" i="31"/>
  <c r="GN25" i="31"/>
  <c r="GO25" i="31"/>
  <c r="GP25" i="31"/>
  <c r="GQ25" i="31"/>
  <c r="GR25" i="31"/>
  <c r="GS25" i="31"/>
  <c r="GT25" i="31"/>
  <c r="GU25" i="31"/>
  <c r="GV25" i="31"/>
  <c r="GX25" i="31"/>
  <c r="GY25" i="31"/>
  <c r="GZ25" i="31"/>
  <c r="HA25" i="31"/>
  <c r="HB25" i="31"/>
  <c r="HC25" i="31"/>
  <c r="HD25" i="31"/>
  <c r="HE25" i="31"/>
  <c r="HF25" i="31"/>
  <c r="HG25" i="31"/>
  <c r="C26" i="31"/>
  <c r="M26" i="31"/>
  <c r="T26" i="31"/>
  <c r="U26" i="31" s="1"/>
  <c r="BB26" i="31"/>
  <c r="CG26" i="31"/>
  <c r="CH26" i="31"/>
  <c r="CI26" i="31"/>
  <c r="CJ26" i="31"/>
  <c r="CK26" i="31"/>
  <c r="CL26" i="31"/>
  <c r="CM26" i="31"/>
  <c r="CN26" i="31"/>
  <c r="CO26" i="31"/>
  <c r="CP26" i="31"/>
  <c r="CR26" i="31"/>
  <c r="CS26" i="31"/>
  <c r="CT26" i="31"/>
  <c r="CU26" i="31"/>
  <c r="CV26" i="31"/>
  <c r="CW26" i="31"/>
  <c r="CX26" i="31"/>
  <c r="CY26" i="31"/>
  <c r="CZ26" i="31"/>
  <c r="DA26" i="31"/>
  <c r="DC26" i="31"/>
  <c r="DD26" i="31"/>
  <c r="DE26" i="31"/>
  <c r="DF26" i="31"/>
  <c r="DG26" i="31"/>
  <c r="DH26" i="31"/>
  <c r="DI26" i="31"/>
  <c r="DJ26" i="31"/>
  <c r="DK26" i="31"/>
  <c r="DL26" i="31"/>
  <c r="DN26" i="31"/>
  <c r="DO26" i="31"/>
  <c r="DP26" i="31"/>
  <c r="DQ26" i="31"/>
  <c r="DR26" i="31"/>
  <c r="DS26" i="31"/>
  <c r="DT26" i="31"/>
  <c r="DU26" i="31"/>
  <c r="DV26" i="31"/>
  <c r="DW26" i="31"/>
  <c r="DY26" i="31"/>
  <c r="DZ26" i="31"/>
  <c r="EA26" i="31"/>
  <c r="EB26" i="31"/>
  <c r="EC26" i="31"/>
  <c r="ED26" i="31"/>
  <c r="EE26" i="31"/>
  <c r="EF26" i="31"/>
  <c r="EG26" i="31"/>
  <c r="EH26" i="31"/>
  <c r="EJ26" i="31"/>
  <c r="EK26" i="31"/>
  <c r="EL26" i="31"/>
  <c r="EM26" i="31"/>
  <c r="EN26" i="31"/>
  <c r="EO26" i="31"/>
  <c r="EP26" i="31"/>
  <c r="EQ26" i="31"/>
  <c r="ER26" i="31"/>
  <c r="ES26" i="31"/>
  <c r="EU26" i="31"/>
  <c r="EV26" i="31"/>
  <c r="EW26" i="31"/>
  <c r="EX26" i="31"/>
  <c r="EY26" i="31"/>
  <c r="EZ26" i="31"/>
  <c r="FA26" i="31"/>
  <c r="FB26" i="31"/>
  <c r="FC26" i="31"/>
  <c r="FD26" i="31"/>
  <c r="FF26" i="31"/>
  <c r="FG26" i="31"/>
  <c r="FH26" i="31"/>
  <c r="FI26" i="31"/>
  <c r="FJ26" i="31"/>
  <c r="FK26" i="31"/>
  <c r="FL26" i="31"/>
  <c r="FM26" i="31"/>
  <c r="FN26" i="31"/>
  <c r="FO26" i="31"/>
  <c r="FQ26" i="31"/>
  <c r="FR26" i="31"/>
  <c r="FS26" i="31"/>
  <c r="FT26" i="31"/>
  <c r="FU26" i="31"/>
  <c r="FV26" i="31"/>
  <c r="FW26" i="31"/>
  <c r="FX26" i="31"/>
  <c r="FY26" i="31"/>
  <c r="FZ26" i="31"/>
  <c r="GB26" i="31"/>
  <c r="GC26" i="31"/>
  <c r="GD26" i="31"/>
  <c r="GE26" i="31"/>
  <c r="GF26" i="31"/>
  <c r="GG26" i="31"/>
  <c r="GH26" i="31"/>
  <c r="GI26" i="31"/>
  <c r="GJ26" i="31"/>
  <c r="GK26" i="31"/>
  <c r="GM26" i="31"/>
  <c r="GN26" i="31"/>
  <c r="GO26" i="31"/>
  <c r="GP26" i="31"/>
  <c r="GQ26" i="31"/>
  <c r="GR26" i="31"/>
  <c r="GS26" i="31"/>
  <c r="GT26" i="31"/>
  <c r="GU26" i="31"/>
  <c r="GV26" i="31"/>
  <c r="GX26" i="31"/>
  <c r="GY26" i="31"/>
  <c r="GZ26" i="31"/>
  <c r="HA26" i="31"/>
  <c r="HB26" i="31"/>
  <c r="HC26" i="31"/>
  <c r="HD26" i="31"/>
  <c r="HE26" i="31"/>
  <c r="HF26" i="31"/>
  <c r="HG26" i="31"/>
  <c r="C27" i="31"/>
  <c r="M27" i="31"/>
  <c r="T27" i="31"/>
  <c r="U27" i="31" s="1"/>
  <c r="AZ27" i="31"/>
  <c r="BB27" i="31"/>
  <c r="CG27" i="31"/>
  <c r="CH27" i="31"/>
  <c r="CI27" i="31"/>
  <c r="CJ27" i="31"/>
  <c r="CK27" i="31"/>
  <c r="CL27" i="31"/>
  <c r="CM27" i="31"/>
  <c r="CN27" i="31"/>
  <c r="CO27" i="31"/>
  <c r="CP27" i="31"/>
  <c r="CR27" i="31"/>
  <c r="CS27" i="31"/>
  <c r="CT27" i="31"/>
  <c r="CU27" i="31"/>
  <c r="CV27" i="31"/>
  <c r="CW27" i="31"/>
  <c r="CX27" i="31"/>
  <c r="CY27" i="31"/>
  <c r="CZ27" i="31"/>
  <c r="DA27" i="31"/>
  <c r="DC27" i="31"/>
  <c r="DD27" i="31"/>
  <c r="DE27" i="31"/>
  <c r="DF27" i="31"/>
  <c r="DG27" i="31"/>
  <c r="DH27" i="31"/>
  <c r="DI27" i="31"/>
  <c r="DJ27" i="31"/>
  <c r="DK27" i="31"/>
  <c r="DL27" i="31"/>
  <c r="DN27" i="31"/>
  <c r="DO27" i="31"/>
  <c r="DP27" i="31"/>
  <c r="DQ27" i="31"/>
  <c r="DR27" i="31"/>
  <c r="DS27" i="31"/>
  <c r="DT27" i="31"/>
  <c r="DU27" i="31"/>
  <c r="DV27" i="31"/>
  <c r="DW27" i="31"/>
  <c r="DY27" i="31"/>
  <c r="DZ27" i="31"/>
  <c r="EA27" i="31"/>
  <c r="EB27" i="31"/>
  <c r="EC27" i="31"/>
  <c r="ED27" i="31"/>
  <c r="EE27" i="31"/>
  <c r="EF27" i="31"/>
  <c r="EG27" i="31"/>
  <c r="EH27" i="31"/>
  <c r="EJ27" i="31"/>
  <c r="EK27" i="31"/>
  <c r="EL27" i="31"/>
  <c r="EM27" i="31"/>
  <c r="EN27" i="31"/>
  <c r="EO27" i="31"/>
  <c r="EP27" i="31"/>
  <c r="EQ27" i="31"/>
  <c r="ER27" i="31"/>
  <c r="ES27" i="31"/>
  <c r="EU27" i="31"/>
  <c r="EV27" i="31"/>
  <c r="EW27" i="31"/>
  <c r="EX27" i="31"/>
  <c r="EY27" i="31"/>
  <c r="EZ27" i="31"/>
  <c r="FA27" i="31"/>
  <c r="FB27" i="31"/>
  <c r="FC27" i="31"/>
  <c r="FD27" i="31"/>
  <c r="FF27" i="31"/>
  <c r="FG27" i="31"/>
  <c r="FH27" i="31"/>
  <c r="FI27" i="31"/>
  <c r="FJ27" i="31"/>
  <c r="FK27" i="31"/>
  <c r="FL27" i="31"/>
  <c r="FM27" i="31"/>
  <c r="FN27" i="31"/>
  <c r="FO27" i="31"/>
  <c r="FQ27" i="31"/>
  <c r="FR27" i="31"/>
  <c r="FS27" i="31"/>
  <c r="FT27" i="31"/>
  <c r="FU27" i="31"/>
  <c r="FV27" i="31"/>
  <c r="FW27" i="31"/>
  <c r="FX27" i="31"/>
  <c r="FY27" i="31"/>
  <c r="FZ27" i="31"/>
  <c r="GB27" i="31"/>
  <c r="GC27" i="31"/>
  <c r="GD27" i="31"/>
  <c r="GE27" i="31"/>
  <c r="GF27" i="31"/>
  <c r="GG27" i="31"/>
  <c r="GH27" i="31"/>
  <c r="GI27" i="31"/>
  <c r="GJ27" i="31"/>
  <c r="GK27" i="31"/>
  <c r="GM27" i="31"/>
  <c r="GN27" i="31"/>
  <c r="GO27" i="31"/>
  <c r="GP27" i="31"/>
  <c r="GQ27" i="31"/>
  <c r="GR27" i="31"/>
  <c r="GS27" i="31"/>
  <c r="GT27" i="31"/>
  <c r="GU27" i="31"/>
  <c r="GV27" i="31"/>
  <c r="GX27" i="31"/>
  <c r="GY27" i="31"/>
  <c r="GZ27" i="31"/>
  <c r="HA27" i="31"/>
  <c r="HB27" i="31"/>
  <c r="HC27" i="31"/>
  <c r="HD27" i="31"/>
  <c r="HE27" i="31"/>
  <c r="HF27" i="31"/>
  <c r="HG27" i="31"/>
  <c r="C28" i="31"/>
  <c r="M28" i="31"/>
  <c r="BA28" i="31"/>
  <c r="BA27" i="31"/>
  <c r="T28" i="31"/>
  <c r="U28" i="31" s="1"/>
  <c r="BB28" i="31"/>
  <c r="CG28" i="31"/>
  <c r="CH28" i="31"/>
  <c r="CI28" i="31"/>
  <c r="CJ28" i="31"/>
  <c r="CK28" i="31"/>
  <c r="CL28" i="31"/>
  <c r="CM28" i="31"/>
  <c r="CN28" i="31"/>
  <c r="CO28" i="31"/>
  <c r="CP28" i="31"/>
  <c r="CR28" i="31"/>
  <c r="CS28" i="31"/>
  <c r="CT28" i="31"/>
  <c r="CU28" i="31"/>
  <c r="CV28" i="31"/>
  <c r="CW28" i="31"/>
  <c r="CX28" i="31"/>
  <c r="CY28" i="31"/>
  <c r="CZ28" i="31"/>
  <c r="DA28" i="31"/>
  <c r="DC28" i="31"/>
  <c r="DD28" i="31"/>
  <c r="DE28" i="31"/>
  <c r="DF28" i="31"/>
  <c r="DG28" i="31"/>
  <c r="DH28" i="31"/>
  <c r="DI28" i="31"/>
  <c r="DJ28" i="31"/>
  <c r="DK28" i="31"/>
  <c r="DL28" i="31"/>
  <c r="DN28" i="31"/>
  <c r="DO28" i="31"/>
  <c r="DP28" i="31"/>
  <c r="DQ28" i="31"/>
  <c r="DR28" i="31"/>
  <c r="DS28" i="31"/>
  <c r="DT28" i="31"/>
  <c r="DU28" i="31"/>
  <c r="DV28" i="31"/>
  <c r="DW28" i="31"/>
  <c r="DY28" i="31"/>
  <c r="DZ28" i="31"/>
  <c r="EA28" i="31"/>
  <c r="EB28" i="31"/>
  <c r="EC28" i="31"/>
  <c r="ED28" i="31"/>
  <c r="EE28" i="31"/>
  <c r="EF28" i="31"/>
  <c r="EG28" i="31"/>
  <c r="EH28" i="31"/>
  <c r="EJ28" i="31"/>
  <c r="EK28" i="31"/>
  <c r="EL28" i="31"/>
  <c r="EM28" i="31"/>
  <c r="EN28" i="31"/>
  <c r="EO28" i="31"/>
  <c r="EP28" i="31"/>
  <c r="EQ28" i="31"/>
  <c r="ER28" i="31"/>
  <c r="ES28" i="31"/>
  <c r="EU28" i="31"/>
  <c r="EV28" i="31"/>
  <c r="EW28" i="31"/>
  <c r="EX28" i="31"/>
  <c r="EY28" i="31"/>
  <c r="EZ28" i="31"/>
  <c r="FA28" i="31"/>
  <c r="FB28" i="31"/>
  <c r="FC28" i="31"/>
  <c r="FD28" i="31"/>
  <c r="FF28" i="31"/>
  <c r="FG28" i="31"/>
  <c r="FH28" i="31"/>
  <c r="FI28" i="31"/>
  <c r="FJ28" i="31"/>
  <c r="FK28" i="31"/>
  <c r="FL28" i="31"/>
  <c r="FM28" i="31"/>
  <c r="FN28" i="31"/>
  <c r="FO28" i="31"/>
  <c r="FQ28" i="31"/>
  <c r="FR28" i="31"/>
  <c r="FS28" i="31"/>
  <c r="FT28" i="31"/>
  <c r="FU28" i="31"/>
  <c r="FV28" i="31"/>
  <c r="FW28" i="31"/>
  <c r="FX28" i="31"/>
  <c r="FY28" i="31"/>
  <c r="FZ28" i="31"/>
  <c r="GB28" i="31"/>
  <c r="GC28" i="31"/>
  <c r="GD28" i="31"/>
  <c r="GE28" i="31"/>
  <c r="GF28" i="31"/>
  <c r="GG28" i="31"/>
  <c r="GH28" i="31"/>
  <c r="GI28" i="31"/>
  <c r="GJ28" i="31"/>
  <c r="GK28" i="31"/>
  <c r="GM28" i="31"/>
  <c r="GN28" i="31"/>
  <c r="GO28" i="31"/>
  <c r="GP28" i="31"/>
  <c r="GQ28" i="31"/>
  <c r="GR28" i="31"/>
  <c r="GS28" i="31"/>
  <c r="GT28" i="31"/>
  <c r="GU28" i="31"/>
  <c r="GV28" i="31"/>
  <c r="GX28" i="31"/>
  <c r="GY28" i="31"/>
  <c r="GZ28" i="31"/>
  <c r="HA28" i="31"/>
  <c r="HB28" i="31"/>
  <c r="HC28" i="31"/>
  <c r="HD28" i="31"/>
  <c r="HE28" i="31"/>
  <c r="HF28" i="31"/>
  <c r="HG28" i="31"/>
  <c r="C29" i="31"/>
  <c r="M29" i="31"/>
  <c r="T29" i="31"/>
  <c r="U29" i="31" s="1"/>
  <c r="V29" i="31"/>
  <c r="AX29" i="31"/>
  <c r="AY29" i="31"/>
  <c r="AZ29" i="31"/>
  <c r="BA29" i="31"/>
  <c r="BB29" i="31"/>
  <c r="CG29" i="31"/>
  <c r="CH29" i="31"/>
  <c r="CI29" i="31"/>
  <c r="CJ29" i="31"/>
  <c r="CK29" i="31"/>
  <c r="CL29" i="31"/>
  <c r="CM29" i="31"/>
  <c r="CN29" i="31"/>
  <c r="CO29" i="31"/>
  <c r="CP29" i="31"/>
  <c r="CR29" i="31"/>
  <c r="CS29" i="31"/>
  <c r="CT29" i="31"/>
  <c r="CU29" i="31"/>
  <c r="CV29" i="31"/>
  <c r="CW29" i="31"/>
  <c r="CX29" i="31"/>
  <c r="CY29" i="31"/>
  <c r="CZ29" i="31"/>
  <c r="DA29" i="31"/>
  <c r="DC29" i="31"/>
  <c r="DD29" i="31"/>
  <c r="DE29" i="31"/>
  <c r="DF29" i="31"/>
  <c r="DG29" i="31"/>
  <c r="DH29" i="31"/>
  <c r="DI29" i="31"/>
  <c r="DJ29" i="31"/>
  <c r="DK29" i="31"/>
  <c r="DL29" i="31"/>
  <c r="DN29" i="31"/>
  <c r="DO29" i="31"/>
  <c r="DP29" i="31"/>
  <c r="DQ29" i="31"/>
  <c r="DR29" i="31"/>
  <c r="DS29" i="31"/>
  <c r="DT29" i="31"/>
  <c r="DU29" i="31"/>
  <c r="DV29" i="31"/>
  <c r="DW29" i="31"/>
  <c r="DY29" i="31"/>
  <c r="DZ29" i="31"/>
  <c r="EA29" i="31"/>
  <c r="EB29" i="31"/>
  <c r="EC29" i="31"/>
  <c r="ED29" i="31"/>
  <c r="EE29" i="31"/>
  <c r="EF29" i="31"/>
  <c r="EG29" i="31"/>
  <c r="EH29" i="31"/>
  <c r="EJ29" i="31"/>
  <c r="EK29" i="31"/>
  <c r="EL29" i="31"/>
  <c r="EM29" i="31"/>
  <c r="EN29" i="31"/>
  <c r="EO29" i="31"/>
  <c r="EP29" i="31"/>
  <c r="EQ29" i="31"/>
  <c r="ER29" i="31"/>
  <c r="ES29" i="31"/>
  <c r="EU29" i="31"/>
  <c r="EV29" i="31"/>
  <c r="EW29" i="31"/>
  <c r="EX29" i="31"/>
  <c r="EY29" i="31"/>
  <c r="EZ29" i="31"/>
  <c r="FA29" i="31"/>
  <c r="FB29" i="31"/>
  <c r="FC29" i="31"/>
  <c r="FD29" i="31"/>
  <c r="FF29" i="31"/>
  <c r="FG29" i="31"/>
  <c r="FH29" i="31"/>
  <c r="FI29" i="31"/>
  <c r="FJ29" i="31"/>
  <c r="FK29" i="31"/>
  <c r="FL29" i="31"/>
  <c r="FM29" i="31"/>
  <c r="FN29" i="31"/>
  <c r="FO29" i="31"/>
  <c r="FQ29" i="31"/>
  <c r="FR29" i="31"/>
  <c r="FS29" i="31"/>
  <c r="FT29" i="31"/>
  <c r="FU29" i="31"/>
  <c r="FV29" i="31"/>
  <c r="FW29" i="31"/>
  <c r="FX29" i="31"/>
  <c r="FY29" i="31"/>
  <c r="FZ29" i="31"/>
  <c r="GB29" i="31"/>
  <c r="GC29" i="31"/>
  <c r="GD29" i="31"/>
  <c r="GE29" i="31"/>
  <c r="GF29" i="31"/>
  <c r="GG29" i="31"/>
  <c r="GH29" i="31"/>
  <c r="GI29" i="31"/>
  <c r="GJ29" i="31"/>
  <c r="GK29" i="31"/>
  <c r="GM29" i="31"/>
  <c r="GN29" i="31"/>
  <c r="GO29" i="31"/>
  <c r="GP29" i="31"/>
  <c r="GQ29" i="31"/>
  <c r="GR29" i="31"/>
  <c r="GS29" i="31"/>
  <c r="GT29" i="31"/>
  <c r="GU29" i="31"/>
  <c r="GV29" i="31"/>
  <c r="GX29" i="31"/>
  <c r="GY29" i="31"/>
  <c r="GZ29" i="31"/>
  <c r="HA29" i="31"/>
  <c r="HB29" i="31"/>
  <c r="HC29" i="31"/>
  <c r="HD29" i="31"/>
  <c r="HE29" i="31"/>
  <c r="HF29" i="31"/>
  <c r="HG29" i="31"/>
  <c r="AX30" i="31"/>
  <c r="AY30" i="31"/>
  <c r="AZ30" i="31"/>
  <c r="BA30" i="31"/>
  <c r="BB30" i="31"/>
  <c r="CG30" i="31"/>
  <c r="CH30" i="31"/>
  <c r="CI30" i="31"/>
  <c r="CJ30" i="31"/>
  <c r="CK30" i="31"/>
  <c r="CL30" i="31"/>
  <c r="CM30" i="31"/>
  <c r="CN30" i="31"/>
  <c r="CO30" i="31"/>
  <c r="CP30" i="31"/>
  <c r="CR30" i="31"/>
  <c r="CS30" i="31"/>
  <c r="CT30" i="31"/>
  <c r="CU30" i="31"/>
  <c r="CV30" i="31"/>
  <c r="CW30" i="31"/>
  <c r="CX30" i="31"/>
  <c r="CY30" i="31"/>
  <c r="CZ30" i="31"/>
  <c r="DA30" i="31"/>
  <c r="DC30" i="31"/>
  <c r="DD30" i="31"/>
  <c r="DE30" i="31"/>
  <c r="DF30" i="31"/>
  <c r="DG30" i="31"/>
  <c r="DH30" i="31"/>
  <c r="DI30" i="31"/>
  <c r="DJ30" i="31"/>
  <c r="DK30" i="31"/>
  <c r="DL30" i="31"/>
  <c r="DN30" i="31"/>
  <c r="DO30" i="31"/>
  <c r="DP30" i="31"/>
  <c r="DQ30" i="31"/>
  <c r="DR30" i="31"/>
  <c r="DS30" i="31"/>
  <c r="DT30" i="31"/>
  <c r="DU30" i="31"/>
  <c r="DV30" i="31"/>
  <c r="DW30" i="31"/>
  <c r="DY30" i="31"/>
  <c r="DZ30" i="31"/>
  <c r="EA30" i="31"/>
  <c r="EB30" i="31"/>
  <c r="EC30" i="31"/>
  <c r="ED30" i="31"/>
  <c r="EE30" i="31"/>
  <c r="EF30" i="31"/>
  <c r="EG30" i="31"/>
  <c r="EH30" i="31"/>
  <c r="EJ30" i="31"/>
  <c r="EK30" i="31"/>
  <c r="EL30" i="31"/>
  <c r="EM30" i="31"/>
  <c r="EN30" i="31"/>
  <c r="EO30" i="31"/>
  <c r="EP30" i="31"/>
  <c r="EQ30" i="31"/>
  <c r="ER30" i="31"/>
  <c r="ES30" i="31"/>
  <c r="EU30" i="31"/>
  <c r="EV30" i="31"/>
  <c r="EW30" i="31"/>
  <c r="EX30" i="31"/>
  <c r="EY30" i="31"/>
  <c r="EZ30" i="31"/>
  <c r="FA30" i="31"/>
  <c r="FB30" i="31"/>
  <c r="FC30" i="31"/>
  <c r="FD30" i="31"/>
  <c r="FF30" i="31"/>
  <c r="FG30" i="31"/>
  <c r="FH30" i="31"/>
  <c r="FI30" i="31"/>
  <c r="FJ30" i="31"/>
  <c r="FK30" i="31"/>
  <c r="FL30" i="31"/>
  <c r="FM30" i="31"/>
  <c r="FN30" i="31"/>
  <c r="FO30" i="31"/>
  <c r="FQ30" i="31"/>
  <c r="FR30" i="31"/>
  <c r="FS30" i="31"/>
  <c r="FT30" i="31"/>
  <c r="FU30" i="31"/>
  <c r="FV30" i="31"/>
  <c r="FW30" i="31"/>
  <c r="FX30" i="31"/>
  <c r="FY30" i="31"/>
  <c r="FZ30" i="31"/>
  <c r="GB30" i="31"/>
  <c r="GC30" i="31"/>
  <c r="GD30" i="31"/>
  <c r="GE30" i="31"/>
  <c r="GF30" i="31"/>
  <c r="GG30" i="31"/>
  <c r="GH30" i="31"/>
  <c r="GI30" i="31"/>
  <c r="GJ30" i="31"/>
  <c r="GK30" i="31"/>
  <c r="GM30" i="31"/>
  <c r="GN30" i="31"/>
  <c r="GO30" i="31"/>
  <c r="GP30" i="31"/>
  <c r="GQ30" i="31"/>
  <c r="GR30" i="31"/>
  <c r="GS30" i="31"/>
  <c r="GT30" i="31"/>
  <c r="GU30" i="31"/>
  <c r="GV30" i="31"/>
  <c r="GX30" i="31"/>
  <c r="GY30" i="31"/>
  <c r="GZ30" i="31"/>
  <c r="HA30" i="31"/>
  <c r="HB30" i="31"/>
  <c r="HC30" i="31"/>
  <c r="HD30" i="31"/>
  <c r="HE30" i="31"/>
  <c r="HF30" i="31"/>
  <c r="HG30" i="31"/>
  <c r="AX31" i="31"/>
  <c r="AY31" i="31"/>
  <c r="AZ31" i="31"/>
  <c r="BA31" i="31"/>
  <c r="BB31" i="31"/>
  <c r="CG31" i="31"/>
  <c r="CH31" i="31"/>
  <c r="CI31" i="31"/>
  <c r="CJ31" i="31"/>
  <c r="CK31" i="31"/>
  <c r="CL31" i="31"/>
  <c r="CM31" i="31"/>
  <c r="CN31" i="31"/>
  <c r="CO31" i="31"/>
  <c r="CP31" i="31"/>
  <c r="CR31" i="31"/>
  <c r="CS31" i="31"/>
  <c r="CT31" i="31"/>
  <c r="CU31" i="31"/>
  <c r="CV31" i="31"/>
  <c r="CW31" i="31"/>
  <c r="CX31" i="31"/>
  <c r="CY31" i="31"/>
  <c r="CZ31" i="31"/>
  <c r="DA31" i="31"/>
  <c r="DC31" i="31"/>
  <c r="DD31" i="31"/>
  <c r="DE31" i="31"/>
  <c r="DF31" i="31"/>
  <c r="DG31" i="31"/>
  <c r="DH31" i="31"/>
  <c r="DI31" i="31"/>
  <c r="DJ31" i="31"/>
  <c r="DK31" i="31"/>
  <c r="DL31" i="31"/>
  <c r="DN31" i="31"/>
  <c r="DO31" i="31"/>
  <c r="DP31" i="31"/>
  <c r="DQ31" i="31"/>
  <c r="DR31" i="31"/>
  <c r="DS31" i="31"/>
  <c r="DT31" i="31"/>
  <c r="DU31" i="31"/>
  <c r="DV31" i="31"/>
  <c r="DW31" i="31"/>
  <c r="DY31" i="31"/>
  <c r="DZ31" i="31"/>
  <c r="EA31" i="31"/>
  <c r="EB31" i="31"/>
  <c r="EC31" i="31"/>
  <c r="ED31" i="31"/>
  <c r="EE31" i="31"/>
  <c r="EF31" i="31"/>
  <c r="EG31" i="31"/>
  <c r="EH31" i="31"/>
  <c r="EJ31" i="31"/>
  <c r="EK31" i="31"/>
  <c r="EL31" i="31"/>
  <c r="EM31" i="31"/>
  <c r="EN31" i="31"/>
  <c r="EO31" i="31"/>
  <c r="EP31" i="31"/>
  <c r="EQ31" i="31"/>
  <c r="ER31" i="31"/>
  <c r="ES31" i="31"/>
  <c r="EU31" i="31"/>
  <c r="EV31" i="31"/>
  <c r="EW31" i="31"/>
  <c r="EX31" i="31"/>
  <c r="EY31" i="31"/>
  <c r="EZ31" i="31"/>
  <c r="FA31" i="31"/>
  <c r="FB31" i="31"/>
  <c r="FC31" i="31"/>
  <c r="FD31" i="31"/>
  <c r="FF31" i="31"/>
  <c r="FG31" i="31"/>
  <c r="FH31" i="31"/>
  <c r="FI31" i="31"/>
  <c r="FJ31" i="31"/>
  <c r="FK31" i="31"/>
  <c r="FL31" i="31"/>
  <c r="FM31" i="31"/>
  <c r="FN31" i="31"/>
  <c r="FO31" i="31"/>
  <c r="FQ31" i="31"/>
  <c r="FR31" i="31"/>
  <c r="FS31" i="31"/>
  <c r="FT31" i="31"/>
  <c r="FU31" i="31"/>
  <c r="FV31" i="31"/>
  <c r="FW31" i="31"/>
  <c r="FX31" i="31"/>
  <c r="FY31" i="31"/>
  <c r="FZ31" i="31"/>
  <c r="GB31" i="31"/>
  <c r="GC31" i="31"/>
  <c r="GD31" i="31"/>
  <c r="GE31" i="31"/>
  <c r="GF31" i="31"/>
  <c r="GG31" i="31"/>
  <c r="GH31" i="31"/>
  <c r="GI31" i="31"/>
  <c r="GJ31" i="31"/>
  <c r="GK31" i="31"/>
  <c r="GM31" i="31"/>
  <c r="GN31" i="31"/>
  <c r="GO31" i="31"/>
  <c r="GP31" i="31"/>
  <c r="GQ31" i="31"/>
  <c r="GR31" i="31"/>
  <c r="GS31" i="31"/>
  <c r="GT31" i="31"/>
  <c r="GU31" i="31"/>
  <c r="GV31" i="31"/>
  <c r="GX31" i="31"/>
  <c r="GY31" i="31"/>
  <c r="GZ31" i="31"/>
  <c r="HA31" i="31"/>
  <c r="HB31" i="31"/>
  <c r="HC31" i="31"/>
  <c r="HD31" i="31"/>
  <c r="HE31" i="31"/>
  <c r="HF31" i="31"/>
  <c r="HG31" i="31"/>
  <c r="CG32" i="31"/>
  <c r="CH32" i="31"/>
  <c r="CI32" i="31"/>
  <c r="CJ32" i="31"/>
  <c r="CK32" i="31"/>
  <c r="CL32" i="31"/>
  <c r="CM32" i="31"/>
  <c r="CN32" i="31"/>
  <c r="CO32" i="31"/>
  <c r="CP32" i="31"/>
  <c r="CR32" i="31"/>
  <c r="CS32" i="31"/>
  <c r="CT32" i="31"/>
  <c r="CU32" i="31"/>
  <c r="CV32" i="31"/>
  <c r="CW32" i="31"/>
  <c r="CX32" i="31"/>
  <c r="CY32" i="31"/>
  <c r="CZ32" i="31"/>
  <c r="DA32" i="31"/>
  <c r="DC32" i="31"/>
  <c r="DD32" i="31"/>
  <c r="DE32" i="31"/>
  <c r="DF32" i="31"/>
  <c r="DG32" i="31"/>
  <c r="DH32" i="31"/>
  <c r="DI32" i="31"/>
  <c r="DJ32" i="31"/>
  <c r="DK32" i="31"/>
  <c r="DL32" i="31"/>
  <c r="DN32" i="31"/>
  <c r="DO32" i="31"/>
  <c r="DP32" i="31"/>
  <c r="DQ32" i="31"/>
  <c r="DR32" i="31"/>
  <c r="DS32" i="31"/>
  <c r="DT32" i="31"/>
  <c r="DU32" i="31"/>
  <c r="DV32" i="31"/>
  <c r="DW32" i="31"/>
  <c r="DY32" i="31"/>
  <c r="DZ32" i="31"/>
  <c r="EA32" i="31"/>
  <c r="EB32" i="31"/>
  <c r="EC32" i="31"/>
  <c r="ED32" i="31"/>
  <c r="EE32" i="31"/>
  <c r="EF32" i="31"/>
  <c r="EG32" i="31"/>
  <c r="EH32" i="31"/>
  <c r="EJ32" i="31"/>
  <c r="EK32" i="31"/>
  <c r="EL32" i="31"/>
  <c r="EM32" i="31"/>
  <c r="EN32" i="31"/>
  <c r="EO32" i="31"/>
  <c r="EP32" i="31"/>
  <c r="EQ32" i="31"/>
  <c r="ER32" i="31"/>
  <c r="ES32" i="31"/>
  <c r="EU32" i="31"/>
  <c r="EV32" i="31"/>
  <c r="EW32" i="31"/>
  <c r="EX32" i="31"/>
  <c r="EY32" i="31"/>
  <c r="EZ32" i="31"/>
  <c r="FA32" i="31"/>
  <c r="FB32" i="31"/>
  <c r="FC32" i="31"/>
  <c r="FD32" i="31"/>
  <c r="FF32" i="31"/>
  <c r="FG32" i="31"/>
  <c r="FH32" i="31"/>
  <c r="FI32" i="31"/>
  <c r="FJ32" i="31"/>
  <c r="FK32" i="31"/>
  <c r="FL32" i="31"/>
  <c r="FM32" i="31"/>
  <c r="FN32" i="31"/>
  <c r="FO32" i="31"/>
  <c r="FQ32" i="31"/>
  <c r="FR32" i="31"/>
  <c r="FS32" i="31"/>
  <c r="FT32" i="31"/>
  <c r="FU32" i="31"/>
  <c r="FV32" i="31"/>
  <c r="FW32" i="31"/>
  <c r="FX32" i="31"/>
  <c r="FY32" i="31"/>
  <c r="FZ32" i="31"/>
  <c r="GB32" i="31"/>
  <c r="GC32" i="31"/>
  <c r="GD32" i="31"/>
  <c r="GE32" i="31"/>
  <c r="GF32" i="31"/>
  <c r="GG32" i="31"/>
  <c r="GH32" i="31"/>
  <c r="GI32" i="31"/>
  <c r="GJ32" i="31"/>
  <c r="GK32" i="31"/>
  <c r="GM32" i="31"/>
  <c r="GN32" i="31"/>
  <c r="GO32" i="31"/>
  <c r="GP32" i="31"/>
  <c r="GQ32" i="31"/>
  <c r="GR32" i="31"/>
  <c r="GS32" i="31"/>
  <c r="GT32" i="31"/>
  <c r="GU32" i="31"/>
  <c r="GV32" i="31"/>
  <c r="GX32" i="31"/>
  <c r="GY32" i="31"/>
  <c r="GZ32" i="31"/>
  <c r="HA32" i="31"/>
  <c r="HB32" i="31"/>
  <c r="HC32" i="31"/>
  <c r="HD32" i="31"/>
  <c r="HE32" i="31"/>
  <c r="HF32" i="31"/>
  <c r="HG32" i="31"/>
  <c r="CG33" i="31"/>
  <c r="CH33" i="31"/>
  <c r="CI33" i="31"/>
  <c r="CJ33" i="31"/>
  <c r="CK33" i="31"/>
  <c r="CL33" i="31"/>
  <c r="CM33" i="31"/>
  <c r="CN33" i="31"/>
  <c r="CO33" i="31"/>
  <c r="CP33" i="31"/>
  <c r="CR33" i="31"/>
  <c r="CS33" i="31"/>
  <c r="CT33" i="31"/>
  <c r="CU33" i="31"/>
  <c r="CV33" i="31"/>
  <c r="CW33" i="31"/>
  <c r="CX33" i="31"/>
  <c r="CY33" i="31"/>
  <c r="CZ33" i="31"/>
  <c r="DA33" i="31"/>
  <c r="DC33" i="31"/>
  <c r="DD33" i="31"/>
  <c r="DE33" i="31"/>
  <c r="DF33" i="31"/>
  <c r="DG33" i="31"/>
  <c r="DH33" i="31"/>
  <c r="DI33" i="31"/>
  <c r="DJ33" i="31"/>
  <c r="DK33" i="31"/>
  <c r="DL33" i="31"/>
  <c r="DN33" i="31"/>
  <c r="DO33" i="31"/>
  <c r="DP33" i="31"/>
  <c r="DQ33" i="31"/>
  <c r="DR33" i="31"/>
  <c r="DS33" i="31"/>
  <c r="DT33" i="31"/>
  <c r="DU33" i="31"/>
  <c r="DV33" i="31"/>
  <c r="DW33" i="31"/>
  <c r="DY33" i="31"/>
  <c r="DZ33" i="31"/>
  <c r="EA33" i="31"/>
  <c r="EB33" i="31"/>
  <c r="EC33" i="31"/>
  <c r="ED33" i="31"/>
  <c r="EE33" i="31"/>
  <c r="EF33" i="31"/>
  <c r="EG33" i="31"/>
  <c r="EH33" i="31"/>
  <c r="EJ33" i="31"/>
  <c r="EK33" i="31"/>
  <c r="EL33" i="31"/>
  <c r="EM33" i="31"/>
  <c r="EN33" i="31"/>
  <c r="EO33" i="31"/>
  <c r="EP33" i="31"/>
  <c r="EQ33" i="31"/>
  <c r="ER33" i="31"/>
  <c r="ES33" i="31"/>
  <c r="EU33" i="31"/>
  <c r="EV33" i="31"/>
  <c r="EW33" i="31"/>
  <c r="EX33" i="31"/>
  <c r="EY33" i="31"/>
  <c r="EZ33" i="31"/>
  <c r="FA33" i="31"/>
  <c r="FB33" i="31"/>
  <c r="FC33" i="31"/>
  <c r="FD33" i="31"/>
  <c r="FF33" i="31"/>
  <c r="FG33" i="31"/>
  <c r="FH33" i="31"/>
  <c r="FI33" i="31"/>
  <c r="FJ33" i="31"/>
  <c r="FK33" i="31"/>
  <c r="FL33" i="31"/>
  <c r="FM33" i="31"/>
  <c r="FN33" i="31"/>
  <c r="FO33" i="31"/>
  <c r="FQ33" i="31"/>
  <c r="FR33" i="31"/>
  <c r="FS33" i="31"/>
  <c r="FT33" i="31"/>
  <c r="FU33" i="31"/>
  <c r="FV33" i="31"/>
  <c r="FW33" i="31"/>
  <c r="FX33" i="31"/>
  <c r="FY33" i="31"/>
  <c r="FZ33" i="31"/>
  <c r="GB33" i="31"/>
  <c r="GC33" i="31"/>
  <c r="GD33" i="31"/>
  <c r="GE33" i="31"/>
  <c r="GF33" i="31"/>
  <c r="GG33" i="31"/>
  <c r="GH33" i="31"/>
  <c r="GI33" i="31"/>
  <c r="GJ33" i="31"/>
  <c r="GK33" i="31"/>
  <c r="GM33" i="31"/>
  <c r="GN33" i="31"/>
  <c r="GO33" i="31"/>
  <c r="GP33" i="31"/>
  <c r="GQ33" i="31"/>
  <c r="GR33" i="31"/>
  <c r="GS33" i="31"/>
  <c r="GT33" i="31"/>
  <c r="GU33" i="31"/>
  <c r="GV33" i="31"/>
  <c r="GX33" i="31"/>
  <c r="GY33" i="31"/>
  <c r="GZ33" i="31"/>
  <c r="HA33" i="31"/>
  <c r="HB33" i="31"/>
  <c r="HC33" i="31"/>
  <c r="HD33" i="31"/>
  <c r="HE33" i="31"/>
  <c r="HF33" i="31"/>
  <c r="HG33" i="31"/>
  <c r="C34" i="31"/>
  <c r="M34" i="31"/>
  <c r="V34" i="31" s="1"/>
  <c r="AX36" i="31" s="1"/>
  <c r="T34" i="31"/>
  <c r="U34" i="31" s="1"/>
  <c r="AX34" i="31"/>
  <c r="AY34" i="31"/>
  <c r="AZ34" i="31"/>
  <c r="BA34" i="31"/>
  <c r="BB34" i="31"/>
  <c r="CG34" i="31"/>
  <c r="CH34" i="31"/>
  <c r="CI34" i="31"/>
  <c r="CJ34" i="31"/>
  <c r="CK34" i="31"/>
  <c r="CL34" i="31"/>
  <c r="CM34" i="31"/>
  <c r="CN34" i="31"/>
  <c r="CO34" i="31"/>
  <c r="CP34" i="31"/>
  <c r="CR34" i="31"/>
  <c r="CS34" i="31"/>
  <c r="CT34" i="31"/>
  <c r="CU34" i="31"/>
  <c r="CV34" i="31"/>
  <c r="CW34" i="31"/>
  <c r="CX34" i="31"/>
  <c r="CY34" i="31"/>
  <c r="CZ34" i="31"/>
  <c r="DA34" i="31"/>
  <c r="DC34" i="31"/>
  <c r="DD34" i="31"/>
  <c r="DE34" i="31"/>
  <c r="DF34" i="31"/>
  <c r="DG34" i="31"/>
  <c r="DH34" i="31"/>
  <c r="DI34" i="31"/>
  <c r="DJ34" i="31"/>
  <c r="DK34" i="31"/>
  <c r="DL34" i="31"/>
  <c r="DN34" i="31"/>
  <c r="DO34" i="31"/>
  <c r="DP34" i="31"/>
  <c r="DQ34" i="31"/>
  <c r="DR34" i="31"/>
  <c r="DS34" i="31"/>
  <c r="DT34" i="31"/>
  <c r="DU34" i="31"/>
  <c r="DV34" i="31"/>
  <c r="DW34" i="31"/>
  <c r="DY34" i="31"/>
  <c r="DZ34" i="31"/>
  <c r="EA34" i="31"/>
  <c r="EB34" i="31"/>
  <c r="EC34" i="31"/>
  <c r="ED34" i="31"/>
  <c r="EE34" i="31"/>
  <c r="EF34" i="31"/>
  <c r="EG34" i="31"/>
  <c r="EH34" i="31"/>
  <c r="EJ34" i="31"/>
  <c r="EK34" i="31"/>
  <c r="EL34" i="31"/>
  <c r="EM34" i="31"/>
  <c r="EN34" i="31"/>
  <c r="EO34" i="31"/>
  <c r="EP34" i="31"/>
  <c r="EQ34" i="31"/>
  <c r="ER34" i="31"/>
  <c r="ES34" i="31"/>
  <c r="EU34" i="31"/>
  <c r="EV34" i="31"/>
  <c r="EW34" i="31"/>
  <c r="EX34" i="31"/>
  <c r="EY34" i="31"/>
  <c r="EZ34" i="31"/>
  <c r="FA34" i="31"/>
  <c r="FB34" i="31"/>
  <c r="FC34" i="31"/>
  <c r="FD34" i="31"/>
  <c r="FF34" i="31"/>
  <c r="FG34" i="31"/>
  <c r="FH34" i="31"/>
  <c r="FI34" i="31"/>
  <c r="FJ34" i="31"/>
  <c r="FK34" i="31"/>
  <c r="FL34" i="31"/>
  <c r="FM34" i="31"/>
  <c r="FN34" i="31"/>
  <c r="FO34" i="31"/>
  <c r="FQ34" i="31"/>
  <c r="FR34" i="31"/>
  <c r="FS34" i="31"/>
  <c r="FT34" i="31"/>
  <c r="FU34" i="31"/>
  <c r="FV34" i="31"/>
  <c r="FW34" i="31"/>
  <c r="FX34" i="31"/>
  <c r="FY34" i="31"/>
  <c r="FZ34" i="31"/>
  <c r="GB34" i="31"/>
  <c r="GC34" i="31"/>
  <c r="GD34" i="31"/>
  <c r="GE34" i="31"/>
  <c r="GF34" i="31"/>
  <c r="GG34" i="31"/>
  <c r="GH34" i="31"/>
  <c r="GI34" i="31"/>
  <c r="GJ34" i="31"/>
  <c r="GK34" i="31"/>
  <c r="GM34" i="31"/>
  <c r="GN34" i="31"/>
  <c r="GO34" i="31"/>
  <c r="GP34" i="31"/>
  <c r="GQ34" i="31"/>
  <c r="GR34" i="31"/>
  <c r="GS34" i="31"/>
  <c r="GT34" i="31"/>
  <c r="GU34" i="31"/>
  <c r="GV34" i="31"/>
  <c r="GX34" i="31"/>
  <c r="GY34" i="31"/>
  <c r="GZ34" i="31"/>
  <c r="HA34" i="31"/>
  <c r="HB34" i="31"/>
  <c r="HC34" i="31"/>
  <c r="HD34" i="31"/>
  <c r="HE34" i="31"/>
  <c r="HF34" i="31"/>
  <c r="HG34" i="31"/>
  <c r="C35" i="31"/>
  <c r="M35" i="31"/>
  <c r="V35" i="31" s="1"/>
  <c r="AY37" i="31" s="1"/>
  <c r="T35" i="31"/>
  <c r="U35" i="31" s="1"/>
  <c r="AZ35" i="31"/>
  <c r="BA35" i="31"/>
  <c r="BB35" i="31"/>
  <c r="CG35" i="31"/>
  <c r="CH35" i="31"/>
  <c r="CI35" i="31"/>
  <c r="CJ35" i="31"/>
  <c r="CK35" i="31"/>
  <c r="CL35" i="31"/>
  <c r="CM35" i="31"/>
  <c r="CN35" i="31"/>
  <c r="CO35" i="31"/>
  <c r="CP35" i="31"/>
  <c r="CR35" i="31"/>
  <c r="CS35" i="31"/>
  <c r="CT35" i="31"/>
  <c r="CU35" i="31"/>
  <c r="CV35" i="31"/>
  <c r="CW35" i="31"/>
  <c r="CX35" i="31"/>
  <c r="CY35" i="31"/>
  <c r="CZ35" i="31"/>
  <c r="DA35" i="31"/>
  <c r="DC35" i="31"/>
  <c r="DD35" i="31"/>
  <c r="DE35" i="31"/>
  <c r="DF35" i="31"/>
  <c r="DG35" i="31"/>
  <c r="DH35" i="31"/>
  <c r="DI35" i="31"/>
  <c r="DJ35" i="31"/>
  <c r="DK35" i="31"/>
  <c r="DL35" i="31"/>
  <c r="DN35" i="31"/>
  <c r="DO35" i="31"/>
  <c r="DP35" i="31"/>
  <c r="DQ35" i="31"/>
  <c r="DR35" i="31"/>
  <c r="DS35" i="31"/>
  <c r="DT35" i="31"/>
  <c r="DU35" i="31"/>
  <c r="DV35" i="31"/>
  <c r="DW35" i="31"/>
  <c r="DY35" i="31"/>
  <c r="DZ35" i="31"/>
  <c r="EA35" i="31"/>
  <c r="EB35" i="31"/>
  <c r="EC35" i="31"/>
  <c r="ED35" i="31"/>
  <c r="EE35" i="31"/>
  <c r="EF35" i="31"/>
  <c r="EG35" i="31"/>
  <c r="EH35" i="31"/>
  <c r="EJ35" i="31"/>
  <c r="EK35" i="31"/>
  <c r="EL35" i="31"/>
  <c r="EM35" i="31"/>
  <c r="EN35" i="31"/>
  <c r="EO35" i="31"/>
  <c r="EP35" i="31"/>
  <c r="EQ35" i="31"/>
  <c r="ER35" i="31"/>
  <c r="ES35" i="31"/>
  <c r="EU35" i="31"/>
  <c r="EV35" i="31"/>
  <c r="EW35" i="31"/>
  <c r="EX35" i="31"/>
  <c r="EY35" i="31"/>
  <c r="EZ35" i="31"/>
  <c r="FA35" i="31"/>
  <c r="FB35" i="31"/>
  <c r="FC35" i="31"/>
  <c r="FD35" i="31"/>
  <c r="FF35" i="31"/>
  <c r="FG35" i="31"/>
  <c r="FH35" i="31"/>
  <c r="FI35" i="31"/>
  <c r="FJ35" i="31"/>
  <c r="FK35" i="31"/>
  <c r="FL35" i="31"/>
  <c r="FM35" i="31"/>
  <c r="FN35" i="31"/>
  <c r="FO35" i="31"/>
  <c r="FQ35" i="31"/>
  <c r="FR35" i="31"/>
  <c r="FS35" i="31"/>
  <c r="FT35" i="31"/>
  <c r="FU35" i="31"/>
  <c r="FV35" i="31"/>
  <c r="FW35" i="31"/>
  <c r="FX35" i="31"/>
  <c r="FY35" i="31"/>
  <c r="FZ35" i="31"/>
  <c r="GB35" i="31"/>
  <c r="GC35" i="31"/>
  <c r="GD35" i="31"/>
  <c r="GE35" i="31"/>
  <c r="GF35" i="31"/>
  <c r="GG35" i="31"/>
  <c r="GH35" i="31"/>
  <c r="GI35" i="31"/>
  <c r="GJ35" i="31"/>
  <c r="GK35" i="31"/>
  <c r="GM35" i="31"/>
  <c r="GN35" i="31"/>
  <c r="GO35" i="31"/>
  <c r="GP35" i="31"/>
  <c r="GQ35" i="31"/>
  <c r="GR35" i="31"/>
  <c r="GS35" i="31"/>
  <c r="GT35" i="31"/>
  <c r="GU35" i="31"/>
  <c r="GV35" i="31"/>
  <c r="GX35" i="31"/>
  <c r="GY35" i="31"/>
  <c r="GZ35" i="31"/>
  <c r="HA35" i="31"/>
  <c r="HB35" i="31"/>
  <c r="HC35" i="31"/>
  <c r="HD35" i="31"/>
  <c r="HE35" i="31"/>
  <c r="HF35" i="31"/>
  <c r="HG35" i="31"/>
  <c r="C36" i="31"/>
  <c r="M36" i="31"/>
  <c r="V36" i="31" s="1"/>
  <c r="AZ37" i="31" s="1"/>
  <c r="T36" i="31"/>
  <c r="U36" i="31" s="1"/>
  <c r="AZ36" i="31"/>
  <c r="BA36" i="31"/>
  <c r="BB36" i="31"/>
  <c r="CG36" i="31"/>
  <c r="CH36" i="31"/>
  <c r="CI36" i="31"/>
  <c r="CJ36" i="31"/>
  <c r="CK36" i="31"/>
  <c r="CL36" i="31"/>
  <c r="CM36" i="31"/>
  <c r="CN36" i="31"/>
  <c r="CO36" i="31"/>
  <c r="CP36" i="31"/>
  <c r="CR36" i="31"/>
  <c r="CS36" i="31"/>
  <c r="CT36" i="31"/>
  <c r="CU36" i="31"/>
  <c r="CV36" i="31"/>
  <c r="CW36" i="31"/>
  <c r="CX36" i="31"/>
  <c r="CY36" i="31"/>
  <c r="CZ36" i="31"/>
  <c r="DA36" i="31"/>
  <c r="DC36" i="31"/>
  <c r="DD36" i="31"/>
  <c r="DE36" i="31"/>
  <c r="DF36" i="31"/>
  <c r="DG36" i="31"/>
  <c r="DH36" i="31"/>
  <c r="DI36" i="31"/>
  <c r="DJ36" i="31"/>
  <c r="DK36" i="31"/>
  <c r="DL36" i="31"/>
  <c r="DN36" i="31"/>
  <c r="DO36" i="31"/>
  <c r="DP36" i="31"/>
  <c r="DQ36" i="31"/>
  <c r="DR36" i="31"/>
  <c r="DS36" i="31"/>
  <c r="DT36" i="31"/>
  <c r="DU36" i="31"/>
  <c r="DV36" i="31"/>
  <c r="DW36" i="31"/>
  <c r="DY36" i="31"/>
  <c r="DZ36" i="31"/>
  <c r="EA36" i="31"/>
  <c r="EB36" i="31"/>
  <c r="EC36" i="31"/>
  <c r="ED36" i="31"/>
  <c r="EE36" i="31"/>
  <c r="EF36" i="31"/>
  <c r="EG36" i="31"/>
  <c r="EH36" i="31"/>
  <c r="EJ36" i="31"/>
  <c r="EK36" i="31"/>
  <c r="EL36" i="31"/>
  <c r="EM36" i="31"/>
  <c r="EN36" i="31"/>
  <c r="EO36" i="31"/>
  <c r="EP36" i="31"/>
  <c r="EQ36" i="31"/>
  <c r="ER36" i="31"/>
  <c r="ES36" i="31"/>
  <c r="EU36" i="31"/>
  <c r="EV36" i="31"/>
  <c r="EW36" i="31"/>
  <c r="EX36" i="31"/>
  <c r="EY36" i="31"/>
  <c r="EZ36" i="31"/>
  <c r="FA36" i="31"/>
  <c r="FB36" i="31"/>
  <c r="FC36" i="31"/>
  <c r="FD36" i="31"/>
  <c r="FF36" i="31"/>
  <c r="FG36" i="31"/>
  <c r="FH36" i="31"/>
  <c r="FI36" i="31"/>
  <c r="FJ36" i="31"/>
  <c r="FK36" i="31"/>
  <c r="FL36" i="31"/>
  <c r="FM36" i="31"/>
  <c r="FN36" i="31"/>
  <c r="FO36" i="31"/>
  <c r="FQ36" i="31"/>
  <c r="FR36" i="31"/>
  <c r="FS36" i="31"/>
  <c r="FT36" i="31"/>
  <c r="FU36" i="31"/>
  <c r="FV36" i="31"/>
  <c r="FW36" i="31"/>
  <c r="FX36" i="31"/>
  <c r="FY36" i="31"/>
  <c r="FZ36" i="31"/>
  <c r="GB36" i="31"/>
  <c r="GC36" i="31"/>
  <c r="GD36" i="31"/>
  <c r="GE36" i="31"/>
  <c r="GF36" i="31"/>
  <c r="GG36" i="31"/>
  <c r="GH36" i="31"/>
  <c r="GI36" i="31"/>
  <c r="GJ36" i="31"/>
  <c r="GK36" i="31"/>
  <c r="GM36" i="31"/>
  <c r="GN36" i="31"/>
  <c r="GO36" i="31"/>
  <c r="GP36" i="31"/>
  <c r="GQ36" i="31"/>
  <c r="GR36" i="31"/>
  <c r="GS36" i="31"/>
  <c r="GT36" i="31"/>
  <c r="GU36" i="31"/>
  <c r="GV36" i="31"/>
  <c r="GX36" i="31"/>
  <c r="GY36" i="31"/>
  <c r="GZ36" i="31"/>
  <c r="HA36" i="31"/>
  <c r="HB36" i="31"/>
  <c r="HC36" i="31"/>
  <c r="HD36" i="31"/>
  <c r="HE36" i="31"/>
  <c r="HF36" i="31"/>
  <c r="HG36" i="31"/>
  <c r="C37" i="31"/>
  <c r="M37" i="31"/>
  <c r="T37" i="31"/>
  <c r="U37" i="31" s="1"/>
  <c r="V37" i="31"/>
  <c r="AX37" i="31"/>
  <c r="BA37" i="31"/>
  <c r="BB37" i="31"/>
  <c r="CG37" i="31"/>
  <c r="CH37" i="31"/>
  <c r="CI37" i="31"/>
  <c r="CJ37" i="31"/>
  <c r="CK37" i="31"/>
  <c r="CL37" i="31"/>
  <c r="CM37" i="31"/>
  <c r="CN37" i="31"/>
  <c r="CO37" i="31"/>
  <c r="CP37" i="31"/>
  <c r="CR37" i="31"/>
  <c r="CS37" i="31"/>
  <c r="CT37" i="31"/>
  <c r="CU37" i="31"/>
  <c r="CV37" i="31"/>
  <c r="CW37" i="31"/>
  <c r="CX37" i="31"/>
  <c r="CY37" i="31"/>
  <c r="CZ37" i="31"/>
  <c r="DA37" i="31"/>
  <c r="DC37" i="31"/>
  <c r="DD37" i="31"/>
  <c r="DE37" i="31"/>
  <c r="DF37" i="31"/>
  <c r="DG37" i="31"/>
  <c r="DH37" i="31"/>
  <c r="DI37" i="31"/>
  <c r="DJ37" i="31"/>
  <c r="DK37" i="31"/>
  <c r="DL37" i="31"/>
  <c r="DN37" i="31"/>
  <c r="DO37" i="31"/>
  <c r="DP37" i="31"/>
  <c r="DQ37" i="31"/>
  <c r="DR37" i="31"/>
  <c r="DS37" i="31"/>
  <c r="DT37" i="31"/>
  <c r="DU37" i="31"/>
  <c r="DV37" i="31"/>
  <c r="DW37" i="31"/>
  <c r="DY37" i="31"/>
  <c r="DZ37" i="31"/>
  <c r="EA37" i="31"/>
  <c r="EB37" i="31"/>
  <c r="EC37" i="31"/>
  <c r="ED37" i="31"/>
  <c r="EE37" i="31"/>
  <c r="EF37" i="31"/>
  <c r="EG37" i="31"/>
  <c r="EH37" i="31"/>
  <c r="EJ37" i="31"/>
  <c r="EK37" i="31"/>
  <c r="EL37" i="31"/>
  <c r="EM37" i="31"/>
  <c r="EN37" i="31"/>
  <c r="EO37" i="31"/>
  <c r="EP37" i="31"/>
  <c r="EQ37" i="31"/>
  <c r="ER37" i="31"/>
  <c r="ES37" i="31"/>
  <c r="EU37" i="31"/>
  <c r="EV37" i="31"/>
  <c r="EW37" i="31"/>
  <c r="EX37" i="31"/>
  <c r="EY37" i="31"/>
  <c r="EZ37" i="31"/>
  <c r="FA37" i="31"/>
  <c r="FB37" i="31"/>
  <c r="FC37" i="31"/>
  <c r="FD37" i="31"/>
  <c r="FF37" i="31"/>
  <c r="FG37" i="31"/>
  <c r="FH37" i="31"/>
  <c r="FI37" i="31"/>
  <c r="FJ37" i="31"/>
  <c r="FK37" i="31"/>
  <c r="FL37" i="31"/>
  <c r="FM37" i="31"/>
  <c r="FN37" i="31"/>
  <c r="FO37" i="31"/>
  <c r="FQ37" i="31"/>
  <c r="FR37" i="31"/>
  <c r="FS37" i="31"/>
  <c r="FT37" i="31"/>
  <c r="FU37" i="31"/>
  <c r="FV37" i="31"/>
  <c r="FW37" i="31"/>
  <c r="FX37" i="31"/>
  <c r="FY37" i="31"/>
  <c r="FZ37" i="31"/>
  <c r="GB37" i="31"/>
  <c r="GC37" i="31"/>
  <c r="GD37" i="31"/>
  <c r="GE37" i="31"/>
  <c r="GF37" i="31"/>
  <c r="GG37" i="31"/>
  <c r="GH37" i="31"/>
  <c r="GI37" i="31"/>
  <c r="GJ37" i="31"/>
  <c r="GK37" i="31"/>
  <c r="GM37" i="31"/>
  <c r="GN37" i="31"/>
  <c r="GO37" i="31"/>
  <c r="GP37" i="31"/>
  <c r="GQ37" i="31"/>
  <c r="GR37" i="31"/>
  <c r="GS37" i="31"/>
  <c r="GT37" i="31"/>
  <c r="GU37" i="31"/>
  <c r="GV37" i="31"/>
  <c r="GX37" i="31"/>
  <c r="GY37" i="31"/>
  <c r="GZ37" i="31"/>
  <c r="HA37" i="31"/>
  <c r="HB37" i="31"/>
  <c r="HC37" i="31"/>
  <c r="HD37" i="31"/>
  <c r="HE37" i="31"/>
  <c r="HF37" i="31"/>
  <c r="HG37" i="31"/>
  <c r="C38" i="31"/>
  <c r="M38" i="31"/>
  <c r="T38" i="31"/>
  <c r="U38" i="31" s="1"/>
  <c r="V38" i="31"/>
  <c r="AX38" i="31"/>
  <c r="AY38" i="31"/>
  <c r="AZ38" i="31"/>
  <c r="BA38" i="31"/>
  <c r="BB38" i="31"/>
  <c r="CG38" i="31"/>
  <c r="CH38" i="31"/>
  <c r="CI38" i="31"/>
  <c r="CJ38" i="31"/>
  <c r="CK38" i="31"/>
  <c r="CL38" i="31"/>
  <c r="CM38" i="31"/>
  <c r="CN38" i="31"/>
  <c r="CO38" i="31"/>
  <c r="CP38" i="31"/>
  <c r="CR38" i="31"/>
  <c r="CS38" i="31"/>
  <c r="CT38" i="31"/>
  <c r="CU38" i="31"/>
  <c r="CV38" i="31"/>
  <c r="CW38" i="31"/>
  <c r="CX38" i="31"/>
  <c r="CY38" i="31"/>
  <c r="CZ38" i="31"/>
  <c r="DA38" i="31"/>
  <c r="DC38" i="31"/>
  <c r="DD38" i="31"/>
  <c r="DE38" i="31"/>
  <c r="DF38" i="31"/>
  <c r="DG38" i="31"/>
  <c r="DH38" i="31"/>
  <c r="DI38" i="31"/>
  <c r="DJ38" i="31"/>
  <c r="DK38" i="31"/>
  <c r="DL38" i="31"/>
  <c r="DN38" i="31"/>
  <c r="DO38" i="31"/>
  <c r="DP38" i="31"/>
  <c r="DQ38" i="31"/>
  <c r="DR38" i="31"/>
  <c r="DS38" i="31"/>
  <c r="DT38" i="31"/>
  <c r="DU38" i="31"/>
  <c r="DV38" i="31"/>
  <c r="DW38" i="31"/>
  <c r="DY38" i="31"/>
  <c r="DZ38" i="31"/>
  <c r="EA38" i="31"/>
  <c r="EB38" i="31"/>
  <c r="EC38" i="31"/>
  <c r="ED38" i="31"/>
  <c r="EE38" i="31"/>
  <c r="EF38" i="31"/>
  <c r="EG38" i="31"/>
  <c r="EH38" i="31"/>
  <c r="EJ38" i="31"/>
  <c r="EK38" i="31"/>
  <c r="EL38" i="31"/>
  <c r="EM38" i="31"/>
  <c r="EN38" i="31"/>
  <c r="EO38" i="31"/>
  <c r="EP38" i="31"/>
  <c r="EQ38" i="31"/>
  <c r="ER38" i="31"/>
  <c r="ES38" i="31"/>
  <c r="EU38" i="31"/>
  <c r="EV38" i="31"/>
  <c r="EW38" i="31"/>
  <c r="EX38" i="31"/>
  <c r="EY38" i="31"/>
  <c r="EZ38" i="31"/>
  <c r="FA38" i="31"/>
  <c r="FB38" i="31"/>
  <c r="FC38" i="31"/>
  <c r="FD38" i="31"/>
  <c r="FF38" i="31"/>
  <c r="FG38" i="31"/>
  <c r="FH38" i="31"/>
  <c r="FI38" i="31"/>
  <c r="FJ38" i="31"/>
  <c r="FK38" i="31"/>
  <c r="FL38" i="31"/>
  <c r="FM38" i="31"/>
  <c r="FN38" i="31"/>
  <c r="FO38" i="31"/>
  <c r="FQ38" i="31"/>
  <c r="FR38" i="31"/>
  <c r="FS38" i="31"/>
  <c r="FT38" i="31"/>
  <c r="FU38" i="31"/>
  <c r="FV38" i="31"/>
  <c r="FW38" i="31"/>
  <c r="FX38" i="31"/>
  <c r="FY38" i="31"/>
  <c r="FZ38" i="31"/>
  <c r="GB38" i="31"/>
  <c r="GC38" i="31"/>
  <c r="GD38" i="31"/>
  <c r="GE38" i="31"/>
  <c r="GF38" i="31"/>
  <c r="GG38" i="31"/>
  <c r="GH38" i="31"/>
  <c r="GI38" i="31"/>
  <c r="GJ38" i="31"/>
  <c r="GK38" i="31"/>
  <c r="GM38" i="31"/>
  <c r="GN38" i="31"/>
  <c r="GO38" i="31"/>
  <c r="GP38" i="31"/>
  <c r="GQ38" i="31"/>
  <c r="GR38" i="31"/>
  <c r="GS38" i="31"/>
  <c r="GT38" i="31"/>
  <c r="GU38" i="31"/>
  <c r="GV38" i="31"/>
  <c r="GX38" i="31"/>
  <c r="GY38" i="31"/>
  <c r="GZ38" i="31"/>
  <c r="HA38" i="31"/>
  <c r="HB38" i="31"/>
  <c r="HC38" i="31"/>
  <c r="HD38" i="31"/>
  <c r="HE38" i="31"/>
  <c r="HF38" i="31"/>
  <c r="HG38" i="31"/>
  <c r="AX39" i="31"/>
  <c r="AY39" i="31"/>
  <c r="AZ39" i="31"/>
  <c r="BA39" i="31"/>
  <c r="BB39" i="31"/>
  <c r="CG39" i="31"/>
  <c r="CH39" i="31"/>
  <c r="CI39" i="31"/>
  <c r="CJ39" i="31"/>
  <c r="CK39" i="31"/>
  <c r="CL39" i="31"/>
  <c r="CM39" i="31"/>
  <c r="CN39" i="31"/>
  <c r="CO39" i="31"/>
  <c r="CP39" i="31"/>
  <c r="CR39" i="31"/>
  <c r="CS39" i="31"/>
  <c r="CT39" i="31"/>
  <c r="CU39" i="31"/>
  <c r="CV39" i="31"/>
  <c r="CW39" i="31"/>
  <c r="CX39" i="31"/>
  <c r="CY39" i="31"/>
  <c r="CZ39" i="31"/>
  <c r="DA39" i="31"/>
  <c r="DC39" i="31"/>
  <c r="DD39" i="31"/>
  <c r="DE39" i="31"/>
  <c r="DF39" i="31"/>
  <c r="DG39" i="31"/>
  <c r="DH39" i="31"/>
  <c r="DI39" i="31"/>
  <c r="DJ39" i="31"/>
  <c r="DK39" i="31"/>
  <c r="DL39" i="31"/>
  <c r="DN39" i="31"/>
  <c r="DO39" i="31"/>
  <c r="DP39" i="31"/>
  <c r="DQ39" i="31"/>
  <c r="DR39" i="31"/>
  <c r="DS39" i="31"/>
  <c r="DT39" i="31"/>
  <c r="DU39" i="31"/>
  <c r="DV39" i="31"/>
  <c r="DW39" i="31"/>
  <c r="DY39" i="31"/>
  <c r="DZ39" i="31"/>
  <c r="EA39" i="31"/>
  <c r="EB39" i="31"/>
  <c r="EC39" i="31"/>
  <c r="ED39" i="31"/>
  <c r="EE39" i="31"/>
  <c r="EF39" i="31"/>
  <c r="EG39" i="31"/>
  <c r="EH39" i="31"/>
  <c r="EJ39" i="31"/>
  <c r="EK39" i="31"/>
  <c r="EL39" i="31"/>
  <c r="EM39" i="31"/>
  <c r="EN39" i="31"/>
  <c r="EO39" i="31"/>
  <c r="EP39" i="31"/>
  <c r="EQ39" i="31"/>
  <c r="ER39" i="31"/>
  <c r="ES39" i="31"/>
  <c r="EU39" i="31"/>
  <c r="EV39" i="31"/>
  <c r="EW39" i="31"/>
  <c r="EX39" i="31"/>
  <c r="EY39" i="31"/>
  <c r="EZ39" i="31"/>
  <c r="FA39" i="31"/>
  <c r="FB39" i="31"/>
  <c r="FC39" i="31"/>
  <c r="FD39" i="31"/>
  <c r="FF39" i="31"/>
  <c r="FG39" i="31"/>
  <c r="FH39" i="31"/>
  <c r="FI39" i="31"/>
  <c r="FJ39" i="31"/>
  <c r="FK39" i="31"/>
  <c r="FL39" i="31"/>
  <c r="FM39" i="31"/>
  <c r="FN39" i="31"/>
  <c r="FO39" i="31"/>
  <c r="FQ39" i="31"/>
  <c r="FR39" i="31"/>
  <c r="FS39" i="31"/>
  <c r="FT39" i="31"/>
  <c r="FU39" i="31"/>
  <c r="FV39" i="31"/>
  <c r="FW39" i="31"/>
  <c r="FX39" i="31"/>
  <c r="FY39" i="31"/>
  <c r="FZ39" i="31"/>
  <c r="GB39" i="31"/>
  <c r="GC39" i="31"/>
  <c r="GD39" i="31"/>
  <c r="GE39" i="31"/>
  <c r="GF39" i="31"/>
  <c r="GG39" i="31"/>
  <c r="GH39" i="31"/>
  <c r="GI39" i="31"/>
  <c r="GJ39" i="31"/>
  <c r="GK39" i="31"/>
  <c r="GM39" i="31"/>
  <c r="GN39" i="31"/>
  <c r="GO39" i="31"/>
  <c r="GP39" i="31"/>
  <c r="GQ39" i="31"/>
  <c r="GR39" i="31"/>
  <c r="GS39" i="31"/>
  <c r="GT39" i="31"/>
  <c r="GU39" i="31"/>
  <c r="GV39" i="31"/>
  <c r="GX39" i="31"/>
  <c r="GY39" i="31"/>
  <c r="GZ39" i="31"/>
  <c r="HA39" i="31"/>
  <c r="HB39" i="31"/>
  <c r="HC39" i="31"/>
  <c r="HD39" i="31"/>
  <c r="HE39" i="31"/>
  <c r="HF39" i="31"/>
  <c r="HG39" i="31"/>
  <c r="AX40" i="31"/>
  <c r="AY40" i="31"/>
  <c r="AZ40" i="31"/>
  <c r="BA40" i="31"/>
  <c r="BB40" i="31"/>
  <c r="CG40" i="31"/>
  <c r="CH40" i="31"/>
  <c r="CI40" i="31"/>
  <c r="CJ40" i="31"/>
  <c r="CK40" i="31"/>
  <c r="CL40" i="31"/>
  <c r="CM40" i="31"/>
  <c r="CN40" i="31"/>
  <c r="CO40" i="31"/>
  <c r="CP40" i="31"/>
  <c r="CR40" i="31"/>
  <c r="CS40" i="31"/>
  <c r="CT40" i="31"/>
  <c r="CU40" i="31"/>
  <c r="CV40" i="31"/>
  <c r="CW40" i="31"/>
  <c r="CX40" i="31"/>
  <c r="CY40" i="31"/>
  <c r="CZ40" i="31"/>
  <c r="DA40" i="31"/>
  <c r="DC40" i="31"/>
  <c r="DD40" i="31"/>
  <c r="DE40" i="31"/>
  <c r="DF40" i="31"/>
  <c r="DG40" i="31"/>
  <c r="DH40" i="31"/>
  <c r="DI40" i="31"/>
  <c r="DJ40" i="31"/>
  <c r="DK40" i="31"/>
  <c r="DL40" i="31"/>
  <c r="DN40" i="31"/>
  <c r="DO40" i="31"/>
  <c r="DP40" i="31"/>
  <c r="DQ40" i="31"/>
  <c r="DR40" i="31"/>
  <c r="DS40" i="31"/>
  <c r="DT40" i="31"/>
  <c r="DU40" i="31"/>
  <c r="DV40" i="31"/>
  <c r="DW40" i="31"/>
  <c r="DY40" i="31"/>
  <c r="DZ40" i="31"/>
  <c r="EA40" i="31"/>
  <c r="EB40" i="31"/>
  <c r="EC40" i="31"/>
  <c r="ED40" i="31"/>
  <c r="EE40" i="31"/>
  <c r="EF40" i="31"/>
  <c r="EG40" i="31"/>
  <c r="EH40" i="31"/>
  <c r="EJ40" i="31"/>
  <c r="EK40" i="31"/>
  <c r="EL40" i="31"/>
  <c r="EM40" i="31"/>
  <c r="EN40" i="31"/>
  <c r="EO40" i="31"/>
  <c r="EP40" i="31"/>
  <c r="EQ40" i="31"/>
  <c r="ER40" i="31"/>
  <c r="ES40" i="31"/>
  <c r="EU40" i="31"/>
  <c r="EV40" i="31"/>
  <c r="EW40" i="31"/>
  <c r="EX40" i="31"/>
  <c r="EY40" i="31"/>
  <c r="EZ40" i="31"/>
  <c r="FA40" i="31"/>
  <c r="FB40" i="31"/>
  <c r="FC40" i="31"/>
  <c r="FD40" i="31"/>
  <c r="FF40" i="31"/>
  <c r="FG40" i="31"/>
  <c r="FH40" i="31"/>
  <c r="FI40" i="31"/>
  <c r="FJ40" i="31"/>
  <c r="FK40" i="31"/>
  <c r="FL40" i="31"/>
  <c r="FM40" i="31"/>
  <c r="FN40" i="31"/>
  <c r="FO40" i="31"/>
  <c r="FQ40" i="31"/>
  <c r="FR40" i="31"/>
  <c r="FS40" i="31"/>
  <c r="FT40" i="31"/>
  <c r="FU40" i="31"/>
  <c r="FV40" i="31"/>
  <c r="FW40" i="31"/>
  <c r="FX40" i="31"/>
  <c r="FY40" i="31"/>
  <c r="FZ40" i="31"/>
  <c r="GB40" i="31"/>
  <c r="GC40" i="31"/>
  <c r="GD40" i="31"/>
  <c r="GE40" i="31"/>
  <c r="GF40" i="31"/>
  <c r="GG40" i="31"/>
  <c r="GH40" i="31"/>
  <c r="GI40" i="31"/>
  <c r="GJ40" i="31"/>
  <c r="GK40" i="31"/>
  <c r="GM40" i="31"/>
  <c r="GN40" i="31"/>
  <c r="GO40" i="31"/>
  <c r="GP40" i="31"/>
  <c r="GQ40" i="31"/>
  <c r="GR40" i="31"/>
  <c r="GS40" i="31"/>
  <c r="GT40" i="31"/>
  <c r="GU40" i="31"/>
  <c r="GV40" i="31"/>
  <c r="GX40" i="31"/>
  <c r="GY40" i="31"/>
  <c r="GZ40" i="31"/>
  <c r="HA40" i="31"/>
  <c r="HB40" i="31"/>
  <c r="HC40" i="31"/>
  <c r="HD40" i="31"/>
  <c r="HE40" i="31"/>
  <c r="HF40" i="31"/>
  <c r="HG40" i="31"/>
  <c r="CG41" i="31"/>
  <c r="CH41" i="31"/>
  <c r="CI41" i="31"/>
  <c r="CJ41" i="31"/>
  <c r="CK41" i="31"/>
  <c r="CL41" i="31"/>
  <c r="CM41" i="31"/>
  <c r="CN41" i="31"/>
  <c r="CO41" i="31"/>
  <c r="CP41" i="31"/>
  <c r="CR41" i="31"/>
  <c r="CS41" i="31"/>
  <c r="CT41" i="31"/>
  <c r="CU41" i="31"/>
  <c r="CV41" i="31"/>
  <c r="CW41" i="31"/>
  <c r="CX41" i="31"/>
  <c r="CY41" i="31"/>
  <c r="CZ41" i="31"/>
  <c r="DA41" i="31"/>
  <c r="DC41" i="31"/>
  <c r="DD41" i="31"/>
  <c r="DE41" i="31"/>
  <c r="DF41" i="31"/>
  <c r="DG41" i="31"/>
  <c r="DH41" i="31"/>
  <c r="DI41" i="31"/>
  <c r="DJ41" i="31"/>
  <c r="DK41" i="31"/>
  <c r="DL41" i="31"/>
  <c r="DN41" i="31"/>
  <c r="DO41" i="31"/>
  <c r="DP41" i="31"/>
  <c r="DQ41" i="31"/>
  <c r="DR41" i="31"/>
  <c r="DS41" i="31"/>
  <c r="DT41" i="31"/>
  <c r="DU41" i="31"/>
  <c r="DV41" i="31"/>
  <c r="DW41" i="31"/>
  <c r="DY41" i="31"/>
  <c r="DZ41" i="31"/>
  <c r="EA41" i="31"/>
  <c r="EB41" i="31"/>
  <c r="EC41" i="31"/>
  <c r="ED41" i="31"/>
  <c r="EE41" i="31"/>
  <c r="EF41" i="31"/>
  <c r="EG41" i="31"/>
  <c r="EH41" i="31"/>
  <c r="EJ41" i="31"/>
  <c r="EK41" i="31"/>
  <c r="EL41" i="31"/>
  <c r="EM41" i="31"/>
  <c r="EN41" i="31"/>
  <c r="EO41" i="31"/>
  <c r="EP41" i="31"/>
  <c r="EQ41" i="31"/>
  <c r="ER41" i="31"/>
  <c r="ES41" i="31"/>
  <c r="EU41" i="31"/>
  <c r="EV41" i="31"/>
  <c r="EW41" i="31"/>
  <c r="EX41" i="31"/>
  <c r="EY41" i="31"/>
  <c r="EZ41" i="31"/>
  <c r="FA41" i="31"/>
  <c r="FB41" i="31"/>
  <c r="FC41" i="31"/>
  <c r="FD41" i="31"/>
  <c r="FF41" i="31"/>
  <c r="FG41" i="31"/>
  <c r="FH41" i="31"/>
  <c r="FI41" i="31"/>
  <c r="FJ41" i="31"/>
  <c r="FK41" i="31"/>
  <c r="FL41" i="31"/>
  <c r="FM41" i="31"/>
  <c r="FN41" i="31"/>
  <c r="FO41" i="31"/>
  <c r="FQ41" i="31"/>
  <c r="FR41" i="31"/>
  <c r="FS41" i="31"/>
  <c r="FT41" i="31"/>
  <c r="FU41" i="31"/>
  <c r="FV41" i="31"/>
  <c r="FW41" i="31"/>
  <c r="FX41" i="31"/>
  <c r="FY41" i="31"/>
  <c r="FZ41" i="31"/>
  <c r="GB41" i="31"/>
  <c r="GC41" i="31"/>
  <c r="GD41" i="31"/>
  <c r="GE41" i="31"/>
  <c r="GF41" i="31"/>
  <c r="GG41" i="31"/>
  <c r="GH41" i="31"/>
  <c r="GI41" i="31"/>
  <c r="GJ41" i="31"/>
  <c r="GK41" i="31"/>
  <c r="GM41" i="31"/>
  <c r="GN41" i="31"/>
  <c r="GO41" i="31"/>
  <c r="GP41" i="31"/>
  <c r="GQ41" i="31"/>
  <c r="GR41" i="31"/>
  <c r="GS41" i="31"/>
  <c r="GT41" i="31"/>
  <c r="GU41" i="31"/>
  <c r="GV41" i="31"/>
  <c r="GX41" i="31"/>
  <c r="GY41" i="31"/>
  <c r="GZ41" i="31"/>
  <c r="HA41" i="31"/>
  <c r="HB41" i="31"/>
  <c r="HC41" i="31"/>
  <c r="HD41" i="31"/>
  <c r="HE41" i="31"/>
  <c r="HF41" i="31"/>
  <c r="HG41" i="31"/>
  <c r="CG42" i="31"/>
  <c r="CH42" i="31"/>
  <c r="CI42" i="31"/>
  <c r="CJ42" i="31"/>
  <c r="CK42" i="31"/>
  <c r="CL42" i="31"/>
  <c r="CM42" i="31"/>
  <c r="CN42" i="31"/>
  <c r="CO42" i="31"/>
  <c r="CP42" i="31"/>
  <c r="CR42" i="31"/>
  <c r="CS42" i="31"/>
  <c r="CT42" i="31"/>
  <c r="CU42" i="31"/>
  <c r="CV42" i="31"/>
  <c r="CW42" i="31"/>
  <c r="CX42" i="31"/>
  <c r="CY42" i="31"/>
  <c r="CZ42" i="31"/>
  <c r="DA42" i="31"/>
  <c r="DC42" i="31"/>
  <c r="DD42" i="31"/>
  <c r="DE42" i="31"/>
  <c r="DF42" i="31"/>
  <c r="DG42" i="31"/>
  <c r="DH42" i="31"/>
  <c r="DI42" i="31"/>
  <c r="DJ42" i="31"/>
  <c r="DK42" i="31"/>
  <c r="DL42" i="31"/>
  <c r="DN42" i="31"/>
  <c r="DO42" i="31"/>
  <c r="DP42" i="31"/>
  <c r="DQ42" i="31"/>
  <c r="DR42" i="31"/>
  <c r="DS42" i="31"/>
  <c r="DT42" i="31"/>
  <c r="DU42" i="31"/>
  <c r="DV42" i="31"/>
  <c r="DW42" i="31"/>
  <c r="DY42" i="31"/>
  <c r="DZ42" i="31"/>
  <c r="EA42" i="31"/>
  <c r="EB42" i="31"/>
  <c r="EC42" i="31"/>
  <c r="ED42" i="31"/>
  <c r="EE42" i="31"/>
  <c r="EF42" i="31"/>
  <c r="EG42" i="31"/>
  <c r="EH42" i="31"/>
  <c r="EJ42" i="31"/>
  <c r="EK42" i="31"/>
  <c r="EL42" i="31"/>
  <c r="EM42" i="31"/>
  <c r="EN42" i="31"/>
  <c r="EO42" i="31"/>
  <c r="EP42" i="31"/>
  <c r="EQ42" i="31"/>
  <c r="ER42" i="31"/>
  <c r="ES42" i="31"/>
  <c r="EU42" i="31"/>
  <c r="EV42" i="31"/>
  <c r="EW42" i="31"/>
  <c r="EX42" i="31"/>
  <c r="EY42" i="31"/>
  <c r="EZ42" i="31"/>
  <c r="FA42" i="31"/>
  <c r="FB42" i="31"/>
  <c r="FC42" i="31"/>
  <c r="FD42" i="31"/>
  <c r="FF42" i="31"/>
  <c r="FG42" i="31"/>
  <c r="FH42" i="31"/>
  <c r="FI42" i="31"/>
  <c r="FJ42" i="31"/>
  <c r="FK42" i="31"/>
  <c r="FL42" i="31"/>
  <c r="FM42" i="31"/>
  <c r="FN42" i="31"/>
  <c r="FO42" i="31"/>
  <c r="FQ42" i="31"/>
  <c r="FR42" i="31"/>
  <c r="FS42" i="31"/>
  <c r="FT42" i="31"/>
  <c r="FU42" i="31"/>
  <c r="FV42" i="31"/>
  <c r="FW42" i="31"/>
  <c r="FX42" i="31"/>
  <c r="FY42" i="31"/>
  <c r="FZ42" i="31"/>
  <c r="GB42" i="31"/>
  <c r="GC42" i="31"/>
  <c r="GD42" i="31"/>
  <c r="GE42" i="31"/>
  <c r="GF42" i="31"/>
  <c r="GG42" i="31"/>
  <c r="GH42" i="31"/>
  <c r="GI42" i="31"/>
  <c r="GJ42" i="31"/>
  <c r="GK42" i="31"/>
  <c r="GM42" i="31"/>
  <c r="GN42" i="31"/>
  <c r="GO42" i="31"/>
  <c r="GP42" i="31"/>
  <c r="GQ42" i="31"/>
  <c r="GR42" i="31"/>
  <c r="GS42" i="31"/>
  <c r="GT42" i="31"/>
  <c r="GU42" i="31"/>
  <c r="GV42" i="31"/>
  <c r="GX42" i="31"/>
  <c r="GY42" i="31"/>
  <c r="GZ42" i="31"/>
  <c r="HA42" i="31"/>
  <c r="HB42" i="31"/>
  <c r="HC42" i="31"/>
  <c r="HD42" i="31"/>
  <c r="HE42" i="31"/>
  <c r="HF42" i="31"/>
  <c r="HG42" i="31"/>
  <c r="C43" i="31"/>
  <c r="M43" i="31"/>
  <c r="T43" i="31"/>
  <c r="U43" i="31" s="1"/>
  <c r="V43" i="31"/>
  <c r="AX43" i="31"/>
  <c r="AY43" i="31"/>
  <c r="AZ43" i="31"/>
  <c r="BA43" i="31"/>
  <c r="BB43" i="31"/>
  <c r="CG43" i="31"/>
  <c r="CH43" i="31"/>
  <c r="CI43" i="31"/>
  <c r="CJ43" i="31"/>
  <c r="CK43" i="31"/>
  <c r="CL43" i="31"/>
  <c r="CM43" i="31"/>
  <c r="CN43" i="31"/>
  <c r="CO43" i="31"/>
  <c r="CP43" i="31"/>
  <c r="CR43" i="31"/>
  <c r="CS43" i="31"/>
  <c r="CT43" i="31"/>
  <c r="CU43" i="31"/>
  <c r="CV43" i="31"/>
  <c r="CW43" i="31"/>
  <c r="CX43" i="31"/>
  <c r="CY43" i="31"/>
  <c r="CZ43" i="31"/>
  <c r="DA43" i="31"/>
  <c r="DC43" i="31"/>
  <c r="DD43" i="31"/>
  <c r="DE43" i="31"/>
  <c r="DF43" i="31"/>
  <c r="DG43" i="31"/>
  <c r="DH43" i="31"/>
  <c r="DI43" i="31"/>
  <c r="DJ43" i="31"/>
  <c r="DK43" i="31"/>
  <c r="DL43" i="31"/>
  <c r="DN43" i="31"/>
  <c r="DO43" i="31"/>
  <c r="DP43" i="31"/>
  <c r="DQ43" i="31"/>
  <c r="DR43" i="31"/>
  <c r="DS43" i="31"/>
  <c r="DT43" i="31"/>
  <c r="DU43" i="31"/>
  <c r="DV43" i="31"/>
  <c r="DW43" i="31"/>
  <c r="DY43" i="31"/>
  <c r="DZ43" i="31"/>
  <c r="EA43" i="31"/>
  <c r="EB43" i="31"/>
  <c r="EC43" i="31"/>
  <c r="ED43" i="31"/>
  <c r="EE43" i="31"/>
  <c r="EF43" i="31"/>
  <c r="EG43" i="31"/>
  <c r="EH43" i="31"/>
  <c r="EJ43" i="31"/>
  <c r="EK43" i="31"/>
  <c r="EL43" i="31"/>
  <c r="EM43" i="31"/>
  <c r="EN43" i="31"/>
  <c r="EO43" i="31"/>
  <c r="EP43" i="31"/>
  <c r="EQ43" i="31"/>
  <c r="ER43" i="31"/>
  <c r="ES43" i="31"/>
  <c r="EU43" i="31"/>
  <c r="EV43" i="31"/>
  <c r="EW43" i="31"/>
  <c r="EX43" i="31"/>
  <c r="EY43" i="31"/>
  <c r="EZ43" i="31"/>
  <c r="FA43" i="31"/>
  <c r="FB43" i="31"/>
  <c r="FC43" i="31"/>
  <c r="FD43" i="31"/>
  <c r="FF43" i="31"/>
  <c r="FG43" i="31"/>
  <c r="FH43" i="31"/>
  <c r="FI43" i="31"/>
  <c r="FJ43" i="31"/>
  <c r="FK43" i="31"/>
  <c r="FL43" i="31"/>
  <c r="FM43" i="31"/>
  <c r="FN43" i="31"/>
  <c r="FO43" i="31"/>
  <c r="FQ43" i="31"/>
  <c r="FR43" i="31"/>
  <c r="FS43" i="31"/>
  <c r="FT43" i="31"/>
  <c r="FU43" i="31"/>
  <c r="FV43" i="31"/>
  <c r="FW43" i="31"/>
  <c r="FX43" i="31"/>
  <c r="FY43" i="31"/>
  <c r="FZ43" i="31"/>
  <c r="GB43" i="31"/>
  <c r="GC43" i="31"/>
  <c r="GD43" i="31"/>
  <c r="GE43" i="31"/>
  <c r="GF43" i="31"/>
  <c r="GG43" i="31"/>
  <c r="GH43" i="31"/>
  <c r="GI43" i="31"/>
  <c r="GJ43" i="31"/>
  <c r="GK43" i="31"/>
  <c r="GM43" i="31"/>
  <c r="GN43" i="31"/>
  <c r="GO43" i="31"/>
  <c r="GP43" i="31"/>
  <c r="GQ43" i="31"/>
  <c r="GR43" i="31"/>
  <c r="GS43" i="31"/>
  <c r="GT43" i="31"/>
  <c r="GU43" i="31"/>
  <c r="GV43" i="31"/>
  <c r="GX43" i="31"/>
  <c r="GY43" i="31"/>
  <c r="GZ43" i="31"/>
  <c r="HA43" i="31"/>
  <c r="HB43" i="31"/>
  <c r="HC43" i="31"/>
  <c r="HD43" i="31"/>
  <c r="HE43" i="31"/>
  <c r="HF43" i="31"/>
  <c r="HG43" i="31"/>
  <c r="C44" i="31"/>
  <c r="M44" i="31"/>
  <c r="T44" i="31"/>
  <c r="U44" i="31" s="1"/>
  <c r="V44" i="31"/>
  <c r="AX44" i="31"/>
  <c r="AY44" i="31"/>
  <c r="AZ44" i="31"/>
  <c r="BA44" i="31"/>
  <c r="BB44" i="31"/>
  <c r="CG44" i="31"/>
  <c r="CH44" i="31"/>
  <c r="CI44" i="31"/>
  <c r="CJ44" i="31"/>
  <c r="CK44" i="31"/>
  <c r="CL44" i="31"/>
  <c r="CM44" i="31"/>
  <c r="CN44" i="31"/>
  <c r="CO44" i="31"/>
  <c r="CP44" i="31"/>
  <c r="CR44" i="31"/>
  <c r="CS44" i="31"/>
  <c r="CT44" i="31"/>
  <c r="CU44" i="31"/>
  <c r="CV44" i="31"/>
  <c r="CW44" i="31"/>
  <c r="CX44" i="31"/>
  <c r="CY44" i="31"/>
  <c r="CZ44" i="31"/>
  <c r="DA44" i="31"/>
  <c r="DC44" i="31"/>
  <c r="DD44" i="31"/>
  <c r="DE44" i="31"/>
  <c r="DF44" i="31"/>
  <c r="DG44" i="31"/>
  <c r="DH44" i="31"/>
  <c r="DI44" i="31"/>
  <c r="DJ44" i="31"/>
  <c r="DK44" i="31"/>
  <c r="DL44" i="31"/>
  <c r="DN44" i="31"/>
  <c r="DO44" i="31"/>
  <c r="DP44" i="31"/>
  <c r="DQ44" i="31"/>
  <c r="DR44" i="31"/>
  <c r="DS44" i="31"/>
  <c r="DT44" i="31"/>
  <c r="DU44" i="31"/>
  <c r="DV44" i="31"/>
  <c r="DW44" i="31"/>
  <c r="DY44" i="31"/>
  <c r="DZ44" i="31"/>
  <c r="EA44" i="31"/>
  <c r="EB44" i="31"/>
  <c r="EC44" i="31"/>
  <c r="ED44" i="31"/>
  <c r="EE44" i="31"/>
  <c r="EF44" i="31"/>
  <c r="EG44" i="31"/>
  <c r="EH44" i="31"/>
  <c r="EJ44" i="31"/>
  <c r="EK44" i="31"/>
  <c r="EL44" i="31"/>
  <c r="EM44" i="31"/>
  <c r="EN44" i="31"/>
  <c r="EO44" i="31"/>
  <c r="EP44" i="31"/>
  <c r="EQ44" i="31"/>
  <c r="ER44" i="31"/>
  <c r="ES44" i="31"/>
  <c r="EU44" i="31"/>
  <c r="EV44" i="31"/>
  <c r="EW44" i="31"/>
  <c r="EX44" i="31"/>
  <c r="EY44" i="31"/>
  <c r="EZ44" i="31"/>
  <c r="FA44" i="31"/>
  <c r="FB44" i="31"/>
  <c r="FC44" i="31"/>
  <c r="FD44" i="31"/>
  <c r="FF44" i="31"/>
  <c r="FG44" i="31"/>
  <c r="FH44" i="31"/>
  <c r="FI44" i="31"/>
  <c r="FJ44" i="31"/>
  <c r="FK44" i="31"/>
  <c r="FL44" i="31"/>
  <c r="FM44" i="31"/>
  <c r="FN44" i="31"/>
  <c r="FO44" i="31"/>
  <c r="FQ44" i="31"/>
  <c r="FR44" i="31"/>
  <c r="FS44" i="31"/>
  <c r="FT44" i="31"/>
  <c r="FU44" i="31"/>
  <c r="FV44" i="31"/>
  <c r="FW44" i="31"/>
  <c r="FX44" i="31"/>
  <c r="FY44" i="31"/>
  <c r="FZ44" i="31"/>
  <c r="GB44" i="31"/>
  <c r="GC44" i="31"/>
  <c r="GD44" i="31"/>
  <c r="GE44" i="31"/>
  <c r="GF44" i="31"/>
  <c r="GG44" i="31"/>
  <c r="GH44" i="31"/>
  <c r="GI44" i="31"/>
  <c r="GJ44" i="31"/>
  <c r="GK44" i="31"/>
  <c r="GM44" i="31"/>
  <c r="GN44" i="31"/>
  <c r="GO44" i="31"/>
  <c r="GP44" i="31"/>
  <c r="GQ44" i="31"/>
  <c r="GR44" i="31"/>
  <c r="GS44" i="31"/>
  <c r="GT44" i="31"/>
  <c r="GU44" i="31"/>
  <c r="GV44" i="31"/>
  <c r="GX44" i="31"/>
  <c r="GY44" i="31"/>
  <c r="GZ44" i="31"/>
  <c r="HA44" i="31"/>
  <c r="HB44" i="31"/>
  <c r="HC44" i="31"/>
  <c r="HD44" i="31"/>
  <c r="HE44" i="31"/>
  <c r="HF44" i="31"/>
  <c r="HG44" i="31"/>
  <c r="C45" i="31"/>
  <c r="M45" i="31"/>
  <c r="T45" i="31"/>
  <c r="U45" i="31" s="1"/>
  <c r="V45" i="31"/>
  <c r="AX45" i="31"/>
  <c r="AY45" i="31"/>
  <c r="AZ45" i="31"/>
  <c r="BA45" i="31"/>
  <c r="BB45" i="31"/>
  <c r="CG45" i="31"/>
  <c r="CH45" i="31"/>
  <c r="CI45" i="31"/>
  <c r="CJ45" i="31"/>
  <c r="CK45" i="31"/>
  <c r="CL45" i="31"/>
  <c r="CM45" i="31"/>
  <c r="CN45" i="31"/>
  <c r="CO45" i="31"/>
  <c r="CP45" i="31"/>
  <c r="CR45" i="31"/>
  <c r="CS45" i="31"/>
  <c r="CT45" i="31"/>
  <c r="CU45" i="31"/>
  <c r="CV45" i="31"/>
  <c r="CW45" i="31"/>
  <c r="CX45" i="31"/>
  <c r="CY45" i="31"/>
  <c r="CZ45" i="31"/>
  <c r="DA45" i="31"/>
  <c r="DC45" i="31"/>
  <c r="DD45" i="31"/>
  <c r="DE45" i="31"/>
  <c r="DF45" i="31"/>
  <c r="DG45" i="31"/>
  <c r="DH45" i="31"/>
  <c r="DI45" i="31"/>
  <c r="DJ45" i="31"/>
  <c r="DK45" i="31"/>
  <c r="DL45" i="31"/>
  <c r="DN45" i="31"/>
  <c r="DO45" i="31"/>
  <c r="DP45" i="31"/>
  <c r="DQ45" i="31"/>
  <c r="DR45" i="31"/>
  <c r="DS45" i="31"/>
  <c r="DT45" i="31"/>
  <c r="DU45" i="31"/>
  <c r="DV45" i="31"/>
  <c r="DW45" i="31"/>
  <c r="DY45" i="31"/>
  <c r="DZ45" i="31"/>
  <c r="EA45" i="31"/>
  <c r="EB45" i="31"/>
  <c r="EC45" i="31"/>
  <c r="ED45" i="31"/>
  <c r="EE45" i="31"/>
  <c r="EF45" i="31"/>
  <c r="EG45" i="31"/>
  <c r="EH45" i="31"/>
  <c r="EJ45" i="31"/>
  <c r="EK45" i="31"/>
  <c r="EL45" i="31"/>
  <c r="EM45" i="31"/>
  <c r="EN45" i="31"/>
  <c r="EO45" i="31"/>
  <c r="EP45" i="31"/>
  <c r="EQ45" i="31"/>
  <c r="ER45" i="31"/>
  <c r="ES45" i="31"/>
  <c r="EU45" i="31"/>
  <c r="EV45" i="31"/>
  <c r="EW45" i="31"/>
  <c r="EX45" i="31"/>
  <c r="EY45" i="31"/>
  <c r="EZ45" i="31"/>
  <c r="FA45" i="31"/>
  <c r="FB45" i="31"/>
  <c r="FC45" i="31"/>
  <c r="FD45" i="31"/>
  <c r="FF45" i="31"/>
  <c r="FG45" i="31"/>
  <c r="FH45" i="31"/>
  <c r="FI45" i="31"/>
  <c r="FJ45" i="31"/>
  <c r="FK45" i="31"/>
  <c r="FL45" i="31"/>
  <c r="FM45" i="31"/>
  <c r="FN45" i="31"/>
  <c r="FO45" i="31"/>
  <c r="FQ45" i="31"/>
  <c r="FR45" i="31"/>
  <c r="FS45" i="31"/>
  <c r="FT45" i="31"/>
  <c r="FU45" i="31"/>
  <c r="FV45" i="31"/>
  <c r="FW45" i="31"/>
  <c r="FX45" i="31"/>
  <c r="FY45" i="31"/>
  <c r="FZ45" i="31"/>
  <c r="GB45" i="31"/>
  <c r="GC45" i="31"/>
  <c r="GD45" i="31"/>
  <c r="GE45" i="31"/>
  <c r="GF45" i="31"/>
  <c r="GG45" i="31"/>
  <c r="GH45" i="31"/>
  <c r="GI45" i="31"/>
  <c r="GJ45" i="31"/>
  <c r="GK45" i="31"/>
  <c r="GM45" i="31"/>
  <c r="GN45" i="31"/>
  <c r="GO45" i="31"/>
  <c r="GP45" i="31"/>
  <c r="GQ45" i="31"/>
  <c r="GR45" i="31"/>
  <c r="GS45" i="31"/>
  <c r="GT45" i="31"/>
  <c r="GU45" i="31"/>
  <c r="GV45" i="31"/>
  <c r="GX45" i="31"/>
  <c r="GY45" i="31"/>
  <c r="GZ45" i="31"/>
  <c r="HA45" i="31"/>
  <c r="HB45" i="31"/>
  <c r="HC45" i="31"/>
  <c r="HD45" i="31"/>
  <c r="HE45" i="31"/>
  <c r="HF45" i="31"/>
  <c r="HG45" i="31"/>
  <c r="C46" i="31"/>
  <c r="M46" i="31"/>
  <c r="T46" i="31"/>
  <c r="U46" i="31" s="1"/>
  <c r="V46" i="31"/>
  <c r="AX46" i="31"/>
  <c r="AY46" i="31"/>
  <c r="AZ46" i="31"/>
  <c r="BA46" i="31"/>
  <c r="BB46" i="31"/>
  <c r="CG46" i="31"/>
  <c r="CH46" i="31"/>
  <c r="CI46" i="31"/>
  <c r="CJ46" i="31"/>
  <c r="CK46" i="31"/>
  <c r="CL46" i="31"/>
  <c r="CM46" i="31"/>
  <c r="CN46" i="31"/>
  <c r="CO46" i="31"/>
  <c r="CP46" i="31"/>
  <c r="CR46" i="31"/>
  <c r="CS46" i="31"/>
  <c r="CT46" i="31"/>
  <c r="CU46" i="31"/>
  <c r="CV46" i="31"/>
  <c r="CW46" i="31"/>
  <c r="CX46" i="31"/>
  <c r="CY46" i="31"/>
  <c r="CZ46" i="31"/>
  <c r="DA46" i="31"/>
  <c r="DC46" i="31"/>
  <c r="DD46" i="31"/>
  <c r="DE46" i="31"/>
  <c r="DF46" i="31"/>
  <c r="DG46" i="31"/>
  <c r="DH46" i="31"/>
  <c r="DI46" i="31"/>
  <c r="DJ46" i="31"/>
  <c r="DK46" i="31"/>
  <c r="DL46" i="31"/>
  <c r="DN46" i="31"/>
  <c r="DO46" i="31"/>
  <c r="DP46" i="31"/>
  <c r="DQ46" i="31"/>
  <c r="DR46" i="31"/>
  <c r="DS46" i="31"/>
  <c r="DT46" i="31"/>
  <c r="DU46" i="31"/>
  <c r="DV46" i="31"/>
  <c r="DW46" i="31"/>
  <c r="DY46" i="31"/>
  <c r="DZ46" i="31"/>
  <c r="EA46" i="31"/>
  <c r="EB46" i="31"/>
  <c r="EC46" i="31"/>
  <c r="ED46" i="31"/>
  <c r="EE46" i="31"/>
  <c r="EF46" i="31"/>
  <c r="EG46" i="31"/>
  <c r="EH46" i="31"/>
  <c r="EJ46" i="31"/>
  <c r="EK46" i="31"/>
  <c r="EL46" i="31"/>
  <c r="EM46" i="31"/>
  <c r="EN46" i="31"/>
  <c r="EO46" i="31"/>
  <c r="EP46" i="31"/>
  <c r="EQ46" i="31"/>
  <c r="ER46" i="31"/>
  <c r="ES46" i="31"/>
  <c r="EU46" i="31"/>
  <c r="EV46" i="31"/>
  <c r="EW46" i="31"/>
  <c r="EX46" i="31"/>
  <c r="EY46" i="31"/>
  <c r="EZ46" i="31"/>
  <c r="FA46" i="31"/>
  <c r="FB46" i="31"/>
  <c r="FC46" i="31"/>
  <c r="FD46" i="31"/>
  <c r="FF46" i="31"/>
  <c r="FG46" i="31"/>
  <c r="FH46" i="31"/>
  <c r="FI46" i="31"/>
  <c r="FJ46" i="31"/>
  <c r="FK46" i="31"/>
  <c r="FL46" i="31"/>
  <c r="FM46" i="31"/>
  <c r="FN46" i="31"/>
  <c r="FO46" i="31"/>
  <c r="FQ46" i="31"/>
  <c r="FR46" i="31"/>
  <c r="FS46" i="31"/>
  <c r="FT46" i="31"/>
  <c r="FU46" i="31"/>
  <c r="FV46" i="31"/>
  <c r="FW46" i="31"/>
  <c r="FX46" i="31"/>
  <c r="FY46" i="31"/>
  <c r="FZ46" i="31"/>
  <c r="GB46" i="31"/>
  <c r="GC46" i="31"/>
  <c r="GD46" i="31"/>
  <c r="GE46" i="31"/>
  <c r="GF46" i="31"/>
  <c r="GG46" i="31"/>
  <c r="GH46" i="31"/>
  <c r="GI46" i="31"/>
  <c r="GJ46" i="31"/>
  <c r="GK46" i="31"/>
  <c r="GM46" i="31"/>
  <c r="GN46" i="31"/>
  <c r="GO46" i="31"/>
  <c r="GP46" i="31"/>
  <c r="GQ46" i="31"/>
  <c r="GR46" i="31"/>
  <c r="GS46" i="31"/>
  <c r="GT46" i="31"/>
  <c r="GU46" i="31"/>
  <c r="GV46" i="31"/>
  <c r="GX46" i="31"/>
  <c r="GY46" i="31"/>
  <c r="GZ46" i="31"/>
  <c r="HA46" i="31"/>
  <c r="HB46" i="31"/>
  <c r="HC46" i="31"/>
  <c r="HD46" i="31"/>
  <c r="HE46" i="31"/>
  <c r="HF46" i="31"/>
  <c r="HG46" i="31"/>
  <c r="C47" i="31"/>
  <c r="M47" i="31"/>
  <c r="T47" i="31"/>
  <c r="U47" i="31" s="1"/>
  <c r="V47" i="31"/>
  <c r="AX47" i="31"/>
  <c r="AY47" i="31"/>
  <c r="AZ47" i="31"/>
  <c r="BA47" i="31"/>
  <c r="BB47" i="31"/>
  <c r="CG47" i="31"/>
  <c r="CH47" i="31"/>
  <c r="CI47" i="31"/>
  <c r="CJ47" i="31"/>
  <c r="CK47" i="31"/>
  <c r="CL47" i="31"/>
  <c r="CM47" i="31"/>
  <c r="CN47" i="31"/>
  <c r="CO47" i="31"/>
  <c r="CP47" i="31"/>
  <c r="CR47" i="31"/>
  <c r="CS47" i="31"/>
  <c r="CT47" i="31"/>
  <c r="CU47" i="31"/>
  <c r="CV47" i="31"/>
  <c r="CW47" i="31"/>
  <c r="CX47" i="31"/>
  <c r="CY47" i="31"/>
  <c r="CZ47" i="31"/>
  <c r="DA47" i="31"/>
  <c r="DC47" i="31"/>
  <c r="DD47" i="31"/>
  <c r="DE47" i="31"/>
  <c r="DF47" i="31"/>
  <c r="DG47" i="31"/>
  <c r="DH47" i="31"/>
  <c r="DI47" i="31"/>
  <c r="DJ47" i="31"/>
  <c r="DK47" i="31"/>
  <c r="DL47" i="31"/>
  <c r="DN47" i="31"/>
  <c r="DO47" i="31"/>
  <c r="DP47" i="31"/>
  <c r="DQ47" i="31"/>
  <c r="DR47" i="31"/>
  <c r="DS47" i="31"/>
  <c r="DT47" i="31"/>
  <c r="DU47" i="31"/>
  <c r="DV47" i="31"/>
  <c r="DW47" i="31"/>
  <c r="DY47" i="31"/>
  <c r="DZ47" i="31"/>
  <c r="EA47" i="31"/>
  <c r="EB47" i="31"/>
  <c r="EC47" i="31"/>
  <c r="ED47" i="31"/>
  <c r="EE47" i="31"/>
  <c r="EF47" i="31"/>
  <c r="EG47" i="31"/>
  <c r="EH47" i="31"/>
  <c r="EJ47" i="31"/>
  <c r="EK47" i="31"/>
  <c r="EL47" i="31"/>
  <c r="EM47" i="31"/>
  <c r="EN47" i="31"/>
  <c r="EO47" i="31"/>
  <c r="EP47" i="31"/>
  <c r="EQ47" i="31"/>
  <c r="ER47" i="31"/>
  <c r="ES47" i="31"/>
  <c r="EU47" i="31"/>
  <c r="EV47" i="31"/>
  <c r="EW47" i="31"/>
  <c r="EX47" i="31"/>
  <c r="EY47" i="31"/>
  <c r="EZ47" i="31"/>
  <c r="FA47" i="31"/>
  <c r="FB47" i="31"/>
  <c r="FC47" i="31"/>
  <c r="FD47" i="31"/>
  <c r="FF47" i="31"/>
  <c r="FG47" i="31"/>
  <c r="FH47" i="31"/>
  <c r="FI47" i="31"/>
  <c r="FJ47" i="31"/>
  <c r="FK47" i="31"/>
  <c r="FL47" i="31"/>
  <c r="FM47" i="31"/>
  <c r="FN47" i="31"/>
  <c r="FO47" i="31"/>
  <c r="FQ47" i="31"/>
  <c r="FR47" i="31"/>
  <c r="FS47" i="31"/>
  <c r="FT47" i="31"/>
  <c r="FU47" i="31"/>
  <c r="FV47" i="31"/>
  <c r="FW47" i="31"/>
  <c r="FX47" i="31"/>
  <c r="FY47" i="31"/>
  <c r="FZ47" i="31"/>
  <c r="GB47" i="31"/>
  <c r="GC47" i="31"/>
  <c r="GD47" i="31"/>
  <c r="GE47" i="31"/>
  <c r="GF47" i="31"/>
  <c r="GG47" i="31"/>
  <c r="GH47" i="31"/>
  <c r="GI47" i="31"/>
  <c r="GJ47" i="31"/>
  <c r="GK47" i="31"/>
  <c r="GM47" i="31"/>
  <c r="GN47" i="31"/>
  <c r="GO47" i="31"/>
  <c r="GP47" i="31"/>
  <c r="GQ47" i="31"/>
  <c r="GR47" i="31"/>
  <c r="GS47" i="31"/>
  <c r="GT47" i="31"/>
  <c r="GU47" i="31"/>
  <c r="GV47" i="31"/>
  <c r="GX47" i="31"/>
  <c r="GY47" i="31"/>
  <c r="GZ47" i="31"/>
  <c r="HA47" i="31"/>
  <c r="HB47" i="31"/>
  <c r="HC47" i="31"/>
  <c r="HD47" i="31"/>
  <c r="HE47" i="31"/>
  <c r="HF47" i="31"/>
  <c r="HG47" i="31"/>
  <c r="AX48" i="31"/>
  <c r="AY48" i="31"/>
  <c r="AZ48" i="31"/>
  <c r="BA48" i="31"/>
  <c r="BB48" i="31"/>
  <c r="CG48" i="31"/>
  <c r="CH48" i="31"/>
  <c r="CI48" i="31"/>
  <c r="CJ48" i="31"/>
  <c r="CK48" i="31"/>
  <c r="CL48" i="31"/>
  <c r="CM48" i="31"/>
  <c r="CN48" i="31"/>
  <c r="CO48" i="31"/>
  <c r="CP48" i="31"/>
  <c r="CR48" i="31"/>
  <c r="CS48" i="31"/>
  <c r="CT48" i="31"/>
  <c r="CU48" i="31"/>
  <c r="CV48" i="31"/>
  <c r="CW48" i="31"/>
  <c r="CX48" i="31"/>
  <c r="CY48" i="31"/>
  <c r="CZ48" i="31"/>
  <c r="DA48" i="31"/>
  <c r="DC48" i="31"/>
  <c r="DD48" i="31"/>
  <c r="DE48" i="31"/>
  <c r="DF48" i="31"/>
  <c r="DG48" i="31"/>
  <c r="DH48" i="31"/>
  <c r="DI48" i="31"/>
  <c r="DJ48" i="31"/>
  <c r="DK48" i="31"/>
  <c r="DL48" i="31"/>
  <c r="DN48" i="31"/>
  <c r="DO48" i="31"/>
  <c r="DP48" i="31"/>
  <c r="DQ48" i="31"/>
  <c r="DR48" i="31"/>
  <c r="DS48" i="31"/>
  <c r="DT48" i="31"/>
  <c r="DU48" i="31"/>
  <c r="DV48" i="31"/>
  <c r="DW48" i="31"/>
  <c r="DY48" i="31"/>
  <c r="DZ48" i="31"/>
  <c r="EA48" i="31"/>
  <c r="EB48" i="31"/>
  <c r="EC48" i="31"/>
  <c r="ED48" i="31"/>
  <c r="EE48" i="31"/>
  <c r="EF48" i="31"/>
  <c r="EG48" i="31"/>
  <c r="EH48" i="31"/>
  <c r="EJ48" i="31"/>
  <c r="EK48" i="31"/>
  <c r="EL48" i="31"/>
  <c r="EM48" i="31"/>
  <c r="EN48" i="31"/>
  <c r="EO48" i="31"/>
  <c r="EP48" i="31"/>
  <c r="EQ48" i="31"/>
  <c r="ER48" i="31"/>
  <c r="ES48" i="31"/>
  <c r="EU48" i="31"/>
  <c r="EV48" i="31"/>
  <c r="EW48" i="31"/>
  <c r="EX48" i="31"/>
  <c r="EY48" i="31"/>
  <c r="EZ48" i="31"/>
  <c r="FA48" i="31"/>
  <c r="FB48" i="31"/>
  <c r="FC48" i="31"/>
  <c r="FD48" i="31"/>
  <c r="FF48" i="31"/>
  <c r="FG48" i="31"/>
  <c r="FH48" i="31"/>
  <c r="FI48" i="31"/>
  <c r="FJ48" i="31"/>
  <c r="FK48" i="31"/>
  <c r="FL48" i="31"/>
  <c r="FM48" i="31"/>
  <c r="FN48" i="31"/>
  <c r="FO48" i="31"/>
  <c r="FQ48" i="31"/>
  <c r="FR48" i="31"/>
  <c r="FS48" i="31"/>
  <c r="FT48" i="31"/>
  <c r="FU48" i="31"/>
  <c r="FV48" i="31"/>
  <c r="FW48" i="31"/>
  <c r="FX48" i="31"/>
  <c r="FY48" i="31"/>
  <c r="FZ48" i="31"/>
  <c r="GB48" i="31"/>
  <c r="GC48" i="31"/>
  <c r="GD48" i="31"/>
  <c r="GE48" i="31"/>
  <c r="GF48" i="31"/>
  <c r="GG48" i="31"/>
  <c r="GH48" i="31"/>
  <c r="GI48" i="31"/>
  <c r="GJ48" i="31"/>
  <c r="GK48" i="31"/>
  <c r="GM48" i="31"/>
  <c r="GN48" i="31"/>
  <c r="GO48" i="31"/>
  <c r="GP48" i="31"/>
  <c r="GQ48" i="31"/>
  <c r="GR48" i="31"/>
  <c r="GS48" i="31"/>
  <c r="GT48" i="31"/>
  <c r="GU48" i="31"/>
  <c r="GV48" i="31"/>
  <c r="GX48" i="31"/>
  <c r="GY48" i="31"/>
  <c r="GZ48" i="31"/>
  <c r="HA48" i="31"/>
  <c r="HB48" i="31"/>
  <c r="HC48" i="31"/>
  <c r="HD48" i="31"/>
  <c r="HE48" i="31"/>
  <c r="HF48" i="31"/>
  <c r="HG48" i="31"/>
  <c r="AX49" i="31"/>
  <c r="AY49" i="31"/>
  <c r="AZ49" i="31"/>
  <c r="BA49" i="31"/>
  <c r="BB49" i="31"/>
  <c r="CG49" i="31"/>
  <c r="CH49" i="31"/>
  <c r="CI49" i="31"/>
  <c r="CJ49" i="31"/>
  <c r="CK49" i="31"/>
  <c r="CL49" i="31"/>
  <c r="CM49" i="31"/>
  <c r="CN49" i="31"/>
  <c r="CO49" i="31"/>
  <c r="CP49" i="31"/>
  <c r="CR49" i="31"/>
  <c r="CS49" i="31"/>
  <c r="CT49" i="31"/>
  <c r="CU49" i="31"/>
  <c r="CV49" i="31"/>
  <c r="CW49" i="31"/>
  <c r="CX49" i="31"/>
  <c r="CY49" i="31"/>
  <c r="CZ49" i="31"/>
  <c r="DA49" i="31"/>
  <c r="DC49" i="31"/>
  <c r="DD49" i="31"/>
  <c r="DE49" i="31"/>
  <c r="DF49" i="31"/>
  <c r="DG49" i="31"/>
  <c r="DH49" i="31"/>
  <c r="DI49" i="31"/>
  <c r="DJ49" i="31"/>
  <c r="DK49" i="31"/>
  <c r="DL49" i="31"/>
  <c r="DN49" i="31"/>
  <c r="DO49" i="31"/>
  <c r="DP49" i="31"/>
  <c r="DQ49" i="31"/>
  <c r="DR49" i="31"/>
  <c r="DS49" i="31"/>
  <c r="DT49" i="31"/>
  <c r="DU49" i="31"/>
  <c r="DV49" i="31"/>
  <c r="DW49" i="31"/>
  <c r="DY49" i="31"/>
  <c r="DZ49" i="31"/>
  <c r="EA49" i="31"/>
  <c r="EB49" i="31"/>
  <c r="EC49" i="31"/>
  <c r="ED49" i="31"/>
  <c r="EE49" i="31"/>
  <c r="EF49" i="31"/>
  <c r="EG49" i="31"/>
  <c r="EH49" i="31"/>
  <c r="EJ49" i="31"/>
  <c r="EK49" i="31"/>
  <c r="EL49" i="31"/>
  <c r="EM49" i="31"/>
  <c r="EN49" i="31"/>
  <c r="EO49" i="31"/>
  <c r="EP49" i="31"/>
  <c r="EQ49" i="31"/>
  <c r="ER49" i="31"/>
  <c r="ES49" i="31"/>
  <c r="EU49" i="31"/>
  <c r="EV49" i="31"/>
  <c r="EW49" i="31"/>
  <c r="EX49" i="31"/>
  <c r="EY49" i="31"/>
  <c r="EZ49" i="31"/>
  <c r="FA49" i="31"/>
  <c r="FB49" i="31"/>
  <c r="FC49" i="31"/>
  <c r="FD49" i="31"/>
  <c r="FF49" i="31"/>
  <c r="FG49" i="31"/>
  <c r="FH49" i="31"/>
  <c r="FI49" i="31"/>
  <c r="FJ49" i="31"/>
  <c r="FK49" i="31"/>
  <c r="FL49" i="31"/>
  <c r="FM49" i="31"/>
  <c r="FN49" i="31"/>
  <c r="FO49" i="31"/>
  <c r="FQ49" i="31"/>
  <c r="FR49" i="31"/>
  <c r="FS49" i="31"/>
  <c r="FT49" i="31"/>
  <c r="FU49" i="31"/>
  <c r="FV49" i="31"/>
  <c r="FW49" i="31"/>
  <c r="FX49" i="31"/>
  <c r="FY49" i="31"/>
  <c r="FZ49" i="31"/>
  <c r="GB49" i="31"/>
  <c r="GC49" i="31"/>
  <c r="GD49" i="31"/>
  <c r="GE49" i="31"/>
  <c r="GF49" i="31"/>
  <c r="GG49" i="31"/>
  <c r="GH49" i="31"/>
  <c r="GI49" i="31"/>
  <c r="GJ49" i="31"/>
  <c r="GK49" i="31"/>
  <c r="GM49" i="31"/>
  <c r="GN49" i="31"/>
  <c r="GO49" i="31"/>
  <c r="GP49" i="31"/>
  <c r="GQ49" i="31"/>
  <c r="GR49" i="31"/>
  <c r="GS49" i="31"/>
  <c r="GT49" i="31"/>
  <c r="GU49" i="31"/>
  <c r="GV49" i="31"/>
  <c r="GX49" i="31"/>
  <c r="GY49" i="31"/>
  <c r="GZ49" i="31"/>
  <c r="HA49" i="31"/>
  <c r="HB49" i="31"/>
  <c r="HC49" i="31"/>
  <c r="HD49" i="31"/>
  <c r="HE49" i="31"/>
  <c r="HF49" i="31"/>
  <c r="HG49" i="31"/>
  <c r="CG50" i="31"/>
  <c r="CH50" i="31"/>
  <c r="CI50" i="31"/>
  <c r="CJ50" i="31"/>
  <c r="CK50" i="31"/>
  <c r="CL50" i="31"/>
  <c r="CM50" i="31"/>
  <c r="CN50" i="31"/>
  <c r="CO50" i="31"/>
  <c r="CP50" i="31"/>
  <c r="CR50" i="31"/>
  <c r="CS50" i="31"/>
  <c r="CT50" i="31"/>
  <c r="CU50" i="31"/>
  <c r="CV50" i="31"/>
  <c r="CW50" i="31"/>
  <c r="CX50" i="31"/>
  <c r="CY50" i="31"/>
  <c r="CZ50" i="31"/>
  <c r="DA50" i="31"/>
  <c r="DC50" i="31"/>
  <c r="DD50" i="31"/>
  <c r="DE50" i="31"/>
  <c r="DF50" i="31"/>
  <c r="DG50" i="31"/>
  <c r="DH50" i="31"/>
  <c r="DI50" i="31"/>
  <c r="DJ50" i="31"/>
  <c r="DK50" i="31"/>
  <c r="DL50" i="31"/>
  <c r="DN50" i="31"/>
  <c r="DO50" i="31"/>
  <c r="DP50" i="31"/>
  <c r="DQ50" i="31"/>
  <c r="DR50" i="31"/>
  <c r="DS50" i="31"/>
  <c r="DT50" i="31"/>
  <c r="DU50" i="31"/>
  <c r="DV50" i="31"/>
  <c r="DW50" i="31"/>
  <c r="DY50" i="31"/>
  <c r="DZ50" i="31"/>
  <c r="EA50" i="31"/>
  <c r="EB50" i="31"/>
  <c r="EC50" i="31"/>
  <c r="ED50" i="31"/>
  <c r="EE50" i="31"/>
  <c r="EF50" i="31"/>
  <c r="EG50" i="31"/>
  <c r="EH50" i="31"/>
  <c r="EJ50" i="31"/>
  <c r="EK50" i="31"/>
  <c r="EL50" i="31"/>
  <c r="EM50" i="31"/>
  <c r="EN50" i="31"/>
  <c r="EO50" i="31"/>
  <c r="EP50" i="31"/>
  <c r="EQ50" i="31"/>
  <c r="ER50" i="31"/>
  <c r="ES50" i="31"/>
  <c r="EU50" i="31"/>
  <c r="EV50" i="31"/>
  <c r="EW50" i="31"/>
  <c r="EX50" i="31"/>
  <c r="EY50" i="31"/>
  <c r="EZ50" i="31"/>
  <c r="FA50" i="31"/>
  <c r="FB50" i="31"/>
  <c r="FC50" i="31"/>
  <c r="FD50" i="31"/>
  <c r="FF50" i="31"/>
  <c r="FG50" i="31"/>
  <c r="FH50" i="31"/>
  <c r="FI50" i="31"/>
  <c r="FJ50" i="31"/>
  <c r="FK50" i="31"/>
  <c r="FL50" i="31"/>
  <c r="FM50" i="31"/>
  <c r="FN50" i="31"/>
  <c r="FO50" i="31"/>
  <c r="FQ50" i="31"/>
  <c r="FR50" i="31"/>
  <c r="FS50" i="31"/>
  <c r="FT50" i="31"/>
  <c r="FU50" i="31"/>
  <c r="FV50" i="31"/>
  <c r="FW50" i="31"/>
  <c r="FX50" i="31"/>
  <c r="FY50" i="31"/>
  <c r="FZ50" i="31"/>
  <c r="GB50" i="31"/>
  <c r="GC50" i="31"/>
  <c r="GD50" i="31"/>
  <c r="GE50" i="31"/>
  <c r="GF50" i="31"/>
  <c r="GG50" i="31"/>
  <c r="GH50" i="31"/>
  <c r="GI50" i="31"/>
  <c r="GJ50" i="31"/>
  <c r="GK50" i="31"/>
  <c r="GM50" i="31"/>
  <c r="GN50" i="31"/>
  <c r="GO50" i="31"/>
  <c r="GP50" i="31"/>
  <c r="GQ50" i="31"/>
  <c r="GR50" i="31"/>
  <c r="GS50" i="31"/>
  <c r="GT50" i="31"/>
  <c r="GU50" i="31"/>
  <c r="GV50" i="31"/>
  <c r="GX50" i="31"/>
  <c r="GY50" i="31"/>
  <c r="GZ50" i="31"/>
  <c r="HA50" i="31"/>
  <c r="HB50" i="31"/>
  <c r="HC50" i="31"/>
  <c r="HD50" i="31"/>
  <c r="HE50" i="31"/>
  <c r="HF50" i="31"/>
  <c r="HG50" i="31"/>
  <c r="CG51" i="31"/>
  <c r="CH51" i="31"/>
  <c r="CI51" i="31"/>
  <c r="CJ51" i="31"/>
  <c r="CK51" i="31"/>
  <c r="CL51" i="31"/>
  <c r="CM51" i="31"/>
  <c r="CN51" i="31"/>
  <c r="CO51" i="31"/>
  <c r="CP51" i="31"/>
  <c r="CR51" i="31"/>
  <c r="CS51" i="31"/>
  <c r="CT51" i="31"/>
  <c r="CU51" i="31"/>
  <c r="CV51" i="31"/>
  <c r="CW51" i="31"/>
  <c r="CX51" i="31"/>
  <c r="CY51" i="31"/>
  <c r="CZ51" i="31"/>
  <c r="DA51" i="31"/>
  <c r="DC51" i="31"/>
  <c r="DD51" i="31"/>
  <c r="DE51" i="31"/>
  <c r="DF51" i="31"/>
  <c r="DG51" i="31"/>
  <c r="DH51" i="31"/>
  <c r="DI51" i="31"/>
  <c r="DJ51" i="31"/>
  <c r="DK51" i="31"/>
  <c r="DL51" i="31"/>
  <c r="DN51" i="31"/>
  <c r="DO51" i="31"/>
  <c r="DP51" i="31"/>
  <c r="DQ51" i="31"/>
  <c r="DR51" i="31"/>
  <c r="DS51" i="31"/>
  <c r="DT51" i="31"/>
  <c r="DU51" i="31"/>
  <c r="DV51" i="31"/>
  <c r="DW51" i="31"/>
  <c r="DY51" i="31"/>
  <c r="DZ51" i="31"/>
  <c r="EA51" i="31"/>
  <c r="EB51" i="31"/>
  <c r="EC51" i="31"/>
  <c r="ED51" i="31"/>
  <c r="EE51" i="31"/>
  <c r="EF51" i="31"/>
  <c r="EG51" i="31"/>
  <c r="EH51" i="31"/>
  <c r="EJ51" i="31"/>
  <c r="EK51" i="31"/>
  <c r="EL51" i="31"/>
  <c r="EM51" i="31"/>
  <c r="EN51" i="31"/>
  <c r="EO51" i="31"/>
  <c r="EP51" i="31"/>
  <c r="EQ51" i="31"/>
  <c r="ER51" i="31"/>
  <c r="ES51" i="31"/>
  <c r="EU51" i="31"/>
  <c r="EV51" i="31"/>
  <c r="EW51" i="31"/>
  <c r="EX51" i="31"/>
  <c r="EY51" i="31"/>
  <c r="EZ51" i="31"/>
  <c r="FA51" i="31"/>
  <c r="FB51" i="31"/>
  <c r="FC51" i="31"/>
  <c r="FD51" i="31"/>
  <c r="FF51" i="31"/>
  <c r="FG51" i="31"/>
  <c r="FH51" i="31"/>
  <c r="FI51" i="31"/>
  <c r="FJ51" i="31"/>
  <c r="FK51" i="31"/>
  <c r="FL51" i="31"/>
  <c r="FM51" i="31"/>
  <c r="FN51" i="31"/>
  <c r="FO51" i="31"/>
  <c r="FQ51" i="31"/>
  <c r="FR51" i="31"/>
  <c r="FS51" i="31"/>
  <c r="FT51" i="31"/>
  <c r="FU51" i="31"/>
  <c r="FV51" i="31"/>
  <c r="FW51" i="31"/>
  <c r="FX51" i="31"/>
  <c r="FY51" i="31"/>
  <c r="FZ51" i="31"/>
  <c r="GB51" i="31"/>
  <c r="GC51" i="31"/>
  <c r="GD51" i="31"/>
  <c r="GE51" i="31"/>
  <c r="GF51" i="31"/>
  <c r="GG51" i="31"/>
  <c r="GH51" i="31"/>
  <c r="GI51" i="31"/>
  <c r="GJ51" i="31"/>
  <c r="GK51" i="31"/>
  <c r="GM51" i="31"/>
  <c r="GN51" i="31"/>
  <c r="GO51" i="31"/>
  <c r="GP51" i="31"/>
  <c r="GQ51" i="31"/>
  <c r="GR51" i="31"/>
  <c r="GS51" i="31"/>
  <c r="GT51" i="31"/>
  <c r="GU51" i="31"/>
  <c r="GV51" i="31"/>
  <c r="GX51" i="31"/>
  <c r="GY51" i="31"/>
  <c r="GZ51" i="31"/>
  <c r="HA51" i="31"/>
  <c r="HB51" i="31"/>
  <c r="HC51" i="31"/>
  <c r="HD51" i="31"/>
  <c r="HE51" i="31"/>
  <c r="HF51" i="31"/>
  <c r="HG51" i="31"/>
  <c r="C52" i="31"/>
  <c r="M52" i="31"/>
  <c r="T52" i="31"/>
  <c r="U52" i="31" s="1"/>
  <c r="V52" i="31"/>
  <c r="AX52" i="31"/>
  <c r="AY52" i="31"/>
  <c r="AZ52" i="31"/>
  <c r="BA52" i="31"/>
  <c r="BB52" i="31"/>
  <c r="CG52" i="31"/>
  <c r="CH52" i="31"/>
  <c r="CI52" i="31"/>
  <c r="CJ52" i="31"/>
  <c r="CK52" i="31"/>
  <c r="CL52" i="31"/>
  <c r="CM52" i="31"/>
  <c r="CN52" i="31"/>
  <c r="CO52" i="31"/>
  <c r="CP52" i="31"/>
  <c r="CR52" i="31"/>
  <c r="CS52" i="31"/>
  <c r="CT52" i="31"/>
  <c r="CU52" i="31"/>
  <c r="CV52" i="31"/>
  <c r="CW52" i="31"/>
  <c r="CX52" i="31"/>
  <c r="CY52" i="31"/>
  <c r="CZ52" i="31"/>
  <c r="DA52" i="31"/>
  <c r="DC52" i="31"/>
  <c r="DD52" i="31"/>
  <c r="DE52" i="31"/>
  <c r="DF52" i="31"/>
  <c r="DG52" i="31"/>
  <c r="DH52" i="31"/>
  <c r="DI52" i="31"/>
  <c r="DJ52" i="31"/>
  <c r="DK52" i="31"/>
  <c r="DL52" i="31"/>
  <c r="DN52" i="31"/>
  <c r="DO52" i="31"/>
  <c r="DP52" i="31"/>
  <c r="DQ52" i="31"/>
  <c r="DR52" i="31"/>
  <c r="DS52" i="31"/>
  <c r="DT52" i="31"/>
  <c r="DU52" i="31"/>
  <c r="DV52" i="31"/>
  <c r="DW52" i="31"/>
  <c r="DY52" i="31"/>
  <c r="DZ52" i="31"/>
  <c r="EA52" i="31"/>
  <c r="EB52" i="31"/>
  <c r="EC52" i="31"/>
  <c r="ED52" i="31"/>
  <c r="EE52" i="31"/>
  <c r="EF52" i="31"/>
  <c r="EG52" i="31"/>
  <c r="EH52" i="31"/>
  <c r="EJ52" i="31"/>
  <c r="EK52" i="31"/>
  <c r="EL52" i="31"/>
  <c r="EM52" i="31"/>
  <c r="EN52" i="31"/>
  <c r="EO52" i="31"/>
  <c r="EP52" i="31"/>
  <c r="EQ52" i="31"/>
  <c r="ER52" i="31"/>
  <c r="ES52" i="31"/>
  <c r="EU52" i="31"/>
  <c r="EV52" i="31"/>
  <c r="EW52" i="31"/>
  <c r="EX52" i="31"/>
  <c r="EY52" i="31"/>
  <c r="EZ52" i="31"/>
  <c r="FA52" i="31"/>
  <c r="FB52" i="31"/>
  <c r="FC52" i="31"/>
  <c r="FD52" i="31"/>
  <c r="FF52" i="31"/>
  <c r="FG52" i="31"/>
  <c r="FH52" i="31"/>
  <c r="FI52" i="31"/>
  <c r="FJ52" i="31"/>
  <c r="FK52" i="31"/>
  <c r="FL52" i="31"/>
  <c r="FM52" i="31"/>
  <c r="FN52" i="31"/>
  <c r="FO52" i="31"/>
  <c r="FQ52" i="31"/>
  <c r="FR52" i="31"/>
  <c r="FS52" i="31"/>
  <c r="FT52" i="31"/>
  <c r="FU52" i="31"/>
  <c r="FV52" i="31"/>
  <c r="FW52" i="31"/>
  <c r="FX52" i="31"/>
  <c r="FY52" i="31"/>
  <c r="FZ52" i="31"/>
  <c r="GB52" i="31"/>
  <c r="GC52" i="31"/>
  <c r="GD52" i="31"/>
  <c r="GE52" i="31"/>
  <c r="GF52" i="31"/>
  <c r="GG52" i="31"/>
  <c r="GH52" i="31"/>
  <c r="GI52" i="31"/>
  <c r="GJ52" i="31"/>
  <c r="GK52" i="31"/>
  <c r="GM52" i="31"/>
  <c r="GN52" i="31"/>
  <c r="GO52" i="31"/>
  <c r="GP52" i="31"/>
  <c r="GQ52" i="31"/>
  <c r="GR52" i="31"/>
  <c r="GS52" i="31"/>
  <c r="GT52" i="31"/>
  <c r="GU52" i="31"/>
  <c r="GV52" i="31"/>
  <c r="GX52" i="31"/>
  <c r="GY52" i="31"/>
  <c r="GZ52" i="31"/>
  <c r="HA52" i="31"/>
  <c r="HB52" i="31"/>
  <c r="HC52" i="31"/>
  <c r="HD52" i="31"/>
  <c r="HE52" i="31"/>
  <c r="HF52" i="31"/>
  <c r="HG52" i="31"/>
  <c r="C53" i="31"/>
  <c r="M53" i="31"/>
  <c r="T53" i="31"/>
  <c r="U53" i="31" s="1"/>
  <c r="V53" i="31"/>
  <c r="AX53" i="31"/>
  <c r="AY53" i="31"/>
  <c r="AZ53" i="31"/>
  <c r="BA53" i="31"/>
  <c r="BB53" i="31"/>
  <c r="CG53" i="31"/>
  <c r="CH53" i="31"/>
  <c r="CI53" i="31"/>
  <c r="CJ53" i="31"/>
  <c r="CK53" i="31"/>
  <c r="CL53" i="31"/>
  <c r="CM53" i="31"/>
  <c r="CN53" i="31"/>
  <c r="CO53" i="31"/>
  <c r="CP53" i="31"/>
  <c r="CR53" i="31"/>
  <c r="CS53" i="31"/>
  <c r="CT53" i="31"/>
  <c r="CU53" i="31"/>
  <c r="CV53" i="31"/>
  <c r="CW53" i="31"/>
  <c r="CX53" i="31"/>
  <c r="CY53" i="31"/>
  <c r="CZ53" i="31"/>
  <c r="DA53" i="31"/>
  <c r="DC53" i="31"/>
  <c r="DD53" i="31"/>
  <c r="DE53" i="31"/>
  <c r="DF53" i="31"/>
  <c r="DG53" i="31"/>
  <c r="DH53" i="31"/>
  <c r="DI53" i="31"/>
  <c r="DJ53" i="31"/>
  <c r="DK53" i="31"/>
  <c r="DL53" i="31"/>
  <c r="DN53" i="31"/>
  <c r="DO53" i="31"/>
  <c r="DP53" i="31"/>
  <c r="DQ53" i="31"/>
  <c r="DR53" i="31"/>
  <c r="DS53" i="31"/>
  <c r="DT53" i="31"/>
  <c r="DU53" i="31"/>
  <c r="DV53" i="31"/>
  <c r="DW53" i="31"/>
  <c r="DY53" i="31"/>
  <c r="DZ53" i="31"/>
  <c r="EA53" i="31"/>
  <c r="EB53" i="31"/>
  <c r="EC53" i="31"/>
  <c r="ED53" i="31"/>
  <c r="EE53" i="31"/>
  <c r="EF53" i="31"/>
  <c r="EG53" i="31"/>
  <c r="EH53" i="31"/>
  <c r="EJ53" i="31"/>
  <c r="EK53" i="31"/>
  <c r="EL53" i="31"/>
  <c r="EM53" i="31"/>
  <c r="EN53" i="31"/>
  <c r="EO53" i="31"/>
  <c r="EP53" i="31"/>
  <c r="EQ53" i="31"/>
  <c r="ER53" i="31"/>
  <c r="ES53" i="31"/>
  <c r="EU53" i="31"/>
  <c r="EV53" i="31"/>
  <c r="EW53" i="31"/>
  <c r="EX53" i="31"/>
  <c r="EY53" i="31"/>
  <c r="EZ53" i="31"/>
  <c r="FA53" i="31"/>
  <c r="FB53" i="31"/>
  <c r="FC53" i="31"/>
  <c r="FD53" i="31"/>
  <c r="FF53" i="31"/>
  <c r="FG53" i="31"/>
  <c r="FH53" i="31"/>
  <c r="FI53" i="31"/>
  <c r="FJ53" i="31"/>
  <c r="FK53" i="31"/>
  <c r="FL53" i="31"/>
  <c r="FM53" i="31"/>
  <c r="FN53" i="31"/>
  <c r="FO53" i="31"/>
  <c r="FQ53" i="31"/>
  <c r="FR53" i="31"/>
  <c r="FS53" i="31"/>
  <c r="FT53" i="31"/>
  <c r="FU53" i="31"/>
  <c r="FV53" i="31"/>
  <c r="FW53" i="31"/>
  <c r="FX53" i="31"/>
  <c r="FY53" i="31"/>
  <c r="FZ53" i="31"/>
  <c r="GB53" i="31"/>
  <c r="GC53" i="31"/>
  <c r="GD53" i="31"/>
  <c r="GE53" i="31"/>
  <c r="GF53" i="31"/>
  <c r="GG53" i="31"/>
  <c r="GH53" i="31"/>
  <c r="GI53" i="31"/>
  <c r="GJ53" i="31"/>
  <c r="GK53" i="31"/>
  <c r="GM53" i="31"/>
  <c r="GN53" i="31"/>
  <c r="GO53" i="31"/>
  <c r="GP53" i="31"/>
  <c r="GQ53" i="31"/>
  <c r="GR53" i="31"/>
  <c r="GS53" i="31"/>
  <c r="GT53" i="31"/>
  <c r="GU53" i="31"/>
  <c r="GV53" i="31"/>
  <c r="GX53" i="31"/>
  <c r="GY53" i="31"/>
  <c r="GZ53" i="31"/>
  <c r="HA53" i="31"/>
  <c r="HB53" i="31"/>
  <c r="HC53" i="31"/>
  <c r="HD53" i="31"/>
  <c r="HE53" i="31"/>
  <c r="HF53" i="31"/>
  <c r="HG53" i="31"/>
  <c r="C54" i="31"/>
  <c r="M54" i="31"/>
  <c r="T54" i="31"/>
  <c r="U54" i="31" s="1"/>
  <c r="V54" i="31"/>
  <c r="AX54" i="31"/>
  <c r="AY54" i="31"/>
  <c r="AZ54" i="31"/>
  <c r="BA54" i="31"/>
  <c r="BB54" i="31"/>
  <c r="CG54" i="31"/>
  <c r="CH54" i="31"/>
  <c r="CI54" i="31"/>
  <c r="CJ54" i="31"/>
  <c r="CK54" i="31"/>
  <c r="CL54" i="31"/>
  <c r="CM54" i="31"/>
  <c r="CN54" i="31"/>
  <c r="CO54" i="31"/>
  <c r="CP54" i="31"/>
  <c r="CR54" i="31"/>
  <c r="CS54" i="31"/>
  <c r="CT54" i="31"/>
  <c r="CU54" i="31"/>
  <c r="CV54" i="31"/>
  <c r="CW54" i="31"/>
  <c r="CX54" i="31"/>
  <c r="CY54" i="31"/>
  <c r="CZ54" i="31"/>
  <c r="DA54" i="31"/>
  <c r="DC54" i="31"/>
  <c r="DD54" i="31"/>
  <c r="DE54" i="31"/>
  <c r="DF54" i="31"/>
  <c r="DG54" i="31"/>
  <c r="DH54" i="31"/>
  <c r="DI54" i="31"/>
  <c r="DJ54" i="31"/>
  <c r="DK54" i="31"/>
  <c r="DL54" i="31"/>
  <c r="DN54" i="31"/>
  <c r="DO54" i="31"/>
  <c r="DP54" i="31"/>
  <c r="DQ54" i="31"/>
  <c r="DR54" i="31"/>
  <c r="DS54" i="31"/>
  <c r="DT54" i="31"/>
  <c r="DU54" i="31"/>
  <c r="DV54" i="31"/>
  <c r="DW54" i="31"/>
  <c r="DY54" i="31"/>
  <c r="DZ54" i="31"/>
  <c r="EA54" i="31"/>
  <c r="EB54" i="31"/>
  <c r="EC54" i="31"/>
  <c r="ED54" i="31"/>
  <c r="EE54" i="31"/>
  <c r="EF54" i="31"/>
  <c r="EG54" i="31"/>
  <c r="EH54" i="31"/>
  <c r="EJ54" i="31"/>
  <c r="EK54" i="31"/>
  <c r="EL54" i="31"/>
  <c r="EM54" i="31"/>
  <c r="EN54" i="31"/>
  <c r="EO54" i="31"/>
  <c r="EP54" i="31"/>
  <c r="EQ54" i="31"/>
  <c r="ER54" i="31"/>
  <c r="ES54" i="31"/>
  <c r="EU54" i="31"/>
  <c r="EV54" i="31"/>
  <c r="EW54" i="31"/>
  <c r="EX54" i="31"/>
  <c r="EY54" i="31"/>
  <c r="EZ54" i="31"/>
  <c r="FA54" i="31"/>
  <c r="FB54" i="31"/>
  <c r="FC54" i="31"/>
  <c r="FD54" i="31"/>
  <c r="FF54" i="31"/>
  <c r="FG54" i="31"/>
  <c r="FH54" i="31"/>
  <c r="FI54" i="31"/>
  <c r="FJ54" i="31"/>
  <c r="FK54" i="31"/>
  <c r="FL54" i="31"/>
  <c r="FM54" i="31"/>
  <c r="FN54" i="31"/>
  <c r="FO54" i="31"/>
  <c r="FQ54" i="31"/>
  <c r="FR54" i="31"/>
  <c r="FS54" i="31"/>
  <c r="FT54" i="31"/>
  <c r="FU54" i="31"/>
  <c r="FV54" i="31"/>
  <c r="FW54" i="31"/>
  <c r="FX54" i="31"/>
  <c r="FY54" i="31"/>
  <c r="FZ54" i="31"/>
  <c r="GB54" i="31"/>
  <c r="GC54" i="31"/>
  <c r="GD54" i="31"/>
  <c r="GE54" i="31"/>
  <c r="GF54" i="31"/>
  <c r="GG54" i="31"/>
  <c r="GH54" i="31"/>
  <c r="GI54" i="31"/>
  <c r="GJ54" i="31"/>
  <c r="GK54" i="31"/>
  <c r="GM54" i="31"/>
  <c r="GN54" i="31"/>
  <c r="GO54" i="31"/>
  <c r="GP54" i="31"/>
  <c r="GQ54" i="31"/>
  <c r="GR54" i="31"/>
  <c r="GS54" i="31"/>
  <c r="GT54" i="31"/>
  <c r="GU54" i="31"/>
  <c r="GV54" i="31"/>
  <c r="GX54" i="31"/>
  <c r="GY54" i="31"/>
  <c r="GZ54" i="31"/>
  <c r="HA54" i="31"/>
  <c r="HB54" i="31"/>
  <c r="HC54" i="31"/>
  <c r="HD54" i="31"/>
  <c r="HE54" i="31"/>
  <c r="HF54" i="31"/>
  <c r="HG54" i="31"/>
  <c r="C55" i="31"/>
  <c r="M55" i="31"/>
  <c r="T55" i="31"/>
  <c r="U55" i="31" s="1"/>
  <c r="V55" i="31"/>
  <c r="AX55" i="31"/>
  <c r="AY55" i="31"/>
  <c r="AZ55" i="31"/>
  <c r="BA55" i="31"/>
  <c r="BB55" i="31"/>
  <c r="CG55" i="31"/>
  <c r="CH55" i="31"/>
  <c r="CI55" i="31"/>
  <c r="CJ55" i="31"/>
  <c r="CK55" i="31"/>
  <c r="CL55" i="31"/>
  <c r="CM55" i="31"/>
  <c r="CN55" i="31"/>
  <c r="CO55" i="31"/>
  <c r="CP55" i="31"/>
  <c r="CR55" i="31"/>
  <c r="CS55" i="31"/>
  <c r="CT55" i="31"/>
  <c r="CU55" i="31"/>
  <c r="CV55" i="31"/>
  <c r="CW55" i="31"/>
  <c r="CX55" i="31"/>
  <c r="CY55" i="31"/>
  <c r="CZ55" i="31"/>
  <c r="DA55" i="31"/>
  <c r="DC55" i="31"/>
  <c r="DD55" i="31"/>
  <c r="DE55" i="31"/>
  <c r="DF55" i="31"/>
  <c r="DG55" i="31"/>
  <c r="DH55" i="31"/>
  <c r="DI55" i="31"/>
  <c r="DJ55" i="31"/>
  <c r="DK55" i="31"/>
  <c r="DL55" i="31"/>
  <c r="DN55" i="31"/>
  <c r="DO55" i="31"/>
  <c r="DP55" i="31"/>
  <c r="DQ55" i="31"/>
  <c r="DR55" i="31"/>
  <c r="DS55" i="31"/>
  <c r="DT55" i="31"/>
  <c r="DU55" i="31"/>
  <c r="DV55" i="31"/>
  <c r="DW55" i="31"/>
  <c r="DY55" i="31"/>
  <c r="DZ55" i="31"/>
  <c r="EA55" i="31"/>
  <c r="EB55" i="31"/>
  <c r="EC55" i="31"/>
  <c r="ED55" i="31"/>
  <c r="EE55" i="31"/>
  <c r="EF55" i="31"/>
  <c r="EG55" i="31"/>
  <c r="EH55" i="31"/>
  <c r="EJ55" i="31"/>
  <c r="EK55" i="31"/>
  <c r="EL55" i="31"/>
  <c r="EM55" i="31"/>
  <c r="EN55" i="31"/>
  <c r="EO55" i="31"/>
  <c r="EP55" i="31"/>
  <c r="EQ55" i="31"/>
  <c r="ER55" i="31"/>
  <c r="ES55" i="31"/>
  <c r="EU55" i="31"/>
  <c r="EV55" i="31"/>
  <c r="EW55" i="31"/>
  <c r="EX55" i="31"/>
  <c r="EY55" i="31"/>
  <c r="EZ55" i="31"/>
  <c r="FA55" i="31"/>
  <c r="FB55" i="31"/>
  <c r="FC55" i="31"/>
  <c r="FD55" i="31"/>
  <c r="FF55" i="31"/>
  <c r="FG55" i="31"/>
  <c r="FH55" i="31"/>
  <c r="FI55" i="31"/>
  <c r="FJ55" i="31"/>
  <c r="FK55" i="31"/>
  <c r="FL55" i="31"/>
  <c r="FM55" i="31"/>
  <c r="FN55" i="31"/>
  <c r="FO55" i="31"/>
  <c r="FQ55" i="31"/>
  <c r="FR55" i="31"/>
  <c r="FS55" i="31"/>
  <c r="FT55" i="31"/>
  <c r="FU55" i="31"/>
  <c r="FV55" i="31"/>
  <c r="FW55" i="31"/>
  <c r="FX55" i="31"/>
  <c r="FY55" i="31"/>
  <c r="FZ55" i="31"/>
  <c r="GB55" i="31"/>
  <c r="GC55" i="31"/>
  <c r="GD55" i="31"/>
  <c r="GE55" i="31"/>
  <c r="GF55" i="31"/>
  <c r="GG55" i="31"/>
  <c r="GH55" i="31"/>
  <c r="GI55" i="31"/>
  <c r="GJ55" i="31"/>
  <c r="GK55" i="31"/>
  <c r="GM55" i="31"/>
  <c r="GN55" i="31"/>
  <c r="GO55" i="31"/>
  <c r="GP55" i="31"/>
  <c r="GQ55" i="31"/>
  <c r="GR55" i="31"/>
  <c r="GS55" i="31"/>
  <c r="GT55" i="31"/>
  <c r="GU55" i="31"/>
  <c r="GV55" i="31"/>
  <c r="GX55" i="31"/>
  <c r="GY55" i="31"/>
  <c r="GZ55" i="31"/>
  <c r="HA55" i="31"/>
  <c r="HB55" i="31"/>
  <c r="HC55" i="31"/>
  <c r="HD55" i="31"/>
  <c r="HE55" i="31"/>
  <c r="HF55" i="31"/>
  <c r="HG55" i="31"/>
  <c r="C56" i="31"/>
  <c r="C57" i="31" s="1"/>
  <c r="M56" i="31"/>
  <c r="T56" i="31"/>
  <c r="U56" i="31" s="1"/>
  <c r="V56" i="31"/>
  <c r="AX56" i="31"/>
  <c r="AY56" i="31"/>
  <c r="AZ56" i="31"/>
  <c r="BA56" i="31"/>
  <c r="BB56" i="31"/>
  <c r="CG56" i="31"/>
  <c r="CH56" i="31"/>
  <c r="CI56" i="31"/>
  <c r="CJ56" i="31"/>
  <c r="CK56" i="31"/>
  <c r="CL56" i="31"/>
  <c r="CM56" i="31"/>
  <c r="CN56" i="31"/>
  <c r="CO56" i="31"/>
  <c r="CP56" i="31"/>
  <c r="CR56" i="31"/>
  <c r="CS56" i="31"/>
  <c r="CT56" i="31"/>
  <c r="CU56" i="31"/>
  <c r="CV56" i="31"/>
  <c r="CW56" i="31"/>
  <c r="CX56" i="31"/>
  <c r="CY56" i="31"/>
  <c r="CZ56" i="31"/>
  <c r="DA56" i="31"/>
  <c r="DC56" i="31"/>
  <c r="DD56" i="31"/>
  <c r="DE56" i="31"/>
  <c r="DF56" i="31"/>
  <c r="DG56" i="31"/>
  <c r="DH56" i="31"/>
  <c r="DI56" i="31"/>
  <c r="DJ56" i="31"/>
  <c r="DK56" i="31"/>
  <c r="DL56" i="31"/>
  <c r="DN56" i="31"/>
  <c r="DO56" i="31"/>
  <c r="DP56" i="31"/>
  <c r="DQ56" i="31"/>
  <c r="DR56" i="31"/>
  <c r="DS56" i="31"/>
  <c r="DT56" i="31"/>
  <c r="DU56" i="31"/>
  <c r="DV56" i="31"/>
  <c r="DW56" i="31"/>
  <c r="DY56" i="31"/>
  <c r="DZ56" i="31"/>
  <c r="EA56" i="31"/>
  <c r="EB56" i="31"/>
  <c r="EC56" i="31"/>
  <c r="ED56" i="31"/>
  <c r="EE56" i="31"/>
  <c r="EF56" i="31"/>
  <c r="EG56" i="31"/>
  <c r="EH56" i="31"/>
  <c r="EJ56" i="31"/>
  <c r="EK56" i="31"/>
  <c r="EL56" i="31"/>
  <c r="EM56" i="31"/>
  <c r="EN56" i="31"/>
  <c r="EO56" i="31"/>
  <c r="EP56" i="31"/>
  <c r="EQ56" i="31"/>
  <c r="ER56" i="31"/>
  <c r="ES56" i="31"/>
  <c r="EU56" i="31"/>
  <c r="EV56" i="31"/>
  <c r="EW56" i="31"/>
  <c r="EX56" i="31"/>
  <c r="EY56" i="31"/>
  <c r="EZ56" i="31"/>
  <c r="FA56" i="31"/>
  <c r="FB56" i="31"/>
  <c r="FC56" i="31"/>
  <c r="FD56" i="31"/>
  <c r="FF56" i="31"/>
  <c r="FG56" i="31"/>
  <c r="FH56" i="31"/>
  <c r="FI56" i="31"/>
  <c r="FJ56" i="31"/>
  <c r="FK56" i="31"/>
  <c r="FL56" i="31"/>
  <c r="FM56" i="31"/>
  <c r="FN56" i="31"/>
  <c r="FO56" i="31"/>
  <c r="FQ56" i="31"/>
  <c r="FR56" i="31"/>
  <c r="FS56" i="31"/>
  <c r="FT56" i="31"/>
  <c r="FU56" i="31"/>
  <c r="FV56" i="31"/>
  <c r="FW56" i="31"/>
  <c r="FX56" i="31"/>
  <c r="FY56" i="31"/>
  <c r="FZ56" i="31"/>
  <c r="GB56" i="31"/>
  <c r="GC56" i="31"/>
  <c r="GD56" i="31"/>
  <c r="GE56" i="31"/>
  <c r="GF56" i="31"/>
  <c r="GG56" i="31"/>
  <c r="GH56" i="31"/>
  <c r="GI56" i="31"/>
  <c r="GJ56" i="31"/>
  <c r="GK56" i="31"/>
  <c r="GM56" i="31"/>
  <c r="GN56" i="31"/>
  <c r="GO56" i="31"/>
  <c r="GP56" i="31"/>
  <c r="GQ56" i="31"/>
  <c r="GR56" i="31"/>
  <c r="GS56" i="31"/>
  <c r="GT56" i="31"/>
  <c r="GU56" i="31"/>
  <c r="GV56" i="31"/>
  <c r="GX56" i="31"/>
  <c r="GY56" i="31"/>
  <c r="GZ56" i="31"/>
  <c r="HA56" i="31"/>
  <c r="HB56" i="31"/>
  <c r="HC56" i="31"/>
  <c r="HD56" i="31"/>
  <c r="HE56" i="31"/>
  <c r="HF56" i="31"/>
  <c r="HG56" i="31"/>
  <c r="AX57" i="31"/>
  <c r="AY57" i="31"/>
  <c r="AZ57" i="31"/>
  <c r="BA57" i="31"/>
  <c r="BB57" i="31"/>
  <c r="AX58" i="31"/>
  <c r="AY58" i="31"/>
  <c r="AZ58" i="31"/>
  <c r="BA58" i="31"/>
  <c r="BB58" i="31"/>
  <c r="M61" i="31"/>
  <c r="T61" i="31"/>
  <c r="U61" i="31" s="1"/>
  <c r="V61" i="31"/>
  <c r="AX61" i="31"/>
  <c r="AY61" i="31"/>
  <c r="AZ61" i="31"/>
  <c r="BA61" i="31"/>
  <c r="BB61" i="31"/>
  <c r="M62" i="31"/>
  <c r="T62" i="31"/>
  <c r="U62" i="31" s="1"/>
  <c r="V62" i="31"/>
  <c r="AX62" i="31"/>
  <c r="AY62" i="31"/>
  <c r="AZ62" i="31"/>
  <c r="BA62" i="31"/>
  <c r="BB62" i="31"/>
  <c r="M63" i="31"/>
  <c r="T63" i="31"/>
  <c r="U63" i="31" s="1"/>
  <c r="V63" i="31"/>
  <c r="AX63" i="31"/>
  <c r="AY63" i="31"/>
  <c r="AZ63" i="31"/>
  <c r="BA63" i="31"/>
  <c r="BB63" i="31"/>
  <c r="M64" i="31"/>
  <c r="T64" i="31"/>
  <c r="U64" i="31" s="1"/>
  <c r="V64" i="31"/>
  <c r="AX64" i="31"/>
  <c r="AY64" i="31"/>
  <c r="AZ64" i="31"/>
  <c r="BA64" i="31"/>
  <c r="BB64" i="31"/>
  <c r="M65" i="31"/>
  <c r="T65" i="31"/>
  <c r="U65" i="31" s="1"/>
  <c r="V65" i="31"/>
  <c r="AX65" i="31"/>
  <c r="AY65" i="31"/>
  <c r="AZ65" i="31"/>
  <c r="BA65" i="31"/>
  <c r="BB65" i="31"/>
  <c r="AX66" i="31"/>
  <c r="AY66" i="31"/>
  <c r="AZ66" i="31"/>
  <c r="BA66" i="31"/>
  <c r="BB66" i="31"/>
  <c r="AX67" i="31"/>
  <c r="AY67" i="31"/>
  <c r="AZ67" i="31"/>
  <c r="BA67" i="31"/>
  <c r="BB67" i="31"/>
  <c r="M70" i="31"/>
  <c r="T70" i="31"/>
  <c r="U70" i="31" s="1"/>
  <c r="V70" i="31"/>
  <c r="AX70" i="31"/>
  <c r="AY70" i="31"/>
  <c r="AZ70" i="31"/>
  <c r="BA70" i="31"/>
  <c r="BB70" i="31"/>
  <c r="M71" i="31"/>
  <c r="T71" i="31"/>
  <c r="U71" i="31" s="1"/>
  <c r="V71" i="31"/>
  <c r="AX71" i="31"/>
  <c r="AY71" i="31"/>
  <c r="AZ71" i="31"/>
  <c r="BA71" i="31"/>
  <c r="BB71" i="31"/>
  <c r="M72" i="31"/>
  <c r="T72" i="31"/>
  <c r="U72" i="31" s="1"/>
  <c r="V72" i="31"/>
  <c r="AX72" i="31"/>
  <c r="AY72" i="31"/>
  <c r="AZ72" i="31"/>
  <c r="BA72" i="31"/>
  <c r="BB72" i="31"/>
  <c r="M73" i="31"/>
  <c r="T73" i="31"/>
  <c r="U73" i="31" s="1"/>
  <c r="V73" i="31"/>
  <c r="AX73" i="31"/>
  <c r="AY73" i="31"/>
  <c r="AZ73" i="31"/>
  <c r="BA73" i="31"/>
  <c r="BB73" i="31"/>
  <c r="M74" i="31"/>
  <c r="T74" i="31"/>
  <c r="U74" i="31" s="1"/>
  <c r="V74" i="31"/>
  <c r="AX74" i="31"/>
  <c r="AY74" i="31"/>
  <c r="AZ74" i="31"/>
  <c r="BA74" i="31"/>
  <c r="BB74" i="31"/>
  <c r="AX75" i="31"/>
  <c r="AY75" i="31"/>
  <c r="AZ75" i="31"/>
  <c r="BA75" i="31"/>
  <c r="BB75" i="31"/>
  <c r="AX76" i="31"/>
  <c r="AY76" i="31"/>
  <c r="AZ76" i="31"/>
  <c r="BA76" i="31"/>
  <c r="BB76" i="31"/>
  <c r="M79" i="31"/>
  <c r="T79" i="31"/>
  <c r="U79" i="31" s="1"/>
  <c r="V79" i="31"/>
  <c r="AX79" i="31"/>
  <c r="AY79" i="31"/>
  <c r="AZ79" i="31"/>
  <c r="BA79" i="31"/>
  <c r="BB79" i="31"/>
  <c r="M80" i="31"/>
  <c r="T80" i="31"/>
  <c r="U80" i="31" s="1"/>
  <c r="V80" i="31"/>
  <c r="AX80" i="31"/>
  <c r="AY80" i="31"/>
  <c r="AZ80" i="31"/>
  <c r="BA80" i="31"/>
  <c r="BB80" i="31"/>
  <c r="M81" i="31"/>
  <c r="T81" i="31"/>
  <c r="U81" i="31" s="1"/>
  <c r="V81" i="31"/>
  <c r="AX81" i="31"/>
  <c r="AY81" i="31"/>
  <c r="AZ81" i="31"/>
  <c r="BA81" i="31"/>
  <c r="BB81" i="31"/>
  <c r="M82" i="31"/>
  <c r="T82" i="31"/>
  <c r="U82" i="31" s="1"/>
  <c r="V82" i="31"/>
  <c r="AX82" i="31"/>
  <c r="AY82" i="31"/>
  <c r="AZ82" i="31"/>
  <c r="BA82" i="31"/>
  <c r="BB82" i="31"/>
  <c r="M83" i="31"/>
  <c r="T83" i="31"/>
  <c r="U83" i="31" s="1"/>
  <c r="V83" i="31"/>
  <c r="AX83" i="31"/>
  <c r="AY83" i="31"/>
  <c r="AZ83" i="31"/>
  <c r="BA83" i="31"/>
  <c r="BB83" i="31"/>
  <c r="AX84" i="31"/>
  <c r="AY84" i="31"/>
  <c r="AZ84" i="31"/>
  <c r="BA84" i="31"/>
  <c r="BB84" i="31"/>
  <c r="AX85" i="31"/>
  <c r="AY85" i="31"/>
  <c r="AZ85" i="31"/>
  <c r="BA85" i="31"/>
  <c r="BB85" i="31"/>
  <c r="M88" i="31"/>
  <c r="T88" i="31"/>
  <c r="U88" i="31" s="1"/>
  <c r="V88" i="31"/>
  <c r="AX88" i="31"/>
  <c r="AY88" i="31"/>
  <c r="AZ88" i="31"/>
  <c r="BA88" i="31"/>
  <c r="BB88" i="31"/>
  <c r="M89" i="31"/>
  <c r="T89" i="31"/>
  <c r="U89" i="31" s="1"/>
  <c r="V89" i="31"/>
  <c r="AX89" i="31"/>
  <c r="AY89" i="31"/>
  <c r="AZ89" i="31"/>
  <c r="BA89" i="31"/>
  <c r="BB89" i="31"/>
  <c r="M90" i="31"/>
  <c r="T90" i="31"/>
  <c r="U90" i="31" s="1"/>
  <c r="V90" i="31"/>
  <c r="AX90" i="31"/>
  <c r="AY90" i="31"/>
  <c r="AZ90" i="31"/>
  <c r="BA90" i="31"/>
  <c r="BB90" i="31"/>
  <c r="M91" i="31"/>
  <c r="T91" i="31"/>
  <c r="U91" i="31" s="1"/>
  <c r="V91" i="31"/>
  <c r="AX91" i="31"/>
  <c r="AY91" i="31"/>
  <c r="AZ91" i="31"/>
  <c r="BA91" i="31"/>
  <c r="BB91" i="31"/>
  <c r="M92" i="31"/>
  <c r="T92" i="31"/>
  <c r="U92" i="31" s="1"/>
  <c r="V92" i="31"/>
  <c r="AX92" i="31"/>
  <c r="AY92" i="31"/>
  <c r="AZ92" i="31"/>
  <c r="BA92" i="31"/>
  <c r="BB92" i="31"/>
  <c r="AX93" i="31"/>
  <c r="AY93" i="31"/>
  <c r="AZ93" i="31"/>
  <c r="BA93" i="31"/>
  <c r="BB93" i="31"/>
  <c r="AX94" i="31"/>
  <c r="AY94" i="31"/>
  <c r="AZ94" i="31"/>
  <c r="BA94" i="31"/>
  <c r="BB94" i="31"/>
  <c r="M97" i="31"/>
  <c r="T97" i="31"/>
  <c r="U97" i="31" s="1"/>
  <c r="V97" i="31"/>
  <c r="AX97" i="31"/>
  <c r="AY97" i="31"/>
  <c r="AZ97" i="31"/>
  <c r="BA97" i="31"/>
  <c r="BB97" i="31"/>
  <c r="M98" i="31"/>
  <c r="T98" i="31"/>
  <c r="U98" i="31" s="1"/>
  <c r="V98" i="31"/>
  <c r="AX98" i="31"/>
  <c r="AY98" i="31"/>
  <c r="AZ98" i="31"/>
  <c r="BA98" i="31"/>
  <c r="BB98" i="31"/>
  <c r="M99" i="31"/>
  <c r="T99" i="31"/>
  <c r="U99" i="31" s="1"/>
  <c r="V99" i="31"/>
  <c r="AX99" i="31"/>
  <c r="AY99" i="31"/>
  <c r="AZ99" i="31"/>
  <c r="BA99" i="31"/>
  <c r="BB99" i="31"/>
  <c r="M100" i="31"/>
  <c r="T100" i="31"/>
  <c r="U100" i="31" s="1"/>
  <c r="V100" i="31"/>
  <c r="AX100" i="31"/>
  <c r="AY100" i="31"/>
  <c r="AZ100" i="31"/>
  <c r="BA100" i="31"/>
  <c r="BB100" i="31"/>
  <c r="M101" i="31"/>
  <c r="T101" i="31"/>
  <c r="U101" i="31" s="1"/>
  <c r="V101" i="31"/>
  <c r="AX101" i="31"/>
  <c r="AY101" i="31"/>
  <c r="AZ101" i="31"/>
  <c r="BA101" i="31"/>
  <c r="BB101" i="31"/>
  <c r="AX102" i="31"/>
  <c r="AY102" i="31"/>
  <c r="AZ102" i="31"/>
  <c r="BA102" i="31"/>
  <c r="BB102" i="31"/>
  <c r="AX103" i="31"/>
  <c r="AY103" i="31"/>
  <c r="AZ103" i="31"/>
  <c r="BA103" i="31"/>
  <c r="BB103" i="31"/>
  <c r="M106" i="31"/>
  <c r="T106" i="31"/>
  <c r="U106" i="31" s="1"/>
  <c r="V106" i="31"/>
  <c r="AX106" i="31"/>
  <c r="AY106" i="31"/>
  <c r="AZ106" i="31"/>
  <c r="BA106" i="31"/>
  <c r="BB106" i="31"/>
  <c r="M107" i="31"/>
  <c r="T107" i="31"/>
  <c r="U107" i="31" s="1"/>
  <c r="V107" i="31"/>
  <c r="AX107" i="31"/>
  <c r="AY107" i="31"/>
  <c r="AZ107" i="31"/>
  <c r="BA107" i="31"/>
  <c r="BB107" i="31"/>
  <c r="M108" i="31"/>
  <c r="T108" i="31"/>
  <c r="U108" i="31" s="1"/>
  <c r="V108" i="31"/>
  <c r="AX108" i="31"/>
  <c r="AY108" i="31"/>
  <c r="AZ108" i="31"/>
  <c r="BA108" i="31"/>
  <c r="BB108" i="31"/>
  <c r="M109" i="31"/>
  <c r="T109" i="31"/>
  <c r="U109" i="31" s="1"/>
  <c r="V109" i="31"/>
  <c r="AX109" i="31"/>
  <c r="AY109" i="31"/>
  <c r="AZ109" i="31"/>
  <c r="BA109" i="31"/>
  <c r="BB109" i="31"/>
  <c r="M110" i="31"/>
  <c r="T110" i="31"/>
  <c r="U110" i="31" s="1"/>
  <c r="V110" i="31"/>
  <c r="AX110" i="31"/>
  <c r="AY110" i="31"/>
  <c r="AZ110" i="31"/>
  <c r="BA110" i="31"/>
  <c r="BB110" i="31"/>
  <c r="AX111" i="31"/>
  <c r="AY111" i="31"/>
  <c r="AZ111" i="31"/>
  <c r="BA111" i="31"/>
  <c r="BB111" i="31"/>
  <c r="AX112" i="31"/>
  <c r="AY112" i="31"/>
  <c r="AZ112" i="31"/>
  <c r="BA112" i="31"/>
  <c r="BB112" i="31"/>
  <c r="E8" i="35"/>
  <c r="G8" i="35" s="1"/>
  <c r="E9" i="35"/>
  <c r="G9" i="35" s="1"/>
  <c r="E10" i="35"/>
  <c r="G10" i="35" s="1"/>
  <c r="E11" i="35"/>
  <c r="G11" i="35" s="1"/>
  <c r="E12" i="35"/>
  <c r="G12" i="35" s="1"/>
  <c r="E14" i="35"/>
  <c r="G14" i="35" s="1"/>
  <c r="E15" i="35"/>
  <c r="G15" i="35" s="1"/>
  <c r="E16" i="35"/>
  <c r="G16" i="35" s="1"/>
  <c r="E17" i="35"/>
  <c r="G17" i="35" s="1"/>
  <c r="E18" i="35"/>
  <c r="G18" i="35" s="1"/>
  <c r="E19" i="35"/>
  <c r="G19" i="35" s="1"/>
  <c r="E20" i="35"/>
  <c r="G20" i="35" s="1"/>
  <c r="E21" i="35"/>
  <c r="G21" i="35" s="1"/>
  <c r="E22" i="35"/>
  <c r="G22" i="35" s="1"/>
  <c r="E23" i="35"/>
  <c r="G23" i="35" s="1"/>
  <c r="E24" i="35"/>
  <c r="G24" i="35" s="1"/>
  <c r="E29" i="35"/>
  <c r="E30" i="35"/>
  <c r="W30" i="35" s="1"/>
  <c r="E31" i="35"/>
  <c r="E32" i="35"/>
  <c r="A37" i="35"/>
  <c r="G37" i="35"/>
  <c r="H37" i="35" s="1"/>
  <c r="A38" i="35"/>
  <c r="G38" i="35"/>
  <c r="H38" i="35" s="1"/>
  <c r="A39" i="35"/>
  <c r="G39" i="35"/>
  <c r="H39" i="35" s="1"/>
  <c r="A40" i="35"/>
  <c r="G40" i="35"/>
  <c r="H40" i="35" s="1"/>
  <c r="A41" i="35"/>
  <c r="G41" i="35"/>
  <c r="H41" i="35" s="1"/>
  <c r="G7" i="30"/>
  <c r="G39" i="30"/>
  <c r="E45" i="30"/>
  <c r="AD45" i="30" s="1"/>
  <c r="E46" i="30"/>
  <c r="AD46" i="30" s="1"/>
  <c r="E47" i="30"/>
  <c r="AD47" i="30" s="1"/>
  <c r="A51" i="30"/>
  <c r="G52" i="30"/>
  <c r="H52" i="30" s="1"/>
  <c r="BB131" i="22" s="1"/>
  <c r="A52" i="30"/>
  <c r="G53" i="30"/>
  <c r="H53" i="30" s="1"/>
  <c r="A53" i="30"/>
  <c r="G54" i="30"/>
  <c r="H54" i="30" s="1"/>
  <c r="BB133" i="22" s="1"/>
  <c r="A54" i="30"/>
  <c r="G55" i="30"/>
  <c r="H55" i="30" s="1"/>
  <c r="BB134" i="22" s="1"/>
  <c r="A55" i="30"/>
  <c r="G56" i="30"/>
  <c r="H56" i="30" s="1"/>
  <c r="BB135" i="22" s="1"/>
  <c r="B11" i="29"/>
  <c r="B21" i="29"/>
  <c r="B22" i="29"/>
  <c r="B23" i="29"/>
  <c r="B24" i="29"/>
  <c r="B25" i="29"/>
  <c r="B26" i="29"/>
  <c r="B27" i="29"/>
  <c r="B28" i="29"/>
  <c r="B29" i="29"/>
  <c r="F12" i="33"/>
  <c r="G12" i="33" s="1"/>
  <c r="H12" i="33"/>
  <c r="I12" i="33" s="1"/>
  <c r="J12" i="33"/>
  <c r="K12" i="33" s="1"/>
  <c r="F13" i="33"/>
  <c r="G13" i="33" s="1"/>
  <c r="H13" i="33"/>
  <c r="I13" i="33" s="1"/>
  <c r="J13" i="33"/>
  <c r="K13" i="33" s="1"/>
  <c r="F14" i="33"/>
  <c r="G14" i="33" s="1"/>
  <c r="H14" i="33"/>
  <c r="I14" i="33" s="1"/>
  <c r="J14" i="33"/>
  <c r="K14" i="33" s="1"/>
  <c r="X14" i="33"/>
  <c r="F15" i="33"/>
  <c r="G15" i="33" s="1"/>
  <c r="H15" i="33"/>
  <c r="I15" i="33" s="1"/>
  <c r="J15" i="33"/>
  <c r="K15" i="33" s="1"/>
  <c r="F16" i="33"/>
  <c r="G16" i="33" s="1"/>
  <c r="H16" i="33"/>
  <c r="I16" i="33" s="1"/>
  <c r="J16" i="33"/>
  <c r="K16" i="33" s="1"/>
  <c r="F17" i="33"/>
  <c r="G17" i="33" s="1"/>
  <c r="H17" i="33"/>
  <c r="I17" i="33" s="1"/>
  <c r="J17" i="33"/>
  <c r="K17" i="33" s="1"/>
  <c r="F18" i="33"/>
  <c r="G18" i="33" s="1"/>
  <c r="H18" i="33"/>
  <c r="J18" i="33"/>
  <c r="K18" i="33" s="1"/>
  <c r="F19" i="33"/>
  <c r="G19" i="33" s="1"/>
  <c r="H19" i="33"/>
  <c r="I19" i="33" s="1"/>
  <c r="J19" i="33"/>
  <c r="K19" i="33" s="1"/>
  <c r="F20" i="33"/>
  <c r="G20" i="33" s="1"/>
  <c r="H20" i="33"/>
  <c r="I20" i="33" s="1"/>
  <c r="J20" i="33"/>
  <c r="K20" i="33" s="1"/>
  <c r="F21" i="33"/>
  <c r="G21" i="33" s="1"/>
  <c r="H21" i="33"/>
  <c r="I21" i="33" s="1"/>
  <c r="J21" i="33"/>
  <c r="K21" i="33" s="1"/>
  <c r="F22" i="33"/>
  <c r="G22" i="33" s="1"/>
  <c r="H22" i="33"/>
  <c r="J22" i="33"/>
  <c r="K22" i="33" s="1"/>
  <c r="F23" i="33"/>
  <c r="G23" i="33" s="1"/>
  <c r="H23" i="33"/>
  <c r="I23" i="33" s="1"/>
  <c r="J23" i="33"/>
  <c r="K23" i="33" s="1"/>
  <c r="F24" i="33"/>
  <c r="H24" i="33"/>
  <c r="I24" i="33" s="1"/>
  <c r="J24" i="33"/>
  <c r="K24" i="33" s="1"/>
  <c r="F25" i="33"/>
  <c r="G25" i="33" s="1"/>
  <c r="H25" i="33"/>
  <c r="I25" i="33" s="1"/>
  <c r="J25" i="33"/>
  <c r="K25" i="33" s="1"/>
  <c r="F26" i="33"/>
  <c r="G26" i="33" s="1"/>
  <c r="H26" i="33"/>
  <c r="J26" i="33"/>
  <c r="K26" i="33" s="1"/>
  <c r="C27" i="33"/>
  <c r="Z19" i="33" s="1"/>
  <c r="L31" i="33"/>
  <c r="L32" i="33"/>
  <c r="L33" i="33"/>
  <c r="L34" i="33"/>
  <c r="L46" i="33" s="1"/>
  <c r="Z18" i="33" s="1"/>
  <c r="L35" i="33"/>
  <c r="L36" i="33"/>
  <c r="L37" i="33"/>
  <c r="L38" i="33"/>
  <c r="L39" i="33"/>
  <c r="L40" i="33"/>
  <c r="L41" i="33"/>
  <c r="L42" i="33"/>
  <c r="L43" i="33"/>
  <c r="L44" i="33"/>
  <c r="L45" i="33"/>
  <c r="D50" i="33"/>
  <c r="E50" i="33" s="1"/>
  <c r="D51" i="33"/>
  <c r="E51" i="33" s="1"/>
  <c r="D52" i="33"/>
  <c r="E52" i="33" s="1"/>
  <c r="D53" i="33"/>
  <c r="E53" i="33" s="1"/>
  <c r="D54" i="33"/>
  <c r="E54" i="33" s="1"/>
  <c r="C57" i="33"/>
  <c r="F63" i="33"/>
  <c r="G63" i="33" s="1"/>
  <c r="H63" i="33"/>
  <c r="J63" i="33"/>
  <c r="K63" i="33" s="1"/>
  <c r="F64" i="33"/>
  <c r="H64" i="33"/>
  <c r="I64" i="33" s="1"/>
  <c r="J64" i="33"/>
  <c r="K64" i="33" s="1"/>
  <c r="F65" i="33"/>
  <c r="G65" i="33" s="1"/>
  <c r="H65" i="33"/>
  <c r="J65" i="33"/>
  <c r="K65" i="33" s="1"/>
  <c r="F66" i="33"/>
  <c r="G66" i="33" s="1"/>
  <c r="H66" i="33"/>
  <c r="I66" i="33" s="1"/>
  <c r="J66" i="33"/>
  <c r="K66" i="33" s="1"/>
  <c r="F67" i="33"/>
  <c r="G67" i="33" s="1"/>
  <c r="H67" i="33"/>
  <c r="I67" i="33" s="1"/>
  <c r="J67" i="33"/>
  <c r="K67" i="33" s="1"/>
  <c r="F68" i="33"/>
  <c r="G68" i="33" s="1"/>
  <c r="H68" i="33"/>
  <c r="I68" i="33" s="1"/>
  <c r="J68" i="33"/>
  <c r="K68" i="33" s="1"/>
  <c r="F69" i="33"/>
  <c r="G69" i="33" s="1"/>
  <c r="H69" i="33"/>
  <c r="J69" i="33"/>
  <c r="K69" i="33" s="1"/>
  <c r="F70" i="33"/>
  <c r="G70" i="33" s="1"/>
  <c r="H70" i="33"/>
  <c r="I70" i="33" s="1"/>
  <c r="J70" i="33"/>
  <c r="K70" i="33" s="1"/>
  <c r="F71" i="33"/>
  <c r="G71" i="33" s="1"/>
  <c r="H71" i="33"/>
  <c r="I71" i="33" s="1"/>
  <c r="J71" i="33"/>
  <c r="K71" i="33" s="1"/>
  <c r="F72" i="33"/>
  <c r="H72" i="33"/>
  <c r="I72" i="33" s="1"/>
  <c r="J72" i="33"/>
  <c r="K72" i="33" s="1"/>
  <c r="C73" i="33"/>
  <c r="L77" i="33"/>
  <c r="L78" i="33"/>
  <c r="L79" i="33"/>
  <c r="O79" i="33"/>
  <c r="L80" i="33"/>
  <c r="O80" i="33" s="1"/>
  <c r="L81" i="33"/>
  <c r="L82" i="33"/>
  <c r="O82" i="33" s="1"/>
  <c r="L83" i="33"/>
  <c r="O83" i="33" s="1"/>
  <c r="L84" i="33"/>
  <c r="L85" i="33"/>
  <c r="O85" i="33"/>
  <c r="L86" i="33"/>
  <c r="O86" i="33" s="1"/>
  <c r="D91" i="33"/>
  <c r="E91" i="33" s="1"/>
  <c r="CE91" i="33"/>
  <c r="CF91" i="33"/>
  <c r="D92" i="33"/>
  <c r="E92" i="33" s="1"/>
  <c r="O92" i="33" s="1"/>
  <c r="CE92" i="33"/>
  <c r="CF92" i="33"/>
  <c r="D93" i="33"/>
  <c r="E93" i="33" s="1"/>
  <c r="O93" i="33" s="1"/>
  <c r="CE93" i="33"/>
  <c r="CF93" i="33"/>
  <c r="D94" i="33"/>
  <c r="E94" i="33" s="1"/>
  <c r="O94" i="33" s="1"/>
  <c r="CE94" i="33"/>
  <c r="CF94" i="33"/>
  <c r="D95" i="33"/>
  <c r="E95" i="33" s="1"/>
  <c r="CE95" i="33"/>
  <c r="CF95" i="33"/>
  <c r="H16" i="42"/>
  <c r="I16" i="42" s="1"/>
  <c r="J16" i="42"/>
  <c r="K16" i="42" s="1"/>
  <c r="H17" i="42"/>
  <c r="I17" i="42" s="1"/>
  <c r="J17" i="42"/>
  <c r="K17" i="42" s="1"/>
  <c r="H18" i="42"/>
  <c r="I18" i="42" s="1"/>
  <c r="J18" i="42"/>
  <c r="K18" i="42" s="1"/>
  <c r="F19" i="42"/>
  <c r="G19" i="42" s="1"/>
  <c r="H19" i="42"/>
  <c r="I19" i="42" s="1"/>
  <c r="J19" i="42"/>
  <c r="K19" i="42" s="1"/>
  <c r="F20" i="42"/>
  <c r="G20" i="42" s="1"/>
  <c r="H20" i="42"/>
  <c r="I20" i="42" s="1"/>
  <c r="J20" i="42"/>
  <c r="K20" i="42" s="1"/>
  <c r="F21" i="42"/>
  <c r="G21" i="42" s="1"/>
  <c r="H21" i="42"/>
  <c r="J21" i="42"/>
  <c r="K21" i="42" s="1"/>
  <c r="F22" i="42"/>
  <c r="H22" i="42"/>
  <c r="I22" i="42" s="1"/>
  <c r="J22" i="42"/>
  <c r="K22" i="42" s="1"/>
  <c r="F23" i="42"/>
  <c r="G23" i="42" s="1"/>
  <c r="H23" i="42"/>
  <c r="J23" i="42"/>
  <c r="K23" i="42" s="1"/>
  <c r="F24" i="42"/>
  <c r="G24" i="42" s="1"/>
  <c r="H24" i="42"/>
  <c r="I24" i="42" s="1"/>
  <c r="J24" i="42"/>
  <c r="K24" i="42" s="1"/>
  <c r="F25" i="42"/>
  <c r="G25" i="42" s="1"/>
  <c r="H25" i="42"/>
  <c r="J25" i="42"/>
  <c r="K25" i="42" s="1"/>
  <c r="F26" i="42"/>
  <c r="H26" i="42"/>
  <c r="I26" i="42" s="1"/>
  <c r="J26" i="42"/>
  <c r="K26" i="42" s="1"/>
  <c r="L31" i="42"/>
  <c r="L32" i="42"/>
  <c r="L33" i="42"/>
  <c r="L34" i="42"/>
  <c r="L35" i="42"/>
  <c r="L36" i="42"/>
  <c r="L37" i="42"/>
  <c r="L39" i="42"/>
  <c r="L40" i="42"/>
  <c r="L41" i="42"/>
  <c r="L42" i="42"/>
  <c r="L43" i="42"/>
  <c r="L44" i="42"/>
  <c r="L45" i="42"/>
  <c r="D50" i="42"/>
  <c r="E50" i="42" s="1"/>
  <c r="D51" i="42"/>
  <c r="E51" i="42" s="1"/>
  <c r="D52" i="42"/>
  <c r="E52" i="42" s="1"/>
  <c r="D53" i="42"/>
  <c r="E53" i="42" s="1"/>
  <c r="D54" i="42"/>
  <c r="E54" i="42" s="1"/>
  <c r="F65" i="42"/>
  <c r="G65" i="42" s="1"/>
  <c r="H65" i="42"/>
  <c r="I65" i="42" s="1"/>
  <c r="J65" i="42"/>
  <c r="K65" i="42" s="1"/>
  <c r="F66" i="42"/>
  <c r="G66" i="42" s="1"/>
  <c r="H66" i="42"/>
  <c r="J66" i="42"/>
  <c r="K66" i="42" s="1"/>
  <c r="F67" i="42"/>
  <c r="G67" i="42" s="1"/>
  <c r="H67" i="42"/>
  <c r="I67" i="42" s="1"/>
  <c r="J67" i="42"/>
  <c r="K67" i="42" s="1"/>
  <c r="F68" i="42"/>
  <c r="G68" i="42" s="1"/>
  <c r="H68" i="42"/>
  <c r="J68" i="42"/>
  <c r="K68" i="42" s="1"/>
  <c r="F69" i="42"/>
  <c r="G69" i="42" s="1"/>
  <c r="H69" i="42"/>
  <c r="I69" i="42" s="1"/>
  <c r="J69" i="42"/>
  <c r="K69" i="42" s="1"/>
  <c r="F70" i="42"/>
  <c r="G70" i="42" s="1"/>
  <c r="H70" i="42"/>
  <c r="I70" i="42" s="1"/>
  <c r="J70" i="42"/>
  <c r="K70" i="42" s="1"/>
  <c r="F71" i="42"/>
  <c r="H71" i="42"/>
  <c r="I71" i="42" s="1"/>
  <c r="J71" i="42"/>
  <c r="K71" i="42" s="1"/>
  <c r="F72" i="42"/>
  <c r="G72" i="42" s="1"/>
  <c r="H72" i="42"/>
  <c r="I72" i="42" s="1"/>
  <c r="J72" i="42"/>
  <c r="K72" i="42" s="1"/>
  <c r="C73" i="42"/>
  <c r="L77" i="42"/>
  <c r="L78" i="42"/>
  <c r="L79" i="42"/>
  <c r="L80" i="42"/>
  <c r="L81" i="42"/>
  <c r="L82" i="42"/>
  <c r="L83" i="42"/>
  <c r="L84" i="42"/>
  <c r="L85" i="42"/>
  <c r="L86" i="42"/>
  <c r="D91" i="42"/>
  <c r="E91" i="42" s="1"/>
  <c r="CF91" i="42"/>
  <c r="CG91" i="42"/>
  <c r="D92" i="42"/>
  <c r="E92" i="42" s="1"/>
  <c r="CF92" i="42"/>
  <c r="CG92" i="42"/>
  <c r="D93" i="42"/>
  <c r="E93" i="42" s="1"/>
  <c r="CF93" i="42"/>
  <c r="CG93" i="42"/>
  <c r="D94" i="42"/>
  <c r="E94" i="42" s="1"/>
  <c r="CF94" i="42"/>
  <c r="CG94" i="42"/>
  <c r="D95" i="42"/>
  <c r="E95" i="42" s="1"/>
  <c r="CF95" i="42"/>
  <c r="CG95" i="42"/>
  <c r="O6" i="26"/>
  <c r="Q6" i="26" s="1"/>
  <c r="S6" i="26"/>
  <c r="T6" i="26"/>
  <c r="O7" i="26"/>
  <c r="Q7" i="26" s="1"/>
  <c r="S7" i="26"/>
  <c r="T7" i="26"/>
  <c r="O11" i="26"/>
  <c r="Q11" i="26" s="1"/>
  <c r="S11" i="26"/>
  <c r="T11" i="26"/>
  <c r="O12" i="26"/>
  <c r="Q12" i="26" s="1"/>
  <c r="S12" i="26"/>
  <c r="T12" i="26"/>
  <c r="O13" i="26"/>
  <c r="Q13" i="26" s="1"/>
  <c r="S13" i="26"/>
  <c r="T13" i="26"/>
  <c r="O14" i="26"/>
  <c r="Q14" i="26" s="1"/>
  <c r="S14" i="26"/>
  <c r="T14" i="26"/>
  <c r="S16" i="26"/>
  <c r="O17" i="26"/>
  <c r="Q17" i="26" s="1"/>
  <c r="S17" i="26"/>
  <c r="T17" i="26"/>
  <c r="O18" i="26"/>
  <c r="Q18" i="26" s="1"/>
  <c r="S18" i="26"/>
  <c r="T18" i="26"/>
  <c r="O19" i="26"/>
  <c r="Q19" i="26"/>
  <c r="S19" i="26"/>
  <c r="T19" i="26"/>
  <c r="O20" i="26"/>
  <c r="Q20" i="26"/>
  <c r="O21" i="26"/>
  <c r="Q21" i="26"/>
  <c r="S21" i="26"/>
  <c r="T21" i="26"/>
  <c r="O22" i="26"/>
  <c r="Q22" i="26"/>
  <c r="S22" i="26"/>
  <c r="T22" i="26"/>
  <c r="O23" i="26"/>
  <c r="Q23" i="26"/>
  <c r="S23" i="26"/>
  <c r="T23" i="26"/>
  <c r="O24" i="26"/>
  <c r="Q24" i="26"/>
  <c r="S24" i="26"/>
  <c r="T24" i="26"/>
  <c r="O25" i="26"/>
  <c r="Q25" i="26"/>
  <c r="S25" i="26"/>
  <c r="T25" i="26"/>
  <c r="N33" i="26"/>
  <c r="P33" i="26" s="1"/>
  <c r="AD33" i="26" s="1"/>
  <c r="J64" i="42" s="1"/>
  <c r="K64" i="42" s="1"/>
  <c r="S33" i="26"/>
  <c r="T33" i="26"/>
  <c r="AB33" i="26"/>
  <c r="N34" i="26"/>
  <c r="P34" i="26" s="1"/>
  <c r="AD34" i="26" s="1"/>
  <c r="R34" i="26"/>
  <c r="O34" i="26" s="1"/>
  <c r="AC34" i="26" s="1"/>
  <c r="S34" i="26"/>
  <c r="T34" i="26"/>
  <c r="AB34" i="26"/>
  <c r="N35" i="26"/>
  <c r="P35" i="26" s="1"/>
  <c r="AD35" i="26" s="1"/>
  <c r="R35" i="26"/>
  <c r="O35" i="26" s="1"/>
  <c r="AC35" i="26" s="1"/>
  <c r="S35" i="26"/>
  <c r="T35" i="26"/>
  <c r="AB35" i="26"/>
  <c r="N36" i="26"/>
  <c r="P36" i="26" s="1"/>
  <c r="AD36" i="26" s="1"/>
  <c r="Q36" i="26"/>
  <c r="R36" i="26"/>
  <c r="O36" i="26" s="1"/>
  <c r="AC36" i="26" s="1"/>
  <c r="S36" i="26"/>
  <c r="T36" i="26"/>
  <c r="AB36" i="26"/>
  <c r="N37" i="26"/>
  <c r="P37" i="26" s="1"/>
  <c r="AD37" i="26" s="1"/>
  <c r="Q37" i="26"/>
  <c r="R37" i="26"/>
  <c r="O37" i="26" s="1"/>
  <c r="AC37" i="26" s="1"/>
  <c r="S37" i="26"/>
  <c r="T37" i="26"/>
  <c r="AB37" i="26"/>
  <c r="N38" i="26"/>
  <c r="P38" i="26" s="1"/>
  <c r="AD38" i="26" s="1"/>
  <c r="Q38" i="26"/>
  <c r="R38" i="26"/>
  <c r="O38" i="26" s="1"/>
  <c r="AC38" i="26" s="1"/>
  <c r="S38" i="26"/>
  <c r="T38" i="26"/>
  <c r="AB38" i="26"/>
  <c r="N39" i="26"/>
  <c r="P39" i="26" s="1"/>
  <c r="AD39" i="26" s="1"/>
  <c r="Q39" i="26"/>
  <c r="R39" i="26"/>
  <c r="O39" i="26" s="1"/>
  <c r="AC39" i="26" s="1"/>
  <c r="S39" i="26"/>
  <c r="T39" i="26"/>
  <c r="AB39" i="26"/>
  <c r="N40" i="26"/>
  <c r="P40" i="26" s="1"/>
  <c r="AD40" i="26" s="1"/>
  <c r="Q40" i="26"/>
  <c r="R40" i="26"/>
  <c r="O40" i="26" s="1"/>
  <c r="AC40" i="26" s="1"/>
  <c r="S40" i="26"/>
  <c r="T40" i="26"/>
  <c r="AB40" i="26"/>
  <c r="N41" i="26"/>
  <c r="P41" i="26" s="1"/>
  <c r="AD41" i="26" s="1"/>
  <c r="Q41" i="26"/>
  <c r="R41" i="26"/>
  <c r="O41" i="26" s="1"/>
  <c r="AC41" i="26" s="1"/>
  <c r="S41" i="26"/>
  <c r="T41" i="26"/>
  <c r="AB41" i="26"/>
  <c r="N42" i="26"/>
  <c r="P42" i="26" s="1"/>
  <c r="AD42" i="26" s="1"/>
  <c r="Q42" i="26"/>
  <c r="R42" i="26"/>
  <c r="O42" i="26" s="1"/>
  <c r="AC42" i="26" s="1"/>
  <c r="S42" i="26"/>
  <c r="T42" i="26"/>
  <c r="AB42" i="26"/>
  <c r="R52" i="26"/>
  <c r="O52" i="26" s="1"/>
  <c r="Q52" i="26" s="1"/>
  <c r="S52" i="26"/>
  <c r="T52" i="26"/>
  <c r="AB52" i="26"/>
  <c r="R53" i="26"/>
  <c r="O53" i="26" s="1"/>
  <c r="Q53" i="26" s="1"/>
  <c r="AC53" i="26" s="1"/>
  <c r="S53" i="26"/>
  <c r="T53" i="26"/>
  <c r="AB53" i="26"/>
  <c r="R54" i="26"/>
  <c r="O54" i="26" s="1"/>
  <c r="Q54" i="26" s="1"/>
  <c r="AC54" i="26" s="1"/>
  <c r="H63" i="42" s="1"/>
  <c r="S54" i="26"/>
  <c r="T54" i="26"/>
  <c r="AB54" i="26"/>
  <c r="R55" i="26"/>
  <c r="O55" i="26" s="1"/>
  <c r="Q55" i="26" s="1"/>
  <c r="AC55" i="26" s="1"/>
  <c r="H15" i="42" s="1"/>
  <c r="S55" i="26"/>
  <c r="T55" i="26"/>
  <c r="AB55" i="26"/>
  <c r="R56" i="26"/>
  <c r="O56" i="26" s="1"/>
  <c r="Q56" i="26" s="1"/>
  <c r="AC56" i="26" s="1"/>
  <c r="S56" i="26"/>
  <c r="T56" i="26"/>
  <c r="AB56" i="26"/>
  <c r="R57" i="26"/>
  <c r="O57" i="26" s="1"/>
  <c r="Q57" i="26" s="1"/>
  <c r="AC57" i="26" s="1"/>
  <c r="H64" i="42" s="1"/>
  <c r="S57" i="26"/>
  <c r="T57" i="26"/>
  <c r="AB57" i="26"/>
  <c r="R58" i="26"/>
  <c r="O58" i="26" s="1"/>
  <c r="Q58" i="26" s="1"/>
  <c r="AC58" i="26" s="1"/>
  <c r="S58" i="26"/>
  <c r="T58" i="26"/>
  <c r="AB58" i="26"/>
  <c r="R59" i="26"/>
  <c r="O59" i="26" s="1"/>
  <c r="Q59" i="26" s="1"/>
  <c r="AC59" i="26" s="1"/>
  <c r="S59" i="26"/>
  <c r="T59" i="26"/>
  <c r="AB59" i="26"/>
  <c r="R60" i="26"/>
  <c r="O60" i="26" s="1"/>
  <c r="Q60" i="26"/>
  <c r="AC60" i="26" s="1"/>
  <c r="S60" i="26"/>
  <c r="T60" i="26"/>
  <c r="AB60" i="26"/>
  <c r="R61" i="26"/>
  <c r="O61" i="26" s="1"/>
  <c r="Q61" i="26"/>
  <c r="AC61" i="26" s="1"/>
  <c r="S61" i="26"/>
  <c r="T61" i="26"/>
  <c r="AB61" i="26"/>
  <c r="Q62" i="26"/>
  <c r="AC62" i="26" s="1"/>
  <c r="R62" i="26"/>
  <c r="O62" i="26" s="1"/>
  <c r="S62" i="26"/>
  <c r="T62" i="26"/>
  <c r="AB62" i="26"/>
  <c r="Q63" i="26"/>
  <c r="AC63" i="26" s="1"/>
  <c r="R63" i="26"/>
  <c r="O63" i="26" s="1"/>
  <c r="S63" i="26"/>
  <c r="T63" i="26"/>
  <c r="AB63" i="26"/>
  <c r="Q64" i="26"/>
  <c r="AC64" i="26" s="1"/>
  <c r="R64" i="26"/>
  <c r="O64" i="26" s="1"/>
  <c r="S64" i="26"/>
  <c r="T64" i="26"/>
  <c r="AB64" i="26"/>
  <c r="Q65" i="26"/>
  <c r="AC65" i="26" s="1"/>
  <c r="R65" i="26"/>
  <c r="O65" i="26" s="1"/>
  <c r="S65" i="26"/>
  <c r="T65" i="26"/>
  <c r="AB65" i="26"/>
  <c r="Q66" i="26"/>
  <c r="AC66" i="26" s="1"/>
  <c r="R66" i="26"/>
  <c r="O66" i="26" s="1"/>
  <c r="S66" i="26"/>
  <c r="T66" i="26"/>
  <c r="AB66" i="26"/>
  <c r="Q67" i="26"/>
  <c r="AC67" i="26" s="1"/>
  <c r="R67" i="26"/>
  <c r="O67" i="26" s="1"/>
  <c r="S67" i="26"/>
  <c r="T67" i="26"/>
  <c r="AB67" i="26"/>
  <c r="Q68" i="26"/>
  <c r="AC68" i="26" s="1"/>
  <c r="R68" i="26"/>
  <c r="O68" i="26" s="1"/>
  <c r="S68" i="26"/>
  <c r="T68" i="26"/>
  <c r="AB68" i="26"/>
  <c r="Q69" i="26"/>
  <c r="AC69" i="26" s="1"/>
  <c r="R69" i="26"/>
  <c r="O69" i="26" s="1"/>
  <c r="S69" i="26"/>
  <c r="T69" i="26"/>
  <c r="AB69" i="26"/>
  <c r="Q70" i="26"/>
  <c r="AC70" i="26" s="1"/>
  <c r="R70" i="26"/>
  <c r="O70" i="26" s="1"/>
  <c r="S70" i="26"/>
  <c r="T70" i="26"/>
  <c r="AB70" i="26"/>
  <c r="Q71" i="26"/>
  <c r="AC71" i="26" s="1"/>
  <c r="R71" i="26"/>
  <c r="O71" i="26" s="1"/>
  <c r="S71" i="26"/>
  <c r="T71" i="26"/>
  <c r="AB71" i="26"/>
  <c r="S80" i="26"/>
  <c r="T80" i="26"/>
  <c r="O81" i="26"/>
  <c r="Q81" i="26" s="1"/>
  <c r="R81" i="26" s="1"/>
  <c r="S81" i="26"/>
  <c r="T81" i="26"/>
  <c r="O82" i="26"/>
  <c r="Q82" i="26" s="1"/>
  <c r="R82" i="26" s="1"/>
  <c r="S82" i="26"/>
  <c r="T82" i="26"/>
  <c r="O83" i="26"/>
  <c r="Q83" i="26" s="1"/>
  <c r="R83" i="26" s="1"/>
  <c r="S83" i="26"/>
  <c r="T83" i="26"/>
  <c r="O84" i="26"/>
  <c r="Q84" i="26" s="1"/>
  <c r="R84" i="26" s="1"/>
  <c r="S84" i="26"/>
  <c r="T84" i="26"/>
  <c r="O85" i="26"/>
  <c r="Q85" i="26" s="1"/>
  <c r="R85" i="26" s="1"/>
  <c r="S85" i="26"/>
  <c r="T85" i="26"/>
  <c r="O86" i="26"/>
  <c r="Q86" i="26" s="1"/>
  <c r="R86" i="26" s="1"/>
  <c r="S86" i="26"/>
  <c r="T86" i="26"/>
  <c r="O87" i="26"/>
  <c r="Q87" i="26"/>
  <c r="R87" i="26"/>
  <c r="S87" i="26"/>
  <c r="T87" i="26"/>
  <c r="O88" i="26"/>
  <c r="Q88" i="26"/>
  <c r="R88" i="26" s="1"/>
  <c r="S88" i="26"/>
  <c r="T88" i="26"/>
  <c r="O89" i="26"/>
  <c r="Q89" i="26"/>
  <c r="R89" i="26" s="1"/>
  <c r="S89" i="26"/>
  <c r="T89" i="26"/>
  <c r="O90" i="26"/>
  <c r="Q90" i="26"/>
  <c r="R90" i="26" s="1"/>
  <c r="S90" i="26"/>
  <c r="T90" i="26"/>
  <c r="O91" i="26"/>
  <c r="Q91" i="26"/>
  <c r="R91" i="26" s="1"/>
  <c r="S91" i="26"/>
  <c r="T91" i="26"/>
  <c r="O92" i="26"/>
  <c r="Q92" i="26"/>
  <c r="R92" i="26" s="1"/>
  <c r="S92" i="26"/>
  <c r="T92" i="26"/>
  <c r="O93" i="26"/>
  <c r="Q93" i="26"/>
  <c r="R93" i="26" s="1"/>
  <c r="S93" i="26"/>
  <c r="T93" i="26"/>
  <c r="O94" i="26"/>
  <c r="Q94" i="26"/>
  <c r="R94" i="26" s="1"/>
  <c r="S94" i="26"/>
  <c r="T94" i="26"/>
  <c r="O95" i="26"/>
  <c r="Q95" i="26"/>
  <c r="R95" i="26" s="1"/>
  <c r="S95" i="26"/>
  <c r="T95" i="26"/>
  <c r="O96" i="26"/>
  <c r="Q96" i="26"/>
  <c r="R96" i="26" s="1"/>
  <c r="S96" i="26"/>
  <c r="T96" i="26"/>
  <c r="O97" i="26"/>
  <c r="Q97" i="26"/>
  <c r="R97" i="26" s="1"/>
  <c r="S97" i="26"/>
  <c r="T97" i="26"/>
  <c r="O98" i="26"/>
  <c r="Q98" i="26"/>
  <c r="R98" i="26" s="1"/>
  <c r="S98" i="26"/>
  <c r="T98" i="26"/>
  <c r="O99" i="26"/>
  <c r="Q99" i="26"/>
  <c r="R99" i="26" s="1"/>
  <c r="S99" i="26"/>
  <c r="T99" i="26"/>
  <c r="O105" i="26"/>
  <c r="S105" i="26"/>
  <c r="T105" i="26"/>
  <c r="O106" i="26"/>
  <c r="P106" i="26"/>
  <c r="S106" i="26"/>
  <c r="T106" i="26"/>
  <c r="O107" i="26"/>
  <c r="P107" i="26"/>
  <c r="Q107" i="26"/>
  <c r="R107" i="26" s="1"/>
  <c r="S107" i="26"/>
  <c r="T107" i="26"/>
  <c r="O108" i="26"/>
  <c r="P108" i="26"/>
  <c r="Q108" i="26"/>
  <c r="R108" i="26" s="1"/>
  <c r="S108" i="26"/>
  <c r="T108" i="26"/>
  <c r="O109" i="26"/>
  <c r="P109" i="26"/>
  <c r="Q109" i="26"/>
  <c r="R109" i="26" s="1"/>
  <c r="S109" i="26"/>
  <c r="T109" i="26"/>
  <c r="O110" i="26"/>
  <c r="P110" i="26"/>
  <c r="Q110" i="26"/>
  <c r="R110" i="26" s="1"/>
  <c r="S110" i="26"/>
  <c r="T110" i="26"/>
  <c r="O111" i="26"/>
  <c r="P111" i="26"/>
  <c r="Q111" i="26"/>
  <c r="R111" i="26" s="1"/>
  <c r="S111" i="26"/>
  <c r="T111" i="26"/>
  <c r="U19" i="27"/>
  <c r="W19" i="27" s="1"/>
  <c r="I27" i="27"/>
  <c r="J27" i="27"/>
  <c r="U20" i="27"/>
  <c r="W20" i="27" s="1"/>
  <c r="I28" i="27"/>
  <c r="J28" i="27"/>
  <c r="U21" i="27"/>
  <c r="W21" i="27" s="1"/>
  <c r="I29" i="27"/>
  <c r="J29" i="27"/>
  <c r="U22" i="27"/>
  <c r="W22" i="27" s="1"/>
  <c r="I30" i="27"/>
  <c r="J30" i="27"/>
  <c r="U23" i="27"/>
  <c r="W23" i="27" s="1"/>
  <c r="H31" i="27"/>
  <c r="H32" i="27"/>
  <c r="C78" i="36" s="1"/>
  <c r="I32" i="27"/>
  <c r="J32" i="27"/>
  <c r="U25" i="27"/>
  <c r="W25" i="27" s="1"/>
  <c r="T25" i="27" s="1"/>
  <c r="H39" i="27"/>
  <c r="I39" i="27"/>
  <c r="J39" i="27"/>
  <c r="U31" i="27"/>
  <c r="W31" i="27" s="1"/>
  <c r="T31" i="27" s="1"/>
  <c r="I40" i="27"/>
  <c r="J40" i="27"/>
  <c r="U32" i="27"/>
  <c r="W32" i="27" s="1"/>
  <c r="T32" i="27" s="1"/>
  <c r="I41" i="27"/>
  <c r="J41" i="27"/>
  <c r="U33" i="27"/>
  <c r="W33" i="27" s="1"/>
  <c r="I42" i="27"/>
  <c r="J42" i="27"/>
  <c r="U34" i="27"/>
  <c r="W34" i="27" s="1"/>
  <c r="AE46" i="27"/>
  <c r="AF46" i="27" s="1"/>
  <c r="AE47" i="27"/>
  <c r="AF47" i="27" s="1"/>
  <c r="AE48" i="27"/>
  <c r="AB80" i="27"/>
  <c r="R80" i="27" s="1"/>
  <c r="AE49" i="27"/>
  <c r="AF49" i="27" s="1"/>
  <c r="AE50" i="27"/>
  <c r="AB78" i="27" s="1"/>
  <c r="R78" i="27" s="1"/>
  <c r="S94" i="27" s="1"/>
  <c r="AE51" i="27"/>
  <c r="BA15" i="22" s="1"/>
  <c r="AE52" i="27"/>
  <c r="AF52" i="27" s="1"/>
  <c r="AE53" i="27"/>
  <c r="AF53" i="27" s="1"/>
  <c r="F55" i="27"/>
  <c r="AE55" i="27"/>
  <c r="AF55" i="27" s="1"/>
  <c r="AE56" i="27"/>
  <c r="BA25" i="22"/>
  <c r="AE57" i="27"/>
  <c r="AF57" i="27" s="1"/>
  <c r="AE58" i="27"/>
  <c r="AB88" i="27" s="1"/>
  <c r="R88" i="27" s="1"/>
  <c r="AE59" i="27"/>
  <c r="AF59" i="27" s="1"/>
  <c r="AE60" i="27"/>
  <c r="AF60" i="27" s="1"/>
  <c r="F62" i="27"/>
  <c r="AE61" i="27"/>
  <c r="AF61" i="27" s="1"/>
  <c r="AK72" i="27"/>
  <c r="AM66" i="27" s="1"/>
  <c r="AL72" i="27"/>
  <c r="H71" i="27" s="1"/>
  <c r="AH78" i="27"/>
  <c r="AI78" i="27"/>
  <c r="AJ78" i="27"/>
  <c r="AK78" i="27"/>
  <c r="AL78" i="27"/>
  <c r="AF79" i="27"/>
  <c r="AG79" i="27"/>
  <c r="AH79" i="27"/>
  <c r="AK79" i="27"/>
  <c r="AL79" i="27"/>
  <c r="AF80" i="27"/>
  <c r="AG80" i="27"/>
  <c r="AH80" i="27"/>
  <c r="AI80" i="27"/>
  <c r="AJ80" i="27"/>
  <c r="AK80" i="27"/>
  <c r="AL80" i="27"/>
  <c r="AF81" i="27"/>
  <c r="AG81" i="27"/>
  <c r="AH81" i="27"/>
  <c r="AI81" i="27"/>
  <c r="AJ81" i="27"/>
  <c r="AK81" i="27"/>
  <c r="AL81" i="27"/>
  <c r="AF82" i="27"/>
  <c r="AG82" i="27"/>
  <c r="AH82" i="27"/>
  <c r="AI82" i="27"/>
  <c r="AJ82" i="27"/>
  <c r="AK82" i="27"/>
  <c r="AL82" i="27"/>
  <c r="AF83" i="27"/>
  <c r="AG83" i="27"/>
  <c r="AH83" i="27"/>
  <c r="AI83" i="27"/>
  <c r="AJ83" i="27"/>
  <c r="AK83" i="27"/>
  <c r="AL83" i="27"/>
  <c r="AE84" i="27"/>
  <c r="AF84" i="27"/>
  <c r="AG84" i="27"/>
  <c r="AH84" i="27"/>
  <c r="AI84" i="27"/>
  <c r="AJ84" i="27"/>
  <c r="AK84" i="27"/>
  <c r="AL84" i="27"/>
  <c r="AE85" i="27"/>
  <c r="AF85" i="27"/>
  <c r="AG85" i="27"/>
  <c r="AH85" i="27"/>
  <c r="AI85" i="27"/>
  <c r="AJ85" i="27"/>
  <c r="AK85" i="27"/>
  <c r="AL85" i="27"/>
  <c r="AE86" i="27"/>
  <c r="AF86" i="27"/>
  <c r="AG86" i="27"/>
  <c r="AH86" i="27"/>
  <c r="AI86" i="27"/>
  <c r="AJ86" i="27"/>
  <c r="AK86" i="27"/>
  <c r="AL86" i="27"/>
  <c r="AE87" i="27"/>
  <c r="AF87" i="27"/>
  <c r="AG87" i="27"/>
  <c r="AI87" i="27"/>
  <c r="AJ87" i="27"/>
  <c r="AK87" i="27"/>
  <c r="AL87" i="27"/>
  <c r="AE88" i="27"/>
  <c r="AF88" i="27"/>
  <c r="AG88" i="27"/>
  <c r="AH88" i="27"/>
  <c r="AI88" i="27"/>
  <c r="AJ88" i="27"/>
  <c r="AK88" i="27"/>
  <c r="AL88" i="27"/>
  <c r="B27" i="45"/>
  <c r="D27" i="45"/>
  <c r="F27" i="45"/>
  <c r="J27" i="45"/>
  <c r="K27" i="45"/>
  <c r="B28" i="45"/>
  <c r="C28" i="45"/>
  <c r="B29" i="45"/>
  <c r="C29" i="45"/>
  <c r="D29" i="45"/>
  <c r="E29" i="45"/>
  <c r="F29" i="45"/>
  <c r="G29" i="45"/>
  <c r="H29" i="45"/>
  <c r="I29" i="45"/>
  <c r="J29" i="45"/>
  <c r="K29" i="45"/>
  <c r="L29" i="45"/>
  <c r="M29" i="45"/>
  <c r="N29" i="45"/>
  <c r="B30" i="45"/>
  <c r="C30" i="45"/>
  <c r="D30" i="45"/>
  <c r="E30" i="45"/>
  <c r="F30" i="45"/>
  <c r="G30" i="45"/>
  <c r="H30" i="45"/>
  <c r="I30" i="45"/>
  <c r="J30" i="45"/>
  <c r="K30" i="45"/>
  <c r="L30" i="45"/>
  <c r="M30" i="45"/>
  <c r="N30" i="45"/>
  <c r="B31" i="45"/>
  <c r="C31" i="45"/>
  <c r="D31" i="45"/>
  <c r="E31" i="45"/>
  <c r="F31" i="45"/>
  <c r="G31" i="45"/>
  <c r="H31" i="45"/>
  <c r="I31" i="45"/>
  <c r="J31" i="45"/>
  <c r="K31" i="45"/>
  <c r="L31" i="45"/>
  <c r="M31" i="45"/>
  <c r="N31" i="45"/>
  <c r="B32" i="45"/>
  <c r="C32" i="45"/>
  <c r="D32" i="45"/>
  <c r="E32" i="45"/>
  <c r="F32" i="45"/>
  <c r="G32" i="45"/>
  <c r="H32" i="45"/>
  <c r="I32" i="45"/>
  <c r="J32" i="45"/>
  <c r="K32" i="45"/>
  <c r="L32" i="45"/>
  <c r="M32" i="45"/>
  <c r="N32" i="45"/>
  <c r="B33" i="45"/>
  <c r="C33" i="45"/>
  <c r="D33" i="45"/>
  <c r="E33" i="45"/>
  <c r="F33" i="45"/>
  <c r="G33" i="45"/>
  <c r="H33" i="45"/>
  <c r="I33" i="45"/>
  <c r="J33" i="45"/>
  <c r="K33" i="45"/>
  <c r="L33" i="45"/>
  <c r="M33" i="45"/>
  <c r="N33" i="45"/>
  <c r="B34" i="45"/>
  <c r="C34" i="45"/>
  <c r="D34" i="45"/>
  <c r="E34" i="45"/>
  <c r="F34" i="45"/>
  <c r="G34" i="45"/>
  <c r="H34" i="45"/>
  <c r="I34" i="45"/>
  <c r="J34" i="45"/>
  <c r="K34" i="45"/>
  <c r="L34" i="45"/>
  <c r="M34" i="45"/>
  <c r="N34" i="45"/>
  <c r="B35" i="45"/>
  <c r="C35" i="45"/>
  <c r="D35" i="45"/>
  <c r="E35" i="45"/>
  <c r="F35" i="45"/>
  <c r="G35" i="45"/>
  <c r="H35" i="45"/>
  <c r="I35" i="45"/>
  <c r="J35" i="45"/>
  <c r="K35" i="45"/>
  <c r="L35" i="45"/>
  <c r="M35" i="45"/>
  <c r="N35" i="45"/>
  <c r="B36" i="45"/>
  <c r="C36" i="45"/>
  <c r="C47" i="45" s="1"/>
  <c r="D36" i="45"/>
  <c r="E36" i="45"/>
  <c r="F36" i="45"/>
  <c r="G36" i="45"/>
  <c r="H36" i="45"/>
  <c r="I36" i="45"/>
  <c r="J36" i="45"/>
  <c r="K36" i="45"/>
  <c r="L36" i="45"/>
  <c r="M36" i="45"/>
  <c r="N36" i="45"/>
  <c r="B37" i="45"/>
  <c r="D37" i="45"/>
  <c r="E37" i="45"/>
  <c r="F37" i="45"/>
  <c r="G37" i="45"/>
  <c r="H37" i="45"/>
  <c r="I37" i="45"/>
  <c r="J37" i="45"/>
  <c r="K37" i="45"/>
  <c r="L37" i="45"/>
  <c r="M37" i="45"/>
  <c r="N37" i="45"/>
  <c r="B38" i="45"/>
  <c r="C38" i="45"/>
  <c r="D38" i="45"/>
  <c r="E38" i="45"/>
  <c r="F38" i="45"/>
  <c r="F49" i="45" s="1"/>
  <c r="G38" i="45"/>
  <c r="H38" i="45"/>
  <c r="H49" i="45" s="1"/>
  <c r="I38" i="45"/>
  <c r="J38" i="45"/>
  <c r="J49" i="45" s="1"/>
  <c r="K38" i="45"/>
  <c r="K49" i="45" s="1"/>
  <c r="L38" i="45"/>
  <c r="L49" i="45" s="1"/>
  <c r="M38" i="45"/>
  <c r="N38" i="45"/>
  <c r="N49" i="45" s="1"/>
  <c r="B39" i="45"/>
  <c r="C39" i="45"/>
  <c r="C50" i="45" s="1"/>
  <c r="C62" i="45" s="1"/>
  <c r="D39" i="45"/>
  <c r="E39" i="45"/>
  <c r="F39" i="45"/>
  <c r="G39" i="45"/>
  <c r="H39" i="45"/>
  <c r="I39" i="45"/>
  <c r="J39" i="45"/>
  <c r="J50" i="45" s="1"/>
  <c r="J62" i="45" s="1"/>
  <c r="K39" i="45"/>
  <c r="K50" i="45" s="1"/>
  <c r="K62" i="45" s="1"/>
  <c r="L39" i="45"/>
  <c r="L50" i="45" s="1"/>
  <c r="L62" i="45" s="1"/>
  <c r="M39" i="45"/>
  <c r="M50" i="45" s="1"/>
  <c r="M62" i="45" s="1"/>
  <c r="N39" i="45"/>
  <c r="B40" i="45"/>
  <c r="C40" i="45"/>
  <c r="D40" i="45"/>
  <c r="D51" i="45" s="1"/>
  <c r="D63" i="45" s="1"/>
  <c r="E40" i="45"/>
  <c r="E51" i="45" s="1"/>
  <c r="E63" i="45" s="1"/>
  <c r="F40" i="45"/>
  <c r="G40" i="45"/>
  <c r="G51" i="45" s="1"/>
  <c r="G63" i="45" s="1"/>
  <c r="H40" i="45"/>
  <c r="I40" i="45"/>
  <c r="I51" i="45" s="1"/>
  <c r="I63" i="45" s="1"/>
  <c r="J40" i="45"/>
  <c r="K40" i="45"/>
  <c r="K51" i="45" s="1"/>
  <c r="K63" i="45" s="1"/>
  <c r="L40" i="45"/>
  <c r="M40" i="45"/>
  <c r="N40" i="45"/>
  <c r="B41" i="45"/>
  <c r="C41" i="45"/>
  <c r="D41" i="45"/>
  <c r="E41" i="45"/>
  <c r="F41" i="45"/>
  <c r="G41" i="45"/>
  <c r="H41" i="45"/>
  <c r="H52" i="45" s="1"/>
  <c r="H64" i="45" s="1"/>
  <c r="I41" i="45"/>
  <c r="J41" i="45"/>
  <c r="J52" i="45" s="1"/>
  <c r="J64" i="45" s="1"/>
  <c r="K41" i="45"/>
  <c r="K52" i="45" s="1"/>
  <c r="K64" i="45" s="1"/>
  <c r="L41" i="45"/>
  <c r="M41" i="45"/>
  <c r="N41" i="45"/>
  <c r="N52" i="45" s="1"/>
  <c r="N64" i="45" s="1"/>
  <c r="B42" i="45"/>
  <c r="C42" i="45"/>
  <c r="D42" i="45"/>
  <c r="E42" i="45"/>
  <c r="F42" i="45"/>
  <c r="G42" i="45"/>
  <c r="H42" i="45"/>
  <c r="I42" i="45"/>
  <c r="I53" i="45" s="1"/>
  <c r="I65" i="45" s="1"/>
  <c r="J42" i="45"/>
  <c r="K42" i="45"/>
  <c r="L42" i="45"/>
  <c r="M42" i="45"/>
  <c r="M53" i="45" s="1"/>
  <c r="M65" i="45" s="1"/>
  <c r="N42" i="45"/>
  <c r="B43" i="45"/>
  <c r="C43" i="45"/>
  <c r="C54" i="45" s="1"/>
  <c r="C66" i="45" s="1"/>
  <c r="D43" i="45"/>
  <c r="D54" i="45" s="1"/>
  <c r="D66" i="45" s="1"/>
  <c r="E43" i="45"/>
  <c r="F43" i="45"/>
  <c r="G43" i="45"/>
  <c r="G54" i="45" s="1"/>
  <c r="G66" i="45" s="1"/>
  <c r="H43" i="45"/>
  <c r="I43" i="45"/>
  <c r="J43" i="45"/>
  <c r="K43" i="45"/>
  <c r="L43" i="45"/>
  <c r="L54" i="45" s="1"/>
  <c r="L66" i="45" s="1"/>
  <c r="M43" i="45"/>
  <c r="N43" i="45"/>
  <c r="B44" i="45"/>
  <c r="C44" i="45"/>
  <c r="D44" i="45"/>
  <c r="D55" i="45" s="1"/>
  <c r="D67" i="45" s="1"/>
  <c r="E44" i="45"/>
  <c r="F44" i="45"/>
  <c r="G44" i="45"/>
  <c r="G55" i="45" s="1"/>
  <c r="G67" i="45" s="1"/>
  <c r="H44" i="45"/>
  <c r="H55" i="45" s="1"/>
  <c r="H67" i="45" s="1"/>
  <c r="I44" i="45"/>
  <c r="J44" i="45"/>
  <c r="K44" i="45"/>
  <c r="K55" i="45" s="1"/>
  <c r="K67" i="45" s="1"/>
  <c r="L44" i="45"/>
  <c r="L55" i="45" s="1"/>
  <c r="L67" i="45" s="1"/>
  <c r="M44" i="45"/>
  <c r="N44" i="45"/>
  <c r="B47" i="45"/>
  <c r="B48" i="45"/>
  <c r="B49" i="45"/>
  <c r="B51" i="45"/>
  <c r="B52" i="45"/>
  <c r="B53" i="45"/>
  <c r="B54" i="45"/>
  <c r="B55" i="45"/>
  <c r="B59" i="45"/>
  <c r="B60" i="45"/>
  <c r="B61" i="45"/>
  <c r="B62" i="45"/>
  <c r="B63" i="45"/>
  <c r="B64" i="45"/>
  <c r="B65" i="45"/>
  <c r="B66" i="45"/>
  <c r="B67" i="45"/>
  <c r="T34" i="27"/>
  <c r="E37" i="27"/>
  <c r="AU57" i="27" s="1"/>
  <c r="AV57" i="27" s="1"/>
  <c r="L24" i="30" s="1"/>
  <c r="V24" i="30" s="1"/>
  <c r="W24" i="30" s="1"/>
  <c r="I85" i="27"/>
  <c r="D187" i="39" s="1"/>
  <c r="T84" i="27"/>
  <c r="U83" i="27"/>
  <c r="S86" i="27"/>
  <c r="S84" i="27"/>
  <c r="U82" i="27"/>
  <c r="W82" i="27"/>
  <c r="X82" i="27" s="1"/>
  <c r="S85" i="27"/>
  <c r="D14" i="39"/>
  <c r="AB85" i="27"/>
  <c r="R85" i="27" s="1"/>
  <c r="AB83" i="27"/>
  <c r="R83" i="27" s="1"/>
  <c r="AB110" i="27"/>
  <c r="AB81" i="27"/>
  <c r="R81" i="27" s="1"/>
  <c r="AB82" i="27"/>
  <c r="R82" i="27" s="1"/>
  <c r="AF48" i="27"/>
  <c r="O77" i="33"/>
  <c r="O81" i="33"/>
  <c r="I27" i="45"/>
  <c r="E27" i="45"/>
  <c r="CG94" i="33"/>
  <c r="CG93" i="33"/>
  <c r="D28" i="45"/>
  <c r="Q19" i="45"/>
  <c r="S80" i="27"/>
  <c r="G82" i="27"/>
  <c r="I82" i="27"/>
  <c r="D184" i="39" s="1"/>
  <c r="T81" i="27"/>
  <c r="AY8" i="31"/>
  <c r="W20" i="45"/>
  <c r="W18" i="45"/>
  <c r="S81" i="27"/>
  <c r="E34" i="27"/>
  <c r="F57" i="27" s="1"/>
  <c r="F52" i="27"/>
  <c r="V26" i="30"/>
  <c r="W26" i="30" s="1"/>
  <c r="AY27" i="31"/>
  <c r="R26" i="30"/>
  <c r="C39" i="31"/>
  <c r="CG95" i="33"/>
  <c r="AX28" i="31"/>
  <c r="AZ28" i="31"/>
  <c r="G83" i="27"/>
  <c r="I83" i="27"/>
  <c r="D185" i="39" s="1"/>
  <c r="T82" i="27"/>
  <c r="O15" i="26"/>
  <c r="Q15" i="26" s="1"/>
  <c r="T20" i="26"/>
  <c r="S20" i="26"/>
  <c r="J15" i="39"/>
  <c r="O16" i="26"/>
  <c r="Q16" i="26" s="1"/>
  <c r="T15" i="26"/>
  <c r="J14" i="39"/>
  <c r="M27" i="45"/>
  <c r="N27" i="45"/>
  <c r="H27" i="45"/>
  <c r="L27" i="45"/>
  <c r="G27" i="45"/>
  <c r="AY18" i="31"/>
  <c r="F54" i="27"/>
  <c r="U24" i="27"/>
  <c r="W24" i="27" s="1"/>
  <c r="T24" i="27" s="1"/>
  <c r="J31" i="27"/>
  <c r="AU51" i="27"/>
  <c r="AV51" i="27" s="1"/>
  <c r="Q53" i="27"/>
  <c r="AP51" i="27" s="1"/>
  <c r="C34" i="36"/>
  <c r="D4" i="39"/>
  <c r="AU55" i="27"/>
  <c r="AV55" i="27" s="1"/>
  <c r="L22" i="30" s="1"/>
  <c r="V22" i="30" s="1"/>
  <c r="W22" i="30" s="1"/>
  <c r="AZ18" i="31"/>
  <c r="K16" i="45"/>
  <c r="I28" i="45"/>
  <c r="K15" i="45"/>
  <c r="H28" i="45"/>
  <c r="K28" i="45"/>
  <c r="C37" i="45"/>
  <c r="Q18" i="45"/>
  <c r="C6" i="36" s="1"/>
  <c r="D28" i="39" s="1"/>
  <c r="N28" i="45"/>
  <c r="L28" i="45"/>
  <c r="M28" i="45"/>
  <c r="J28" i="45"/>
  <c r="E28" i="45"/>
  <c r="F28" i="45"/>
  <c r="G28" i="45"/>
  <c r="K12" i="45"/>
  <c r="K14" i="45"/>
  <c r="AX18" i="31"/>
  <c r="J51" i="45"/>
  <c r="J63" i="45" s="1"/>
  <c r="T16" i="39"/>
  <c r="AU53" i="27"/>
  <c r="AV53" i="27" s="1"/>
  <c r="L87" i="33"/>
  <c r="S10" i="26"/>
  <c r="J9" i="39"/>
  <c r="O10" i="26"/>
  <c r="Q10" i="26" s="1"/>
  <c r="T10" i="26"/>
  <c r="H53" i="45"/>
  <c r="H65" i="45" s="1"/>
  <c r="C30" i="31"/>
  <c r="G98" i="27"/>
  <c r="T97" i="27" s="1"/>
  <c r="Q35" i="26"/>
  <c r="T15" i="39"/>
  <c r="P19" i="31"/>
  <c r="M19" i="31"/>
  <c r="BA17" i="31"/>
  <c r="Q19" i="31"/>
  <c r="D8" i="42"/>
  <c r="D9" i="42" s="1"/>
  <c r="AC19" i="42"/>
  <c r="CH64" i="22" s="1"/>
  <c r="C63" i="22" s="1"/>
  <c r="T17" i="39"/>
  <c r="T10" i="39"/>
  <c r="C12" i="31"/>
  <c r="S82" i="27"/>
  <c r="BB216" i="22"/>
  <c r="N53" i="45"/>
  <c r="N65" i="45" s="1"/>
  <c r="CH63" i="22"/>
  <c r="C62" i="22" s="1"/>
  <c r="H62" i="22" s="1"/>
  <c r="CG91" i="33"/>
  <c r="CG92" i="33"/>
  <c r="O78" i="33"/>
  <c r="BB215" i="22"/>
  <c r="C8" i="22"/>
  <c r="BH221" i="22"/>
  <c r="BG221" i="22"/>
  <c r="BM221" i="22"/>
  <c r="BE221" i="22"/>
  <c r="BF221" i="22"/>
  <c r="BI221" i="22"/>
  <c r="BN221" i="22"/>
  <c r="BT221" i="22"/>
  <c r="BL221" i="22"/>
  <c r="BK221" i="22"/>
  <c r="BQ221" i="22"/>
  <c r="BO221" i="22"/>
  <c r="BC221" i="22"/>
  <c r="BD221" i="22"/>
  <c r="BJ221" i="22"/>
  <c r="BP221" i="22"/>
  <c r="BR221" i="22"/>
  <c r="BS221" i="22"/>
  <c r="BB221" i="22"/>
  <c r="X19" i="29"/>
  <c r="X15" i="29"/>
  <c r="AF56" i="27"/>
  <c r="N55" i="45"/>
  <c r="N67" i="45" s="1"/>
  <c r="M54" i="45"/>
  <c r="M66" i="45" s="1"/>
  <c r="E52" i="45"/>
  <c r="E64" i="45" s="1"/>
  <c r="N51" i="45"/>
  <c r="N63" i="45" s="1"/>
  <c r="J55" i="45"/>
  <c r="J67" i="45" s="1"/>
  <c r="F55" i="45"/>
  <c r="F67" i="45" s="1"/>
  <c r="F54" i="45"/>
  <c r="F66" i="45" s="1"/>
  <c r="G50" i="45"/>
  <c r="G62" i="45" s="1"/>
  <c r="X16" i="29"/>
  <c r="X27" i="29"/>
  <c r="X23" i="29"/>
  <c r="X18" i="29"/>
  <c r="X26" i="29"/>
  <c r="X22" i="29"/>
  <c r="X17" i="29"/>
  <c r="X25" i="29"/>
  <c r="X21" i="29"/>
  <c r="X14" i="29"/>
  <c r="V35" i="30"/>
  <c r="V78" i="27" l="1"/>
  <c r="I39" i="36"/>
  <c r="V79" i="27"/>
  <c r="I40" i="36"/>
  <c r="V87" i="27"/>
  <c r="I48" i="36"/>
  <c r="H50" i="36" s="1"/>
  <c r="C76" i="36"/>
  <c r="H15" i="36"/>
  <c r="V19" i="31"/>
  <c r="BA16" i="31" s="1"/>
  <c r="R21" i="47"/>
  <c r="Q10" i="47"/>
  <c r="Q13" i="47"/>
  <c r="R24" i="47"/>
  <c r="L46" i="42"/>
  <c r="Z18" i="42" s="1"/>
  <c r="AC18" i="42" s="1"/>
  <c r="CH62" i="22" s="1"/>
  <c r="C61" i="22" s="1"/>
  <c r="T20" i="47"/>
  <c r="T19" i="47" s="1"/>
  <c r="T16" i="47" s="1"/>
  <c r="L20" i="47"/>
  <c r="L19" i="47" s="1"/>
  <c r="L16" i="47" s="1"/>
  <c r="F20" i="47"/>
  <c r="F19" i="47" s="1"/>
  <c r="F16" i="47" s="1"/>
  <c r="T9" i="47"/>
  <c r="M9" i="47"/>
  <c r="F9" i="47"/>
  <c r="Q20" i="47"/>
  <c r="J20" i="47"/>
  <c r="J19" i="47" s="1"/>
  <c r="J16" i="47" s="1"/>
  <c r="E20" i="47"/>
  <c r="S9" i="47"/>
  <c r="K9" i="47"/>
  <c r="E9" i="47"/>
  <c r="P20" i="47"/>
  <c r="P19" i="47" s="1"/>
  <c r="P16" i="47" s="1"/>
  <c r="I20" i="47"/>
  <c r="D20" i="47"/>
  <c r="D19" i="47" s="1"/>
  <c r="D16" i="47" s="1"/>
  <c r="P9" i="47"/>
  <c r="I9" i="47"/>
  <c r="D9" i="47"/>
  <c r="U20" i="47"/>
  <c r="N20" i="47"/>
  <c r="N19" i="47" s="1"/>
  <c r="N16" i="47" s="1"/>
  <c r="G20" i="47"/>
  <c r="U9" i="47"/>
  <c r="O9" i="47"/>
  <c r="H9" i="47"/>
  <c r="C9" i="47"/>
  <c r="CF54" i="32"/>
  <c r="I37" i="32"/>
  <c r="N11" i="47"/>
  <c r="O22" i="47"/>
  <c r="S22" i="47"/>
  <c r="J11" i="47"/>
  <c r="R11" i="47"/>
  <c r="K22" i="47"/>
  <c r="R22" i="47"/>
  <c r="Q11" i="47"/>
  <c r="Q105" i="26"/>
  <c r="R105" i="26" s="1"/>
  <c r="G48" i="45"/>
  <c r="AY35" i="31"/>
  <c r="F51" i="27"/>
  <c r="AY36" i="31"/>
  <c r="BC36" i="31" s="1"/>
  <c r="AX35" i="31"/>
  <c r="Q106" i="26"/>
  <c r="R106" i="26" s="1"/>
  <c r="Q34" i="26"/>
  <c r="O39" i="30"/>
  <c r="Q39" i="30" s="1"/>
  <c r="P39" i="30"/>
  <c r="O35" i="30"/>
  <c r="Q35" i="30" s="1"/>
  <c r="P35" i="30"/>
  <c r="O31" i="30"/>
  <c r="Q31" i="30" s="1"/>
  <c r="P31" i="30"/>
  <c r="O27" i="30"/>
  <c r="Q27" i="30" s="1"/>
  <c r="P27" i="30"/>
  <c r="O38" i="30"/>
  <c r="Q38" i="30" s="1"/>
  <c r="P38" i="30"/>
  <c r="O34" i="30"/>
  <c r="Q34" i="30" s="1"/>
  <c r="P34" i="30"/>
  <c r="O30" i="30"/>
  <c r="Q30" i="30" s="1"/>
  <c r="P30" i="30"/>
  <c r="O26" i="30"/>
  <c r="Q26" i="30" s="1"/>
  <c r="P26" i="30"/>
  <c r="BR44" i="22"/>
  <c r="O37" i="30"/>
  <c r="Q37" i="30" s="1"/>
  <c r="P37" i="30"/>
  <c r="O33" i="30"/>
  <c r="Q33" i="30" s="1"/>
  <c r="P33" i="30"/>
  <c r="O29" i="30"/>
  <c r="Q29" i="30" s="1"/>
  <c r="P29" i="30"/>
  <c r="O40" i="30"/>
  <c r="Q40" i="30" s="1"/>
  <c r="P40" i="30"/>
  <c r="O36" i="30"/>
  <c r="Q36" i="30" s="1"/>
  <c r="P36" i="30"/>
  <c r="O32" i="30"/>
  <c r="Q32" i="30" s="1"/>
  <c r="P32" i="30"/>
  <c r="O28" i="30"/>
  <c r="Q28" i="30" s="1"/>
  <c r="P28" i="30"/>
  <c r="L18" i="30"/>
  <c r="V18" i="30" s="1"/>
  <c r="W18" i="30" s="1"/>
  <c r="V8" i="30"/>
  <c r="W8" i="30" s="1"/>
  <c r="V9" i="30"/>
  <c r="W9" i="30" s="1"/>
  <c r="L20" i="30"/>
  <c r="V20" i="30" s="1"/>
  <c r="W20" i="30" s="1"/>
  <c r="V10" i="30"/>
  <c r="W10" i="30" s="1"/>
  <c r="V12" i="30"/>
  <c r="W12" i="30" s="1"/>
  <c r="O23" i="47"/>
  <c r="E23" i="47"/>
  <c r="T12" i="47"/>
  <c r="J12" i="47"/>
  <c r="K23" i="47"/>
  <c r="P12" i="47"/>
  <c r="S23" i="47"/>
  <c r="I23" i="47"/>
  <c r="N12" i="47"/>
  <c r="D12" i="47"/>
  <c r="U23" i="47"/>
  <c r="Q23" i="47"/>
  <c r="G23" i="47"/>
  <c r="R12" i="47"/>
  <c r="H12" i="47"/>
  <c r="F12" i="47"/>
  <c r="K20" i="47"/>
  <c r="J9" i="47"/>
  <c r="S20" i="47"/>
  <c r="S19" i="47" s="1"/>
  <c r="S16" i="47" s="1"/>
  <c r="R9" i="47"/>
  <c r="Q9" i="47"/>
  <c r="R20" i="47"/>
  <c r="H20" i="47"/>
  <c r="G9" i="47"/>
  <c r="L9" i="47"/>
  <c r="M20" i="47"/>
  <c r="X37" i="32"/>
  <c r="T13" i="39"/>
  <c r="T11" i="39"/>
  <c r="V7" i="30"/>
  <c r="W7" i="30" s="1"/>
  <c r="I47" i="45"/>
  <c r="S100" i="26"/>
  <c r="C51" i="22" s="1"/>
  <c r="C52" i="47" s="1"/>
  <c r="C12" i="22"/>
  <c r="M14" i="22" s="1"/>
  <c r="N33" i="47" s="1"/>
  <c r="E50" i="45"/>
  <c r="E62" i="45" s="1"/>
  <c r="M67" i="42"/>
  <c r="O67" i="42" s="1"/>
  <c r="S72" i="26"/>
  <c r="C50" i="22" s="1"/>
  <c r="C51" i="47" s="1"/>
  <c r="O112" i="26"/>
  <c r="C16" i="22" s="1"/>
  <c r="X12" i="29"/>
  <c r="X11" i="29"/>
  <c r="X29" i="29"/>
  <c r="T112" i="26"/>
  <c r="J73" i="22" s="1"/>
  <c r="K73" i="22" s="1"/>
  <c r="C73" i="22" s="1"/>
  <c r="Q65" i="47" s="1"/>
  <c r="M22" i="47"/>
  <c r="L11" i="47"/>
  <c r="M72" i="42"/>
  <c r="O72" i="42" s="1"/>
  <c r="M24" i="33"/>
  <c r="M24" i="47"/>
  <c r="L13" i="47"/>
  <c r="AF51" i="27"/>
  <c r="M70" i="33"/>
  <c r="O70" i="33" s="1"/>
  <c r="G47" i="45"/>
  <c r="M23" i="47"/>
  <c r="L12" i="47"/>
  <c r="H23" i="47"/>
  <c r="G12" i="47"/>
  <c r="R23" i="47"/>
  <c r="Q12" i="47"/>
  <c r="S43" i="26"/>
  <c r="C49" i="22" s="1"/>
  <c r="C50" i="47" s="1"/>
  <c r="A56" i="30"/>
  <c r="CG96" i="33"/>
  <c r="AO30" i="29"/>
  <c r="C29" i="36" s="1"/>
  <c r="Q57" i="27"/>
  <c r="AP55" i="27" s="1"/>
  <c r="P112" i="26"/>
  <c r="C23" i="22" s="1"/>
  <c r="H27" i="33"/>
  <c r="G24" i="33"/>
  <c r="M17" i="33"/>
  <c r="M25" i="33"/>
  <c r="T53" i="27"/>
  <c r="AT51" i="27" s="1"/>
  <c r="V33" i="27"/>
  <c r="S33" i="27" s="1"/>
  <c r="V34" i="27"/>
  <c r="S34" i="27" s="1"/>
  <c r="U28" i="27"/>
  <c r="W28" i="27" s="1"/>
  <c r="H34" i="27"/>
  <c r="C80" i="36" s="1"/>
  <c r="D50" i="45"/>
  <c r="D62" i="45" s="1"/>
  <c r="C55" i="45"/>
  <c r="C67" i="45" s="1"/>
  <c r="F47" i="45"/>
  <c r="J48" i="45"/>
  <c r="F48" i="45"/>
  <c r="E48" i="45"/>
  <c r="M48" i="45"/>
  <c r="I48" i="45"/>
  <c r="T18" i="45"/>
  <c r="M47" i="45"/>
  <c r="D47" i="45"/>
  <c r="S17" i="45"/>
  <c r="N54" i="45"/>
  <c r="N66" i="45" s="1"/>
  <c r="L52" i="45"/>
  <c r="L64" i="45" s="1"/>
  <c r="M51" i="45"/>
  <c r="M63" i="45" s="1"/>
  <c r="I55" i="45"/>
  <c r="I67" i="45" s="1"/>
  <c r="E55" i="45"/>
  <c r="E67" i="45" s="1"/>
  <c r="N50" i="45"/>
  <c r="N62" i="45" s="1"/>
  <c r="E49" i="45"/>
  <c r="D49" i="45"/>
  <c r="F50" i="27"/>
  <c r="J33" i="27"/>
  <c r="V24" i="27"/>
  <c r="S24" i="27" s="1"/>
  <c r="C58" i="36"/>
  <c r="AK53" i="27"/>
  <c r="U10" i="39"/>
  <c r="I38" i="27"/>
  <c r="Q60" i="27"/>
  <c r="AP58" i="27" s="1"/>
  <c r="J38" i="27"/>
  <c r="F61" i="27"/>
  <c r="AU58" i="27"/>
  <c r="AV58" i="27" s="1"/>
  <c r="U139" i="27"/>
  <c r="D88" i="27"/>
  <c r="D107" i="27" s="1"/>
  <c r="F56" i="27"/>
  <c r="T12" i="39" s="1"/>
  <c r="F63" i="27"/>
  <c r="AF50" i="27"/>
  <c r="AK73" i="27"/>
  <c r="U30" i="27"/>
  <c r="W30" i="27" s="1"/>
  <c r="T33" i="27"/>
  <c r="V31" i="27"/>
  <c r="S31" i="27" s="1"/>
  <c r="F64" i="27"/>
  <c r="V25" i="27"/>
  <c r="S25" i="27" s="1"/>
  <c r="AB79" i="27"/>
  <c r="R79" i="27" s="1"/>
  <c r="S95" i="27" s="1"/>
  <c r="W149" i="27" s="1"/>
  <c r="AF58" i="27"/>
  <c r="V32" i="27"/>
  <c r="S32" i="27" s="1"/>
  <c r="S109" i="27"/>
  <c r="S108" i="27"/>
  <c r="BA5" i="22"/>
  <c r="I37" i="27"/>
  <c r="H37" i="27"/>
  <c r="C83" i="36" s="1"/>
  <c r="F60" i="27"/>
  <c r="V136" i="27"/>
  <c r="V141" i="27"/>
  <c r="V115" i="27"/>
  <c r="W115" i="27" s="1"/>
  <c r="AF117" i="27"/>
  <c r="T114" i="27"/>
  <c r="V138" i="27"/>
  <c r="AL117" i="27"/>
  <c r="AP117" i="27"/>
  <c r="E62" i="27" s="1"/>
  <c r="V148" i="27"/>
  <c r="V149" i="27"/>
  <c r="V114" i="27"/>
  <c r="W114" i="27" s="1"/>
  <c r="AQ89" i="27"/>
  <c r="V113" i="27"/>
  <c r="W113" i="27" s="1"/>
  <c r="AJ117" i="27"/>
  <c r="AQ117" i="27"/>
  <c r="AN117" i="27"/>
  <c r="AS117" i="27"/>
  <c r="V112" i="27"/>
  <c r="W112" i="27" s="1"/>
  <c r="V111" i="27"/>
  <c r="W111" i="27" s="1"/>
  <c r="T111" i="27"/>
  <c r="V110" i="27"/>
  <c r="W110" i="27" s="1"/>
  <c r="V109" i="27"/>
  <c r="W109" i="27" s="1"/>
  <c r="T112" i="27"/>
  <c r="T109" i="27"/>
  <c r="F65" i="27"/>
  <c r="AC117" i="27"/>
  <c r="AG117" i="27"/>
  <c r="F53" i="27"/>
  <c r="E109" i="27"/>
  <c r="AO89" i="27"/>
  <c r="AT89" i="27"/>
  <c r="L48" i="45"/>
  <c r="K48" i="45"/>
  <c r="H47" i="45"/>
  <c r="M55" i="45"/>
  <c r="M67" i="45" s="1"/>
  <c r="G53" i="45"/>
  <c r="G65" i="45" s="1"/>
  <c r="C53" i="45"/>
  <c r="C65" i="45" s="1"/>
  <c r="J47" i="45"/>
  <c r="O95" i="33"/>
  <c r="O91" i="33"/>
  <c r="O84" i="33"/>
  <c r="P53" i="27"/>
  <c r="AO51" i="27" s="1"/>
  <c r="I34" i="27"/>
  <c r="I54" i="45"/>
  <c r="I66" i="45" s="1"/>
  <c r="E54" i="45"/>
  <c r="E66" i="45" s="1"/>
  <c r="J53" i="45"/>
  <c r="J65" i="45" s="1"/>
  <c r="I60" i="22"/>
  <c r="U57" i="47"/>
  <c r="S57" i="47"/>
  <c r="Q57" i="47"/>
  <c r="O57" i="47"/>
  <c r="M57" i="47"/>
  <c r="K57" i="47"/>
  <c r="I57" i="47"/>
  <c r="G57" i="47"/>
  <c r="E57" i="47"/>
  <c r="T57" i="47"/>
  <c r="R57" i="47"/>
  <c r="P57" i="47"/>
  <c r="N57" i="47"/>
  <c r="L57" i="47"/>
  <c r="J57" i="47"/>
  <c r="H57" i="47"/>
  <c r="F57" i="47"/>
  <c r="D57" i="47"/>
  <c r="C55" i="47"/>
  <c r="U51" i="47"/>
  <c r="S51" i="47"/>
  <c r="Q51" i="47"/>
  <c r="O51" i="47"/>
  <c r="M51" i="47"/>
  <c r="K51" i="47"/>
  <c r="I51" i="47"/>
  <c r="G51" i="47"/>
  <c r="E51" i="47"/>
  <c r="T51" i="47"/>
  <c r="R51" i="47"/>
  <c r="P51" i="47"/>
  <c r="N51" i="47"/>
  <c r="L51" i="47"/>
  <c r="H51" i="47"/>
  <c r="D51" i="47"/>
  <c r="J51" i="47"/>
  <c r="F51" i="47"/>
  <c r="V6" i="47"/>
  <c r="T6" i="47"/>
  <c r="R6" i="47"/>
  <c r="P6" i="47"/>
  <c r="N6" i="47"/>
  <c r="L6" i="47"/>
  <c r="J6" i="47"/>
  <c r="H6" i="47"/>
  <c r="F6" i="47"/>
  <c r="D6" i="47"/>
  <c r="M6" i="47"/>
  <c r="G6" i="47"/>
  <c r="C6" i="47"/>
  <c r="U6" i="47"/>
  <c r="S6" i="47"/>
  <c r="Q6" i="47"/>
  <c r="O6" i="47"/>
  <c r="K6" i="47"/>
  <c r="I6" i="47"/>
  <c r="E6" i="47"/>
  <c r="P16" i="39"/>
  <c r="U7" i="47"/>
  <c r="S7" i="47"/>
  <c r="Q7" i="47"/>
  <c r="O7" i="47"/>
  <c r="M7" i="47"/>
  <c r="K7" i="47"/>
  <c r="I7" i="47"/>
  <c r="G7" i="47"/>
  <c r="E7" i="47"/>
  <c r="C7" i="47"/>
  <c r="V7" i="47"/>
  <c r="T7" i="47"/>
  <c r="R7" i="47"/>
  <c r="P7" i="47"/>
  <c r="L7" i="47"/>
  <c r="J7" i="47"/>
  <c r="F7" i="47"/>
  <c r="N7" i="47"/>
  <c r="H7" i="47"/>
  <c r="D7" i="47"/>
  <c r="S65" i="47"/>
  <c r="H58" i="22"/>
  <c r="U55" i="47"/>
  <c r="S55" i="47"/>
  <c r="Q55" i="47"/>
  <c r="O55" i="47"/>
  <c r="M55" i="47"/>
  <c r="K55" i="47"/>
  <c r="I55" i="47"/>
  <c r="G55" i="47"/>
  <c r="E55" i="47"/>
  <c r="T55" i="47"/>
  <c r="R55" i="47"/>
  <c r="P55" i="47"/>
  <c r="N55" i="47"/>
  <c r="L55" i="47"/>
  <c r="J55" i="47"/>
  <c r="H55" i="47"/>
  <c r="F55" i="47"/>
  <c r="D55" i="47"/>
  <c r="C57" i="47"/>
  <c r="U54" i="47"/>
  <c r="S54" i="47"/>
  <c r="Q54" i="47"/>
  <c r="O54" i="47"/>
  <c r="M54" i="47"/>
  <c r="K54" i="47"/>
  <c r="I54" i="47"/>
  <c r="G54" i="47"/>
  <c r="E54" i="47"/>
  <c r="T54" i="47"/>
  <c r="R54" i="47"/>
  <c r="P54" i="47"/>
  <c r="N54" i="47"/>
  <c r="L54" i="47"/>
  <c r="J54" i="47"/>
  <c r="H54" i="47"/>
  <c r="F54" i="47"/>
  <c r="D54" i="47"/>
  <c r="I46" i="32"/>
  <c r="BB50" i="22"/>
  <c r="AA19" i="33"/>
  <c r="AB19" i="33" s="1"/>
  <c r="CH31" i="22" s="1"/>
  <c r="C31" i="22" s="1"/>
  <c r="I31" i="22" s="1"/>
  <c r="AA18" i="33"/>
  <c r="AB18" i="33" s="1"/>
  <c r="CH29" i="22" s="1"/>
  <c r="C29" i="22" s="1"/>
  <c r="AA19" i="42"/>
  <c r="AB19" i="42" s="1"/>
  <c r="CH30" i="22" s="1"/>
  <c r="C30" i="22" s="1"/>
  <c r="G30" i="22" s="1"/>
  <c r="C85" i="36"/>
  <c r="C77" i="36"/>
  <c r="U53" i="27"/>
  <c r="X53" i="27" s="1"/>
  <c r="Y53" i="27"/>
  <c r="V53" i="27"/>
  <c r="C86" i="36"/>
  <c r="C87" i="36"/>
  <c r="C88" i="36"/>
  <c r="Z53" i="27"/>
  <c r="AU54" i="27"/>
  <c r="AV54" i="27" s="1"/>
  <c r="F5" i="27"/>
  <c r="W20" i="31"/>
  <c r="BB147" i="22" s="1"/>
  <c r="BB13" i="22"/>
  <c r="BB52" i="22"/>
  <c r="H154" i="39"/>
  <c r="P15" i="39"/>
  <c r="I14" i="32"/>
  <c r="I23" i="32"/>
  <c r="L87" i="42"/>
  <c r="AA18" i="42" s="1"/>
  <c r="AB18" i="42" s="1"/>
  <c r="CH28" i="22" s="1"/>
  <c r="C28" i="22" s="1"/>
  <c r="AO117" i="27"/>
  <c r="S112" i="26"/>
  <c r="C52" i="22" s="1"/>
  <c r="C53" i="47" s="1"/>
  <c r="T100" i="26"/>
  <c r="J72" i="22" s="1"/>
  <c r="K72" i="22" s="1"/>
  <c r="C72" i="22" s="1"/>
  <c r="T72" i="26"/>
  <c r="J71" i="22" s="1"/>
  <c r="K71" i="22" s="1"/>
  <c r="C71" i="22" s="1"/>
  <c r="T43" i="26"/>
  <c r="J70" i="22" s="1"/>
  <c r="K70" i="22" s="1"/>
  <c r="C70" i="22" s="1"/>
  <c r="L53" i="45"/>
  <c r="L65" i="45" s="1"/>
  <c r="D53" i="45"/>
  <c r="D65" i="45" s="1"/>
  <c r="X33" i="35"/>
  <c r="C27" i="22" s="1"/>
  <c r="AM89" i="27"/>
  <c r="AI117" i="27"/>
  <c r="AK117" i="27"/>
  <c r="AR117" i="27"/>
  <c r="AU89" i="27"/>
  <c r="AW89" i="27"/>
  <c r="G27" i="33"/>
  <c r="Z15" i="33" s="1"/>
  <c r="N48" i="45"/>
  <c r="H48" i="45"/>
  <c r="F53" i="45"/>
  <c r="F65" i="45" s="1"/>
  <c r="J54" i="45"/>
  <c r="J66" i="45" s="1"/>
  <c r="G52" i="45"/>
  <c r="G64" i="45" s="1"/>
  <c r="M21" i="33"/>
  <c r="M66" i="33"/>
  <c r="O66" i="33" s="1"/>
  <c r="T103" i="27"/>
  <c r="K54" i="45"/>
  <c r="K66" i="45" s="1"/>
  <c r="H54" i="45"/>
  <c r="H66" i="45" s="1"/>
  <c r="K53" i="45"/>
  <c r="K65" i="45" s="1"/>
  <c r="E53" i="45"/>
  <c r="E65" i="45" s="1"/>
  <c r="C52" i="45"/>
  <c r="C64" i="45" s="1"/>
  <c r="L51" i="45"/>
  <c r="L63" i="45" s="1"/>
  <c r="H51" i="45"/>
  <c r="H63" i="45" s="1"/>
  <c r="F51" i="45"/>
  <c r="F63" i="45" s="1"/>
  <c r="C51" i="45"/>
  <c r="C63" i="45" s="1"/>
  <c r="H50" i="45"/>
  <c r="H62" i="45" s="1"/>
  <c r="F50" i="45"/>
  <c r="F62" i="45" s="1"/>
  <c r="M49" i="45"/>
  <c r="I49" i="45"/>
  <c r="C49" i="45"/>
  <c r="C48" i="45"/>
  <c r="K47" i="45"/>
  <c r="M52" i="45"/>
  <c r="M64" i="45" s="1"/>
  <c r="I52" i="45"/>
  <c r="I64" i="45" s="1"/>
  <c r="F52" i="45"/>
  <c r="F64" i="45" s="1"/>
  <c r="D52" i="45"/>
  <c r="D64" i="45" s="1"/>
  <c r="I50" i="45"/>
  <c r="I62" i="45" s="1"/>
  <c r="L47" i="45"/>
  <c r="N47" i="45"/>
  <c r="D48" i="45"/>
  <c r="E47" i="45"/>
  <c r="G49" i="45"/>
  <c r="C7" i="36"/>
  <c r="D29" i="39" s="1"/>
  <c r="BB12" i="22"/>
  <c r="BB14" i="22"/>
  <c r="X20" i="29"/>
  <c r="BD44" i="22"/>
  <c r="BO44" i="22"/>
  <c r="BO28" i="22"/>
  <c r="BC219" i="22"/>
  <c r="BQ44" i="22"/>
  <c r="BM44" i="22"/>
  <c r="BI44" i="22"/>
  <c r="BE44" i="22"/>
  <c r="BQ28" i="22"/>
  <c r="BI28" i="22"/>
  <c r="BI228" i="22" s="1"/>
  <c r="BD28" i="22"/>
  <c r="BC28" i="22"/>
  <c r="BM219" i="22"/>
  <c r="BI219" i="22"/>
  <c r="BF198" i="22"/>
  <c r="BR136" i="22"/>
  <c r="BP44" i="22"/>
  <c r="BL44" i="22"/>
  <c r="BH44" i="22"/>
  <c r="BS44" i="22"/>
  <c r="BK44" i="22"/>
  <c r="BG44" i="22"/>
  <c r="BC44" i="22"/>
  <c r="BT28" i="22"/>
  <c r="BP28" i="22"/>
  <c r="BS28" i="22"/>
  <c r="BG28" i="22"/>
  <c r="BN28" i="22"/>
  <c r="BM28" i="22"/>
  <c r="BM228" i="22" s="1"/>
  <c r="H64" i="22"/>
  <c r="G64" i="22"/>
  <c r="F64" i="22"/>
  <c r="BC21" i="31"/>
  <c r="BN198" i="22"/>
  <c r="BJ219" i="22"/>
  <c r="BQ198" i="22"/>
  <c r="BE198" i="22"/>
  <c r="H60" i="22"/>
  <c r="O79" i="42"/>
  <c r="CH93" i="42"/>
  <c r="O78" i="42"/>
  <c r="O77" i="42"/>
  <c r="CH95" i="42"/>
  <c r="CH92" i="42"/>
  <c r="O86" i="42"/>
  <c r="O82" i="42"/>
  <c r="O83" i="42"/>
  <c r="O84" i="42"/>
  <c r="O80" i="42"/>
  <c r="O81" i="42"/>
  <c r="O85" i="42"/>
  <c r="CH91" i="42"/>
  <c r="CH94" i="42"/>
  <c r="D57" i="42"/>
  <c r="O95" i="42"/>
  <c r="O93" i="42"/>
  <c r="O91" i="42"/>
  <c r="O94" i="42"/>
  <c r="O92" i="42"/>
  <c r="AD117" i="27"/>
  <c r="AM117" i="27"/>
  <c r="T9" i="39"/>
  <c r="R100" i="26"/>
  <c r="C15" i="22" s="1"/>
  <c r="W23" i="45"/>
  <c r="M14" i="33"/>
  <c r="I57" i="22"/>
  <c r="H57" i="22"/>
  <c r="H31" i="35"/>
  <c r="W31" i="35"/>
  <c r="H29" i="35"/>
  <c r="W29" i="35"/>
  <c r="M71" i="33"/>
  <c r="O71" i="33" s="1"/>
  <c r="M67" i="33"/>
  <c r="O67" i="33" s="1"/>
  <c r="K27" i="33"/>
  <c r="Z17" i="33" s="1"/>
  <c r="H32" i="35"/>
  <c r="W32" i="35"/>
  <c r="M69" i="42"/>
  <c r="O69" i="42" s="1"/>
  <c r="M65" i="42"/>
  <c r="O65" i="42" s="1"/>
  <c r="M26" i="42"/>
  <c r="M24" i="42"/>
  <c r="M22" i="42"/>
  <c r="M20" i="42"/>
  <c r="BB9" i="22"/>
  <c r="D189" i="39"/>
  <c r="U102" i="22"/>
  <c r="AL89" i="27"/>
  <c r="AE117" i="27"/>
  <c r="AV89" i="27"/>
  <c r="AN89" i="27"/>
  <c r="T89" i="27"/>
  <c r="C6" i="22" s="1"/>
  <c r="V26" i="39"/>
  <c r="BC46" i="31"/>
  <c r="BC11" i="31"/>
  <c r="BC9" i="31"/>
  <c r="BH198" i="22"/>
  <c r="BO198" i="22"/>
  <c r="BG198" i="22"/>
  <c r="BM198" i="22"/>
  <c r="BK198" i="22"/>
  <c r="BP198" i="22"/>
  <c r="O11" i="35"/>
  <c r="P11" i="35" s="1"/>
  <c r="N11" i="35"/>
  <c r="T23" i="27"/>
  <c r="V23" i="27" s="1"/>
  <c r="S23" i="27" s="1"/>
  <c r="T21" i="27"/>
  <c r="V21" i="27" s="1"/>
  <c r="S21" i="27" s="1"/>
  <c r="T19" i="27"/>
  <c r="V19" i="27" s="1"/>
  <c r="S19" i="27" s="1"/>
  <c r="T22" i="27"/>
  <c r="V22" i="27" s="1"/>
  <c r="S22" i="27" s="1"/>
  <c r="T20" i="27"/>
  <c r="V20" i="27" s="1"/>
  <c r="S20" i="27" s="1"/>
  <c r="AM67" i="27"/>
  <c r="C53" i="22" s="1"/>
  <c r="BA37" i="22"/>
  <c r="AB87" i="27"/>
  <c r="R87" i="27" s="1"/>
  <c r="AJ73" i="27"/>
  <c r="Q59" i="27"/>
  <c r="AP57" i="27" s="1"/>
  <c r="F35" i="27"/>
  <c r="F58" i="27" s="1"/>
  <c r="T14" i="39" s="1"/>
  <c r="Q56" i="27"/>
  <c r="AP54" i="27" s="1"/>
  <c r="U27" i="27"/>
  <c r="W27" i="27" s="1"/>
  <c r="J37" i="27"/>
  <c r="J34" i="27"/>
  <c r="I35" i="27"/>
  <c r="U26" i="27"/>
  <c r="W26" i="27" s="1"/>
  <c r="H33" i="27"/>
  <c r="C79" i="36" s="1"/>
  <c r="Q55" i="27"/>
  <c r="AP53" i="27" s="1"/>
  <c r="AB109" i="27"/>
  <c r="AK89" i="27"/>
  <c r="AB108" i="27"/>
  <c r="V27" i="39"/>
  <c r="AP89" i="27"/>
  <c r="AR89" i="27"/>
  <c r="AX89" i="27"/>
  <c r="AF12" i="31"/>
  <c r="AC12" i="35"/>
  <c r="BA38" i="22"/>
  <c r="BA4" i="22"/>
  <c r="AG12" i="31"/>
  <c r="AD12" i="30"/>
  <c r="BC37" i="31"/>
  <c r="BC49" i="31"/>
  <c r="BB49" i="22"/>
  <c r="G31" i="22"/>
  <c r="E31" i="22"/>
  <c r="G62" i="22"/>
  <c r="G60" i="22"/>
  <c r="G58" i="22"/>
  <c r="G57" i="22"/>
  <c r="BS219" i="22"/>
  <c r="BT219" i="22"/>
  <c r="F31" i="22"/>
  <c r="F62" i="22"/>
  <c r="F60" i="22"/>
  <c r="F58" i="22"/>
  <c r="F57" i="22"/>
  <c r="BC45" i="31"/>
  <c r="BC44" i="31"/>
  <c r="W43" i="31"/>
  <c r="BB158" i="22" s="1"/>
  <c r="BC31" i="31"/>
  <c r="BC19" i="31"/>
  <c r="BC55" i="31"/>
  <c r="BC48" i="31"/>
  <c r="BC47" i="31"/>
  <c r="BC43" i="31"/>
  <c r="BC40" i="31"/>
  <c r="BC39" i="31"/>
  <c r="BC38" i="31"/>
  <c r="BC34" i="31"/>
  <c r="BC30" i="31"/>
  <c r="BC29" i="31"/>
  <c r="BC25" i="31"/>
  <c r="BC18" i="31"/>
  <c r="BP219" i="22"/>
  <c r="BL219" i="22"/>
  <c r="BF219" i="22"/>
  <c r="BK219" i="22"/>
  <c r="I62" i="22"/>
  <c r="BQ219" i="22"/>
  <c r="BO219" i="22"/>
  <c r="BG219" i="22"/>
  <c r="BE219" i="22"/>
  <c r="BR219" i="22"/>
  <c r="BN219" i="22"/>
  <c r="BH219" i="22"/>
  <c r="BD219" i="22"/>
  <c r="BT44" i="22"/>
  <c r="BN44" i="22"/>
  <c r="BJ44" i="22"/>
  <c r="BF44" i="22"/>
  <c r="BR28" i="22"/>
  <c r="BL28" i="22"/>
  <c r="BL228" i="22" s="1"/>
  <c r="BJ28" i="22"/>
  <c r="BJ228" i="22" s="1"/>
  <c r="BH28" i="22"/>
  <c r="BF28" i="22"/>
  <c r="BK28" i="22"/>
  <c r="BK228" i="22" s="1"/>
  <c r="BE28" i="22"/>
  <c r="I58" i="22"/>
  <c r="H31" i="22"/>
  <c r="BC22" i="31"/>
  <c r="BS198" i="22"/>
  <c r="BI198" i="22"/>
  <c r="BC198" i="22"/>
  <c r="BT198" i="22"/>
  <c r="BR198" i="22"/>
  <c r="BL198" i="22"/>
  <c r="BJ198" i="22"/>
  <c r="BD198" i="22"/>
  <c r="BI136" i="22"/>
  <c r="BG136" i="22"/>
  <c r="BH136" i="22"/>
  <c r="H46" i="30"/>
  <c r="BB129" i="22" s="1"/>
  <c r="W28" i="30"/>
  <c r="W33" i="30"/>
  <c r="W39" i="30"/>
  <c r="W35" i="30"/>
  <c r="W19" i="30"/>
  <c r="BS136" i="22"/>
  <c r="BQ136" i="22"/>
  <c r="BT136" i="22"/>
  <c r="BN136" i="22"/>
  <c r="BL136" i="22"/>
  <c r="H47" i="30"/>
  <c r="BB130" i="22" s="1"/>
  <c r="H45" i="30"/>
  <c r="BB128" i="22" s="1"/>
  <c r="BP136" i="22"/>
  <c r="BJ136" i="22"/>
  <c r="BF136" i="22"/>
  <c r="BD136" i="22"/>
  <c r="BO136" i="22"/>
  <c r="BM136" i="22"/>
  <c r="BK136" i="22"/>
  <c r="BE136" i="22"/>
  <c r="BC136" i="22"/>
  <c r="N21" i="35"/>
  <c r="I63" i="42"/>
  <c r="H73" i="42"/>
  <c r="J15" i="42"/>
  <c r="K15" i="42" s="1"/>
  <c r="F44" i="30"/>
  <c r="AE44" i="30" s="1"/>
  <c r="AE48" i="30" s="1"/>
  <c r="C26" i="22" s="1"/>
  <c r="AC33" i="26"/>
  <c r="Q33" i="26"/>
  <c r="BB53" i="22"/>
  <c r="M16" i="33"/>
  <c r="G22" i="42"/>
  <c r="G26" i="42"/>
  <c r="M12" i="33"/>
  <c r="M15" i="33"/>
  <c r="M19" i="33"/>
  <c r="M23" i="33"/>
  <c r="D183" i="39"/>
  <c r="U88" i="27"/>
  <c r="W88" i="27" s="1"/>
  <c r="X88" i="27" s="1"/>
  <c r="AC20" i="33"/>
  <c r="J75" i="22" s="1"/>
  <c r="V39" i="39" s="1"/>
  <c r="J73" i="33"/>
  <c r="F27" i="33"/>
  <c r="BB219" i="22"/>
  <c r="W71" i="31"/>
  <c r="I89" i="27"/>
  <c r="BB51" i="22"/>
  <c r="W99" i="31"/>
  <c r="W83" i="31"/>
  <c r="W79" i="31"/>
  <c r="W73" i="31"/>
  <c r="W72" i="31"/>
  <c r="BC100" i="31"/>
  <c r="BC85" i="31"/>
  <c r="A42" i="35"/>
  <c r="I15" i="42"/>
  <c r="AC52" i="26"/>
  <c r="Q72" i="26"/>
  <c r="M72" i="33"/>
  <c r="O72" i="33" s="1"/>
  <c r="G72" i="33"/>
  <c r="I69" i="33"/>
  <c r="M69" i="33"/>
  <c r="O69" i="33" s="1"/>
  <c r="I65" i="33"/>
  <c r="M65" i="33"/>
  <c r="O65" i="33" s="1"/>
  <c r="F73" i="33"/>
  <c r="M64" i="33"/>
  <c r="O64" i="33" s="1"/>
  <c r="G64" i="33"/>
  <c r="I63" i="33"/>
  <c r="H73" i="33"/>
  <c r="H30" i="35"/>
  <c r="G90" i="27"/>
  <c r="BC108" i="31"/>
  <c r="BC93" i="31"/>
  <c r="BC76" i="31"/>
  <c r="BC62" i="31"/>
  <c r="BC58" i="31"/>
  <c r="BC53" i="31"/>
  <c r="H155" i="39"/>
  <c r="M71" i="42"/>
  <c r="O71" i="42" s="1"/>
  <c r="G71" i="42"/>
  <c r="I68" i="42"/>
  <c r="M68" i="42"/>
  <c r="O68" i="42" s="1"/>
  <c r="I66" i="42"/>
  <c r="M66" i="42"/>
  <c r="O66" i="42" s="1"/>
  <c r="I64" i="42"/>
  <c r="I25" i="42"/>
  <c r="M25" i="42"/>
  <c r="I23" i="42"/>
  <c r="M23" i="42"/>
  <c r="I21" i="42"/>
  <c r="M21" i="42"/>
  <c r="I26" i="33"/>
  <c r="M26" i="33"/>
  <c r="I22" i="33"/>
  <c r="M22" i="33"/>
  <c r="I18" i="33"/>
  <c r="M18" i="33"/>
  <c r="M19" i="42"/>
  <c r="M68" i="33"/>
  <c r="O68" i="33" s="1"/>
  <c r="M20" i="33"/>
  <c r="M13" i="33"/>
  <c r="M63" i="33"/>
  <c r="M70" i="42"/>
  <c r="O70" i="42" s="1"/>
  <c r="J27" i="33"/>
  <c r="K73" i="33"/>
  <c r="AA17" i="33" s="1"/>
  <c r="J63" i="42"/>
  <c r="J73" i="42" s="1"/>
  <c r="J14" i="42"/>
  <c r="K14" i="42" s="1"/>
  <c r="J12" i="42"/>
  <c r="J13" i="42"/>
  <c r="K13" i="42" s="1"/>
  <c r="T21" i="45"/>
  <c r="H42" i="35"/>
  <c r="AB27" i="35"/>
  <c r="AB42" i="35"/>
  <c r="AB40" i="35"/>
  <c r="AB38" i="35"/>
  <c r="AB36" i="35"/>
  <c r="AB34" i="35"/>
  <c r="AB32" i="35"/>
  <c r="AB30" i="35"/>
  <c r="AB28" i="35"/>
  <c r="AW46" i="35"/>
  <c r="AU46" i="35"/>
  <c r="AS46" i="35"/>
  <c r="AQ46" i="35"/>
  <c r="AO46" i="35"/>
  <c r="AM46" i="35"/>
  <c r="AK46" i="35"/>
  <c r="AI46" i="35"/>
  <c r="AG46" i="35"/>
  <c r="AE46" i="35"/>
  <c r="AB63" i="35"/>
  <c r="AB61" i="35"/>
  <c r="AB59" i="35"/>
  <c r="AB57" i="35"/>
  <c r="AB55" i="35"/>
  <c r="AB53" i="35"/>
  <c r="AB51" i="35"/>
  <c r="AB49" i="35"/>
  <c r="AB67" i="35"/>
  <c r="AB82" i="35"/>
  <c r="AB80" i="35"/>
  <c r="AB78" i="35"/>
  <c r="AB76" i="35"/>
  <c r="AB74" i="35"/>
  <c r="AB72" i="35"/>
  <c r="AB70" i="35"/>
  <c r="AB68" i="35"/>
  <c r="Y104" i="35"/>
  <c r="Y102" i="35"/>
  <c r="Y100" i="35"/>
  <c r="Y98" i="35"/>
  <c r="Y96" i="35"/>
  <c r="Y94" i="35"/>
  <c r="Y92" i="35"/>
  <c r="Y90" i="35"/>
  <c r="AB43" i="35"/>
  <c r="AB41" i="35"/>
  <c r="AB39" i="35"/>
  <c r="AB37" i="35"/>
  <c r="AB35" i="35"/>
  <c r="AB33" i="35"/>
  <c r="AB31" i="35"/>
  <c r="AB29" i="35"/>
  <c r="AD46" i="35"/>
  <c r="AV46" i="35"/>
  <c r="AT46" i="35"/>
  <c r="AR46" i="35"/>
  <c r="AP46" i="35"/>
  <c r="AN46" i="35"/>
  <c r="AL46" i="35"/>
  <c r="AJ46" i="35"/>
  <c r="AH46" i="35"/>
  <c r="AF46" i="35"/>
  <c r="AB47" i="35"/>
  <c r="AB62" i="35"/>
  <c r="AB60" i="35"/>
  <c r="AB58" i="35"/>
  <c r="AB56" i="35"/>
  <c r="AB54" i="35"/>
  <c r="AB52" i="35"/>
  <c r="AB50" i="35"/>
  <c r="AB48" i="35"/>
  <c r="BB132" i="22"/>
  <c r="H57" i="30"/>
  <c r="C48" i="31"/>
  <c r="W107" i="31"/>
  <c r="W101" i="31"/>
  <c r="W100" i="31"/>
  <c r="C21" i="31"/>
  <c r="BC106" i="31"/>
  <c r="BC99" i="31"/>
  <c r="BC70" i="31"/>
  <c r="BC63" i="31"/>
  <c r="W37" i="31"/>
  <c r="W35" i="31"/>
  <c r="W29" i="31"/>
  <c r="W91" i="31"/>
  <c r="W89" i="31"/>
  <c r="W88" i="31"/>
  <c r="BC84" i="31"/>
  <c r="BC79" i="31"/>
  <c r="W63" i="31"/>
  <c r="W61" i="31"/>
  <c r="W56" i="31"/>
  <c r="W54" i="31"/>
  <c r="W52" i="31"/>
  <c r="W46" i="31"/>
  <c r="BC112" i="31"/>
  <c r="BC110" i="31"/>
  <c r="BC97" i="31"/>
  <c r="BC81" i="31"/>
  <c r="BC72" i="31"/>
  <c r="BC66" i="31"/>
  <c r="W109" i="31"/>
  <c r="W108" i="31"/>
  <c r="BC103" i="31"/>
  <c r="BC101" i="31"/>
  <c r="W97" i="31"/>
  <c r="BC92" i="31"/>
  <c r="W92" i="31"/>
  <c r="BC89" i="31"/>
  <c r="W81" i="31"/>
  <c r="W80" i="31"/>
  <c r="BC74" i="31"/>
  <c r="W65" i="31"/>
  <c r="BC64" i="31"/>
  <c r="W64" i="31"/>
  <c r="BC52" i="31"/>
  <c r="BC56" i="31"/>
  <c r="W55" i="31"/>
  <c r="BC54" i="31"/>
  <c r="W44" i="31"/>
  <c r="W38" i="31"/>
  <c r="W36" i="31"/>
  <c r="W34" i="31"/>
  <c r="BC111" i="31"/>
  <c r="BC107" i="31"/>
  <c r="BC90" i="31"/>
  <c r="BC75" i="31"/>
  <c r="BC71" i="31"/>
  <c r="W110" i="31"/>
  <c r="BC109" i="31"/>
  <c r="W106" i="31"/>
  <c r="BC102" i="31"/>
  <c r="W98" i="31"/>
  <c r="BC94" i="31"/>
  <c r="W90" i="31"/>
  <c r="BC88" i="31"/>
  <c r="W82" i="31"/>
  <c r="BC80" i="31"/>
  <c r="W74" i="31"/>
  <c r="BC73" i="31"/>
  <c r="W70" i="31"/>
  <c r="BC67" i="31"/>
  <c r="BC65" i="31"/>
  <c r="W62" i="31"/>
  <c r="BC61" i="31"/>
  <c r="BC57" i="31"/>
  <c r="W53" i="31"/>
  <c r="W47" i="31"/>
  <c r="W45" i="31"/>
  <c r="W19" i="31"/>
  <c r="Z19" i="31" s="1"/>
  <c r="BC13" i="31"/>
  <c r="BC98" i="31"/>
  <c r="BC91" i="31"/>
  <c r="BC83" i="31"/>
  <c r="BC82" i="31"/>
  <c r="S19" i="45"/>
  <c r="C5" i="36"/>
  <c r="D27" i="39" s="1"/>
  <c r="C9" i="36"/>
  <c r="D31" i="39" s="1"/>
  <c r="S20" i="45"/>
  <c r="T17" i="45"/>
  <c r="T19" i="45"/>
  <c r="L18" i="27"/>
  <c r="C8" i="36"/>
  <c r="D30" i="39" s="1"/>
  <c r="Q23" i="45"/>
  <c r="U23" i="45" s="1"/>
  <c r="E8" i="26" s="1"/>
  <c r="K92" i="52" s="1"/>
  <c r="C13" i="36"/>
  <c r="D34" i="39" s="1"/>
  <c r="L17" i="27"/>
  <c r="S18" i="45"/>
  <c r="D33" i="39"/>
  <c r="Q19" i="47" l="1"/>
  <c r="Q16" i="47" s="1"/>
  <c r="U19" i="47"/>
  <c r="U16" i="47" s="1"/>
  <c r="X30" i="29"/>
  <c r="F17" i="42"/>
  <c r="F16" i="42"/>
  <c r="F18" i="42"/>
  <c r="E19" i="47"/>
  <c r="E16" i="47" s="1"/>
  <c r="G19" i="47"/>
  <c r="G16" i="47" s="1"/>
  <c r="I19" i="47"/>
  <c r="I16" i="47" s="1"/>
  <c r="W143" i="27"/>
  <c r="K19" i="47"/>
  <c r="K16" i="47" s="1"/>
  <c r="BC35" i="31"/>
  <c r="R112" i="26"/>
  <c r="F65" i="47"/>
  <c r="Q112" i="26"/>
  <c r="Q43" i="26"/>
  <c r="E44" i="30"/>
  <c r="AD44" i="30" s="1"/>
  <c r="AD48" i="30" s="1"/>
  <c r="C21" i="22" s="1"/>
  <c r="F64" i="42"/>
  <c r="T8" i="39"/>
  <c r="T7" i="39"/>
  <c r="T6" i="39"/>
  <c r="T5" i="39"/>
  <c r="S123" i="27"/>
  <c r="S122" i="27"/>
  <c r="W145" i="27"/>
  <c r="W146" i="27"/>
  <c r="W147" i="27"/>
  <c r="W148" i="27"/>
  <c r="W142" i="27"/>
  <c r="W144" i="27"/>
  <c r="R19" i="47"/>
  <c r="R16" i="47" s="1"/>
  <c r="L25" i="30"/>
  <c r="V25" i="30" s="1"/>
  <c r="W25" i="30" s="1"/>
  <c r="L21" i="30"/>
  <c r="V21" i="30" s="1"/>
  <c r="W21" i="30" s="1"/>
  <c r="V11" i="30"/>
  <c r="W11" i="30" s="1"/>
  <c r="T139" i="27"/>
  <c r="G97" i="27"/>
  <c r="H19" i="47"/>
  <c r="H16" i="47" s="1"/>
  <c r="C135" i="39"/>
  <c r="AB17" i="33"/>
  <c r="CH25" i="22" s="1"/>
  <c r="C25" i="22" s="1"/>
  <c r="G25" i="22" s="1"/>
  <c r="G33" i="47"/>
  <c r="O33" i="47"/>
  <c r="I33" i="47"/>
  <c r="U33" i="47"/>
  <c r="C33" i="47"/>
  <c r="K33" i="47"/>
  <c r="J33" i="47"/>
  <c r="E33" i="47"/>
  <c r="M33" i="47"/>
  <c r="D33" i="47"/>
  <c r="L33" i="47"/>
  <c r="Q33" i="47"/>
  <c r="F33" i="47"/>
  <c r="P33" i="47"/>
  <c r="S33" i="47"/>
  <c r="H33" i="47"/>
  <c r="R33" i="47"/>
  <c r="T33" i="47"/>
  <c r="N65" i="47"/>
  <c r="C65" i="47"/>
  <c r="K65" i="47"/>
  <c r="Y11" i="29"/>
  <c r="F29" i="22"/>
  <c r="G29" i="22"/>
  <c r="I29" i="22"/>
  <c r="E29" i="22"/>
  <c r="H29" i="22"/>
  <c r="H65" i="47"/>
  <c r="P65" i="47"/>
  <c r="E65" i="47"/>
  <c r="M65" i="47"/>
  <c r="U65" i="47"/>
  <c r="G56" i="45"/>
  <c r="J65" i="47"/>
  <c r="R65" i="47"/>
  <c r="G65" i="47"/>
  <c r="O65" i="47"/>
  <c r="V35" i="39"/>
  <c r="B24" i="47" s="1"/>
  <c r="V13" i="47" s="1"/>
  <c r="V32" i="39"/>
  <c r="B21" i="47" s="1"/>
  <c r="V10" i="47" s="1"/>
  <c r="D65" i="47"/>
  <c r="L65" i="47"/>
  <c r="T65" i="47"/>
  <c r="I65" i="47"/>
  <c r="V33" i="39"/>
  <c r="B22" i="47" s="1"/>
  <c r="V11" i="47" s="1"/>
  <c r="AH87" i="27"/>
  <c r="AH89" i="27" s="1"/>
  <c r="E18" i="27" s="1"/>
  <c r="C47" i="36" s="1"/>
  <c r="I56" i="45"/>
  <c r="F56" i="45"/>
  <c r="E56" i="45"/>
  <c r="J56" i="45"/>
  <c r="N56" i="45"/>
  <c r="M56" i="45"/>
  <c r="L56" i="45"/>
  <c r="D56" i="45"/>
  <c r="C56" i="45"/>
  <c r="U87" i="27"/>
  <c r="W87" i="27" s="1"/>
  <c r="X87" i="27" s="1"/>
  <c r="I88" i="27"/>
  <c r="S87" i="27" s="1"/>
  <c r="V34" i="39"/>
  <c r="B23" i="47" s="1"/>
  <c r="V12" i="47" s="1"/>
  <c r="T30" i="27"/>
  <c r="V30" i="27" s="1"/>
  <c r="S30" i="27" s="1"/>
  <c r="T27" i="27"/>
  <c r="V27" i="27" s="1"/>
  <c r="S27" i="27" s="1"/>
  <c r="T28" i="27"/>
  <c r="V28" i="27" s="1"/>
  <c r="S28" i="27" s="1"/>
  <c r="C14" i="36"/>
  <c r="D35" i="39" s="1"/>
  <c r="Y142" i="27"/>
  <c r="Z142" i="27" s="1"/>
  <c r="S61" i="27"/>
  <c r="AQ59" i="27" s="1"/>
  <c r="V61" i="27"/>
  <c r="Y147" i="27"/>
  <c r="Z147" i="27" s="1"/>
  <c r="U18" i="39"/>
  <c r="Y145" i="27"/>
  <c r="Z145" i="27" s="1"/>
  <c r="Y148" i="27"/>
  <c r="Z148" i="27" s="1"/>
  <c r="Y149" i="27"/>
  <c r="Z149" i="27" s="1"/>
  <c r="BF228" i="22"/>
  <c r="BH228" i="22"/>
  <c r="T26" i="27"/>
  <c r="V26" i="27" s="1"/>
  <c r="S26" i="27" s="1"/>
  <c r="U110" i="22"/>
  <c r="AB110" i="22" s="1"/>
  <c r="AC20" i="35"/>
  <c r="AV60" i="35" s="1"/>
  <c r="AG20" i="31"/>
  <c r="P61" i="27"/>
  <c r="AO59" i="27" s="1"/>
  <c r="T61" i="27"/>
  <c r="AT59" i="27" s="1"/>
  <c r="E63" i="27"/>
  <c r="Y62" i="27" s="1"/>
  <c r="AD20" i="30"/>
  <c r="AJ20" i="30" s="1"/>
  <c r="AV20" i="30" s="1"/>
  <c r="AY20" i="30" s="1"/>
  <c r="AK61" i="27"/>
  <c r="AF20" i="31"/>
  <c r="AO20" i="31" s="1"/>
  <c r="C66" i="36"/>
  <c r="Y144" i="27"/>
  <c r="AA144" i="27" s="1"/>
  <c r="X107" i="22" s="1"/>
  <c r="CL13" i="29"/>
  <c r="I27" i="33"/>
  <c r="Z16" i="33" s="1"/>
  <c r="Z20" i="33" s="1"/>
  <c r="I73" i="42"/>
  <c r="AA16" i="42" s="1"/>
  <c r="K56" i="45"/>
  <c r="U5" i="47"/>
  <c r="S5" i="47"/>
  <c r="Q5" i="47"/>
  <c r="O5" i="47"/>
  <c r="M5" i="47"/>
  <c r="K5" i="47"/>
  <c r="I5" i="47"/>
  <c r="G5" i="47"/>
  <c r="E5" i="47"/>
  <c r="C5" i="47"/>
  <c r="V5" i="47"/>
  <c r="R5" i="47"/>
  <c r="N5" i="47"/>
  <c r="J5" i="47"/>
  <c r="D5" i="47"/>
  <c r="T5" i="47"/>
  <c r="P5" i="47"/>
  <c r="L5" i="47"/>
  <c r="H5" i="47"/>
  <c r="F5" i="47"/>
  <c r="U62" i="47"/>
  <c r="S62" i="47"/>
  <c r="Q62" i="47"/>
  <c r="O62" i="47"/>
  <c r="M62" i="47"/>
  <c r="K62" i="47"/>
  <c r="I62" i="47"/>
  <c r="G62" i="47"/>
  <c r="E62" i="47"/>
  <c r="C62" i="47"/>
  <c r="T62" i="47"/>
  <c r="R62" i="47"/>
  <c r="P62" i="47"/>
  <c r="N62" i="47"/>
  <c r="L62" i="47"/>
  <c r="J62" i="47"/>
  <c r="H62" i="47"/>
  <c r="F62" i="47"/>
  <c r="D62" i="47"/>
  <c r="U64" i="47"/>
  <c r="S64" i="47"/>
  <c r="Q64" i="47"/>
  <c r="O64" i="47"/>
  <c r="M64" i="47"/>
  <c r="K64" i="47"/>
  <c r="I64" i="47"/>
  <c r="G64" i="47"/>
  <c r="E64" i="47"/>
  <c r="C64" i="47"/>
  <c r="T64" i="47"/>
  <c r="R64" i="47"/>
  <c r="P64" i="47"/>
  <c r="N64" i="47"/>
  <c r="L64" i="47"/>
  <c r="J64" i="47"/>
  <c r="H64" i="47"/>
  <c r="F64" i="47"/>
  <c r="D64" i="47"/>
  <c r="C54" i="47"/>
  <c r="U50" i="47"/>
  <c r="S50" i="47"/>
  <c r="Q50" i="47"/>
  <c r="O50" i="47"/>
  <c r="M50" i="47"/>
  <c r="K50" i="47"/>
  <c r="I50" i="47"/>
  <c r="G50" i="47"/>
  <c r="E50" i="47"/>
  <c r="T50" i="47"/>
  <c r="P50" i="47"/>
  <c r="L50" i="47"/>
  <c r="H50" i="47"/>
  <c r="D50" i="47"/>
  <c r="R50" i="47"/>
  <c r="N50" i="47"/>
  <c r="J50" i="47"/>
  <c r="F50" i="47"/>
  <c r="U63" i="47"/>
  <c r="S63" i="47"/>
  <c r="Q63" i="47"/>
  <c r="O63" i="47"/>
  <c r="M63" i="47"/>
  <c r="K63" i="47"/>
  <c r="I63" i="47"/>
  <c r="G63" i="47"/>
  <c r="E63" i="47"/>
  <c r="C63" i="47"/>
  <c r="T63" i="47"/>
  <c r="R63" i="47"/>
  <c r="P63" i="47"/>
  <c r="N63" i="47"/>
  <c r="L63" i="47"/>
  <c r="J63" i="47"/>
  <c r="H63" i="47"/>
  <c r="F63" i="47"/>
  <c r="D63" i="47"/>
  <c r="M18" i="22"/>
  <c r="U147" i="27"/>
  <c r="Y61" i="27"/>
  <c r="U61" i="27"/>
  <c r="X61" i="27" s="1"/>
  <c r="W102" i="22"/>
  <c r="I54" i="27"/>
  <c r="AA53" i="27"/>
  <c r="R53" i="27"/>
  <c r="AS51" i="27"/>
  <c r="AH12" i="31" s="1"/>
  <c r="BE228" i="22"/>
  <c r="BC228" i="22"/>
  <c r="H153" i="39"/>
  <c r="P14" i="39"/>
  <c r="J77" i="22"/>
  <c r="V40" i="39"/>
  <c r="B18" i="47" s="1"/>
  <c r="B17" i="47" s="1"/>
  <c r="V8" i="47" s="1"/>
  <c r="H56" i="45"/>
  <c r="Y143" i="27"/>
  <c r="BI229" i="22"/>
  <c r="BI230" i="22" s="1"/>
  <c r="V102" i="22"/>
  <c r="V28" i="39"/>
  <c r="W14" i="29"/>
  <c r="CL20" i="29"/>
  <c r="BD228" i="22"/>
  <c r="H30" i="22"/>
  <c r="E30" i="22"/>
  <c r="F30" i="22"/>
  <c r="BG228" i="22"/>
  <c r="BM229" i="22"/>
  <c r="BM230" i="22" s="1"/>
  <c r="BL229" i="22"/>
  <c r="BL230" i="22" s="1"/>
  <c r="I30" i="22"/>
  <c r="BF229" i="22"/>
  <c r="CH96" i="42"/>
  <c r="I73" i="33"/>
  <c r="AA16" i="33" s="1"/>
  <c r="C75" i="22"/>
  <c r="I75" i="22" s="1"/>
  <c r="W33" i="35"/>
  <c r="C22" i="22" s="1"/>
  <c r="BC229" i="22"/>
  <c r="BG229" i="22"/>
  <c r="BK229" i="22"/>
  <c r="BK230" i="22" s="1"/>
  <c r="BE229" i="22"/>
  <c r="BJ229" i="22"/>
  <c r="BJ230" i="22" s="1"/>
  <c r="AJ12" i="30"/>
  <c r="AH12" i="30"/>
  <c r="AV52" i="35"/>
  <c r="AT52" i="35"/>
  <c r="AR52" i="35"/>
  <c r="AP52" i="35"/>
  <c r="AN52" i="35"/>
  <c r="AL52" i="35"/>
  <c r="AJ52" i="35"/>
  <c r="AH52" i="35"/>
  <c r="AE52" i="35"/>
  <c r="AG52" i="35"/>
  <c r="AW52" i="35"/>
  <c r="AU52" i="35"/>
  <c r="AS52" i="35"/>
  <c r="AQ52" i="35"/>
  <c r="AO52" i="35"/>
  <c r="AM52" i="35"/>
  <c r="AK52" i="35"/>
  <c r="AI52" i="35"/>
  <c r="AF52" i="35"/>
  <c r="AD52" i="35"/>
  <c r="AW32" i="35"/>
  <c r="AV32" i="35"/>
  <c r="AU32" i="35"/>
  <c r="AT32" i="35"/>
  <c r="AS32" i="35"/>
  <c r="AR32" i="35"/>
  <c r="AQ32" i="35"/>
  <c r="AP32" i="35"/>
  <c r="AO32" i="35"/>
  <c r="AN32" i="35"/>
  <c r="AM32" i="35"/>
  <c r="AL32" i="35"/>
  <c r="AD32" i="35"/>
  <c r="AW12" i="35"/>
  <c r="AV12" i="35"/>
  <c r="AU12" i="35"/>
  <c r="AT12" i="35"/>
  <c r="AS12" i="35"/>
  <c r="AR12" i="35"/>
  <c r="AQ12" i="35"/>
  <c r="AP12" i="35"/>
  <c r="AO12" i="35"/>
  <c r="AN12" i="35"/>
  <c r="AM12" i="35"/>
  <c r="AL12" i="35"/>
  <c r="AK12" i="35"/>
  <c r="AK32" i="35"/>
  <c r="AJ32" i="35"/>
  <c r="AI32" i="35"/>
  <c r="AH32" i="35"/>
  <c r="AG32" i="35"/>
  <c r="AF32" i="35"/>
  <c r="AE32" i="35"/>
  <c r="AJ12" i="35"/>
  <c r="AI12" i="35"/>
  <c r="AH12" i="35"/>
  <c r="AG12" i="35"/>
  <c r="AF12" i="35"/>
  <c r="AE12" i="35"/>
  <c r="AD12" i="35"/>
  <c r="AN12" i="31"/>
  <c r="AO12" i="31"/>
  <c r="AK12" i="31"/>
  <c r="F36" i="27"/>
  <c r="H35" i="27"/>
  <c r="C81" i="36" s="1"/>
  <c r="E25" i="22"/>
  <c r="BH229" i="22"/>
  <c r="BD229" i="22"/>
  <c r="BB164" i="22"/>
  <c r="BB166" i="22"/>
  <c r="BB167" i="22"/>
  <c r="BB175" i="22"/>
  <c r="BB178" i="22"/>
  <c r="BB190" i="22"/>
  <c r="BB174" i="22"/>
  <c r="F13" i="42"/>
  <c r="G13" i="42" s="1"/>
  <c r="F15" i="42"/>
  <c r="F63" i="42"/>
  <c r="M63" i="42" s="1"/>
  <c r="F12" i="42"/>
  <c r="F14" i="42"/>
  <c r="G14" i="42" s="1"/>
  <c r="G73" i="33"/>
  <c r="AA15" i="33" s="1"/>
  <c r="AB15" i="33" s="1"/>
  <c r="BB165" i="22"/>
  <c r="BB176" i="22"/>
  <c r="BB182" i="22"/>
  <c r="S88" i="27"/>
  <c r="D191" i="39"/>
  <c r="BB25" i="22"/>
  <c r="C39" i="22"/>
  <c r="P140" i="39"/>
  <c r="J27" i="42"/>
  <c r="K12" i="42"/>
  <c r="K27" i="42" s="1"/>
  <c r="Z17" i="42" s="1"/>
  <c r="K63" i="42"/>
  <c r="K73" i="42" s="1"/>
  <c r="AA17" i="42" s="1"/>
  <c r="O63" i="33"/>
  <c r="M73" i="33"/>
  <c r="C58" i="33" s="1"/>
  <c r="C59" i="33" s="1"/>
  <c r="H12" i="42"/>
  <c r="H13" i="42"/>
  <c r="H14" i="42"/>
  <c r="H25" i="22"/>
  <c r="I25" i="22"/>
  <c r="M27" i="33"/>
  <c r="C6" i="33" s="1"/>
  <c r="C7" i="33" s="1"/>
  <c r="BB162" i="22"/>
  <c r="BB169" i="22"/>
  <c r="BB155" i="22"/>
  <c r="BB159" i="22"/>
  <c r="BB180" i="22"/>
  <c r="BB187" i="22"/>
  <c r="BB188" i="22"/>
  <c r="BB196" i="22"/>
  <c r="BB161" i="22"/>
  <c r="BB168" i="22"/>
  <c r="BB183" i="22"/>
  <c r="BB186" i="22"/>
  <c r="BB154" i="22"/>
  <c r="BB192" i="22"/>
  <c r="BB146" i="22"/>
  <c r="BB160" i="22"/>
  <c r="BB173" i="22"/>
  <c r="BB177" i="22"/>
  <c r="BB181" i="22"/>
  <c r="BB185" i="22"/>
  <c r="BB189" i="22"/>
  <c r="BB193" i="22"/>
  <c r="BB197" i="22"/>
  <c r="BB153" i="22"/>
  <c r="BB157" i="22"/>
  <c r="BB171" i="22"/>
  <c r="BB172" i="22"/>
  <c r="BB179" i="22"/>
  <c r="BB195" i="22"/>
  <c r="BB163" i="22"/>
  <c r="BB170" i="22"/>
  <c r="BB184" i="22"/>
  <c r="BB152" i="22"/>
  <c r="BB156" i="22"/>
  <c r="BB191" i="22"/>
  <c r="BB194" i="22"/>
  <c r="T23" i="45"/>
  <c r="E9" i="26" s="1"/>
  <c r="K93" i="52" s="1"/>
  <c r="S8" i="26"/>
  <c r="O8" i="26"/>
  <c r="Q8" i="26" s="1"/>
  <c r="C15" i="36"/>
  <c r="D36" i="39" s="1"/>
  <c r="L21" i="27"/>
  <c r="C11" i="36"/>
  <c r="I7" i="39"/>
  <c r="T8" i="26"/>
  <c r="X139" i="27" l="1"/>
  <c r="M18" i="42"/>
  <c r="G18" i="42"/>
  <c r="G16" i="42"/>
  <c r="M16" i="42"/>
  <c r="G17" i="42"/>
  <c r="M17" i="42"/>
  <c r="H44" i="30"/>
  <c r="H48" i="30" s="1"/>
  <c r="F25" i="22"/>
  <c r="G64" i="42"/>
  <c r="M64" i="42"/>
  <c r="O64" i="42" s="1"/>
  <c r="X149" i="27"/>
  <c r="X143" i="27"/>
  <c r="X150" i="27"/>
  <c r="X142" i="27"/>
  <c r="X136" i="27"/>
  <c r="X145" i="27"/>
  <c r="X144" i="27"/>
  <c r="X138" i="27"/>
  <c r="X146" i="27"/>
  <c r="Y146" i="27" s="1"/>
  <c r="Z146" i="27" s="1"/>
  <c r="X137" i="27"/>
  <c r="X147" i="27"/>
  <c r="X141" i="27"/>
  <c r="X148" i="27"/>
  <c r="X140" i="27"/>
  <c r="AC17" i="42"/>
  <c r="CH60" i="22" s="1"/>
  <c r="C59" i="22" s="1"/>
  <c r="T56" i="47" s="1"/>
  <c r="D118" i="27"/>
  <c r="U108" i="27"/>
  <c r="V108" i="27" s="1"/>
  <c r="W108" i="27" s="1"/>
  <c r="W117" i="27" s="1"/>
  <c r="C21" i="36" s="1"/>
  <c r="G109" i="27"/>
  <c r="AH108" i="27"/>
  <c r="AH117" i="27" s="1"/>
  <c r="V15" i="30"/>
  <c r="W15" i="30" s="1"/>
  <c r="T96" i="27"/>
  <c r="W139" i="27" s="1"/>
  <c r="BB48" i="22"/>
  <c r="T9" i="26"/>
  <c r="T26" i="26" s="1"/>
  <c r="J69" i="22" s="1"/>
  <c r="W12" i="29"/>
  <c r="CL21" i="29"/>
  <c r="AA20" i="33"/>
  <c r="V140" i="27"/>
  <c r="V135" i="27"/>
  <c r="V137" i="27"/>
  <c r="D190" i="39"/>
  <c r="C67" i="36"/>
  <c r="AF21" i="31"/>
  <c r="AN21" i="31" s="1"/>
  <c r="P62" i="27"/>
  <c r="AO60" i="27" s="1"/>
  <c r="AM40" i="35"/>
  <c r="AA147" i="27"/>
  <c r="X110" i="22" s="1"/>
  <c r="AA142" i="27"/>
  <c r="X105" i="22" s="1"/>
  <c r="Z61" i="27"/>
  <c r="I62" i="27" s="1"/>
  <c r="AK40" i="35"/>
  <c r="AM60" i="35"/>
  <c r="AI20" i="35"/>
  <c r="AG40" i="35"/>
  <c r="AV20" i="35"/>
  <c r="AE60" i="35"/>
  <c r="AR60" i="35"/>
  <c r="AE20" i="35"/>
  <c r="AN20" i="35"/>
  <c r="AQ40" i="35"/>
  <c r="AU60" i="35"/>
  <c r="AA145" i="27"/>
  <c r="X108" i="22" s="1"/>
  <c r="AR20" i="35"/>
  <c r="AU40" i="35"/>
  <c r="AJ60" i="35"/>
  <c r="AN20" i="31"/>
  <c r="AD20" i="35"/>
  <c r="AH20" i="35"/>
  <c r="AF40" i="35"/>
  <c r="AJ40" i="35"/>
  <c r="AM20" i="35"/>
  <c r="AQ20" i="35"/>
  <c r="AU20" i="35"/>
  <c r="AL40" i="35"/>
  <c r="AP40" i="35"/>
  <c r="AT40" i="35"/>
  <c r="AD60" i="35"/>
  <c r="AK60" i="35"/>
  <c r="AS60" i="35"/>
  <c r="AH60" i="35"/>
  <c r="AP60" i="35"/>
  <c r="AK20" i="31"/>
  <c r="AF20" i="35"/>
  <c r="AJ20" i="35"/>
  <c r="AH40" i="35"/>
  <c r="AK20" i="35"/>
  <c r="AO20" i="35"/>
  <c r="AS20" i="35"/>
  <c r="AW20" i="35"/>
  <c r="AN40" i="35"/>
  <c r="AR40" i="35"/>
  <c r="AV40" i="35"/>
  <c r="AG60" i="35"/>
  <c r="AO60" i="35"/>
  <c r="AW60" i="35"/>
  <c r="AL60" i="35"/>
  <c r="AT60" i="35"/>
  <c r="AG20" i="35"/>
  <c r="AE40" i="35"/>
  <c r="AI40" i="35"/>
  <c r="AL20" i="35"/>
  <c r="AP20" i="35"/>
  <c r="AT20" i="35"/>
  <c r="AD40" i="35"/>
  <c r="AO40" i="35"/>
  <c r="AS40" i="35"/>
  <c r="AW40" i="35"/>
  <c r="AI60" i="35"/>
  <c r="AQ60" i="35"/>
  <c r="AF60" i="35"/>
  <c r="AN60" i="35"/>
  <c r="AH20" i="30"/>
  <c r="AN20" i="30" s="1"/>
  <c r="T62" i="27"/>
  <c r="AT60" i="27" s="1"/>
  <c r="AG21" i="31"/>
  <c r="U111" i="22"/>
  <c r="V111" i="22" s="1"/>
  <c r="E64" i="27"/>
  <c r="E65" i="27" s="1"/>
  <c r="U19" i="39"/>
  <c r="AD21" i="30"/>
  <c r="AH21" i="30" s="1"/>
  <c r="AI21" i="30" s="1"/>
  <c r="BF230" i="22"/>
  <c r="S62" i="27"/>
  <c r="Z62" i="27" s="1"/>
  <c r="AK62" i="27"/>
  <c r="AC21" i="35"/>
  <c r="AQ61" i="35" s="1"/>
  <c r="BH230" i="22"/>
  <c r="U148" i="27"/>
  <c r="AC110" i="22"/>
  <c r="AD110" i="22"/>
  <c r="V110" i="22"/>
  <c r="U62" i="27"/>
  <c r="X62" i="27" s="1"/>
  <c r="V62" i="27"/>
  <c r="Z144" i="27"/>
  <c r="CL14" i="29"/>
  <c r="CL27" i="29"/>
  <c r="CL15" i="29"/>
  <c r="CL29" i="29"/>
  <c r="CL22" i="29"/>
  <c r="CL18" i="29"/>
  <c r="CL12" i="29"/>
  <c r="CL24" i="29"/>
  <c r="CL28" i="29"/>
  <c r="CL17" i="29"/>
  <c r="AB16" i="33"/>
  <c r="CH20" i="22" s="1"/>
  <c r="C20" i="22" s="1"/>
  <c r="E20" i="22" s="1"/>
  <c r="CL26" i="29"/>
  <c r="G75" i="22"/>
  <c r="U67" i="47"/>
  <c r="S67" i="47"/>
  <c r="Q67" i="47"/>
  <c r="O67" i="47"/>
  <c r="M67" i="47"/>
  <c r="K67" i="47"/>
  <c r="I67" i="47"/>
  <c r="G67" i="47"/>
  <c r="E67" i="47"/>
  <c r="C67" i="47"/>
  <c r="T67" i="47"/>
  <c r="R67" i="47"/>
  <c r="P67" i="47"/>
  <c r="N67" i="47"/>
  <c r="L67" i="47"/>
  <c r="J67" i="47"/>
  <c r="H67" i="47"/>
  <c r="F67" i="47"/>
  <c r="D67" i="47"/>
  <c r="C141" i="39"/>
  <c r="T37" i="47"/>
  <c r="R37" i="47"/>
  <c r="P37" i="47"/>
  <c r="N37" i="47"/>
  <c r="L37" i="47"/>
  <c r="J37" i="47"/>
  <c r="H37" i="47"/>
  <c r="F37" i="47"/>
  <c r="D37" i="47"/>
  <c r="U37" i="47"/>
  <c r="S37" i="47"/>
  <c r="Q37" i="47"/>
  <c r="O37" i="47"/>
  <c r="M37" i="47"/>
  <c r="K37" i="47"/>
  <c r="I37" i="47"/>
  <c r="G37" i="47"/>
  <c r="E37" i="47"/>
  <c r="C37" i="47"/>
  <c r="CL19" i="29"/>
  <c r="I39" i="22"/>
  <c r="M23" i="22"/>
  <c r="C144" i="39" s="1"/>
  <c r="AR51" i="27"/>
  <c r="H54" i="27"/>
  <c r="V10" i="39"/>
  <c r="AL53" i="27"/>
  <c r="BC230" i="22"/>
  <c r="BE230" i="22"/>
  <c r="Z143" i="27"/>
  <c r="AA143" i="27"/>
  <c r="X106" i="22" s="1"/>
  <c r="H75" i="22"/>
  <c r="AH72" i="35"/>
  <c r="CL16" i="29"/>
  <c r="CL25" i="29"/>
  <c r="CL23" i="29"/>
  <c r="BD230" i="22"/>
  <c r="BG230" i="22"/>
  <c r="AE72" i="35"/>
  <c r="CL11" i="29"/>
  <c r="AG72" i="35"/>
  <c r="AI72" i="35"/>
  <c r="AL72" i="35"/>
  <c r="AN72" i="35"/>
  <c r="AP72" i="35"/>
  <c r="AR72" i="35"/>
  <c r="AT72" i="35"/>
  <c r="AV72" i="35"/>
  <c r="AG20" i="30"/>
  <c r="AP20" i="30"/>
  <c r="AM20" i="30"/>
  <c r="AG12" i="30"/>
  <c r="AP12" i="30"/>
  <c r="AM12" i="30"/>
  <c r="AV12" i="30"/>
  <c r="AY12" i="30" s="1"/>
  <c r="AK12" i="30"/>
  <c r="AE12" i="30"/>
  <c r="AW12" i="30" s="1"/>
  <c r="AN12" i="30"/>
  <c r="AD72" i="35"/>
  <c r="AF72" i="35"/>
  <c r="AJ72" i="35"/>
  <c r="AK72" i="35"/>
  <c r="AM72" i="35"/>
  <c r="AO72" i="35"/>
  <c r="AQ72" i="35"/>
  <c r="AS72" i="35"/>
  <c r="AU72" i="35"/>
  <c r="AW72" i="35"/>
  <c r="AI12" i="30"/>
  <c r="AU12" i="30" s="1"/>
  <c r="AX12" i="30" s="1"/>
  <c r="F39" i="22"/>
  <c r="E39" i="22"/>
  <c r="G39" i="22"/>
  <c r="H39" i="22"/>
  <c r="G63" i="42"/>
  <c r="F73" i="42"/>
  <c r="G12" i="42"/>
  <c r="F27" i="42"/>
  <c r="G15" i="42"/>
  <c r="M15" i="42"/>
  <c r="CH19" i="22"/>
  <c r="C19" i="22" s="1"/>
  <c r="M13" i="42"/>
  <c r="I13" i="42"/>
  <c r="O63" i="42"/>
  <c r="K19" i="35"/>
  <c r="I14" i="42"/>
  <c r="M14" i="42"/>
  <c r="I12" i="42"/>
  <c r="H27" i="42"/>
  <c r="AB16" i="42" s="1"/>
  <c r="CH18" i="22" s="1"/>
  <c r="C18" i="22" s="1"/>
  <c r="M12" i="42"/>
  <c r="AB17" i="42"/>
  <c r="D32" i="39"/>
  <c r="BB127" i="22" l="1"/>
  <c r="AO21" i="31"/>
  <c r="G73" i="42"/>
  <c r="AA15" i="42" s="1"/>
  <c r="AA20" i="42" s="1"/>
  <c r="M73" i="42"/>
  <c r="C58" i="42" s="1"/>
  <c r="C59" i="42" s="1"/>
  <c r="G118" i="27"/>
  <c r="C44" i="22" s="1"/>
  <c r="M26" i="22" s="1"/>
  <c r="G123" i="27"/>
  <c r="V134" i="27"/>
  <c r="Q56" i="47"/>
  <c r="I56" i="47"/>
  <c r="F56" i="47"/>
  <c r="M56" i="47"/>
  <c r="J56" i="47"/>
  <c r="N56" i="47"/>
  <c r="E56" i="47"/>
  <c r="U56" i="47"/>
  <c r="R56" i="47"/>
  <c r="K56" i="47"/>
  <c r="S56" i="47"/>
  <c r="H56" i="47"/>
  <c r="P56" i="47"/>
  <c r="G56" i="47"/>
  <c r="O56" i="47"/>
  <c r="D56" i="47"/>
  <c r="L56" i="47"/>
  <c r="U117" i="27"/>
  <c r="T108" i="27"/>
  <c r="T117" i="27" s="1"/>
  <c r="V139" i="27"/>
  <c r="Y139" i="27" s="1"/>
  <c r="Z139" i="27" s="1"/>
  <c r="AA139" i="27" s="1"/>
  <c r="X102" i="22" s="1"/>
  <c r="O9" i="26"/>
  <c r="Q9" i="26" s="1"/>
  <c r="Q26" i="26" s="1"/>
  <c r="C14" i="22" s="1"/>
  <c r="AK21" i="31"/>
  <c r="O20" i="47"/>
  <c r="O19" i="47" s="1"/>
  <c r="O16" i="47" s="1"/>
  <c r="N9" i="47"/>
  <c r="I8" i="39"/>
  <c r="S9" i="26"/>
  <c r="S26" i="26" s="1"/>
  <c r="C48" i="22" s="1"/>
  <c r="C49" i="47" s="1"/>
  <c r="AB20" i="33"/>
  <c r="F20" i="22"/>
  <c r="G20" i="22"/>
  <c r="H20" i="22"/>
  <c r="I20" i="22"/>
  <c r="AS59" i="27"/>
  <c r="AH20" i="31" s="1"/>
  <c r="AA61" i="27"/>
  <c r="W110" i="22"/>
  <c r="R61" i="27"/>
  <c r="H62" i="27" s="1"/>
  <c r="U45" i="47"/>
  <c r="M45" i="47"/>
  <c r="E45" i="47"/>
  <c r="J45" i="47"/>
  <c r="L45" i="47"/>
  <c r="Q45" i="47"/>
  <c r="T45" i="47"/>
  <c r="S45" i="47"/>
  <c r="K45" i="47"/>
  <c r="C45" i="47"/>
  <c r="F45" i="47"/>
  <c r="H45" i="47"/>
  <c r="I45" i="47"/>
  <c r="R45" i="47"/>
  <c r="D45" i="47"/>
  <c r="C132" i="39"/>
  <c r="O45" i="47"/>
  <c r="G45" i="47"/>
  <c r="N45" i="47"/>
  <c r="P45" i="47"/>
  <c r="S63" i="27"/>
  <c r="AQ61" i="27" s="1"/>
  <c r="AK80" i="35"/>
  <c r="AM80" i="35"/>
  <c r="AV80" i="35"/>
  <c r="U149" i="27"/>
  <c r="V64" i="27"/>
  <c r="AU80" i="35"/>
  <c r="AW80" i="35"/>
  <c r="AE80" i="35"/>
  <c r="AR80" i="35"/>
  <c r="AG80" i="35"/>
  <c r="AQ80" i="35"/>
  <c r="AQ60" i="27"/>
  <c r="AD22" i="30"/>
  <c r="AH22" i="30" s="1"/>
  <c r="C68" i="36"/>
  <c r="AP80" i="35"/>
  <c r="AO80" i="35"/>
  <c r="AN80" i="35"/>
  <c r="AF80" i="35"/>
  <c r="AD80" i="35"/>
  <c r="AE20" i="30"/>
  <c r="AW20" i="30" s="1"/>
  <c r="AV61" i="35"/>
  <c r="AH80" i="35"/>
  <c r="AI80" i="35"/>
  <c r="AL80" i="35"/>
  <c r="AS80" i="35"/>
  <c r="AJ80" i="35"/>
  <c r="AT80" i="35"/>
  <c r="AO21" i="35"/>
  <c r="P63" i="27"/>
  <c r="AO61" i="27" s="1"/>
  <c r="T63" i="27"/>
  <c r="AT61" i="27" s="1"/>
  <c r="AC22" i="35"/>
  <c r="AV62" i="35" s="1"/>
  <c r="AK20" i="30"/>
  <c r="AM61" i="35"/>
  <c r="AK63" i="27"/>
  <c r="U20" i="39"/>
  <c r="AG22" i="31"/>
  <c r="AI20" i="30"/>
  <c r="AU20" i="30" s="1"/>
  <c r="AX20" i="30" s="1"/>
  <c r="AF22" i="31"/>
  <c r="AO22" i="31" s="1"/>
  <c r="AJ21" i="35"/>
  <c r="AS21" i="35"/>
  <c r="AH41" i="35"/>
  <c r="AQ41" i="35"/>
  <c r="AU61" i="35"/>
  <c r="AW21" i="35"/>
  <c r="AF61" i="35"/>
  <c r="AU41" i="35"/>
  <c r="AK21" i="35"/>
  <c r="AF21" i="35"/>
  <c r="AN61" i="35"/>
  <c r="AE61" i="35"/>
  <c r="AD21" i="35"/>
  <c r="AN21" i="35"/>
  <c r="AR21" i="35"/>
  <c r="AV21" i="35"/>
  <c r="AM41" i="35"/>
  <c r="AI21" i="35"/>
  <c r="AG41" i="35"/>
  <c r="AK41" i="35"/>
  <c r="AL61" i="35"/>
  <c r="AT61" i="35"/>
  <c r="AP41" i="35"/>
  <c r="AT41" i="35"/>
  <c r="AD61" i="35"/>
  <c r="AK61" i="35"/>
  <c r="AS61" i="35"/>
  <c r="AJ21" i="30"/>
  <c r="AG21" i="30" s="1"/>
  <c r="U112" i="22"/>
  <c r="V112" i="22" s="1"/>
  <c r="AL21" i="35"/>
  <c r="AP21" i="35"/>
  <c r="AT21" i="35"/>
  <c r="AD41" i="35"/>
  <c r="AG21" i="35"/>
  <c r="AE41" i="35"/>
  <c r="AI41" i="35"/>
  <c r="AH61" i="35"/>
  <c r="AP61" i="35"/>
  <c r="AN41" i="35"/>
  <c r="AR41" i="35"/>
  <c r="AV41" i="35"/>
  <c r="AG61" i="35"/>
  <c r="AO61" i="35"/>
  <c r="AW61" i="35"/>
  <c r="U63" i="27"/>
  <c r="X63" i="27" s="1"/>
  <c r="AE21" i="35"/>
  <c r="AM21" i="35"/>
  <c r="AQ21" i="35"/>
  <c r="AU21" i="35"/>
  <c r="AL41" i="35"/>
  <c r="AH21" i="35"/>
  <c r="AF41" i="35"/>
  <c r="AJ41" i="35"/>
  <c r="AJ61" i="35"/>
  <c r="AR61" i="35"/>
  <c r="AO41" i="35"/>
  <c r="AS41" i="35"/>
  <c r="AW41" i="35"/>
  <c r="AI61" i="35"/>
  <c r="V63" i="27"/>
  <c r="Y63" i="27"/>
  <c r="U42" i="47"/>
  <c r="S42" i="47"/>
  <c r="Q42" i="47"/>
  <c r="O42" i="47"/>
  <c r="M42" i="47"/>
  <c r="K42" i="47"/>
  <c r="I42" i="47"/>
  <c r="G42" i="47"/>
  <c r="E42" i="47"/>
  <c r="C42" i="47"/>
  <c r="R42" i="47"/>
  <c r="N42" i="47"/>
  <c r="J42" i="47"/>
  <c r="F42" i="47"/>
  <c r="T42" i="47"/>
  <c r="P42" i="47"/>
  <c r="L42" i="47"/>
  <c r="H42" i="47"/>
  <c r="D42" i="47"/>
  <c r="U150" i="27"/>
  <c r="W111" i="22"/>
  <c r="I63" i="27"/>
  <c r="AB15" i="42"/>
  <c r="CH17" i="22" s="1"/>
  <c r="C17" i="22" s="1"/>
  <c r="Z93" i="35"/>
  <c r="Z102" i="22" s="1"/>
  <c r="AQ12" i="30"/>
  <c r="C33" i="22"/>
  <c r="M19" i="22" s="1"/>
  <c r="AF12" i="30"/>
  <c r="AO12" i="30"/>
  <c r="AL12" i="30"/>
  <c r="AS12" i="30"/>
  <c r="AS20" i="30"/>
  <c r="AN21" i="30"/>
  <c r="AO21" i="30" s="1"/>
  <c r="AK21" i="30"/>
  <c r="AL21" i="30" s="1"/>
  <c r="AE21" i="30"/>
  <c r="AW21" i="30" s="1"/>
  <c r="V18" i="39"/>
  <c r="AL61" i="27"/>
  <c r="K16" i="30"/>
  <c r="K18" i="30"/>
  <c r="E19" i="22"/>
  <c r="G19" i="22"/>
  <c r="F19" i="22"/>
  <c r="K69" i="22"/>
  <c r="C69" i="22" s="1"/>
  <c r="AU21" i="30"/>
  <c r="AX21" i="30" s="1"/>
  <c r="V31" i="39"/>
  <c r="G27" i="42"/>
  <c r="Z15" i="42" s="1"/>
  <c r="K12" i="35"/>
  <c r="K22" i="35"/>
  <c r="AC23" i="35"/>
  <c r="Z63" i="27"/>
  <c r="H19" i="22"/>
  <c r="I19" i="22"/>
  <c r="CH24" i="22"/>
  <c r="C24" i="22" s="1"/>
  <c r="M17" i="22" s="1"/>
  <c r="R62" i="27"/>
  <c r="AS60" i="27"/>
  <c r="AH21" i="31" s="1"/>
  <c r="AA62" i="27"/>
  <c r="J19" i="35"/>
  <c r="O19" i="35" s="1"/>
  <c r="P19" i="35" s="1"/>
  <c r="M27" i="42"/>
  <c r="C6" i="42" s="1"/>
  <c r="I27" i="42"/>
  <c r="Z16" i="42" s="1"/>
  <c r="AC16" i="42" s="1"/>
  <c r="G127" i="27" l="1"/>
  <c r="T122" i="27"/>
  <c r="X135" i="27" s="1"/>
  <c r="Z20" i="42"/>
  <c r="AC15" i="42"/>
  <c r="CH56" i="22" s="1"/>
  <c r="C55" i="22" s="1"/>
  <c r="M16" i="22"/>
  <c r="N35" i="47" s="1"/>
  <c r="AB20" i="42"/>
  <c r="AK22" i="31"/>
  <c r="AQ81" i="35"/>
  <c r="AR59" i="27"/>
  <c r="AQ20" i="30"/>
  <c r="AJ22" i="30"/>
  <c r="AP22" i="30" s="1"/>
  <c r="AS22" i="35"/>
  <c r="AF42" i="35"/>
  <c r="AR42" i="35"/>
  <c r="AW62" i="35"/>
  <c r="AD22" i="35"/>
  <c r="AH42" i="35"/>
  <c r="AK22" i="35"/>
  <c r="AD42" i="35"/>
  <c r="AP62" i="35"/>
  <c r="AK42" i="35"/>
  <c r="AN22" i="35"/>
  <c r="AF22" i="35"/>
  <c r="AD62" i="35"/>
  <c r="AI22" i="35"/>
  <c r="AP42" i="35"/>
  <c r="AP22" i="35"/>
  <c r="AM62" i="35"/>
  <c r="AN22" i="31"/>
  <c r="AS79" i="27"/>
  <c r="AS89" i="27" s="1"/>
  <c r="AK81" i="35"/>
  <c r="AL20" i="30"/>
  <c r="U21" i="39"/>
  <c r="AK64" i="27"/>
  <c r="C69" i="36"/>
  <c r="S64" i="27"/>
  <c r="Z64" i="27" s="1"/>
  <c r="AD23" i="30"/>
  <c r="AH23" i="30" s="1"/>
  <c r="U113" i="22"/>
  <c r="V113" i="22" s="1"/>
  <c r="Y64" i="27"/>
  <c r="T64" i="27"/>
  <c r="AT62" i="27" s="1"/>
  <c r="AG23" i="31"/>
  <c r="U64" i="27"/>
  <c r="X64" i="27" s="1"/>
  <c r="P64" i="27"/>
  <c r="AO62" i="27" s="1"/>
  <c r="AF23" i="31"/>
  <c r="AO23" i="31" s="1"/>
  <c r="AA148" i="27"/>
  <c r="X111" i="22" s="1"/>
  <c r="AA149" i="27"/>
  <c r="X112" i="22" s="1"/>
  <c r="AF20" i="30"/>
  <c r="AO20" i="30"/>
  <c r="AH22" i="35"/>
  <c r="AG42" i="35"/>
  <c r="AN42" i="35"/>
  <c r="AT42" i="35"/>
  <c r="AO22" i="35"/>
  <c r="AT22" i="35"/>
  <c r="AM42" i="35"/>
  <c r="AE62" i="35"/>
  <c r="AO62" i="35"/>
  <c r="AH62" i="35"/>
  <c r="AR62" i="35"/>
  <c r="AV22" i="35"/>
  <c r="AU42" i="35"/>
  <c r="AG62" i="35"/>
  <c r="AS62" i="35"/>
  <c r="AJ62" i="35"/>
  <c r="AT62" i="35"/>
  <c r="AM21" i="30"/>
  <c r="AE22" i="35"/>
  <c r="AJ22" i="35"/>
  <c r="AJ42" i="35"/>
  <c r="AQ42" i="35"/>
  <c r="AL22" i="35"/>
  <c r="AR22" i="35"/>
  <c r="AW22" i="35"/>
  <c r="AV42" i="35"/>
  <c r="AK62" i="35"/>
  <c r="AU62" i="35"/>
  <c r="AL62" i="35"/>
  <c r="AU81" i="35"/>
  <c r="Z101" i="35"/>
  <c r="Z110" i="22" s="1"/>
  <c r="AG22" i="35"/>
  <c r="AE42" i="35"/>
  <c r="AI42" i="35"/>
  <c r="AO42" i="35"/>
  <c r="AS42" i="35"/>
  <c r="AM22" i="35"/>
  <c r="AQ22" i="35"/>
  <c r="AU22" i="35"/>
  <c r="AL42" i="35"/>
  <c r="AW42" i="35"/>
  <c r="AI62" i="35"/>
  <c r="AQ62" i="35"/>
  <c r="AF62" i="35"/>
  <c r="AN62" i="35"/>
  <c r="AL81" i="35"/>
  <c r="AO81" i="35"/>
  <c r="AG81" i="35"/>
  <c r="AT81" i="35"/>
  <c r="AN81" i="35"/>
  <c r="AJ81" i="35"/>
  <c r="AD81" i="35"/>
  <c r="AF81" i="35"/>
  <c r="AW81" i="35"/>
  <c r="AV81" i="35"/>
  <c r="AV21" i="30"/>
  <c r="AY21" i="30" s="1"/>
  <c r="AP21" i="30"/>
  <c r="AI81" i="35"/>
  <c r="AH81" i="35"/>
  <c r="AM81" i="35"/>
  <c r="AE81" i="35"/>
  <c r="AP81" i="35"/>
  <c r="AS81" i="35"/>
  <c r="AR81" i="35"/>
  <c r="U61" i="47"/>
  <c r="S61" i="47"/>
  <c r="Q61" i="47"/>
  <c r="O61" i="47"/>
  <c r="M61" i="47"/>
  <c r="K61" i="47"/>
  <c r="I61" i="47"/>
  <c r="G61" i="47"/>
  <c r="E61" i="47"/>
  <c r="C61" i="47"/>
  <c r="T61" i="47"/>
  <c r="R61" i="47"/>
  <c r="P61" i="47"/>
  <c r="N61" i="47"/>
  <c r="L61" i="47"/>
  <c r="J61" i="47"/>
  <c r="H61" i="47"/>
  <c r="F61" i="47"/>
  <c r="D61" i="47"/>
  <c r="U38" i="47"/>
  <c r="S38" i="47"/>
  <c r="Q38" i="47"/>
  <c r="O38" i="47"/>
  <c r="R38" i="47"/>
  <c r="N38" i="47"/>
  <c r="L38" i="47"/>
  <c r="J38" i="47"/>
  <c r="H38" i="47"/>
  <c r="F38" i="47"/>
  <c r="D38" i="47"/>
  <c r="T38" i="47"/>
  <c r="P38" i="47"/>
  <c r="M38" i="47"/>
  <c r="K38" i="47"/>
  <c r="I38" i="47"/>
  <c r="G38" i="47"/>
  <c r="E38" i="47"/>
  <c r="C38" i="47"/>
  <c r="T36" i="47"/>
  <c r="R36" i="47"/>
  <c r="P36" i="47"/>
  <c r="N36" i="47"/>
  <c r="L36" i="47"/>
  <c r="J36" i="47"/>
  <c r="H36" i="47"/>
  <c r="F36" i="47"/>
  <c r="D36" i="47"/>
  <c r="U36" i="47"/>
  <c r="S36" i="47"/>
  <c r="Q36" i="47"/>
  <c r="O36" i="47"/>
  <c r="M36" i="47"/>
  <c r="K36" i="47"/>
  <c r="I36" i="47"/>
  <c r="G36" i="47"/>
  <c r="E36" i="47"/>
  <c r="C36" i="47"/>
  <c r="C7" i="42"/>
  <c r="B29" i="47"/>
  <c r="B28" i="47" s="1"/>
  <c r="V36" i="39"/>
  <c r="B20" i="47"/>
  <c r="V9" i="47" s="1"/>
  <c r="W112" i="22"/>
  <c r="I64" i="27"/>
  <c r="AK22" i="30"/>
  <c r="AE22" i="30"/>
  <c r="AW22" i="30" s="1"/>
  <c r="AN22" i="30"/>
  <c r="AI22" i="30"/>
  <c r="AU22" i="30" s="1"/>
  <c r="AX22" i="30" s="1"/>
  <c r="AW63" i="35"/>
  <c r="AU63" i="35"/>
  <c r="AS63" i="35"/>
  <c r="AQ63" i="35"/>
  <c r="AO63" i="35"/>
  <c r="AM63" i="35"/>
  <c r="AK63" i="35"/>
  <c r="AI63" i="35"/>
  <c r="AG63" i="35"/>
  <c r="AE63" i="35"/>
  <c r="AD63" i="35"/>
  <c r="AW43" i="35"/>
  <c r="AV43" i="35"/>
  <c r="AU43" i="35"/>
  <c r="AT43" i="35"/>
  <c r="AS43" i="35"/>
  <c r="AR43" i="35"/>
  <c r="AQ43" i="35"/>
  <c r="AP43" i="35"/>
  <c r="AO43" i="35"/>
  <c r="AN43" i="35"/>
  <c r="AV63" i="35"/>
  <c r="AT63" i="35"/>
  <c r="AR63" i="35"/>
  <c r="AP63" i="35"/>
  <c r="AN63" i="35"/>
  <c r="AL63" i="35"/>
  <c r="AJ63" i="35"/>
  <c r="AH63" i="35"/>
  <c r="AF63" i="35"/>
  <c r="AK43" i="35"/>
  <c r="AJ43" i="35"/>
  <c r="AI43" i="35"/>
  <c r="AH43" i="35"/>
  <c r="AG43" i="35"/>
  <c r="AF43" i="35"/>
  <c r="AE43" i="35"/>
  <c r="AJ23" i="35"/>
  <c r="AI23" i="35"/>
  <c r="AH23" i="35"/>
  <c r="AG23" i="35"/>
  <c r="AF23" i="35"/>
  <c r="AM43" i="35"/>
  <c r="AL43" i="35"/>
  <c r="AD43" i="35"/>
  <c r="AW23" i="35"/>
  <c r="AV23" i="35"/>
  <c r="AU23" i="35"/>
  <c r="AT23" i="35"/>
  <c r="AS23" i="35"/>
  <c r="AR23" i="35"/>
  <c r="AQ23" i="35"/>
  <c r="AP23" i="35"/>
  <c r="AO23" i="35"/>
  <c r="AN23" i="35"/>
  <c r="AM23" i="35"/>
  <c r="AL23" i="35"/>
  <c r="AK23" i="35"/>
  <c r="AD23" i="35"/>
  <c r="AE23" i="35"/>
  <c r="AF21" i="30"/>
  <c r="J16" i="30"/>
  <c r="J18" i="30"/>
  <c r="N18" i="30"/>
  <c r="C102" i="36" s="1"/>
  <c r="AQ21" i="30"/>
  <c r="AR60" i="27"/>
  <c r="H63" i="27"/>
  <c r="K15" i="35"/>
  <c r="V19" i="39"/>
  <c r="AL62" i="27"/>
  <c r="AS61" i="27"/>
  <c r="AH22" i="31" s="1"/>
  <c r="R63" i="27"/>
  <c r="AA63" i="27"/>
  <c r="J22" i="35"/>
  <c r="O22" i="35" s="1"/>
  <c r="P22" i="35" s="1"/>
  <c r="J12" i="35"/>
  <c r="O12" i="35" s="1"/>
  <c r="P12" i="35" s="1"/>
  <c r="CH57" i="22"/>
  <c r="C56" i="22" s="1"/>
  <c r="N19" i="35"/>
  <c r="AC20" i="42" l="1"/>
  <c r="CH77" i="22" s="1"/>
  <c r="J76" i="22" s="1"/>
  <c r="V38" i="39" s="1"/>
  <c r="AV22" i="30"/>
  <c r="AY22" i="30" s="1"/>
  <c r="T126" i="27"/>
  <c r="X134" i="27"/>
  <c r="O18" i="30"/>
  <c r="P18" i="30"/>
  <c r="O16" i="30"/>
  <c r="N16" i="30" s="1"/>
  <c r="C100" i="36" s="1"/>
  <c r="T52" i="47"/>
  <c r="Q52" i="47"/>
  <c r="I52" i="47"/>
  <c r="R52" i="47"/>
  <c r="J52" i="47"/>
  <c r="O52" i="47"/>
  <c r="G52" i="47"/>
  <c r="P52" i="47"/>
  <c r="H52" i="47"/>
  <c r="U52" i="47"/>
  <c r="M52" i="47"/>
  <c r="E52" i="47"/>
  <c r="N52" i="47"/>
  <c r="F52" i="47"/>
  <c r="S52" i="47"/>
  <c r="K52" i="47"/>
  <c r="L52" i="47"/>
  <c r="D52" i="47"/>
  <c r="T35" i="47"/>
  <c r="S35" i="47"/>
  <c r="H35" i="47"/>
  <c r="C35" i="47"/>
  <c r="K35" i="47"/>
  <c r="O35" i="47"/>
  <c r="L35" i="47"/>
  <c r="G35" i="47"/>
  <c r="D35" i="47"/>
  <c r="C139" i="39"/>
  <c r="I35" i="47"/>
  <c r="Q35" i="47"/>
  <c r="F35" i="47"/>
  <c r="P35" i="47"/>
  <c r="E35" i="47"/>
  <c r="M35" i="47"/>
  <c r="U35" i="47"/>
  <c r="J35" i="47"/>
  <c r="R35" i="47"/>
  <c r="AJ23" i="30"/>
  <c r="AG23" i="30" s="1"/>
  <c r="AG22" i="30"/>
  <c r="AM22" i="30"/>
  <c r="AK23" i="31"/>
  <c r="AN23" i="31"/>
  <c r="AD82" i="35"/>
  <c r="AQ62" i="27"/>
  <c r="AP82" i="35"/>
  <c r="AW82" i="35"/>
  <c r="W150" i="27"/>
  <c r="Y150" i="27" s="1"/>
  <c r="AK82" i="35"/>
  <c r="AF82" i="35"/>
  <c r="AS82" i="35"/>
  <c r="AN82" i="35"/>
  <c r="AR82" i="35"/>
  <c r="AV82" i="35"/>
  <c r="AS21" i="30"/>
  <c r="AO82" i="35"/>
  <c r="AE82" i="35"/>
  <c r="AM82" i="35"/>
  <c r="Z102" i="35"/>
  <c r="Z111" i="22" s="1"/>
  <c r="AI82" i="35"/>
  <c r="AH82" i="35"/>
  <c r="AT82" i="35"/>
  <c r="AG82" i="35"/>
  <c r="AQ82" i="35"/>
  <c r="AL82" i="35"/>
  <c r="AJ82" i="35"/>
  <c r="AU82" i="35"/>
  <c r="C65" i="22"/>
  <c r="P9" i="39" s="1"/>
  <c r="U53" i="47"/>
  <c r="S53" i="47"/>
  <c r="Q53" i="47"/>
  <c r="Q48" i="47" s="1"/>
  <c r="O53" i="47"/>
  <c r="M53" i="47"/>
  <c r="K53" i="47"/>
  <c r="I53" i="47"/>
  <c r="G53" i="47"/>
  <c r="E53" i="47"/>
  <c r="E48" i="47" s="1"/>
  <c r="T53" i="47"/>
  <c r="T48" i="47" s="1"/>
  <c r="R53" i="47"/>
  <c r="P53" i="47"/>
  <c r="N53" i="47"/>
  <c r="L53" i="47"/>
  <c r="L48" i="47" s="1"/>
  <c r="J53" i="47"/>
  <c r="H53" i="47"/>
  <c r="F53" i="47"/>
  <c r="D53" i="47"/>
  <c r="C56" i="47"/>
  <c r="W113" i="22"/>
  <c r="I65" i="27"/>
  <c r="AP83" i="35"/>
  <c r="AT83" i="35"/>
  <c r="AG83" i="35"/>
  <c r="C142" i="39"/>
  <c r="AN83" i="35"/>
  <c r="AV83" i="35"/>
  <c r="AQ83" i="35"/>
  <c r="AU83" i="35"/>
  <c r="AF83" i="35"/>
  <c r="AJ83" i="35"/>
  <c r="AD83" i="35"/>
  <c r="AR83" i="35"/>
  <c r="AI83" i="35"/>
  <c r="AO83" i="35"/>
  <c r="AS83" i="35"/>
  <c r="AW83" i="35"/>
  <c r="AL83" i="35"/>
  <c r="AN23" i="30"/>
  <c r="AK23" i="30"/>
  <c r="AE23" i="30"/>
  <c r="AW23" i="30" s="1"/>
  <c r="AO22" i="30"/>
  <c r="AL22" i="30"/>
  <c r="AI23" i="30"/>
  <c r="AU23" i="30" s="1"/>
  <c r="AX23" i="30" s="1"/>
  <c r="AE83" i="35"/>
  <c r="AK83" i="35"/>
  <c r="AM83" i="35"/>
  <c r="AH83" i="35"/>
  <c r="AF22" i="30"/>
  <c r="Q18" i="30"/>
  <c r="R18" i="30"/>
  <c r="BB121" i="22" s="1"/>
  <c r="AQ22" i="30"/>
  <c r="N22" i="35"/>
  <c r="N12" i="35"/>
  <c r="AS62" i="27"/>
  <c r="AH23" i="31" s="1"/>
  <c r="AA64" i="27"/>
  <c r="R64" i="27"/>
  <c r="V20" i="39"/>
  <c r="AL63" i="27"/>
  <c r="AR61" i="27"/>
  <c r="H64" i="27"/>
  <c r="C136" i="39"/>
  <c r="J15" i="35"/>
  <c r="O15" i="35" s="1"/>
  <c r="P15" i="35" s="1"/>
  <c r="R16" i="30" l="1"/>
  <c r="BB118" i="22" s="1"/>
  <c r="AV23" i="30"/>
  <c r="AY23" i="30" s="1"/>
  <c r="U48" i="47"/>
  <c r="Q16" i="30"/>
  <c r="P16" i="30" s="1"/>
  <c r="C76" i="22"/>
  <c r="O68" i="47" s="1"/>
  <c r="R48" i="47"/>
  <c r="S48" i="47"/>
  <c r="N48" i="47"/>
  <c r="M48" i="47"/>
  <c r="J48" i="47"/>
  <c r="P48" i="47"/>
  <c r="O48" i="47"/>
  <c r="K48" i="47"/>
  <c r="AM23" i="30"/>
  <c r="AP23" i="30"/>
  <c r="AS22" i="30"/>
  <c r="Z103" i="35"/>
  <c r="Z112" i="22" s="1"/>
  <c r="Z150" i="27"/>
  <c r="AA150" i="27" s="1"/>
  <c r="X113" i="22" s="1"/>
  <c r="AO23" i="30"/>
  <c r="AL23" i="30"/>
  <c r="AF23" i="30"/>
  <c r="AQ23" i="30"/>
  <c r="N15" i="35"/>
  <c r="Z104" i="35"/>
  <c r="Z113" i="22" s="1"/>
  <c r="V21" i="39"/>
  <c r="AL64" i="27"/>
  <c r="AR62" i="27"/>
  <c r="H65" i="27"/>
  <c r="D152" i="39"/>
  <c r="D68" i="47" l="1"/>
  <c r="P68" i="47"/>
  <c r="E68" i="47"/>
  <c r="M68" i="47"/>
  <c r="J68" i="47"/>
  <c r="H68" i="47"/>
  <c r="T68" i="47"/>
  <c r="Q68" i="47"/>
  <c r="U68" i="47"/>
  <c r="L68" i="47"/>
  <c r="I68" i="47"/>
  <c r="F68" i="47"/>
  <c r="N68" i="47"/>
  <c r="C68" i="47"/>
  <c r="K68" i="47"/>
  <c r="S68" i="47"/>
  <c r="R68" i="47"/>
  <c r="G68" i="47"/>
  <c r="AS23" i="30"/>
  <c r="O144" i="39"/>
  <c r="K9" i="35" l="1"/>
  <c r="AR22" i="30" l="1"/>
  <c r="AT22" i="30" s="1"/>
  <c r="Y112" i="22" s="1"/>
  <c r="AR21" i="30"/>
  <c r="AT21" i="30" s="1"/>
  <c r="Y111" i="22" s="1"/>
  <c r="AR12" i="30"/>
  <c r="AT12" i="30" s="1"/>
  <c r="Y102" i="22" s="1"/>
  <c r="AR20" i="30"/>
  <c r="AT20" i="30" s="1"/>
  <c r="Y110" i="22" s="1"/>
  <c r="AR23" i="30"/>
  <c r="AT23" i="30" s="1"/>
  <c r="Y113" i="22" s="1"/>
  <c r="P9" i="35" l="1"/>
  <c r="N9" i="35"/>
  <c r="J9" i="35" l="1"/>
  <c r="O9" i="35" s="1"/>
  <c r="V14" i="30"/>
  <c r="W14" i="30" s="1"/>
  <c r="K7" i="27"/>
  <c r="K11" i="27" s="1"/>
  <c r="E55" i="27" s="1"/>
  <c r="AC79" i="27" l="1"/>
  <c r="U140" i="27"/>
  <c r="Y54" i="27"/>
  <c r="V54" i="27"/>
  <c r="U54" i="27" s="1"/>
  <c r="X54" i="27" s="1"/>
  <c r="U11" i="39"/>
  <c r="AK54" i="27"/>
  <c r="T54" i="27"/>
  <c r="AT52" i="27" s="1"/>
  <c r="P54" i="27"/>
  <c r="AO52" i="27" s="1"/>
  <c r="U103" i="22"/>
  <c r="C59" i="36"/>
  <c r="AG13" i="31"/>
  <c r="AF13" i="31"/>
  <c r="AC13" i="35"/>
  <c r="AD13" i="30"/>
  <c r="S54" i="27"/>
  <c r="K6" i="27"/>
  <c r="AY26" i="31" l="1"/>
  <c r="K19" i="30"/>
  <c r="K10" i="27"/>
  <c r="E49" i="27" s="1"/>
  <c r="AQ52" i="27"/>
  <c r="Z54" i="27"/>
  <c r="I55" i="27" s="1"/>
  <c r="AI33" i="35"/>
  <c r="AP53" i="35"/>
  <c r="AT33" i="35"/>
  <c r="AH33" i="35"/>
  <c r="AD33" i="35"/>
  <c r="AJ33" i="35"/>
  <c r="AR53" i="35"/>
  <c r="AW53" i="35"/>
  <c r="AL33" i="35"/>
  <c r="AV33" i="35"/>
  <c r="AM53" i="35"/>
  <c r="AS53" i="35"/>
  <c r="AK53" i="35"/>
  <c r="AT53" i="35"/>
  <c r="AU33" i="35"/>
  <c r="AO53" i="35"/>
  <c r="AM33" i="35"/>
  <c r="AV53" i="35"/>
  <c r="AH53" i="35"/>
  <c r="AO33" i="35"/>
  <c r="AG13" i="35"/>
  <c r="AE13" i="35"/>
  <c r="AT13" i="35"/>
  <c r="AL13" i="35"/>
  <c r="AM13" i="35"/>
  <c r="AR13" i="35"/>
  <c r="AS13" i="35"/>
  <c r="AP13" i="35"/>
  <c r="AK13" i="35"/>
  <c r="AQ13" i="35"/>
  <c r="AW13" i="35"/>
  <c r="AL53" i="35"/>
  <c r="AE33" i="35"/>
  <c r="AE53" i="35"/>
  <c r="AF53" i="35"/>
  <c r="AG33" i="35"/>
  <c r="AW33" i="35"/>
  <c r="AK33" i="35"/>
  <c r="AN33" i="35"/>
  <c r="AF33" i="35"/>
  <c r="AJ53" i="35"/>
  <c r="AQ33" i="35"/>
  <c r="AN53" i="35"/>
  <c r="AR33" i="35"/>
  <c r="AI53" i="35"/>
  <c r="AU53" i="35"/>
  <c r="AQ53" i="35"/>
  <c r="AD53" i="35"/>
  <c r="AS33" i="35"/>
  <c r="AG53" i="35"/>
  <c r="AP33" i="35"/>
  <c r="AV13" i="35"/>
  <c r="AU13" i="35"/>
  <c r="AO13" i="35"/>
  <c r="AJ13" i="35"/>
  <c r="AI13" i="35"/>
  <c r="AF13" i="35"/>
  <c r="AH13" i="35"/>
  <c r="AN13" i="35"/>
  <c r="AD13" i="35"/>
  <c r="V103" i="22"/>
  <c r="AJ13" i="30"/>
  <c r="AH13" i="30"/>
  <c r="AN13" i="31"/>
  <c r="AK13" i="31"/>
  <c r="AO13" i="31"/>
  <c r="AN73" i="35" l="1"/>
  <c r="J19" i="30"/>
  <c r="Y48" i="27"/>
  <c r="T48" i="27"/>
  <c r="AT46" i="27" s="1"/>
  <c r="K17" i="30" s="1"/>
  <c r="AD7" i="30"/>
  <c r="AH7" i="30" s="1"/>
  <c r="AG7" i="31"/>
  <c r="P48" i="27"/>
  <c r="AO46" i="27" s="1"/>
  <c r="S48" i="27"/>
  <c r="Z48" i="27" s="1"/>
  <c r="I49" i="27" s="1"/>
  <c r="AC7" i="35"/>
  <c r="AQ27" i="35" s="1"/>
  <c r="C53" i="36"/>
  <c r="U5" i="39"/>
  <c r="AF7" i="31"/>
  <c r="AO7" i="31" s="1"/>
  <c r="U97" i="22"/>
  <c r="V97" i="22" s="1"/>
  <c r="V48" i="27"/>
  <c r="U48" i="27" s="1"/>
  <c r="X48" i="27" s="1"/>
  <c r="AK48" i="27"/>
  <c r="U134" i="27"/>
  <c r="AM73" i="35"/>
  <c r="AV73" i="35"/>
  <c r="AD73" i="35"/>
  <c r="AJ73" i="35"/>
  <c r="AU73" i="35"/>
  <c r="AT73" i="35"/>
  <c r="AI73" i="35"/>
  <c r="AF73" i="35"/>
  <c r="AH73" i="35"/>
  <c r="AO73" i="35"/>
  <c r="AE13" i="30"/>
  <c r="AK13" i="30"/>
  <c r="AN13" i="30"/>
  <c r="AA54" i="27"/>
  <c r="AS52" i="27"/>
  <c r="AH13" i="31" s="1"/>
  <c r="W103" i="22"/>
  <c r="R54" i="27"/>
  <c r="AI13" i="30"/>
  <c r="AU13" i="30" s="1"/>
  <c r="AX13" i="30" s="1"/>
  <c r="AQ73" i="35"/>
  <c r="AP73" i="35"/>
  <c r="AR73" i="35"/>
  <c r="AL73" i="35"/>
  <c r="AE73" i="35"/>
  <c r="AG13" i="30"/>
  <c r="AV13" i="30"/>
  <c r="AY13" i="30" s="1"/>
  <c r="AP13" i="30"/>
  <c r="AM13" i="30"/>
  <c r="AW73" i="35"/>
  <c r="AK73" i="35"/>
  <c r="AS73" i="35"/>
  <c r="AG73" i="35"/>
  <c r="O19" i="30" l="1"/>
  <c r="Q19" i="30" s="1"/>
  <c r="P19" i="30"/>
  <c r="N19" i="30"/>
  <c r="C103" i="36" s="1"/>
  <c r="R19" i="30"/>
  <c r="AK7" i="31"/>
  <c r="AQ46" i="27"/>
  <c r="J17" i="30" s="1"/>
  <c r="AU47" i="35"/>
  <c r="AJ7" i="30"/>
  <c r="AM7" i="30" s="1"/>
  <c r="AE27" i="35"/>
  <c r="AH7" i="35"/>
  <c r="AE7" i="35"/>
  <c r="AM7" i="35"/>
  <c r="AV7" i="35"/>
  <c r="AW47" i="35"/>
  <c r="AJ7" i="35"/>
  <c r="AH27" i="35"/>
  <c r="AW7" i="35"/>
  <c r="AD7" i="35"/>
  <c r="AT7" i="35"/>
  <c r="AG7" i="35"/>
  <c r="AL7" i="35"/>
  <c r="AT27" i="35"/>
  <c r="AI27" i="35"/>
  <c r="AS7" i="35"/>
  <c r="AN27" i="35"/>
  <c r="AN7" i="35"/>
  <c r="AR47" i="35"/>
  <c r="AT47" i="35"/>
  <c r="AG27" i="35"/>
  <c r="AR27" i="35"/>
  <c r="AF7" i="35"/>
  <c r="AI7" i="35"/>
  <c r="AU7" i="35"/>
  <c r="AD47" i="35"/>
  <c r="AH47" i="35"/>
  <c r="AN47" i="35"/>
  <c r="AG47" i="35"/>
  <c r="AN7" i="31"/>
  <c r="AF47" i="35"/>
  <c r="AQ47" i="35"/>
  <c r="AD27" i="35"/>
  <c r="AU27" i="35"/>
  <c r="AJ47" i="35"/>
  <c r="AM47" i="35"/>
  <c r="AO27" i="35"/>
  <c r="AL47" i="35"/>
  <c r="AV27" i="35"/>
  <c r="AP47" i="35"/>
  <c r="AP7" i="35"/>
  <c r="AQ7" i="35"/>
  <c r="AK7" i="35"/>
  <c r="AO7" i="35"/>
  <c r="AK27" i="35"/>
  <c r="AE47" i="35"/>
  <c r="AL27" i="35"/>
  <c r="AP27" i="35"/>
  <c r="AM27" i="35"/>
  <c r="AR7" i="35"/>
  <c r="AI47" i="35"/>
  <c r="AO47" i="35"/>
  <c r="AJ27" i="35"/>
  <c r="AS27" i="35"/>
  <c r="AW27" i="35"/>
  <c r="AV47" i="35"/>
  <c r="AF27" i="35"/>
  <c r="AK47" i="35"/>
  <c r="AS47" i="35"/>
  <c r="Z94" i="35"/>
  <c r="Z103" i="22" s="1"/>
  <c r="W97" i="22"/>
  <c r="AA48" i="27"/>
  <c r="AS46" i="27"/>
  <c r="R48" i="27"/>
  <c r="H55" i="27"/>
  <c r="AR52" i="27"/>
  <c r="AW13" i="30"/>
  <c r="AF13" i="30"/>
  <c r="AO13" i="30"/>
  <c r="AE7" i="30"/>
  <c r="AN7" i="30"/>
  <c r="AK7" i="30"/>
  <c r="V11" i="39"/>
  <c r="AL54" i="27"/>
  <c r="AQ13" i="30"/>
  <c r="AL13" i="30"/>
  <c r="AS13" i="30"/>
  <c r="AI7" i="30"/>
  <c r="AU7" i="30" s="1"/>
  <c r="AX7" i="30" s="1"/>
  <c r="O17" i="30" l="1"/>
  <c r="Q17" i="30" s="1"/>
  <c r="P17" i="30" s="1"/>
  <c r="AD67" i="35"/>
  <c r="AP7" i="30"/>
  <c r="AV7" i="30"/>
  <c r="AY7" i="30" s="1"/>
  <c r="AG7" i="30"/>
  <c r="AE67" i="35"/>
  <c r="AI67" i="35"/>
  <c r="AT67" i="35"/>
  <c r="AH67" i="35"/>
  <c r="AW67" i="35"/>
  <c r="AQ67" i="35"/>
  <c r="AU67" i="35"/>
  <c r="AM67" i="35"/>
  <c r="AP67" i="35"/>
  <c r="AO67" i="35"/>
  <c r="AN67" i="35"/>
  <c r="AG67" i="35"/>
  <c r="AR67" i="35"/>
  <c r="AL67" i="35"/>
  <c r="AV67" i="35"/>
  <c r="AJ67" i="35"/>
  <c r="AK67" i="35"/>
  <c r="AF67" i="35"/>
  <c r="AS67" i="35"/>
  <c r="AR13" i="30"/>
  <c r="AT13" i="30" s="1"/>
  <c r="Y103" i="22" s="1"/>
  <c r="V5" i="39"/>
  <c r="AL48" i="27"/>
  <c r="AH7" i="31"/>
  <c r="AQ7" i="30"/>
  <c r="AL7" i="30"/>
  <c r="AW7" i="30"/>
  <c r="AF7" i="30"/>
  <c r="AR46" i="27"/>
  <c r="H49" i="27"/>
  <c r="R17" i="30" l="1"/>
  <c r="BB120" i="22" s="1"/>
  <c r="N17" i="30"/>
  <c r="C101" i="36" s="1"/>
  <c r="AS7" i="30"/>
  <c r="Z88" i="35"/>
  <c r="Z97" i="22" s="1"/>
  <c r="G96" i="27" l="1"/>
  <c r="T95" i="27" l="1"/>
  <c r="BB47" i="22"/>
  <c r="AX20" i="31" l="1"/>
  <c r="BC20" i="31" s="1"/>
  <c r="C40" i="22" s="1"/>
  <c r="AZ10" i="31"/>
  <c r="BC10" i="31" s="1"/>
  <c r="BA8" i="31"/>
  <c r="BB8" i="31"/>
  <c r="H40" i="22" l="1"/>
  <c r="I40" i="22"/>
  <c r="BC8" i="31"/>
  <c r="AL12" i="31" l="1"/>
  <c r="AL20" i="31"/>
  <c r="AL21" i="31"/>
  <c r="AL7" i="31"/>
  <c r="AL13" i="31"/>
  <c r="AL22" i="31"/>
  <c r="AL23" i="31"/>
  <c r="AM21" i="31"/>
  <c r="AM13" i="31"/>
  <c r="AM22" i="31"/>
  <c r="AM12" i="31"/>
  <c r="AM23" i="31"/>
  <c r="AM20" i="31"/>
  <c r="AM7" i="31"/>
  <c r="AI21" i="31"/>
  <c r="AI7" i="31"/>
  <c r="AI23" i="31"/>
  <c r="AI12" i="31"/>
  <c r="AI22" i="31"/>
  <c r="AI20" i="31"/>
  <c r="AJ23" i="31"/>
  <c r="AJ12" i="31"/>
  <c r="AJ20" i="31"/>
  <c r="AJ21" i="31"/>
  <c r="AJ13" i="31"/>
  <c r="AQ23" i="31" l="1"/>
  <c r="AA113" i="22" s="1"/>
  <c r="AP23" i="31"/>
  <c r="AP20" i="31"/>
  <c r="AQ20" i="31"/>
  <c r="AA110" i="22" s="1"/>
  <c r="AP12" i="31"/>
  <c r="AQ12" i="31"/>
  <c r="AA102" i="22" s="1"/>
  <c r="AQ21" i="31"/>
  <c r="AA111" i="22" s="1"/>
  <c r="AP21" i="31"/>
  <c r="E40" i="22"/>
  <c r="F40" i="22" l="1"/>
  <c r="G40" i="22" l="1"/>
  <c r="V41" i="39" l="1"/>
  <c r="M19" i="47" l="1"/>
  <c r="M16" i="47" s="1"/>
  <c r="C48" i="47"/>
  <c r="B19" i="47" l="1"/>
  <c r="B16" i="47" s="1"/>
  <c r="B74" i="47" l="1"/>
  <c r="B84" i="47"/>
  <c r="B86" i="47" l="1"/>
  <c r="B85" i="47"/>
  <c r="B76" i="47"/>
  <c r="B79" i="47"/>
  <c r="B75" i="47"/>
  <c r="B80" i="47" l="1"/>
  <c r="B81" i="47"/>
  <c r="W141" i="27" l="1"/>
  <c r="AJ79" i="27"/>
  <c r="AJ89" i="27" s="1"/>
  <c r="J20" i="30"/>
  <c r="Y141" i="27" l="1"/>
  <c r="Z141" i="27" s="1"/>
  <c r="O20" i="30"/>
  <c r="Q20" i="30" s="1"/>
  <c r="P20" i="30"/>
  <c r="K21" i="30"/>
  <c r="K20" i="30"/>
  <c r="N20" i="30" s="1"/>
  <c r="C104" i="36" s="1"/>
  <c r="R20" i="30"/>
  <c r="BB122" i="22" s="1"/>
  <c r="J21" i="30" l="1"/>
  <c r="N21" i="30"/>
  <c r="AA141" i="27"/>
  <c r="X104" i="22" s="1"/>
  <c r="O21" i="30" l="1"/>
  <c r="Q21" i="30" s="1"/>
  <c r="P21" i="30"/>
  <c r="R21" i="30"/>
  <c r="BB123" i="22" s="1"/>
  <c r="K22" i="30"/>
  <c r="J22" i="30"/>
  <c r="E36" i="27"/>
  <c r="E14" i="27" s="1"/>
  <c r="E13" i="27" s="1"/>
  <c r="O22" i="30" l="1"/>
  <c r="Q22" i="30" s="1"/>
  <c r="P22" i="30"/>
  <c r="N22" i="30"/>
  <c r="C112" i="36" s="1"/>
  <c r="R22" i="30"/>
  <c r="BB124" i="22" s="1"/>
  <c r="J23" i="30"/>
  <c r="O23" i="30" l="1"/>
  <c r="P23" i="30"/>
  <c r="K24" i="30"/>
  <c r="J24" i="30"/>
  <c r="O24" i="30" l="1"/>
  <c r="Q24" i="30" s="1"/>
  <c r="P24" i="30"/>
  <c r="N24" i="30"/>
  <c r="C114" i="36" s="1"/>
  <c r="R24" i="30"/>
  <c r="BB126" i="22" s="1"/>
  <c r="W135" i="27" l="1"/>
  <c r="AD78" i="27"/>
  <c r="AD89" i="27" s="1"/>
  <c r="Y135" i="27" l="1"/>
  <c r="Z135" i="27" l="1"/>
  <c r="AA146" i="27" l="1"/>
  <c r="X109" i="22" s="1"/>
  <c r="D6" i="39"/>
  <c r="C37" i="36"/>
  <c r="C44" i="36"/>
  <c r="E61" i="27"/>
  <c r="Q58" i="27"/>
  <c r="AD19" i="30" l="1"/>
  <c r="AJ19" i="30" s="1"/>
  <c r="AM19" i="30" s="1"/>
  <c r="AP56" i="27"/>
  <c r="F59" i="27"/>
  <c r="P60" i="27"/>
  <c r="AO58" i="27" s="1"/>
  <c r="AK60" i="27"/>
  <c r="AF19" i="31"/>
  <c r="U146" i="27"/>
  <c r="U60" i="27"/>
  <c r="X60" i="27" s="1"/>
  <c r="U109" i="22"/>
  <c r="U17" i="39"/>
  <c r="C65" i="36"/>
  <c r="T60" i="27"/>
  <c r="AT58" i="27" s="1"/>
  <c r="S60" i="27"/>
  <c r="J36" i="27"/>
  <c r="I36" i="27"/>
  <c r="U29" i="27"/>
  <c r="W29" i="27" s="1"/>
  <c r="H36" i="27"/>
  <c r="Y60" i="27"/>
  <c r="AG19" i="31"/>
  <c r="V60" i="27"/>
  <c r="AC19" i="35"/>
  <c r="AU56" i="27"/>
  <c r="AV56" i="27" s="1"/>
  <c r="L23" i="30" l="1"/>
  <c r="AO7" i="30"/>
  <c r="AR7" i="30" s="1"/>
  <c r="AT7" i="30" s="1"/>
  <c r="Y97" i="22" s="1"/>
  <c r="K25" i="30"/>
  <c r="K15" i="30"/>
  <c r="AH19" i="30"/>
  <c r="AI19" i="30" s="1"/>
  <c r="AU19" i="30" s="1"/>
  <c r="AX19" i="30" s="1"/>
  <c r="AP19" i="30"/>
  <c r="AV19" i="30"/>
  <c r="AY19" i="30" s="1"/>
  <c r="AG19" i="30"/>
  <c r="T29" i="27"/>
  <c r="V29" i="27" s="1"/>
  <c r="S29" i="27" s="1"/>
  <c r="AE39" i="35"/>
  <c r="AQ39" i="35"/>
  <c r="AQ59" i="35"/>
  <c r="AR39" i="35"/>
  <c r="AS39" i="35"/>
  <c r="AP39" i="35"/>
  <c r="AL39" i="35"/>
  <c r="AJ59" i="35"/>
  <c r="AO59" i="35"/>
  <c r="AN59" i="35"/>
  <c r="AJ19" i="35"/>
  <c r="AL19" i="35"/>
  <c r="AW19" i="35"/>
  <c r="AP19" i="35"/>
  <c r="AM19" i="35"/>
  <c r="AV19" i="35"/>
  <c r="AD39" i="35"/>
  <c r="AO39" i="35"/>
  <c r="AK39" i="35"/>
  <c r="AH39" i="35"/>
  <c r="AH59" i="35"/>
  <c r="AR59" i="35"/>
  <c r="AL59" i="35"/>
  <c r="AV39" i="35"/>
  <c r="AK59" i="35"/>
  <c r="AE59" i="35"/>
  <c r="AH19" i="35"/>
  <c r="AQ19" i="35"/>
  <c r="AU39" i="35"/>
  <c r="AM39" i="35"/>
  <c r="AU59" i="35"/>
  <c r="AF59" i="35"/>
  <c r="AW59" i="35"/>
  <c r="AP59" i="35"/>
  <c r="AM59" i="35"/>
  <c r="AF39" i="35"/>
  <c r="AJ39" i="35"/>
  <c r="AV59" i="35"/>
  <c r="AG19" i="35"/>
  <c r="AG59" i="35"/>
  <c r="AW39" i="35"/>
  <c r="AN39" i="35"/>
  <c r="AT39" i="35"/>
  <c r="AG39" i="35"/>
  <c r="AI39" i="35"/>
  <c r="AS59" i="35"/>
  <c r="AI59" i="35"/>
  <c r="AT59" i="35"/>
  <c r="AD59" i="35"/>
  <c r="AE19" i="35"/>
  <c r="AU19" i="35"/>
  <c r="AF19" i="35"/>
  <c r="AI19" i="35"/>
  <c r="AK19" i="35"/>
  <c r="AT19" i="35"/>
  <c r="AO19" i="35"/>
  <c r="AD19" i="35"/>
  <c r="AS19" i="35"/>
  <c r="AR19" i="35"/>
  <c r="AN19" i="35"/>
  <c r="C82" i="36"/>
  <c r="C89" i="36" s="1"/>
  <c r="AK19" i="31"/>
  <c r="AO19" i="31"/>
  <c r="AI19" i="31"/>
  <c r="AJ19" i="31"/>
  <c r="AN19" i="31"/>
  <c r="AM19" i="31"/>
  <c r="AL19" i="31"/>
  <c r="AQ58" i="27"/>
  <c r="Z60" i="27"/>
  <c r="D13" i="39"/>
  <c r="C45" i="36"/>
  <c r="C43" i="36"/>
  <c r="D12" i="39"/>
  <c r="V109" i="22"/>
  <c r="AD79" i="35" l="1"/>
  <c r="J15" i="30"/>
  <c r="J25" i="30"/>
  <c r="V13" i="30"/>
  <c r="W13" i="30" s="1"/>
  <c r="V23" i="30"/>
  <c r="W23" i="30" s="1"/>
  <c r="R23" i="30"/>
  <c r="BB125" i="22" s="1"/>
  <c r="Q23" i="30"/>
  <c r="AN19" i="30"/>
  <c r="AO19" i="30" s="1"/>
  <c r="AE19" i="30"/>
  <c r="AW19" i="30" s="1"/>
  <c r="AK19" i="30"/>
  <c r="AF79" i="35"/>
  <c r="AS19" i="30"/>
  <c r="AI79" i="35"/>
  <c r="AT79" i="35"/>
  <c r="AN79" i="35"/>
  <c r="AQ79" i="35"/>
  <c r="AR79" i="35"/>
  <c r="AS79" i="35"/>
  <c r="AK79" i="35"/>
  <c r="AE79" i="35"/>
  <c r="AO79" i="35"/>
  <c r="AU79" i="35"/>
  <c r="AG79" i="35"/>
  <c r="AH79" i="35"/>
  <c r="C42" i="36"/>
  <c r="D11" i="39"/>
  <c r="AA60" i="27"/>
  <c r="AS58" i="27"/>
  <c r="AH19" i="31" s="1"/>
  <c r="W109" i="22"/>
  <c r="I61" i="27"/>
  <c r="R60" i="27"/>
  <c r="AP79" i="35"/>
  <c r="AP19" i="31"/>
  <c r="AQ19" i="31"/>
  <c r="AW79" i="35"/>
  <c r="AV79" i="35"/>
  <c r="AL79" i="35"/>
  <c r="AM79" i="35"/>
  <c r="AJ79" i="35"/>
  <c r="O25" i="30" l="1"/>
  <c r="Q25" i="30" s="1"/>
  <c r="P25" i="30"/>
  <c r="O15" i="30"/>
  <c r="Q15" i="30" s="1"/>
  <c r="P15" i="30" s="1"/>
  <c r="N25" i="30"/>
  <c r="C115" i="36" s="1"/>
  <c r="R25" i="30"/>
  <c r="K23" i="30"/>
  <c r="N23" i="30" s="1"/>
  <c r="C113" i="36" s="1"/>
  <c r="AQ19" i="30"/>
  <c r="AL19" i="30"/>
  <c r="AF19" i="30"/>
  <c r="Z100" i="35"/>
  <c r="Z109" i="22" s="1"/>
  <c r="AL60" i="27"/>
  <c r="V17" i="39"/>
  <c r="AA109" i="22"/>
  <c r="AR58" i="27"/>
  <c r="H61" i="27"/>
  <c r="N15" i="30" l="1"/>
  <c r="C99" i="36" s="1"/>
  <c r="R15" i="30"/>
  <c r="C126" i="36"/>
  <c r="AR19" i="30"/>
  <c r="AT19" i="30" s="1"/>
  <c r="Y109" i="22" s="1"/>
  <c r="W136" i="27"/>
  <c r="AE78" i="27"/>
  <c r="AE89" i="27" s="1"/>
  <c r="Y136" i="27" l="1"/>
  <c r="Z136" i="27" s="1"/>
  <c r="W137" i="27" l="1"/>
  <c r="AF78" i="27"/>
  <c r="AF89" i="27" s="1"/>
  <c r="Y137" i="27" l="1"/>
  <c r="Z137" i="27" l="1"/>
  <c r="AA137" i="27" s="1"/>
  <c r="X100" i="22" s="1"/>
  <c r="AA136" i="27" l="1"/>
  <c r="X99" i="22" s="1"/>
  <c r="AC112" i="22" l="1"/>
  <c r="AC111" i="22"/>
  <c r="AC113" i="22"/>
  <c r="P35" i="31" l="1"/>
  <c r="Z35" i="31" s="1"/>
  <c r="Q35" i="31"/>
  <c r="Q29" i="31"/>
  <c r="Q27" i="31"/>
  <c r="V27" i="31" s="1"/>
  <c r="Q28" i="31"/>
  <c r="V28" i="31" s="1"/>
  <c r="P28" i="31"/>
  <c r="P29" i="31"/>
  <c r="Z29" i="31" s="1"/>
  <c r="P27" i="31"/>
  <c r="V18" i="31" l="1"/>
  <c r="AX16" i="31"/>
  <c r="BA26" i="31"/>
  <c r="W28" i="31"/>
  <c r="BB151" i="22" s="1"/>
  <c r="AZ26" i="31"/>
  <c r="W27" i="31"/>
  <c r="BB150" i="22" s="1"/>
  <c r="AX26" i="31"/>
  <c r="AY16" i="31"/>
  <c r="AZ17" i="31" l="1"/>
  <c r="AZ16" i="31"/>
  <c r="BC16" i="31" s="1"/>
  <c r="W18" i="31"/>
  <c r="Z28" i="31"/>
  <c r="BC26" i="31"/>
  <c r="Z27" i="31"/>
  <c r="AX12" i="31"/>
  <c r="BC12" i="31" s="1"/>
  <c r="C41" i="22" s="1"/>
  <c r="BB145" i="22" l="1"/>
  <c r="I41" i="22"/>
  <c r="G41" i="22"/>
  <c r="E41" i="22"/>
  <c r="F41" i="22"/>
  <c r="H41" i="22"/>
  <c r="AB113" i="22" l="1"/>
  <c r="AB111" i="22"/>
  <c r="AB112" i="22"/>
  <c r="AD113" i="22"/>
  <c r="AD112" i="22"/>
  <c r="AD111" i="22"/>
  <c r="W13" i="29" l="1"/>
  <c r="W30" i="29" l="1"/>
  <c r="C34" i="22"/>
  <c r="M21" i="22" l="1"/>
  <c r="I34" i="22"/>
  <c r="H34" i="22"/>
  <c r="E34" i="22"/>
  <c r="F34" i="22"/>
  <c r="G34" i="22"/>
  <c r="C32" i="22"/>
  <c r="M20" i="22" l="1"/>
  <c r="C140" i="39" s="1"/>
  <c r="J40" i="47"/>
  <c r="C40" i="47"/>
  <c r="P40" i="47"/>
  <c r="M40" i="47"/>
  <c r="L40" i="47"/>
  <c r="F40" i="47"/>
  <c r="K40" i="47"/>
  <c r="D40" i="47"/>
  <c r="N40" i="47"/>
  <c r="U40" i="47"/>
  <c r="E40" i="47"/>
  <c r="Q40" i="47"/>
  <c r="G40" i="47"/>
  <c r="T40" i="47"/>
  <c r="I40" i="47"/>
  <c r="O40" i="47"/>
  <c r="S40" i="47"/>
  <c r="H40" i="47"/>
  <c r="R40" i="47"/>
  <c r="C143" i="39"/>
  <c r="M39" i="47"/>
  <c r="E39" i="47"/>
  <c r="Q39" i="47"/>
  <c r="F39" i="47"/>
  <c r="S39" i="47" l="1"/>
  <c r="U39" i="47"/>
  <c r="I39" i="47"/>
  <c r="R39" i="47"/>
  <c r="O39" i="47"/>
  <c r="T39" i="47"/>
  <c r="G39" i="47"/>
  <c r="D39" i="47"/>
  <c r="J39" i="47"/>
  <c r="N39" i="47"/>
  <c r="C39" i="47"/>
  <c r="K39" i="47"/>
  <c r="L39" i="47"/>
  <c r="H39" i="47"/>
  <c r="P39" i="47"/>
  <c r="W140" i="27" l="1"/>
  <c r="U79" i="27"/>
  <c r="I80" i="27"/>
  <c r="S79" i="27" s="1"/>
  <c r="AI79" i="27"/>
  <c r="AI89" i="27" s="1"/>
  <c r="W79" i="27" l="1"/>
  <c r="Y140" i="27"/>
  <c r="E56" i="27"/>
  <c r="D182" i="39"/>
  <c r="BB5" i="22"/>
  <c r="X79" i="27" l="1"/>
  <c r="U141" i="27"/>
  <c r="AK55" i="27"/>
  <c r="U12" i="39"/>
  <c r="C60" i="36"/>
  <c r="U104" i="22"/>
  <c r="P55" i="27"/>
  <c r="AO53" i="27" s="1"/>
  <c r="V55" i="27"/>
  <c r="AG14" i="31"/>
  <c r="E57" i="27"/>
  <c r="U55" i="27"/>
  <c r="T55" i="27"/>
  <c r="AD14" i="30"/>
  <c r="AF14" i="31"/>
  <c r="S55" i="27"/>
  <c r="Y55" i="27"/>
  <c r="AC14" i="35"/>
  <c r="Z140" i="27"/>
  <c r="AA140" i="27"/>
  <c r="X103" i="22" s="1"/>
  <c r="AR54" i="35" l="1"/>
  <c r="AQ54" i="35"/>
  <c r="AT54" i="35"/>
  <c r="AG34" i="35"/>
  <c r="AV34" i="35"/>
  <c r="AP54" i="35"/>
  <c r="AF54" i="35"/>
  <c r="AK54" i="35"/>
  <c r="AW54" i="35"/>
  <c r="AK34" i="35"/>
  <c r="AD54" i="35"/>
  <c r="AL34" i="35"/>
  <c r="AR34" i="35"/>
  <c r="AU34" i="35"/>
  <c r="AW34" i="35"/>
  <c r="AI54" i="35"/>
  <c r="AH54" i="35"/>
  <c r="AN34" i="35"/>
  <c r="AL54" i="35"/>
  <c r="AF34" i="35"/>
  <c r="AE54" i="35"/>
  <c r="AO34" i="35"/>
  <c r="AP34" i="35"/>
  <c r="AI34" i="35"/>
  <c r="AU54" i="35"/>
  <c r="AQ34" i="35"/>
  <c r="AO54" i="35"/>
  <c r="AM34" i="35"/>
  <c r="AN54" i="35"/>
  <c r="AS54" i="35"/>
  <c r="AJ34" i="35"/>
  <c r="AD34" i="35"/>
  <c r="AT34" i="35"/>
  <c r="AG54" i="35"/>
  <c r="AJ54" i="35"/>
  <c r="AS34" i="35"/>
  <c r="AE34" i="35"/>
  <c r="AV54" i="35"/>
  <c r="AM54" i="35"/>
  <c r="AH34" i="35"/>
  <c r="AU14" i="35"/>
  <c r="AQ14" i="35"/>
  <c r="AQ74" i="35" s="1"/>
  <c r="AH14" i="35"/>
  <c r="AM14" i="35"/>
  <c r="AE14" i="35"/>
  <c r="AL14" i="35"/>
  <c r="AS14" i="35"/>
  <c r="AW14" i="35"/>
  <c r="AI14" i="35"/>
  <c r="AJ14" i="35"/>
  <c r="AN14" i="35"/>
  <c r="AD14" i="35"/>
  <c r="AR14" i="35"/>
  <c r="AR74" i="35" s="1"/>
  <c r="AF14" i="35"/>
  <c r="AG14" i="35"/>
  <c r="AP14" i="35"/>
  <c r="AT14" i="35"/>
  <c r="AK14" i="35"/>
  <c r="AV14" i="35"/>
  <c r="AO14" i="35"/>
  <c r="AJ14" i="30"/>
  <c r="AH14" i="30"/>
  <c r="AI14" i="30" s="1"/>
  <c r="AU14" i="30" s="1"/>
  <c r="AX14" i="30" s="1"/>
  <c r="AT53" i="27"/>
  <c r="AQ53" i="27"/>
  <c r="Z55" i="27"/>
  <c r="X55" i="27"/>
  <c r="AN14" i="31"/>
  <c r="AI14" i="31"/>
  <c r="AO14" i="31"/>
  <c r="AM14" i="31"/>
  <c r="AL14" i="31"/>
  <c r="AK14" i="31"/>
  <c r="AJ14" i="31"/>
  <c r="U142" i="27"/>
  <c r="L61" i="27"/>
  <c r="AG15" i="31"/>
  <c r="C61" i="36"/>
  <c r="L56" i="27"/>
  <c r="V56" i="27"/>
  <c r="L57" i="27"/>
  <c r="U13" i="39"/>
  <c r="Y56" i="27"/>
  <c r="AK56" i="27"/>
  <c r="P56" i="27"/>
  <c r="AO54" i="27" s="1"/>
  <c r="U105" i="22"/>
  <c r="U56" i="27"/>
  <c r="X56" i="27" s="1"/>
  <c r="S56" i="27"/>
  <c r="AF15" i="31"/>
  <c r="T56" i="27"/>
  <c r="AT54" i="27" s="1"/>
  <c r="AD15" i="30"/>
  <c r="AC15" i="35"/>
  <c r="E58" i="27"/>
  <c r="V104" i="22"/>
  <c r="AU74" i="35" l="1"/>
  <c r="AK74" i="35"/>
  <c r="AI74" i="35"/>
  <c r="AE74" i="35"/>
  <c r="AP74" i="35"/>
  <c r="AD74" i="35"/>
  <c r="AF74" i="35"/>
  <c r="AJ74" i="35"/>
  <c r="AL74" i="35"/>
  <c r="AO74" i="35"/>
  <c r="AT74" i="35"/>
  <c r="AG74" i="35"/>
  <c r="AS74" i="35"/>
  <c r="AW74" i="35"/>
  <c r="AV74" i="35"/>
  <c r="AN74" i="35"/>
  <c r="AH74" i="35"/>
  <c r="AM74" i="35"/>
  <c r="AQ14" i="31"/>
  <c r="AP14" i="31"/>
  <c r="AE14" i="30"/>
  <c r="AN14" i="30"/>
  <c r="AO14" i="30" s="1"/>
  <c r="AK14" i="30"/>
  <c r="V105" i="22"/>
  <c r="C62" i="36"/>
  <c r="U143" i="27"/>
  <c r="V57" i="27"/>
  <c r="U14" i="39"/>
  <c r="AG16" i="31"/>
  <c r="AK57" i="27"/>
  <c r="Y57" i="27"/>
  <c r="U106" i="22"/>
  <c r="U57" i="27"/>
  <c r="X57" i="27" s="1"/>
  <c r="S57" i="27"/>
  <c r="P57" i="27"/>
  <c r="AO55" i="27" s="1"/>
  <c r="AF16" i="31"/>
  <c r="AD16" i="30"/>
  <c r="AC16" i="35"/>
  <c r="T57" i="27"/>
  <c r="AT55" i="27" s="1"/>
  <c r="E59" i="27"/>
  <c r="AN15" i="31"/>
  <c r="AM15" i="31"/>
  <c r="AK15" i="31"/>
  <c r="AO15" i="31"/>
  <c r="AL15" i="31"/>
  <c r="AJ15" i="31"/>
  <c r="AI15" i="31"/>
  <c r="AN35" i="35"/>
  <c r="AT55" i="35"/>
  <c r="AP35" i="35"/>
  <c r="AR35" i="35"/>
  <c r="AD55" i="35"/>
  <c r="AU55" i="35"/>
  <c r="AS55" i="35"/>
  <c r="AO55" i="35"/>
  <c r="AK35" i="35"/>
  <c r="AU35" i="35"/>
  <c r="AN55" i="35"/>
  <c r="AV35" i="35"/>
  <c r="AQ55" i="35"/>
  <c r="AG35" i="35"/>
  <c r="AS35" i="35"/>
  <c r="AR55" i="35"/>
  <c r="AI55" i="35"/>
  <c r="AH55" i="35"/>
  <c r="AF35" i="35"/>
  <c r="AK55" i="35"/>
  <c r="AL35" i="35"/>
  <c r="AE55" i="35"/>
  <c r="AW35" i="35"/>
  <c r="AM35" i="35"/>
  <c r="AJ35" i="35"/>
  <c r="AI35" i="35"/>
  <c r="AT35" i="35"/>
  <c r="AJ55" i="35"/>
  <c r="AH35" i="35"/>
  <c r="AG55" i="35"/>
  <c r="AQ35" i="35"/>
  <c r="AP55" i="35"/>
  <c r="AV55" i="35"/>
  <c r="AE35" i="35"/>
  <c r="AL55" i="35"/>
  <c r="AM55" i="35"/>
  <c r="AO35" i="35"/>
  <c r="AD35" i="35"/>
  <c r="AF55" i="35"/>
  <c r="AW55" i="35"/>
  <c r="AH15" i="35"/>
  <c r="AW15" i="35"/>
  <c r="AE15" i="35"/>
  <c r="AF15" i="35"/>
  <c r="AQ15" i="35"/>
  <c r="AR15" i="35"/>
  <c r="AV15" i="35"/>
  <c r="AG15" i="35"/>
  <c r="AT15" i="35"/>
  <c r="AU15" i="35"/>
  <c r="AU75" i="35" s="1"/>
  <c r="AI15" i="35"/>
  <c r="AS15" i="35"/>
  <c r="AJ15" i="35"/>
  <c r="AP15" i="35"/>
  <c r="AL15" i="35"/>
  <c r="AK15" i="35"/>
  <c r="AO15" i="35"/>
  <c r="AM15" i="35"/>
  <c r="AN15" i="35"/>
  <c r="AD15" i="35"/>
  <c r="AQ54" i="27"/>
  <c r="Z56" i="27"/>
  <c r="W104" i="22"/>
  <c r="AS53" i="27"/>
  <c r="AA55" i="27"/>
  <c r="R55" i="27"/>
  <c r="I56" i="27"/>
  <c r="AV14" i="30"/>
  <c r="AY14" i="30" s="1"/>
  <c r="AP14" i="30"/>
  <c r="AG14" i="30"/>
  <c r="AM14" i="30"/>
  <c r="AJ15" i="30"/>
  <c r="AH15" i="30"/>
  <c r="AK75" i="35" l="1"/>
  <c r="AN75" i="35"/>
  <c r="AL75" i="35"/>
  <c r="AV75" i="35"/>
  <c r="AI75" i="35"/>
  <c r="AE75" i="35"/>
  <c r="Z95" i="35"/>
  <c r="Z104" i="22" s="1"/>
  <c r="AP75" i="35"/>
  <c r="AW75" i="35"/>
  <c r="AM75" i="35"/>
  <c r="AR75" i="35"/>
  <c r="AS14" i="30"/>
  <c r="AO75" i="35"/>
  <c r="AJ75" i="35"/>
  <c r="AH14" i="31"/>
  <c r="W105" i="22"/>
  <c r="AA56" i="27"/>
  <c r="I57" i="27"/>
  <c r="AS54" i="27"/>
  <c r="AH15" i="31" s="1"/>
  <c r="R56" i="27"/>
  <c r="AP15" i="30"/>
  <c r="AV15" i="30"/>
  <c r="AY15" i="30" s="1"/>
  <c r="AG15" i="30"/>
  <c r="AM15" i="30"/>
  <c r="AT75" i="35"/>
  <c r="AQ75" i="35"/>
  <c r="AH75" i="35"/>
  <c r="AJ16" i="30"/>
  <c r="AH16" i="30"/>
  <c r="AI16" i="30" s="1"/>
  <c r="AU16" i="30" s="1"/>
  <c r="AX16" i="30" s="1"/>
  <c r="AE15" i="30"/>
  <c r="AK15" i="30"/>
  <c r="AN15" i="30"/>
  <c r="AI15" i="30"/>
  <c r="AU15" i="30" s="1"/>
  <c r="AX15" i="30" s="1"/>
  <c r="AR53" i="27"/>
  <c r="H56" i="27"/>
  <c r="AD75" i="35"/>
  <c r="AS75" i="35"/>
  <c r="AG75" i="35"/>
  <c r="AF75" i="35"/>
  <c r="V58" i="27"/>
  <c r="AK58" i="27"/>
  <c r="U144" i="27"/>
  <c r="C63" i="36"/>
  <c r="AG17" i="31"/>
  <c r="Y58" i="27"/>
  <c r="U15" i="39"/>
  <c r="P58" i="27"/>
  <c r="AO56" i="27" s="1"/>
  <c r="AF17" i="31"/>
  <c r="U107" i="22"/>
  <c r="U58" i="27"/>
  <c r="X58" i="27" s="1"/>
  <c r="T58" i="27"/>
  <c r="S58" i="27"/>
  <c r="AC17" i="35"/>
  <c r="AD17" i="30"/>
  <c r="E60" i="27"/>
  <c r="AK16" i="31"/>
  <c r="AJ16" i="31"/>
  <c r="AL16" i="31"/>
  <c r="AO16" i="31"/>
  <c r="AM16" i="31"/>
  <c r="AN16" i="31"/>
  <c r="AI16" i="31"/>
  <c r="V106" i="22"/>
  <c r="AQ14" i="30"/>
  <c r="AL14" i="30"/>
  <c r="AA104" i="22"/>
  <c r="AP15" i="31"/>
  <c r="AQ15" i="31"/>
  <c r="AA105" i="22" s="1"/>
  <c r="AL55" i="27"/>
  <c r="V12" i="39"/>
  <c r="AP36" i="35"/>
  <c r="AJ56" i="35"/>
  <c r="AG36" i="35"/>
  <c r="AK36" i="35"/>
  <c r="AV56" i="35"/>
  <c r="AS56" i="35"/>
  <c r="AE36" i="35"/>
  <c r="AD56" i="35"/>
  <c r="AJ36" i="35"/>
  <c r="AH36" i="35"/>
  <c r="AW36" i="35"/>
  <c r="AK56" i="35"/>
  <c r="AL56" i="35"/>
  <c r="AI56" i="35"/>
  <c r="AD36" i="35"/>
  <c r="AQ56" i="35"/>
  <c r="AE56" i="35"/>
  <c r="AV36" i="35"/>
  <c r="AS36" i="35"/>
  <c r="AF56" i="35"/>
  <c r="AL36" i="35"/>
  <c r="AH56" i="35"/>
  <c r="AM56" i="35"/>
  <c r="AO36" i="35"/>
  <c r="AP56" i="35"/>
  <c r="AI36" i="35"/>
  <c r="AT36" i="35"/>
  <c r="AU56" i="35"/>
  <c r="AT56" i="35"/>
  <c r="AR36" i="35"/>
  <c r="AW56" i="35"/>
  <c r="AG56" i="35"/>
  <c r="AR56" i="35"/>
  <c r="AF36" i="35"/>
  <c r="AN36" i="35"/>
  <c r="AQ36" i="35"/>
  <c r="AO56" i="35"/>
  <c r="AU36" i="35"/>
  <c r="AM36" i="35"/>
  <c r="AN56" i="35"/>
  <c r="AJ16" i="35"/>
  <c r="AP16" i="35"/>
  <c r="AG16" i="35"/>
  <c r="AO16" i="35"/>
  <c r="AV16" i="35"/>
  <c r="AI16" i="35"/>
  <c r="AI76" i="35" s="1"/>
  <c r="AT16" i="35"/>
  <c r="AQ16" i="35"/>
  <c r="AQ76" i="35" s="1"/>
  <c r="AW16" i="35"/>
  <c r="AH16" i="35"/>
  <c r="AH76" i="35" s="1"/>
  <c r="AS16" i="35"/>
  <c r="AU16" i="35"/>
  <c r="AD16" i="35"/>
  <c r="AK16" i="35"/>
  <c r="AN16" i="35"/>
  <c r="AL16" i="35"/>
  <c r="AR16" i="35"/>
  <c r="AM16" i="35"/>
  <c r="AF16" i="35"/>
  <c r="AE16" i="35"/>
  <c r="AQ55" i="27"/>
  <c r="Z57" i="27"/>
  <c r="AW14" i="30"/>
  <c r="AF14" i="30"/>
  <c r="AD76" i="35" l="1"/>
  <c r="AW76" i="35"/>
  <c r="AV76" i="35"/>
  <c r="AR76" i="35"/>
  <c r="AJ76" i="35"/>
  <c r="AU76" i="35"/>
  <c r="AS76" i="35"/>
  <c r="AE76" i="35"/>
  <c r="AL76" i="35"/>
  <c r="Z96" i="35"/>
  <c r="Z105" i="22" s="1"/>
  <c r="AM76" i="35"/>
  <c r="AK76" i="35"/>
  <c r="AO15" i="30"/>
  <c r="AF76" i="35"/>
  <c r="AN76" i="35"/>
  <c r="AT76" i="35"/>
  <c r="AG76" i="35"/>
  <c r="Y59" i="27"/>
  <c r="C64" i="36"/>
  <c r="U145" i="27"/>
  <c r="AG18" i="31"/>
  <c r="U16" i="39"/>
  <c r="AK59" i="27"/>
  <c r="V59" i="27"/>
  <c r="U59" i="27"/>
  <c r="X59" i="27" s="1"/>
  <c r="U108" i="22"/>
  <c r="T59" i="27"/>
  <c r="AT57" i="27" s="1"/>
  <c r="AF18" i="31"/>
  <c r="P59" i="27"/>
  <c r="AO57" i="27" s="1"/>
  <c r="AD18" i="30"/>
  <c r="AC18" i="35"/>
  <c r="S59" i="27"/>
  <c r="AT56" i="27"/>
  <c r="AQ15" i="30"/>
  <c r="AL15" i="30"/>
  <c r="AE16" i="30"/>
  <c r="AN16" i="30"/>
  <c r="AO16" i="30" s="1"/>
  <c r="AK16" i="30"/>
  <c r="H57" i="27"/>
  <c r="AR54" i="27"/>
  <c r="AA57" i="27"/>
  <c r="R57" i="27"/>
  <c r="W106" i="22"/>
  <c r="I58" i="27"/>
  <c r="AS55" i="27"/>
  <c r="AH16" i="31" s="1"/>
  <c r="AP76" i="35"/>
  <c r="AP16" i="31"/>
  <c r="AQ16" i="31"/>
  <c r="AJ17" i="30"/>
  <c r="AH17" i="30"/>
  <c r="AI17" i="30" s="1"/>
  <c r="AU17" i="30" s="1"/>
  <c r="AX17" i="30" s="1"/>
  <c r="E12" i="27"/>
  <c r="AF15" i="30"/>
  <c r="AW15" i="30"/>
  <c r="AV16" i="30"/>
  <c r="AY16" i="30" s="1"/>
  <c r="AG16" i="30"/>
  <c r="AM16" i="30"/>
  <c r="AP16" i="30"/>
  <c r="AS15" i="30"/>
  <c r="AK37" i="35"/>
  <c r="AJ57" i="35"/>
  <c r="AN57" i="35"/>
  <c r="AK57" i="35"/>
  <c r="AT57" i="35"/>
  <c r="AP37" i="35"/>
  <c r="AU37" i="35"/>
  <c r="AG57" i="35"/>
  <c r="AO37" i="35"/>
  <c r="AM57" i="35"/>
  <c r="AW57" i="35"/>
  <c r="AG37" i="35"/>
  <c r="AJ37" i="35"/>
  <c r="AS37" i="35"/>
  <c r="AF37" i="35"/>
  <c r="AF57" i="35"/>
  <c r="AL37" i="35"/>
  <c r="AM37" i="35"/>
  <c r="AE37" i="35"/>
  <c r="AI57" i="35"/>
  <c r="AT37" i="35"/>
  <c r="AN37" i="35"/>
  <c r="AQ57" i="35"/>
  <c r="AV57" i="35"/>
  <c r="AP57" i="35"/>
  <c r="AU57" i="35"/>
  <c r="AR37" i="35"/>
  <c r="AH37" i="35"/>
  <c r="AD57" i="35"/>
  <c r="AQ37" i="35"/>
  <c r="AO57" i="35"/>
  <c r="AH57" i="35"/>
  <c r="AW37" i="35"/>
  <c r="AI37" i="35"/>
  <c r="AE57" i="35"/>
  <c r="AS57" i="35"/>
  <c r="AL57" i="35"/>
  <c r="AD37" i="35"/>
  <c r="AV37" i="35"/>
  <c r="AR57" i="35"/>
  <c r="AV17" i="35"/>
  <c r="AJ17" i="35"/>
  <c r="AP17" i="35"/>
  <c r="AH17" i="35"/>
  <c r="AH77" i="35" s="1"/>
  <c r="AT17" i="35"/>
  <c r="AT77" i="35" s="1"/>
  <c r="AE17" i="35"/>
  <c r="AN17" i="35"/>
  <c r="AO17" i="35"/>
  <c r="AQ17" i="35"/>
  <c r="AM17" i="35"/>
  <c r="AM77" i="35" s="1"/>
  <c r="AG17" i="35"/>
  <c r="AS17" i="35"/>
  <c r="AR17" i="35"/>
  <c r="AL17" i="35"/>
  <c r="AU17" i="35"/>
  <c r="AI17" i="35"/>
  <c r="AF17" i="35"/>
  <c r="AD17" i="35"/>
  <c r="AK17" i="35"/>
  <c r="AW17" i="35"/>
  <c r="V107" i="22"/>
  <c r="AL56" i="27"/>
  <c r="V13" i="39"/>
  <c r="AO76" i="35"/>
  <c r="AR14" i="30"/>
  <c r="AT14" i="30" s="1"/>
  <c r="Y104" i="22" s="1"/>
  <c r="AQ56" i="27"/>
  <c r="Z58" i="27"/>
  <c r="AJ17" i="31"/>
  <c r="AO17" i="31"/>
  <c r="AM17" i="31"/>
  <c r="AK17" i="31"/>
  <c r="AN17" i="31"/>
  <c r="AL17" i="31"/>
  <c r="AI17" i="31"/>
  <c r="AJ77" i="35" l="1"/>
  <c r="AL77" i="35"/>
  <c r="AD77" i="35"/>
  <c r="AK77" i="35"/>
  <c r="AG77" i="35"/>
  <c r="AF77" i="35"/>
  <c r="AU77" i="35"/>
  <c r="AN77" i="35"/>
  <c r="AP77" i="35"/>
  <c r="AW77" i="35"/>
  <c r="AI77" i="35"/>
  <c r="AS77" i="35"/>
  <c r="Z97" i="35"/>
  <c r="Z106" i="22" s="1"/>
  <c r="AR77" i="35"/>
  <c r="AQ77" i="35"/>
  <c r="AV77" i="35"/>
  <c r="AP17" i="30"/>
  <c r="AG17" i="30"/>
  <c r="AV17" i="30"/>
  <c r="AY17" i="30" s="1"/>
  <c r="AM17" i="30"/>
  <c r="AR15" i="30"/>
  <c r="AT15" i="30" s="1"/>
  <c r="Y105" i="22" s="1"/>
  <c r="AQ57" i="27"/>
  <c r="Z59" i="27"/>
  <c r="AO18" i="31"/>
  <c r="AM18" i="31"/>
  <c r="AL18" i="31"/>
  <c r="AN18" i="31"/>
  <c r="AJ18" i="31"/>
  <c r="AK18" i="31"/>
  <c r="AI18" i="31"/>
  <c r="AO77" i="35"/>
  <c r="D10" i="39"/>
  <c r="C41" i="36"/>
  <c r="AL57" i="27"/>
  <c r="V14" i="39"/>
  <c r="AQ16" i="30"/>
  <c r="AL16" i="30"/>
  <c r="AJ38" i="35"/>
  <c r="AI38" i="35"/>
  <c r="AK58" i="35"/>
  <c r="AR58" i="35"/>
  <c r="AU38" i="35"/>
  <c r="AM38" i="35"/>
  <c r="AD58" i="35"/>
  <c r="AQ38" i="35"/>
  <c r="AJ58" i="35"/>
  <c r="AI58" i="35"/>
  <c r="AM58" i="35"/>
  <c r="AE38" i="35"/>
  <c r="AF38" i="35"/>
  <c r="AW58" i="35"/>
  <c r="AT58" i="35"/>
  <c r="AT38" i="35"/>
  <c r="AG58" i="35"/>
  <c r="AH58" i="35"/>
  <c r="AN58" i="35"/>
  <c r="AE58" i="35"/>
  <c r="AL58" i="35"/>
  <c r="AQ58" i="35"/>
  <c r="AV38" i="35"/>
  <c r="AR38" i="35"/>
  <c r="AS58" i="35"/>
  <c r="AW38" i="35"/>
  <c r="AD38" i="35"/>
  <c r="AF58" i="35"/>
  <c r="AV58" i="35"/>
  <c r="AS38" i="35"/>
  <c r="AU58" i="35"/>
  <c r="AL38" i="35"/>
  <c r="AO58" i="35"/>
  <c r="AK38" i="35"/>
  <c r="AG38" i="35"/>
  <c r="AO38" i="35"/>
  <c r="AP38" i="35"/>
  <c r="AP58" i="35"/>
  <c r="AN38" i="35"/>
  <c r="AH38" i="35"/>
  <c r="AO18" i="35"/>
  <c r="AE18" i="35"/>
  <c r="AG18" i="35"/>
  <c r="AF18" i="35"/>
  <c r="AV18" i="35"/>
  <c r="AU18" i="35"/>
  <c r="AR18" i="35"/>
  <c r="AJ18" i="35"/>
  <c r="AK18" i="35"/>
  <c r="AL18" i="35"/>
  <c r="AW18" i="35"/>
  <c r="AM18" i="35"/>
  <c r="AP18" i="35"/>
  <c r="AH18" i="35"/>
  <c r="AT18" i="35"/>
  <c r="AN18" i="35"/>
  <c r="AI18" i="35"/>
  <c r="AD18" i="35"/>
  <c r="AS18" i="35"/>
  <c r="AQ18" i="35"/>
  <c r="AA106" i="22"/>
  <c r="AJ18" i="30"/>
  <c r="AH18" i="30"/>
  <c r="AI18" i="30" s="1"/>
  <c r="AU18" i="30" s="1"/>
  <c r="AX18" i="30" s="1"/>
  <c r="V108" i="22"/>
  <c r="AC108" i="22" s="1"/>
  <c r="AP17" i="31"/>
  <c r="AQ17" i="31"/>
  <c r="AA107" i="22" s="1"/>
  <c r="W107" i="22"/>
  <c r="AA58" i="27"/>
  <c r="I59" i="27"/>
  <c r="R58" i="27"/>
  <c r="AS56" i="27"/>
  <c r="AE77" i="35"/>
  <c r="AS16" i="30"/>
  <c r="AE17" i="30"/>
  <c r="AN17" i="30"/>
  <c r="AO17" i="30" s="1"/>
  <c r="AK17" i="30"/>
  <c r="AR55" i="27"/>
  <c r="H58" i="27"/>
  <c r="AW16" i="30"/>
  <c r="AF16" i="30"/>
  <c r="AT78" i="35" l="1"/>
  <c r="AJ78" i="35"/>
  <c r="AF78" i="35"/>
  <c r="AG78" i="35"/>
  <c r="AC109" i="22"/>
  <c r="AQ78" i="35"/>
  <c r="AS78" i="35"/>
  <c r="AN78" i="35"/>
  <c r="AM78" i="35"/>
  <c r="Z98" i="35"/>
  <c r="Z107" i="22" s="1"/>
  <c r="AD78" i="35"/>
  <c r="AH78" i="35"/>
  <c r="AL78" i="35"/>
  <c r="AU78" i="35"/>
  <c r="AE78" i="35"/>
  <c r="AW17" i="30"/>
  <c r="AF17" i="30"/>
  <c r="AC107" i="22"/>
  <c r="AG18" i="30"/>
  <c r="AP18" i="30"/>
  <c r="AV18" i="30"/>
  <c r="AY18" i="30" s="1"/>
  <c r="AM18" i="30"/>
  <c r="AW78" i="35"/>
  <c r="AR78" i="35"/>
  <c r="AS17" i="30"/>
  <c r="AL58" i="27"/>
  <c r="V15" i="39"/>
  <c r="AH17" i="31"/>
  <c r="AC105" i="22"/>
  <c r="AQ17" i="30"/>
  <c r="AL17" i="30"/>
  <c r="H59" i="27"/>
  <c r="AR56" i="27"/>
  <c r="AN18" i="30"/>
  <c r="AO18" i="30" s="1"/>
  <c r="AE18" i="30"/>
  <c r="AK18" i="30"/>
  <c r="AC106" i="22"/>
  <c r="AI78" i="35"/>
  <c r="AP78" i="35"/>
  <c r="AK78" i="35"/>
  <c r="AV78" i="35"/>
  <c r="AO78" i="35"/>
  <c r="AC103" i="22"/>
  <c r="AC104" i="22"/>
  <c r="W108" i="22"/>
  <c r="I60" i="27"/>
  <c r="AA59" i="27"/>
  <c r="R59" i="27"/>
  <c r="AS57" i="27"/>
  <c r="AH18" i="31" s="1"/>
  <c r="AC102" i="22"/>
  <c r="AR16" i="30"/>
  <c r="AT16" i="30" s="1"/>
  <c r="Y106" i="22" s="1"/>
  <c r="AP18" i="31"/>
  <c r="AQ18" i="31"/>
  <c r="AA108" i="22" s="1"/>
  <c r="AR17" i="30" l="1"/>
  <c r="AT17" i="30" s="1"/>
  <c r="Y107" i="22" s="1"/>
  <c r="Z99" i="35"/>
  <c r="Z108" i="22" s="1"/>
  <c r="AS18" i="30"/>
  <c r="AF18" i="30"/>
  <c r="AW18" i="30"/>
  <c r="H60" i="27"/>
  <c r="AR57" i="27"/>
  <c r="AL59" i="27"/>
  <c r="V16" i="39"/>
  <c r="AQ18" i="30"/>
  <c r="AL18" i="30"/>
  <c r="V17" i="31" l="1"/>
  <c r="AR18" i="30"/>
  <c r="AT18" i="30" s="1"/>
  <c r="Y108" i="22" s="1"/>
  <c r="AY17" i="31" l="1"/>
  <c r="W17" i="31"/>
  <c r="BB144" i="22" l="1"/>
  <c r="AB105" i="22" l="1"/>
  <c r="AB106" i="22"/>
  <c r="AB104" i="22"/>
  <c r="AB108" i="22"/>
  <c r="AB102" i="22"/>
  <c r="AB103" i="22"/>
  <c r="AB109" i="22"/>
  <c r="AB107" i="22"/>
  <c r="AD109" i="22" l="1"/>
  <c r="AD107" i="22"/>
  <c r="AD108" i="22"/>
  <c r="AD104" i="22"/>
  <c r="AD103" i="22"/>
  <c r="AD105" i="22"/>
  <c r="AD102" i="22"/>
  <c r="AD106" i="22"/>
  <c r="V25" i="31" l="1"/>
  <c r="AX27" i="31" s="1"/>
  <c r="BC27" i="31" s="1"/>
  <c r="C35" i="22" s="1"/>
  <c r="AI13" i="31"/>
  <c r="AQ13" i="31" s="1"/>
  <c r="AA103" i="22" s="1"/>
  <c r="J7" i="30"/>
  <c r="O7" i="30" s="1"/>
  <c r="Q7" i="30" s="1"/>
  <c r="AJ7" i="31"/>
  <c r="AJ22" i="31"/>
  <c r="AP22" i="31" s="1"/>
  <c r="V26" i="31"/>
  <c r="AY28" i="31" s="1"/>
  <c r="BC28" i="31" s="1"/>
  <c r="C38" i="22" s="1"/>
  <c r="K7" i="30"/>
  <c r="W25" i="31"/>
  <c r="BB148" i="22" s="1"/>
  <c r="M40" i="22"/>
  <c r="M37" i="22"/>
  <c r="M43" i="22"/>
  <c r="M36" i="22"/>
  <c r="M38" i="22"/>
  <c r="M33" i="22"/>
  <c r="M41" i="22"/>
  <c r="M34" i="22"/>
  <c r="M32" i="22"/>
  <c r="M39" i="22"/>
  <c r="M42" i="22"/>
  <c r="M31" i="22"/>
  <c r="M44" i="22" s="1"/>
  <c r="W134" i="27"/>
  <c r="AC78" i="27"/>
  <c r="AC89" i="27" s="1"/>
  <c r="M7" i="30" l="1"/>
  <c r="N7" i="30"/>
  <c r="C91" i="36" s="1"/>
  <c r="W26" i="31"/>
  <c r="BB149" i="22" s="1"/>
  <c r="Y134" i="27"/>
  <c r="Z134" i="27" s="1"/>
  <c r="P7" i="30"/>
  <c r="AP13" i="31"/>
  <c r="E50" i="27"/>
  <c r="S49" i="27" s="1"/>
  <c r="AQ47" i="27" s="1"/>
  <c r="AQ7" i="31"/>
  <c r="AP7" i="31"/>
  <c r="AQ22" i="31"/>
  <c r="AA112" i="22" s="1"/>
  <c r="R7" i="30"/>
  <c r="J8" i="30" l="1"/>
  <c r="J12" i="30"/>
  <c r="AC8" i="35"/>
  <c r="AJ28" i="35" s="1"/>
  <c r="U135" i="27"/>
  <c r="U98" i="22"/>
  <c r="V98" i="22" s="1"/>
  <c r="P49" i="27"/>
  <c r="AO47" i="27" s="1"/>
  <c r="Y49" i="27"/>
  <c r="AG8" i="31"/>
  <c r="AD8" i="30"/>
  <c r="AF8" i="31"/>
  <c r="AO8" i="31" s="1"/>
  <c r="V49" i="27"/>
  <c r="T49" i="27"/>
  <c r="AT47" i="27" s="1"/>
  <c r="U49" i="27"/>
  <c r="AK49" i="27"/>
  <c r="C54" i="36"/>
  <c r="U6" i="39"/>
  <c r="Z49" i="27"/>
  <c r="E51" i="27"/>
  <c r="U136" i="27" s="1"/>
  <c r="AJ8" i="30"/>
  <c r="AH8" i="30"/>
  <c r="AI8" i="30" s="1"/>
  <c r="AU8" i="30" s="1"/>
  <c r="AX8" i="30" s="1"/>
  <c r="AG48" i="35"/>
  <c r="AT48" i="35"/>
  <c r="AP8" i="35"/>
  <c r="AT28" i="35"/>
  <c r="AD28" i="35"/>
  <c r="AG28" i="35"/>
  <c r="AQ48" i="35"/>
  <c r="AM48" i="35"/>
  <c r="AL48" i="35"/>
  <c r="AU28" i="35"/>
  <c r="AW8" i="35"/>
  <c r="AN8" i="35"/>
  <c r="AT8" i="35"/>
  <c r="AF8" i="35"/>
  <c r="AU8" i="35"/>
  <c r="AV48" i="35"/>
  <c r="AE28" i="35"/>
  <c r="AV8" i="35"/>
  <c r="AJ8" i="35"/>
  <c r="AI48" i="35"/>
  <c r="AR8" i="35"/>
  <c r="AD8" i="35"/>
  <c r="AO8" i="35"/>
  <c r="W98" i="22"/>
  <c r="AA49" i="27"/>
  <c r="I50" i="27"/>
  <c r="R49" i="27"/>
  <c r="AS47" i="27"/>
  <c r="BB108" i="22"/>
  <c r="X49" i="27"/>
  <c r="AA97" i="22"/>
  <c r="AU48" i="35" l="1"/>
  <c r="AK28" i="35"/>
  <c r="AL28" i="35"/>
  <c r="AQ28" i="35"/>
  <c r="AH8" i="35"/>
  <c r="AF28" i="35"/>
  <c r="AO48" i="35"/>
  <c r="AS8" i="35"/>
  <c r="AW28" i="35"/>
  <c r="AS28" i="35"/>
  <c r="AP48" i="35"/>
  <c r="AW48" i="35"/>
  <c r="AM28" i="35"/>
  <c r="AR28" i="35"/>
  <c r="AR68" i="35" s="1"/>
  <c r="AD48" i="35"/>
  <c r="AD68" i="35" s="1"/>
  <c r="AI8" i="35"/>
  <c r="AH48" i="35"/>
  <c r="AI28" i="35"/>
  <c r="AI68" i="35" s="1"/>
  <c r="AM8" i="35"/>
  <c r="AH28" i="35"/>
  <c r="AH68" i="35" s="1"/>
  <c r="AN28" i="35"/>
  <c r="AK48" i="35"/>
  <c r="AG8" i="35"/>
  <c r="AG68" i="35" s="1"/>
  <c r="AV28" i="35"/>
  <c r="AV68" i="35" s="1"/>
  <c r="AK8" i="35"/>
  <c r="AQ8" i="35"/>
  <c r="AO28" i="35"/>
  <c r="AO68" i="35" s="1"/>
  <c r="AL8" i="35"/>
  <c r="AF48" i="35"/>
  <c r="AN48" i="35"/>
  <c r="AS48" i="35"/>
  <c r="AR48" i="35"/>
  <c r="AE48" i="35"/>
  <c r="AE8" i="35"/>
  <c r="AJ48" i="35"/>
  <c r="AJ68" i="35" s="1"/>
  <c r="AP28" i="35"/>
  <c r="K8" i="30"/>
  <c r="M8" i="30" s="1"/>
  <c r="O8" i="30" s="1"/>
  <c r="Q8" i="30" s="1"/>
  <c r="P8" i="30" s="1"/>
  <c r="K12" i="30"/>
  <c r="M12" i="30" s="1"/>
  <c r="J1" i="30"/>
  <c r="AK8" i="31"/>
  <c r="S50" i="27"/>
  <c r="AQ48" i="27" s="1"/>
  <c r="AL8" i="31"/>
  <c r="AD9" i="30"/>
  <c r="AJ9" i="30" s="1"/>
  <c r="AG9" i="31"/>
  <c r="E52" i="27"/>
  <c r="V51" i="27" s="1"/>
  <c r="V50" i="27"/>
  <c r="AC9" i="35"/>
  <c r="AI29" i="35" s="1"/>
  <c r="U7" i="39"/>
  <c r="AF9" i="31"/>
  <c r="AK9" i="31" s="1"/>
  <c r="AN8" i="31"/>
  <c r="U99" i="22"/>
  <c r="V99" i="22" s="1"/>
  <c r="T50" i="27"/>
  <c r="AT48" i="27" s="1"/>
  <c r="C55" i="36"/>
  <c r="Y50" i="27"/>
  <c r="AM8" i="31"/>
  <c r="AJ8" i="31"/>
  <c r="P50" i="27"/>
  <c r="AO48" i="27" s="1"/>
  <c r="U50" i="27"/>
  <c r="X50" i="27" s="1"/>
  <c r="AK50" i="27"/>
  <c r="AU68" i="35"/>
  <c r="AT68" i="35"/>
  <c r="AG10" i="31"/>
  <c r="V6" i="39"/>
  <c r="AL49" i="27"/>
  <c r="AH8" i="31"/>
  <c r="AF68" i="35"/>
  <c r="AN68" i="35"/>
  <c r="AF49" i="35"/>
  <c r="AN49" i="35"/>
  <c r="AK49" i="35"/>
  <c r="AD29" i="35"/>
  <c r="AH9" i="35"/>
  <c r="AP9" i="35"/>
  <c r="AW49" i="35"/>
  <c r="AL49" i="35"/>
  <c r="AD49" i="35"/>
  <c r="AR29" i="35"/>
  <c r="AO29" i="35"/>
  <c r="AV9" i="35"/>
  <c r="AK9" i="35"/>
  <c r="AL9" i="35"/>
  <c r="AF9" i="35"/>
  <c r="AO9" i="35"/>
  <c r="AM9" i="35"/>
  <c r="AU29" i="35"/>
  <c r="AH49" i="35"/>
  <c r="AV29" i="35"/>
  <c r="AP49" i="35"/>
  <c r="AG29" i="35"/>
  <c r="AK29" i="35"/>
  <c r="AP29" i="35"/>
  <c r="AJ29" i="35"/>
  <c r="AE29" i="35"/>
  <c r="AQ49" i="35"/>
  <c r="AE9" i="35"/>
  <c r="AG9" i="35"/>
  <c r="AJ9" i="35"/>
  <c r="AS29" i="35"/>
  <c r="AN29" i="35"/>
  <c r="AV49" i="35"/>
  <c r="AW9" i="35"/>
  <c r="AD9" i="35"/>
  <c r="AI9" i="35"/>
  <c r="AS9" i="35"/>
  <c r="AM49" i="35"/>
  <c r="AL29" i="35"/>
  <c r="AT49" i="35"/>
  <c r="AQ9" i="35"/>
  <c r="AI49" i="35"/>
  <c r="AQ29" i="35"/>
  <c r="AR9" i="35"/>
  <c r="AO49" i="35"/>
  <c r="AE49" i="35"/>
  <c r="AT9" i="35"/>
  <c r="AE8" i="30"/>
  <c r="AN8" i="30"/>
  <c r="AO8" i="30" s="1"/>
  <c r="AK8" i="30"/>
  <c r="AR47" i="27"/>
  <c r="H50" i="27"/>
  <c r="AE68" i="35"/>
  <c r="AP8" i="30"/>
  <c r="AM8" i="30"/>
  <c r="AV8" i="30"/>
  <c r="AY8" i="30" s="1"/>
  <c r="AW68" i="35"/>
  <c r="AK68" i="35" l="1"/>
  <c r="AQ68" i="35"/>
  <c r="AM68" i="35"/>
  <c r="AS68" i="35"/>
  <c r="AP68" i="35"/>
  <c r="AL68" i="35"/>
  <c r="AH9" i="30"/>
  <c r="AO9" i="31"/>
  <c r="AD10" i="30"/>
  <c r="AJ9" i="31"/>
  <c r="P51" i="27"/>
  <c r="AO49" i="27" s="1"/>
  <c r="U51" i="27"/>
  <c r="J9" i="30"/>
  <c r="J13" i="30"/>
  <c r="AG49" i="35"/>
  <c r="AG69" i="35" s="1"/>
  <c r="AJ49" i="35"/>
  <c r="AM29" i="35"/>
  <c r="AM69" i="35" s="1"/>
  <c r="AU9" i="35"/>
  <c r="AU69" i="35" s="1"/>
  <c r="AH29" i="35"/>
  <c r="AH69" i="35" s="1"/>
  <c r="AU49" i="35"/>
  <c r="AS49" i="35"/>
  <c r="AT29" i="35"/>
  <c r="AT69" i="35" s="1"/>
  <c r="AN9" i="35"/>
  <c r="AN69" i="35" s="1"/>
  <c r="AF29" i="35"/>
  <c r="AF69" i="35" s="1"/>
  <c r="AR49" i="35"/>
  <c r="AR69" i="35" s="1"/>
  <c r="AW29" i="35"/>
  <c r="AW69" i="35" s="1"/>
  <c r="Z50" i="27"/>
  <c r="AS48" i="27" s="1"/>
  <c r="K9" i="30"/>
  <c r="K13" i="30"/>
  <c r="E53" i="27"/>
  <c r="S51" i="27"/>
  <c r="Z51" i="27" s="1"/>
  <c r="U100" i="22"/>
  <c r="V100" i="22" s="1"/>
  <c r="AF10" i="31"/>
  <c r="AK10" i="31" s="1"/>
  <c r="AL9" i="31"/>
  <c r="AN9" i="31"/>
  <c r="AC10" i="35"/>
  <c r="AK51" i="27"/>
  <c r="U8" i="39"/>
  <c r="T51" i="27"/>
  <c r="AT49" i="27" s="1"/>
  <c r="AM9" i="31"/>
  <c r="U137" i="27"/>
  <c r="Y51" i="27"/>
  <c r="C56" i="36"/>
  <c r="R8" i="30"/>
  <c r="BB115" i="22" s="1"/>
  <c r="N8" i="30"/>
  <c r="C92" i="36" s="1"/>
  <c r="AD69" i="35"/>
  <c r="AE9" i="30"/>
  <c r="AK9" i="30"/>
  <c r="AN9" i="30"/>
  <c r="AF8" i="30"/>
  <c r="AW8" i="30"/>
  <c r="AI9" i="30"/>
  <c r="AU9" i="30" s="1"/>
  <c r="AX9" i="30" s="1"/>
  <c r="AI69" i="35"/>
  <c r="AE69" i="35"/>
  <c r="AO69" i="35"/>
  <c r="AV69" i="35"/>
  <c r="AP69" i="35"/>
  <c r="AQ50" i="35"/>
  <c r="AJ50" i="35"/>
  <c r="AT30" i="35"/>
  <c r="AK30" i="35"/>
  <c r="AG50" i="35"/>
  <c r="AO30" i="35"/>
  <c r="AV30" i="35"/>
  <c r="AM30" i="35"/>
  <c r="AR50" i="35"/>
  <c r="AR30" i="35"/>
  <c r="AE10" i="35"/>
  <c r="AH10" i="35"/>
  <c r="AS10" i="35"/>
  <c r="AI10" i="35"/>
  <c r="AG10" i="35"/>
  <c r="AM50" i="35"/>
  <c r="AU50" i="35"/>
  <c r="AW30" i="35"/>
  <c r="AF50" i="35"/>
  <c r="AL50" i="35"/>
  <c r="AK50" i="35"/>
  <c r="AF30" i="35"/>
  <c r="AS50" i="35"/>
  <c r="AJ30" i="35"/>
  <c r="AN30" i="35"/>
  <c r="AU10" i="35"/>
  <c r="AW10" i="35"/>
  <c r="AQ10" i="35"/>
  <c r="AH50" i="35"/>
  <c r="AW50" i="35"/>
  <c r="AI30" i="35"/>
  <c r="AP30" i="35"/>
  <c r="AE30" i="35"/>
  <c r="AS30" i="35"/>
  <c r="AI50" i="35"/>
  <c r="AQ30" i="35"/>
  <c r="AG30" i="35"/>
  <c r="AP50" i="35"/>
  <c r="AR10" i="35"/>
  <c r="AU30" i="35"/>
  <c r="AE50" i="35"/>
  <c r="AD50" i="35"/>
  <c r="AT50" i="35"/>
  <c r="AD30" i="35"/>
  <c r="AH30" i="35"/>
  <c r="AO50" i="35"/>
  <c r="AV50" i="35"/>
  <c r="AL30" i="35"/>
  <c r="AN50" i="35"/>
  <c r="AK10" i="35"/>
  <c r="AV10" i="35"/>
  <c r="AV70" i="35" s="1"/>
  <c r="AN10" i="35"/>
  <c r="AM10" i="35"/>
  <c r="AO10" i="35"/>
  <c r="AO70" i="35" s="1"/>
  <c r="AP10" i="35"/>
  <c r="AJ10" i="35"/>
  <c r="AT10" i="35"/>
  <c r="AD10" i="35"/>
  <c r="AL10" i="35"/>
  <c r="AF10" i="35"/>
  <c r="R50" i="27"/>
  <c r="AQ8" i="30"/>
  <c r="AL8" i="30"/>
  <c r="AP9" i="30"/>
  <c r="AM9" i="30"/>
  <c r="AV9" i="30"/>
  <c r="AY9" i="30" s="1"/>
  <c r="AJ69" i="35"/>
  <c r="AL69" i="35"/>
  <c r="X51" i="27"/>
  <c r="AJ10" i="30"/>
  <c r="AH10" i="30"/>
  <c r="AQ69" i="35"/>
  <c r="AS69" i="35"/>
  <c r="AK69" i="35"/>
  <c r="U9" i="39"/>
  <c r="S52" i="27"/>
  <c r="C57" i="36"/>
  <c r="V52" i="27"/>
  <c r="V70" i="27" s="1"/>
  <c r="T52" i="27"/>
  <c r="AF11" i="31"/>
  <c r="AD11" i="30"/>
  <c r="AK52" i="27"/>
  <c r="Y52" i="27"/>
  <c r="Y70" i="27" s="1"/>
  <c r="AG11" i="31"/>
  <c r="AG24" i="31" s="1"/>
  <c r="U101" i="22"/>
  <c r="U52" i="27"/>
  <c r="X52" i="27" s="1"/>
  <c r="P52" i="27"/>
  <c r="AO50" i="27" s="1"/>
  <c r="AC11" i="35"/>
  <c r="U138" i="27"/>
  <c r="D79" i="27"/>
  <c r="AL10" i="31"/>
  <c r="AJ10" i="31"/>
  <c r="AO10" i="31"/>
  <c r="Z89" i="35" l="1"/>
  <c r="Z98" i="22" s="1"/>
  <c r="M9" i="30"/>
  <c r="O9" i="30" s="1"/>
  <c r="O12" i="30"/>
  <c r="R12" i="30" s="1"/>
  <c r="K1" i="30" s="1"/>
  <c r="AG8" i="30"/>
  <c r="AS8" i="30" s="1"/>
  <c r="AQ49" i="27"/>
  <c r="AA50" i="27"/>
  <c r="W99" i="22"/>
  <c r="J10" i="30"/>
  <c r="J14" i="30"/>
  <c r="M13" i="30"/>
  <c r="I51" i="27"/>
  <c r="J2" i="30"/>
  <c r="K10" i="30"/>
  <c r="K14" i="30"/>
  <c r="AL70" i="35"/>
  <c r="AD70" i="35"/>
  <c r="AM70" i="35"/>
  <c r="AI10" i="31"/>
  <c r="AN10" i="31"/>
  <c r="AA134" i="27"/>
  <c r="X97" i="22" s="1"/>
  <c r="AA135" i="27"/>
  <c r="X98" i="22" s="1"/>
  <c r="AK70" i="35"/>
  <c r="AM10" i="31"/>
  <c r="AP10" i="31" s="1"/>
  <c r="AJ70" i="35"/>
  <c r="AN70" i="35"/>
  <c r="AR8" i="30"/>
  <c r="AO9" i="30"/>
  <c r="Z90" i="35"/>
  <c r="Z99" i="22" s="1"/>
  <c r="AU70" i="35"/>
  <c r="AI70" i="35"/>
  <c r="AT70" i="35"/>
  <c r="V101" i="22"/>
  <c r="AC97" i="22" s="1"/>
  <c r="AH11" i="30"/>
  <c r="AI11" i="30" s="1"/>
  <c r="AU11" i="30" s="1"/>
  <c r="AX11" i="30" s="1"/>
  <c r="AJ11" i="30"/>
  <c r="AE10" i="30"/>
  <c r="AN10" i="30"/>
  <c r="AK10" i="30"/>
  <c r="H51" i="27"/>
  <c r="AR48" i="27"/>
  <c r="AL9" i="30"/>
  <c r="AQ9" i="30"/>
  <c r="AM11" i="35"/>
  <c r="AW51" i="35"/>
  <c r="AD31" i="35"/>
  <c r="AW31" i="35"/>
  <c r="AV31" i="35"/>
  <c r="AV51" i="35"/>
  <c r="AQ51" i="35"/>
  <c r="AS11" i="35"/>
  <c r="AT51" i="35"/>
  <c r="AK31" i="35"/>
  <c r="AW11" i="35"/>
  <c r="AU51" i="35"/>
  <c r="AP51" i="35"/>
  <c r="AM31" i="35"/>
  <c r="AO11" i="35"/>
  <c r="AI11" i="35"/>
  <c r="AN31" i="35"/>
  <c r="AQ31" i="35"/>
  <c r="AV11" i="35"/>
  <c r="AU31" i="35"/>
  <c r="AF31" i="35"/>
  <c r="AJ51" i="35"/>
  <c r="AL31" i="35"/>
  <c r="AH51" i="35"/>
  <c r="AG11" i="35"/>
  <c r="AH31" i="35"/>
  <c r="AS51" i="35"/>
  <c r="AL51" i="35"/>
  <c r="AH11" i="35"/>
  <c r="AR11" i="35"/>
  <c r="AN51" i="35"/>
  <c r="AP31" i="35"/>
  <c r="AK11" i="35"/>
  <c r="AE51" i="35"/>
  <c r="AE31" i="35"/>
  <c r="AE11" i="35"/>
  <c r="AO51" i="35"/>
  <c r="AR51" i="35"/>
  <c r="AD11" i="35"/>
  <c r="AT11" i="35"/>
  <c r="AF51" i="35"/>
  <c r="AR31" i="35"/>
  <c r="AN11" i="35"/>
  <c r="AD51" i="35"/>
  <c r="AI31" i="35"/>
  <c r="AM51" i="35"/>
  <c r="AF11" i="35"/>
  <c r="AT31" i="35"/>
  <c r="AI51" i="35"/>
  <c r="AQ11" i="35"/>
  <c r="AS31" i="35"/>
  <c r="AO31" i="35"/>
  <c r="AP11" i="35"/>
  <c r="AK51" i="35"/>
  <c r="AG31" i="35"/>
  <c r="AG51" i="35"/>
  <c r="AU11" i="35"/>
  <c r="AL11" i="35"/>
  <c r="AN11" i="31"/>
  <c r="AK11" i="31"/>
  <c r="AK24" i="31" s="1"/>
  <c r="AL11" i="31"/>
  <c r="AL24" i="31" s="1"/>
  <c r="AJ11" i="31"/>
  <c r="AJ24" i="31" s="1"/>
  <c r="AM11" i="31"/>
  <c r="AO11" i="31"/>
  <c r="AO24" i="31" s="1"/>
  <c r="AI11" i="31"/>
  <c r="Z52" i="27"/>
  <c r="Z70" i="27" s="1"/>
  <c r="AB51" i="27" s="1"/>
  <c r="AQ50" i="27"/>
  <c r="J7" i="35" s="1"/>
  <c r="S70" i="27"/>
  <c r="AM10" i="30"/>
  <c r="AV10" i="30"/>
  <c r="AY10" i="30" s="1"/>
  <c r="AP10" i="30"/>
  <c r="V7" i="39"/>
  <c r="AL50" i="27"/>
  <c r="AS70" i="35"/>
  <c r="AW9" i="30"/>
  <c r="W100" i="22"/>
  <c r="AS49" i="27"/>
  <c r="AH10" i="31" s="1"/>
  <c r="AA51" i="27"/>
  <c r="I52" i="27"/>
  <c r="R51" i="27"/>
  <c r="AT50" i="27"/>
  <c r="K7" i="35" s="1"/>
  <c r="T70" i="27"/>
  <c r="U70" i="27"/>
  <c r="AF70" i="35"/>
  <c r="AQ70" i="35"/>
  <c r="AH70" i="35"/>
  <c r="AG78" i="27"/>
  <c r="AG89" i="27" s="1"/>
  <c r="M35" i="22"/>
  <c r="U78" i="27"/>
  <c r="D90" i="27"/>
  <c r="G95" i="27"/>
  <c r="I79" i="27"/>
  <c r="AI10" i="30"/>
  <c r="AU10" i="30" s="1"/>
  <c r="AX10" i="30" s="1"/>
  <c r="X70" i="27"/>
  <c r="C20" i="36" s="1"/>
  <c r="AH9" i="31"/>
  <c r="AP70" i="35"/>
  <c r="AR70" i="35"/>
  <c r="AW70" i="35"/>
  <c r="AG70" i="35"/>
  <c r="AE70" i="35"/>
  <c r="M7" i="35" l="1"/>
  <c r="AN71" i="35"/>
  <c r="Q9" i="30"/>
  <c r="P9" i="30" s="1"/>
  <c r="R9" i="30"/>
  <c r="BB116" i="22" s="1"/>
  <c r="N9" i="30"/>
  <c r="C93" i="36" s="1"/>
  <c r="O1" i="35"/>
  <c r="F7" i="35" s="1"/>
  <c r="G7" i="35" s="1"/>
  <c r="AJ31" i="35" s="1"/>
  <c r="M10" i="30"/>
  <c r="O10" i="30" s="1"/>
  <c r="R10" i="30" s="1"/>
  <c r="BB117" i="22" s="1"/>
  <c r="N12" i="30"/>
  <c r="C96" i="36" s="1"/>
  <c r="Q12" i="30"/>
  <c r="P12" i="30" s="1"/>
  <c r="AF9" i="30"/>
  <c r="AR9" i="30" s="1"/>
  <c r="AG9" i="30"/>
  <c r="AS9" i="30" s="1"/>
  <c r="AT8" i="30"/>
  <c r="Y98" i="22" s="1"/>
  <c r="AU71" i="35"/>
  <c r="AQ10" i="31"/>
  <c r="AA100" i="22" s="1"/>
  <c r="O13" i="30"/>
  <c r="H54" i="22"/>
  <c r="H27" i="22"/>
  <c r="H22" i="22"/>
  <c r="M14" i="30"/>
  <c r="J3" i="30"/>
  <c r="J2" i="35"/>
  <c r="K2" i="35" s="1"/>
  <c r="AM24" i="31"/>
  <c r="AN24" i="31"/>
  <c r="H65" i="22"/>
  <c r="H50" i="22"/>
  <c r="H49" i="22"/>
  <c r="AP71" i="35"/>
  <c r="Q10" i="30"/>
  <c r="P10" i="30" s="1"/>
  <c r="N10" i="30"/>
  <c r="C94" i="36" s="1"/>
  <c r="AT63" i="27"/>
  <c r="Q34" i="31" s="1"/>
  <c r="K11" i="30"/>
  <c r="AQ63" i="27"/>
  <c r="P34" i="31" s="1"/>
  <c r="Z34" i="31" s="1"/>
  <c r="J11" i="30"/>
  <c r="O11" i="30" s="1"/>
  <c r="H17" i="22"/>
  <c r="H26" i="22"/>
  <c r="H18" i="22"/>
  <c r="H24" i="22"/>
  <c r="H21" i="22"/>
  <c r="AC101" i="22"/>
  <c r="AC100" i="22"/>
  <c r="H44" i="22"/>
  <c r="AC99" i="22"/>
  <c r="AC98" i="22"/>
  <c r="AE71" i="35"/>
  <c r="AH71" i="35"/>
  <c r="Z91" i="35"/>
  <c r="Z100" i="22" s="1"/>
  <c r="AF71" i="35"/>
  <c r="AL71" i="35"/>
  <c r="AQ71" i="35"/>
  <c r="P26" i="31"/>
  <c r="Z26" i="31" s="1"/>
  <c r="P17" i="31"/>
  <c r="Z17" i="31" s="1"/>
  <c r="P9" i="31"/>
  <c r="P25" i="31"/>
  <c r="Z25" i="31" s="1"/>
  <c r="P8" i="31"/>
  <c r="P18" i="31"/>
  <c r="Z18" i="31" s="1"/>
  <c r="P11" i="31"/>
  <c r="P10" i="31"/>
  <c r="P16" i="31"/>
  <c r="P7" i="31"/>
  <c r="U89" i="27"/>
  <c r="W78" i="27"/>
  <c r="AR49" i="27"/>
  <c r="H52" i="27"/>
  <c r="AP11" i="31"/>
  <c r="AQ11" i="31"/>
  <c r="AA101" i="22" s="1"/>
  <c r="AK71" i="35"/>
  <c r="AR71" i="35"/>
  <c r="AV71" i="35"/>
  <c r="AO71" i="35"/>
  <c r="AW71" i="35"/>
  <c r="AW10" i="30"/>
  <c r="BB4" i="22"/>
  <c r="BB28" i="22" s="1"/>
  <c r="BB228" i="22" s="1"/>
  <c r="D181" i="39"/>
  <c r="D192" i="39" s="1"/>
  <c r="I90" i="27"/>
  <c r="V14" i="47" s="1"/>
  <c r="S78" i="27"/>
  <c r="V8" i="39"/>
  <c r="AL51" i="27"/>
  <c r="AT71" i="35"/>
  <c r="AG71" i="35"/>
  <c r="BB46" i="22"/>
  <c r="T94" i="27"/>
  <c r="W138" i="27" s="1"/>
  <c r="Y138" i="27" s="1"/>
  <c r="G104" i="27"/>
  <c r="C13" i="22" s="1"/>
  <c r="AD71" i="35"/>
  <c r="AM71" i="35"/>
  <c r="AQ10" i="30"/>
  <c r="AL10" i="30"/>
  <c r="AP11" i="30"/>
  <c r="AG11" i="30"/>
  <c r="AM11" i="30"/>
  <c r="AV11" i="30"/>
  <c r="AY11" i="30" s="1"/>
  <c r="Q17" i="31"/>
  <c r="Q26" i="31"/>
  <c r="Q9" i="31"/>
  <c r="H73" i="22"/>
  <c r="O20" i="22"/>
  <c r="H52" i="22"/>
  <c r="H28" i="22"/>
  <c r="H55" i="22"/>
  <c r="H14" i="22"/>
  <c r="O16" i="22"/>
  <c r="H56" i="22"/>
  <c r="H33" i="22"/>
  <c r="H59" i="22"/>
  <c r="H63" i="22"/>
  <c r="H15" i="22"/>
  <c r="H76" i="22"/>
  <c r="H72" i="22"/>
  <c r="H71" i="22"/>
  <c r="H16" i="22"/>
  <c r="C26" i="36"/>
  <c r="H38" i="22"/>
  <c r="H23" i="22"/>
  <c r="H69" i="22"/>
  <c r="H12" i="22"/>
  <c r="C30" i="36"/>
  <c r="H35" i="22"/>
  <c r="H53" i="22"/>
  <c r="O14" i="22"/>
  <c r="H32" i="22"/>
  <c r="O19" i="22"/>
  <c r="H61" i="22"/>
  <c r="O23" i="22"/>
  <c r="H70" i="22"/>
  <c r="O18" i="22"/>
  <c r="H48" i="22"/>
  <c r="H49" i="47" s="1"/>
  <c r="H48" i="47" s="1"/>
  <c r="O21" i="22"/>
  <c r="O26" i="22"/>
  <c r="O17" i="22"/>
  <c r="H51" i="22"/>
  <c r="P141" i="39"/>
  <c r="P144" i="39" s="1"/>
  <c r="AB56" i="27"/>
  <c r="AB65" i="27"/>
  <c r="AB64" i="27"/>
  <c r="AB57" i="27"/>
  <c r="AB60" i="27"/>
  <c r="AB62" i="27"/>
  <c r="AB61" i="27"/>
  <c r="AB59" i="27"/>
  <c r="AB53" i="27"/>
  <c r="AB54" i="27"/>
  <c r="AB63" i="27"/>
  <c r="AB55" i="27"/>
  <c r="E66" i="27"/>
  <c r="AB48" i="27"/>
  <c r="AB58" i="27"/>
  <c r="AB49" i="27"/>
  <c r="AB50" i="27"/>
  <c r="AB52" i="27"/>
  <c r="AA52" i="27"/>
  <c r="AA70" i="27" s="1"/>
  <c r="W101" i="22"/>
  <c r="I53" i="27"/>
  <c r="R52" i="27"/>
  <c r="E21" i="27" s="1"/>
  <c r="AS50" i="27"/>
  <c r="AI71" i="35"/>
  <c r="AS71" i="35"/>
  <c r="AO10" i="30"/>
  <c r="AN11" i="30"/>
  <c r="AO11" i="30" s="1"/>
  <c r="AE11" i="30"/>
  <c r="AK11" i="30"/>
  <c r="AJ11" i="35" l="1"/>
  <c r="AJ71" i="35" s="1"/>
  <c r="Z92" i="35" s="1"/>
  <c r="Z101" i="22" s="1"/>
  <c r="O7" i="35"/>
  <c r="N7" i="35" s="1"/>
  <c r="Q10" i="31"/>
  <c r="AT9" i="30"/>
  <c r="Y99" i="22" s="1"/>
  <c r="O14" i="30"/>
  <c r="N14" i="30" s="1"/>
  <c r="C98" i="36" s="1"/>
  <c r="AG10" i="30"/>
  <c r="AS10" i="30" s="1"/>
  <c r="E19" i="27"/>
  <c r="C48" i="36" s="1"/>
  <c r="C49" i="36"/>
  <c r="R14" i="30"/>
  <c r="K3" i="30" s="1"/>
  <c r="R13" i="30"/>
  <c r="K2" i="30" s="1"/>
  <c r="Q13" i="30"/>
  <c r="P13" i="30" s="1"/>
  <c r="N13" i="30"/>
  <c r="C97" i="36" s="1"/>
  <c r="Q16" i="31"/>
  <c r="V16" i="31" s="1"/>
  <c r="W16" i="31" s="1"/>
  <c r="BB143" i="22" s="1"/>
  <c r="Q11" i="31"/>
  <c r="Q18" i="31"/>
  <c r="Q25" i="31"/>
  <c r="Q8" i="31"/>
  <c r="Q7" i="31"/>
  <c r="AF10" i="30"/>
  <c r="AR10" i="30" s="1"/>
  <c r="R70" i="27"/>
  <c r="AR63" i="27" s="1"/>
  <c r="Q11" i="30"/>
  <c r="R11" i="30"/>
  <c r="BB136" i="22"/>
  <c r="N11" i="30"/>
  <c r="C95" i="36" s="1"/>
  <c r="AA138" i="27"/>
  <c r="X101" i="22" s="1"/>
  <c r="Z138" i="27"/>
  <c r="AF11" i="30"/>
  <c r="AW11" i="30"/>
  <c r="AL52" i="27"/>
  <c r="AL67" i="27" s="1"/>
  <c r="J74" i="22" s="1"/>
  <c r="V9" i="39"/>
  <c r="V22" i="39" s="1"/>
  <c r="H13" i="22"/>
  <c r="M15" i="22"/>
  <c r="I66" i="27"/>
  <c r="W89" i="27"/>
  <c r="X78" i="27"/>
  <c r="X89" i="27" s="1"/>
  <c r="V10" i="31"/>
  <c r="U114" i="22"/>
  <c r="I123" i="27"/>
  <c r="E67" i="27"/>
  <c r="N11" i="45"/>
  <c r="N14" i="45" s="1"/>
  <c r="C70" i="36"/>
  <c r="V11" i="31"/>
  <c r="V9" i="31"/>
  <c r="AH11" i="31"/>
  <c r="AS63" i="27"/>
  <c r="AU63" i="27"/>
  <c r="AV63" i="27" s="1"/>
  <c r="AX17" i="31"/>
  <c r="BC17" i="31" s="1"/>
  <c r="C36" i="22" s="1"/>
  <c r="V7" i="31"/>
  <c r="AQ11" i="30"/>
  <c r="AL11" i="30"/>
  <c r="AR50" i="27"/>
  <c r="H53" i="27"/>
  <c r="H66" i="27" s="1"/>
  <c r="AS11" i="30"/>
  <c r="S89" i="27"/>
  <c r="V90" i="27"/>
  <c r="V89" i="27" s="1"/>
  <c r="V8" i="31"/>
  <c r="O25" i="35" l="1"/>
  <c r="P7" i="35"/>
  <c r="P25" i="35" s="1"/>
  <c r="Q14" i="30"/>
  <c r="P14" i="30" s="1"/>
  <c r="L1" i="30"/>
  <c r="AT10" i="30"/>
  <c r="Y100" i="22" s="1"/>
  <c r="C105" i="36"/>
  <c r="C43" i="22"/>
  <c r="I54" i="22"/>
  <c r="I27" i="22"/>
  <c r="I22" i="22"/>
  <c r="I65" i="22"/>
  <c r="I50" i="22"/>
  <c r="I49" i="22"/>
  <c r="C42" i="22"/>
  <c r="I42" i="22" s="1"/>
  <c r="R41" i="30"/>
  <c r="I17" i="22"/>
  <c r="I18" i="22"/>
  <c r="I21" i="22"/>
  <c r="I26" i="22"/>
  <c r="I24" i="22"/>
  <c r="P11" i="30"/>
  <c r="P41" i="30" s="1"/>
  <c r="Q41" i="30"/>
  <c r="AR11" i="30"/>
  <c r="AT11" i="30" s="1"/>
  <c r="Y101" i="22" s="1"/>
  <c r="I44" i="22"/>
  <c r="I13" i="22"/>
  <c r="Z16" i="31"/>
  <c r="C17" i="36"/>
  <c r="D38" i="39" s="1"/>
  <c r="X14" i="45"/>
  <c r="N18" i="45"/>
  <c r="X18" i="45" s="1"/>
  <c r="N16" i="45"/>
  <c r="X16" i="45" s="1"/>
  <c r="X23" i="45" s="1"/>
  <c r="N17" i="45"/>
  <c r="X17" i="45" s="1"/>
  <c r="N22" i="45"/>
  <c r="X22" i="45" s="1"/>
  <c r="N21" i="45"/>
  <c r="X21" i="45" s="1"/>
  <c r="N19" i="45"/>
  <c r="X19" i="45" s="1"/>
  <c r="N15" i="45"/>
  <c r="X15" i="45" s="1"/>
  <c r="N20" i="45"/>
  <c r="X20" i="45" s="1"/>
  <c r="BB7" i="31"/>
  <c r="W11" i="31"/>
  <c r="C138" i="39"/>
  <c r="G34" i="47"/>
  <c r="O15" i="22"/>
  <c r="Q34" i="47"/>
  <c r="P34" i="47"/>
  <c r="L34" i="47"/>
  <c r="H34" i="47"/>
  <c r="I34" i="47"/>
  <c r="U34" i="47"/>
  <c r="N34" i="47"/>
  <c r="J34" i="47"/>
  <c r="E34" i="47"/>
  <c r="F34" i="47"/>
  <c r="T34" i="47"/>
  <c r="S34" i="47"/>
  <c r="C34" i="47"/>
  <c r="M34" i="47"/>
  <c r="K34" i="47"/>
  <c r="D34" i="47"/>
  <c r="R34" i="47"/>
  <c r="O34" i="47"/>
  <c r="P6" i="39"/>
  <c r="V43" i="39"/>
  <c r="W22" i="39" s="1"/>
  <c r="H36" i="22"/>
  <c r="I36" i="22"/>
  <c r="I72" i="22"/>
  <c r="I32" i="22"/>
  <c r="I59" i="22"/>
  <c r="I52" i="22"/>
  <c r="I70" i="22"/>
  <c r="I53" i="22"/>
  <c r="I15" i="22"/>
  <c r="I16" i="22"/>
  <c r="I73" i="22"/>
  <c r="I51" i="22"/>
  <c r="I28" i="22"/>
  <c r="I23" i="22"/>
  <c r="I55" i="22"/>
  <c r="I12" i="22"/>
  <c r="I76" i="22"/>
  <c r="I71" i="22"/>
  <c r="I33" i="22"/>
  <c r="I38" i="22"/>
  <c r="I69" i="22"/>
  <c r="I56" i="22"/>
  <c r="I61" i="22"/>
  <c r="I63" i="22"/>
  <c r="I48" i="22"/>
  <c r="I49" i="47" s="1"/>
  <c r="I48" i="47" s="1"/>
  <c r="C22" i="36"/>
  <c r="I14" i="22"/>
  <c r="I35" i="22"/>
  <c r="C74" i="22"/>
  <c r="J79" i="22"/>
  <c r="AY7" i="31"/>
  <c r="W8" i="31"/>
  <c r="E22" i="27"/>
  <c r="D60" i="45"/>
  <c r="K59" i="45"/>
  <c r="F60" i="45"/>
  <c r="I60" i="45"/>
  <c r="D61" i="45"/>
  <c r="L59" i="45"/>
  <c r="G68" i="45"/>
  <c r="E61" i="45"/>
  <c r="I61" i="45"/>
  <c r="D59" i="45"/>
  <c r="M61" i="45"/>
  <c r="E23" i="27"/>
  <c r="G61" i="45"/>
  <c r="I68" i="45"/>
  <c r="J59" i="45"/>
  <c r="I59" i="45"/>
  <c r="N68" i="45"/>
  <c r="C68" i="45"/>
  <c r="J61" i="45"/>
  <c r="H60" i="45"/>
  <c r="C61" i="45"/>
  <c r="K68" i="45"/>
  <c r="F61" i="45"/>
  <c r="J60" i="45"/>
  <c r="M60" i="45"/>
  <c r="L61" i="45"/>
  <c r="H68" i="45"/>
  <c r="E60" i="45"/>
  <c r="K61" i="45"/>
  <c r="H59" i="45"/>
  <c r="N61" i="45"/>
  <c r="C59" i="45"/>
  <c r="M68" i="45"/>
  <c r="L60" i="45"/>
  <c r="H61" i="45"/>
  <c r="C60" i="45"/>
  <c r="E68" i="45"/>
  <c r="D68" i="45"/>
  <c r="N60" i="45"/>
  <c r="F68" i="45"/>
  <c r="K60" i="45"/>
  <c r="G59" i="45"/>
  <c r="F59" i="45"/>
  <c r="G60" i="45"/>
  <c r="J68" i="45"/>
  <c r="N59" i="45"/>
  <c r="L68" i="45"/>
  <c r="M59" i="45"/>
  <c r="E59" i="45"/>
  <c r="C111" i="22"/>
  <c r="C5" i="22"/>
  <c r="W7" i="31"/>
  <c r="AX7" i="31"/>
  <c r="W9" i="31"/>
  <c r="AZ7" i="31"/>
  <c r="BA7" i="31"/>
  <c r="W10" i="31"/>
  <c r="H43" i="22" l="1"/>
  <c r="I43" i="22"/>
  <c r="M25" i="22"/>
  <c r="K77" i="22"/>
  <c r="C77" i="22" s="1"/>
  <c r="Q69" i="47" s="1"/>
  <c r="M24" i="22"/>
  <c r="P24" i="22" s="1"/>
  <c r="H42" i="22"/>
  <c r="BB142" i="22"/>
  <c r="Z11" i="31"/>
  <c r="BB139" i="22"/>
  <c r="Z8" i="31"/>
  <c r="AI8" i="31" s="1"/>
  <c r="BB140" i="22"/>
  <c r="Z9" i="31"/>
  <c r="AI9" i="31" s="1"/>
  <c r="BB138" i="22"/>
  <c r="Z7" i="31"/>
  <c r="BB141" i="22"/>
  <c r="Z10" i="31"/>
  <c r="D16" i="39"/>
  <c r="C51" i="36"/>
  <c r="D15" i="39"/>
  <c r="C50" i="36"/>
  <c r="G8" i="36" s="1"/>
  <c r="J123" i="27"/>
  <c r="C123" i="22"/>
  <c r="P13" i="39"/>
  <c r="P17" i="39" s="1"/>
  <c r="H152" i="39"/>
  <c r="T4" i="47"/>
  <c r="T3" i="47" s="1"/>
  <c r="C117" i="22"/>
  <c r="C9" i="22"/>
  <c r="D5" i="22" s="1"/>
  <c r="P4" i="47"/>
  <c r="P3" i="47" s="1"/>
  <c r="M4" i="47"/>
  <c r="M3" i="47" s="1"/>
  <c r="V4" i="47"/>
  <c r="V3" i="47" s="1"/>
  <c r="C4" i="47"/>
  <c r="C3" i="47" s="1"/>
  <c r="N4" i="47"/>
  <c r="N3" i="47" s="1"/>
  <c r="R4" i="47"/>
  <c r="R3" i="47" s="1"/>
  <c r="K4" i="47"/>
  <c r="K3" i="47" s="1"/>
  <c r="U4" i="47"/>
  <c r="U3" i="47" s="1"/>
  <c r="I4" i="47"/>
  <c r="I3" i="47" s="1"/>
  <c r="L4" i="47"/>
  <c r="L3" i="47" s="1"/>
  <c r="D4" i="47"/>
  <c r="D3" i="47" s="1"/>
  <c r="E4" i="47"/>
  <c r="E3" i="47" s="1"/>
  <c r="H4" i="47"/>
  <c r="H3" i="47" s="1"/>
  <c r="S4" i="47"/>
  <c r="S3" i="47" s="1"/>
  <c r="F4" i="47"/>
  <c r="F3" i="47" s="1"/>
  <c r="J4" i="47"/>
  <c r="J3" i="47" s="1"/>
  <c r="O4" i="47"/>
  <c r="O3" i="47" s="1"/>
  <c r="G4" i="47"/>
  <c r="G3" i="47" s="1"/>
  <c r="Q4" i="47"/>
  <c r="Q3" i="47" s="1"/>
  <c r="W32" i="39"/>
  <c r="W38" i="39"/>
  <c r="W39" i="39"/>
  <c r="P7" i="39"/>
  <c r="W28" i="39"/>
  <c r="W36" i="39"/>
  <c r="W31" i="39"/>
  <c r="W34" i="39"/>
  <c r="W40" i="39"/>
  <c r="W35" i="39"/>
  <c r="W41" i="39"/>
  <c r="W33" i="39"/>
  <c r="BC7" i="31"/>
  <c r="C37" i="22" s="1"/>
  <c r="P18" i="22"/>
  <c r="P16" i="22"/>
  <c r="C27" i="36"/>
  <c r="P19" i="22"/>
  <c r="P21" i="22"/>
  <c r="P17" i="22"/>
  <c r="P20" i="22"/>
  <c r="P25" i="22"/>
  <c r="P23" i="22"/>
  <c r="C31" i="36"/>
  <c r="P14" i="22"/>
  <c r="P26" i="22"/>
  <c r="P15" i="22"/>
  <c r="K66" i="47"/>
  <c r="H74" i="22"/>
  <c r="N66" i="47"/>
  <c r="R66" i="47"/>
  <c r="G66" i="47"/>
  <c r="I74" i="22"/>
  <c r="J66" i="47"/>
  <c r="M66" i="47"/>
  <c r="Q66" i="47"/>
  <c r="C66" i="47"/>
  <c r="U66" i="47"/>
  <c r="I66" i="47"/>
  <c r="O66" i="47"/>
  <c r="F66" i="47"/>
  <c r="D66" i="47"/>
  <c r="E66" i="47"/>
  <c r="L66" i="47"/>
  <c r="T66" i="47"/>
  <c r="H66" i="47"/>
  <c r="P66" i="47"/>
  <c r="S66" i="47"/>
  <c r="AQ9" i="31" l="1"/>
  <c r="AA99" i="22" s="1"/>
  <c r="AP9" i="31"/>
  <c r="AP8" i="31"/>
  <c r="AQ8" i="31"/>
  <c r="AI24" i="31"/>
  <c r="U44" i="47"/>
  <c r="M44" i="47"/>
  <c r="E44" i="47"/>
  <c r="J44" i="47"/>
  <c r="L44" i="47"/>
  <c r="F44" i="47"/>
  <c r="Q44" i="47"/>
  <c r="R44" i="47"/>
  <c r="T44" i="47"/>
  <c r="S44" i="47"/>
  <c r="K44" i="47"/>
  <c r="C44" i="47"/>
  <c r="H44" i="47"/>
  <c r="I44" i="47"/>
  <c r="D44" i="47"/>
  <c r="O44" i="47"/>
  <c r="G44" i="47"/>
  <c r="N44" i="47"/>
  <c r="P44" i="47"/>
  <c r="C133" i="39"/>
  <c r="O25" i="22"/>
  <c r="E69" i="47"/>
  <c r="T69" i="47"/>
  <c r="H77" i="22"/>
  <c r="D155" i="39"/>
  <c r="P147" i="39" s="1"/>
  <c r="F69" i="47"/>
  <c r="K69" i="47"/>
  <c r="J69" i="47"/>
  <c r="I77" i="22"/>
  <c r="R69" i="47"/>
  <c r="U69" i="47"/>
  <c r="L69" i="47"/>
  <c r="M69" i="47"/>
  <c r="G69" i="47"/>
  <c r="C69" i="47"/>
  <c r="S69" i="47"/>
  <c r="P69" i="47"/>
  <c r="O69" i="47"/>
  <c r="I69" i="47"/>
  <c r="H69" i="47"/>
  <c r="D69" i="47"/>
  <c r="N69" i="47"/>
  <c r="BB198" i="22"/>
  <c r="BB229" i="22" s="1"/>
  <c r="BB230" i="22" s="1"/>
  <c r="H43" i="47"/>
  <c r="C134" i="39"/>
  <c r="K43" i="47"/>
  <c r="R43" i="47"/>
  <c r="E43" i="47"/>
  <c r="O43" i="47"/>
  <c r="C43" i="47"/>
  <c r="G43" i="47"/>
  <c r="I43" i="47"/>
  <c r="P43" i="47"/>
  <c r="M43" i="47"/>
  <c r="L43" i="47"/>
  <c r="U43" i="47"/>
  <c r="D43" i="47"/>
  <c r="J43" i="47"/>
  <c r="F43" i="47"/>
  <c r="Q43" i="47"/>
  <c r="S43" i="47"/>
  <c r="T43" i="47"/>
  <c r="N43" i="47"/>
  <c r="O24" i="22"/>
  <c r="O147" i="39"/>
  <c r="V74" i="47"/>
  <c r="V75" i="47" s="1"/>
  <c r="V79" i="47"/>
  <c r="V80" i="47" s="1"/>
  <c r="V84" i="47"/>
  <c r="V85" i="47" s="1"/>
  <c r="H37" i="22"/>
  <c r="I37" i="22"/>
  <c r="C45" i="22"/>
  <c r="M22" i="22"/>
  <c r="G1" i="36" s="1"/>
  <c r="H1" i="36" s="1"/>
  <c r="H156" i="39"/>
  <c r="D7" i="22"/>
  <c r="D6" i="22"/>
  <c r="D8" i="22"/>
  <c r="C84" i="22"/>
  <c r="D156" i="39"/>
  <c r="AP24" i="31" l="1"/>
  <c r="AA98" i="22"/>
  <c r="AQ24" i="31"/>
  <c r="E43" i="22"/>
  <c r="E27" i="22"/>
  <c r="E22" i="22"/>
  <c r="E17" i="22"/>
  <c r="E24" i="22"/>
  <c r="E18" i="22"/>
  <c r="E37" i="22"/>
  <c r="E21" i="22"/>
  <c r="E26" i="22"/>
  <c r="C89" i="22"/>
  <c r="C94" i="22" s="1"/>
  <c r="E44" i="22"/>
  <c r="E42" i="22"/>
  <c r="E13" i="22"/>
  <c r="C113" i="22"/>
  <c r="N34" i="22"/>
  <c r="N36" i="22"/>
  <c r="N41" i="22"/>
  <c r="E14" i="22"/>
  <c r="E28" i="22"/>
  <c r="E16" i="22"/>
  <c r="C119" i="22"/>
  <c r="N32" i="22"/>
  <c r="E32" i="22"/>
  <c r="N35" i="22"/>
  <c r="N37" i="22"/>
  <c r="N39" i="22"/>
  <c r="C85" i="22"/>
  <c r="C127" i="22"/>
  <c r="E38" i="22"/>
  <c r="E23" i="22"/>
  <c r="N38" i="22"/>
  <c r="N33" i="22"/>
  <c r="D29" i="22"/>
  <c r="C108" i="39" s="1"/>
  <c r="D151" i="39"/>
  <c r="D26" i="22"/>
  <c r="C105" i="39" s="1"/>
  <c r="D13" i="22"/>
  <c r="C92" i="39" s="1"/>
  <c r="D23" i="22"/>
  <c r="C102" i="39" s="1"/>
  <c r="N42" i="22"/>
  <c r="E35" i="22"/>
  <c r="E15" i="22"/>
  <c r="D20" i="22"/>
  <c r="C99" i="39" s="1"/>
  <c r="D16" i="22"/>
  <c r="C95" i="39" s="1"/>
  <c r="D36" i="22"/>
  <c r="C115" i="39" s="1"/>
  <c r="E45" i="22"/>
  <c r="E12" i="22"/>
  <c r="N43" i="22"/>
  <c r="N31" i="22"/>
  <c r="K78" i="22"/>
  <c r="C78" i="22" s="1"/>
  <c r="D39" i="22"/>
  <c r="C118" i="39" s="1"/>
  <c r="C66" i="22"/>
  <c r="D15" i="22"/>
  <c r="C94" i="39" s="1"/>
  <c r="D44" i="22"/>
  <c r="C123" i="39" s="1"/>
  <c r="D14" i="22"/>
  <c r="C93" i="39" s="1"/>
  <c r="D38" i="22"/>
  <c r="C117" i="39" s="1"/>
  <c r="D35" i="22"/>
  <c r="C114" i="39" s="1"/>
  <c r="D33" i="22"/>
  <c r="C112" i="39" s="1"/>
  <c r="D41" i="22"/>
  <c r="C120" i="39" s="1"/>
  <c r="D43" i="22"/>
  <c r="C122" i="39" s="1"/>
  <c r="D17" i="22"/>
  <c r="C96" i="39" s="1"/>
  <c r="N40" i="22"/>
  <c r="D42" i="22"/>
  <c r="C121" i="39" s="1"/>
  <c r="D19" i="22"/>
  <c r="C98" i="39" s="1"/>
  <c r="D40" i="22"/>
  <c r="C119" i="39" s="1"/>
  <c r="D27" i="22"/>
  <c r="C106" i="39" s="1"/>
  <c r="C24" i="36"/>
  <c r="D18" i="22"/>
  <c r="C97" i="39" s="1"/>
  <c r="P8" i="39"/>
  <c r="P18" i="39" s="1"/>
  <c r="D21" i="22"/>
  <c r="C100" i="39" s="1"/>
  <c r="D31" i="22"/>
  <c r="C110" i="39" s="1"/>
  <c r="D28" i="22"/>
  <c r="C107" i="39" s="1"/>
  <c r="D22" i="22"/>
  <c r="C101" i="39" s="1"/>
  <c r="D37" i="22"/>
  <c r="C116" i="39" s="1"/>
  <c r="D25" i="22"/>
  <c r="C104" i="39" s="1"/>
  <c r="E33" i="22"/>
  <c r="D34" i="22"/>
  <c r="C113" i="39" s="1"/>
  <c r="D30" i="22"/>
  <c r="C109" i="39" s="1"/>
  <c r="D12" i="22"/>
  <c r="C91" i="39" s="1"/>
  <c r="D32" i="22"/>
  <c r="C111" i="39" s="1"/>
  <c r="D24" i="22"/>
  <c r="C103" i="39" s="1"/>
  <c r="E36" i="22"/>
  <c r="C100" i="22"/>
  <c r="C124" i="22"/>
  <c r="O148" i="39"/>
  <c r="P148" i="39"/>
  <c r="C118" i="22"/>
  <c r="C112" i="22"/>
  <c r="C41" i="47"/>
  <c r="C32" i="47" s="1"/>
  <c r="M41" i="47"/>
  <c r="M32" i="47" s="1"/>
  <c r="N41" i="47"/>
  <c r="N32" i="47" s="1"/>
  <c r="H41" i="47"/>
  <c r="H32" i="47" s="1"/>
  <c r="J41" i="47"/>
  <c r="J32" i="47" s="1"/>
  <c r="D41" i="47"/>
  <c r="D32" i="47" s="1"/>
  <c r="K41" i="47"/>
  <c r="K32" i="47" s="1"/>
  <c r="Q41" i="47"/>
  <c r="Q32" i="47" s="1"/>
  <c r="R41" i="47"/>
  <c r="R32" i="47" s="1"/>
  <c r="I41" i="47"/>
  <c r="I32" i="47" s="1"/>
  <c r="S41" i="47"/>
  <c r="S32" i="47" s="1"/>
  <c r="G41" i="47"/>
  <c r="G32" i="47" s="1"/>
  <c r="F41" i="47"/>
  <c r="F32" i="47" s="1"/>
  <c r="P22" i="22"/>
  <c r="O41" i="47"/>
  <c r="O32" i="47" s="1"/>
  <c r="C137" i="39"/>
  <c r="U41" i="47"/>
  <c r="U32" i="47" s="1"/>
  <c r="O22" i="22"/>
  <c r="T41" i="47"/>
  <c r="T32" i="47" s="1"/>
  <c r="E41" i="47"/>
  <c r="E32" i="47" s="1"/>
  <c r="L41" i="47"/>
  <c r="L32" i="47" s="1"/>
  <c r="P41" i="47"/>
  <c r="P32" i="47" s="1"/>
  <c r="M27" i="22"/>
  <c r="F27" i="22" l="1"/>
  <c r="F22" i="22"/>
  <c r="F54" i="22"/>
  <c r="F43" i="22"/>
  <c r="F50" i="22"/>
  <c r="F49" i="22"/>
  <c r="F65" i="22"/>
  <c r="F17" i="22"/>
  <c r="F18" i="22"/>
  <c r="F24" i="22"/>
  <c r="F26" i="22"/>
  <c r="F21" i="22"/>
  <c r="AB97" i="22"/>
  <c r="AB101" i="22"/>
  <c r="AB100" i="22"/>
  <c r="AB99" i="22"/>
  <c r="AB98" i="22"/>
  <c r="F44" i="22"/>
  <c r="F42" i="22"/>
  <c r="F13" i="22"/>
  <c r="F37" i="22"/>
  <c r="K79" i="47"/>
  <c r="K80" i="47" s="1"/>
  <c r="K74" i="47"/>
  <c r="K75" i="47" s="1"/>
  <c r="C128" i="22"/>
  <c r="F52" i="22"/>
  <c r="F61" i="22"/>
  <c r="F66" i="22"/>
  <c r="D56" i="22"/>
  <c r="O39" i="22"/>
  <c r="D57" i="22"/>
  <c r="F32" i="22"/>
  <c r="F33" i="22"/>
  <c r="D54" i="22"/>
  <c r="D52" i="22"/>
  <c r="O40" i="22"/>
  <c r="D64" i="22"/>
  <c r="D62" i="22"/>
  <c r="D50" i="22"/>
  <c r="O41" i="22"/>
  <c r="D59" i="22"/>
  <c r="F59" i="22"/>
  <c r="O31" i="22"/>
  <c r="O38" i="22"/>
  <c r="F51" i="22"/>
  <c r="F15" i="22"/>
  <c r="F56" i="22"/>
  <c r="O34" i="22"/>
  <c r="F53" i="22"/>
  <c r="D55" i="22"/>
  <c r="O32" i="22"/>
  <c r="O42" i="22"/>
  <c r="D65" i="22"/>
  <c r="D53" i="22"/>
  <c r="C25" i="36"/>
  <c r="O43" i="22"/>
  <c r="C120" i="22"/>
  <c r="F23" i="22"/>
  <c r="D49" i="22"/>
  <c r="D60" i="22"/>
  <c r="O37" i="22"/>
  <c r="D61" i="22"/>
  <c r="F38" i="22"/>
  <c r="O35" i="22"/>
  <c r="C114" i="22"/>
  <c r="D63" i="22"/>
  <c r="D48" i="22"/>
  <c r="D49" i="47" s="1"/>
  <c r="D48" i="47" s="1"/>
  <c r="D79" i="47" s="1"/>
  <c r="D80" i="47" s="1"/>
  <c r="F48" i="22"/>
  <c r="F49" i="47" s="1"/>
  <c r="F48" i="47" s="1"/>
  <c r="F79" i="47" s="1"/>
  <c r="F80" i="47" s="1"/>
  <c r="O36" i="22"/>
  <c r="D58" i="22"/>
  <c r="F28" i="22"/>
  <c r="F55" i="22"/>
  <c r="F16" i="22"/>
  <c r="F14" i="22"/>
  <c r="D51" i="22"/>
  <c r="F12" i="22"/>
  <c r="F63" i="22"/>
  <c r="P10" i="39"/>
  <c r="C86" i="22"/>
  <c r="O33" i="22"/>
  <c r="F35" i="22"/>
  <c r="F36" i="22"/>
  <c r="C101" i="22"/>
  <c r="C90" i="22"/>
  <c r="N26" i="22"/>
  <c r="D132" i="39" s="1"/>
  <c r="C145" i="39"/>
  <c r="N18" i="22"/>
  <c r="D141" i="39" s="1"/>
  <c r="N17" i="22"/>
  <c r="D136" i="39" s="1"/>
  <c r="N19" i="22"/>
  <c r="D142" i="39" s="1"/>
  <c r="N14" i="22"/>
  <c r="D135" i="39" s="1"/>
  <c r="N25" i="22"/>
  <c r="D133" i="39" s="1"/>
  <c r="N21" i="22"/>
  <c r="D143" i="39" s="1"/>
  <c r="N23" i="22"/>
  <c r="D144" i="39" s="1"/>
  <c r="M28" i="22"/>
  <c r="N20" i="22"/>
  <c r="D140" i="39" s="1"/>
  <c r="N16" i="22"/>
  <c r="D139" i="39" s="1"/>
  <c r="N24" i="22"/>
  <c r="D134" i="39" s="1"/>
  <c r="N15" i="22"/>
  <c r="D138" i="39" s="1"/>
  <c r="T74" i="47"/>
  <c r="T75" i="47" s="1"/>
  <c r="T79" i="47"/>
  <c r="T80" i="47" s="1"/>
  <c r="G74" i="47"/>
  <c r="G75" i="47" s="1"/>
  <c r="Q74" i="47"/>
  <c r="Q75" i="47" s="1"/>
  <c r="Q79" i="47"/>
  <c r="Q80" i="47" s="1"/>
  <c r="H74" i="47"/>
  <c r="H75" i="47" s="1"/>
  <c r="H79" i="47"/>
  <c r="H80" i="47" s="1"/>
  <c r="C107" i="22"/>
  <c r="C104" i="22"/>
  <c r="P79" i="47"/>
  <c r="P80" i="47" s="1"/>
  <c r="P74" i="47"/>
  <c r="P75" i="47" s="1"/>
  <c r="O79" i="47"/>
  <c r="O80" i="47" s="1"/>
  <c r="O74" i="47"/>
  <c r="O75" i="47" s="1"/>
  <c r="N74" i="47"/>
  <c r="N75" i="47" s="1"/>
  <c r="N79" i="47"/>
  <c r="N80" i="47" s="1"/>
  <c r="L74" i="47"/>
  <c r="L75" i="47" s="1"/>
  <c r="L79" i="47"/>
  <c r="L80" i="47" s="1"/>
  <c r="N22" i="22"/>
  <c r="D137" i="39" s="1"/>
  <c r="I74" i="47"/>
  <c r="I75" i="47" s="1"/>
  <c r="I79" i="47"/>
  <c r="I80" i="47" s="1"/>
  <c r="D74" i="47"/>
  <c r="D75" i="47" s="1"/>
  <c r="M79" i="47"/>
  <c r="M80" i="47" s="1"/>
  <c r="M74" i="47"/>
  <c r="M75" i="47" s="1"/>
  <c r="O143" i="39"/>
  <c r="P143" i="39"/>
  <c r="S74" i="47"/>
  <c r="S75" i="47" s="1"/>
  <c r="S79" i="47"/>
  <c r="S80" i="47" s="1"/>
  <c r="E79" i="47"/>
  <c r="E80" i="47" s="1"/>
  <c r="E74" i="47"/>
  <c r="E75" i="47" s="1"/>
  <c r="U74" i="47"/>
  <c r="U75" i="47" s="1"/>
  <c r="U79" i="47"/>
  <c r="U80" i="47" s="1"/>
  <c r="F74" i="47"/>
  <c r="F75" i="47" s="1"/>
  <c r="R74" i="47"/>
  <c r="R75" i="47" s="1"/>
  <c r="R79" i="47"/>
  <c r="R80" i="47" s="1"/>
  <c r="J74" i="47"/>
  <c r="J75" i="47" s="1"/>
  <c r="J79" i="47"/>
  <c r="J80" i="47" s="1"/>
  <c r="C79" i="47"/>
  <c r="C74" i="47"/>
  <c r="U70" i="47"/>
  <c r="U60" i="47" s="1"/>
  <c r="U84" i="47" s="1"/>
  <c r="U85" i="47" s="1"/>
  <c r="D70" i="47"/>
  <c r="D60" i="47" s="1"/>
  <c r="R70" i="47"/>
  <c r="R60" i="47" s="1"/>
  <c r="R84" i="47" s="1"/>
  <c r="R85" i="47" s="1"/>
  <c r="N70" i="47"/>
  <c r="N60" i="47" s="1"/>
  <c r="N84" i="47" s="1"/>
  <c r="N85" i="47" s="1"/>
  <c r="F70" i="47"/>
  <c r="F60" i="47" s="1"/>
  <c r="H70" i="47"/>
  <c r="H60" i="47" s="1"/>
  <c r="H84" i="47" s="1"/>
  <c r="H85" i="47" s="1"/>
  <c r="T70" i="47"/>
  <c r="T60" i="47" s="1"/>
  <c r="T84" i="47" s="1"/>
  <c r="T85" i="47" s="1"/>
  <c r="I70" i="47"/>
  <c r="I60" i="47" s="1"/>
  <c r="I84" i="47" s="1"/>
  <c r="I85" i="47" s="1"/>
  <c r="J70" i="47"/>
  <c r="J60" i="47" s="1"/>
  <c r="J84" i="47" s="1"/>
  <c r="J85" i="47" s="1"/>
  <c r="Q70" i="47"/>
  <c r="Q60" i="47" s="1"/>
  <c r="Q84" i="47" s="1"/>
  <c r="Q85" i="47" s="1"/>
  <c r="P70" i="47"/>
  <c r="P60" i="47" s="1"/>
  <c r="P84" i="47" s="1"/>
  <c r="P85" i="47" s="1"/>
  <c r="M70" i="47"/>
  <c r="M60" i="47" s="1"/>
  <c r="M84" i="47" s="1"/>
  <c r="M85" i="47" s="1"/>
  <c r="S70" i="47"/>
  <c r="S60" i="47" s="1"/>
  <c r="S84" i="47" s="1"/>
  <c r="S85" i="47" s="1"/>
  <c r="G70" i="47"/>
  <c r="G60" i="47" s="1"/>
  <c r="K70" i="47"/>
  <c r="K60" i="47" s="1"/>
  <c r="K84" i="47" s="1"/>
  <c r="K85" i="47" s="1"/>
  <c r="L70" i="47"/>
  <c r="L60" i="47" s="1"/>
  <c r="L84" i="47" s="1"/>
  <c r="L85" i="47" s="1"/>
  <c r="C70" i="47"/>
  <c r="C60" i="47" s="1"/>
  <c r="C84" i="47" s="1"/>
  <c r="H78" i="22"/>
  <c r="E70" i="47"/>
  <c r="E60" i="47" s="1"/>
  <c r="E84" i="47" s="1"/>
  <c r="E85" i="47" s="1"/>
  <c r="I78" i="22"/>
  <c r="O70" i="47"/>
  <c r="O60" i="47" s="1"/>
  <c r="O84" i="47" s="1"/>
  <c r="O85" i="47" s="1"/>
  <c r="C79" i="22"/>
  <c r="D154" i="39"/>
  <c r="F45" i="22"/>
  <c r="D84" i="47" l="1"/>
  <c r="D85" i="47" s="1"/>
  <c r="AD97" i="22"/>
  <c r="AD100" i="22"/>
  <c r="AD101" i="22"/>
  <c r="AD99" i="22"/>
  <c r="AD98" i="22"/>
  <c r="F84" i="47"/>
  <c r="F85" i="47" s="1"/>
  <c r="C85" i="47"/>
  <c r="C86" i="47"/>
  <c r="D86" i="47" s="1"/>
  <c r="E86" i="47" s="1"/>
  <c r="O146" i="39"/>
  <c r="P146" i="39"/>
  <c r="C75" i="47"/>
  <c r="B94" i="47"/>
  <c r="B93" i="47"/>
  <c r="B95" i="47" s="1"/>
  <c r="C76" i="47"/>
  <c r="D76" i="47" s="1"/>
  <c r="E76" i="47" s="1"/>
  <c r="F76" i="47" s="1"/>
  <c r="G76" i="47" s="1"/>
  <c r="H76" i="47" s="1"/>
  <c r="I76" i="47" s="1"/>
  <c r="J76" i="47" s="1"/>
  <c r="K76" i="47" s="1"/>
  <c r="L76" i="47" s="1"/>
  <c r="M76" i="47" s="1"/>
  <c r="N76" i="47" s="1"/>
  <c r="O76" i="47" s="1"/>
  <c r="P76" i="47" s="1"/>
  <c r="Q76" i="47" s="1"/>
  <c r="R76" i="47" s="1"/>
  <c r="S76" i="47" s="1"/>
  <c r="T76" i="47" s="1"/>
  <c r="U76" i="47" s="1"/>
  <c r="V76" i="47" s="1"/>
  <c r="P19" i="39"/>
  <c r="C80" i="22"/>
  <c r="P11" i="39"/>
  <c r="P12" i="39" s="1"/>
  <c r="P20" i="39" s="1"/>
  <c r="D153" i="39"/>
  <c r="C80" i="47"/>
  <c r="C81" i="47"/>
  <c r="D81" i="47" s="1"/>
  <c r="E81" i="47" s="1"/>
  <c r="F81" i="47" s="1"/>
  <c r="C98" i="22"/>
  <c r="C125" i="22"/>
  <c r="C95" i="22"/>
  <c r="G27" i="22" l="1"/>
  <c r="G22" i="22"/>
  <c r="G54" i="22"/>
  <c r="G43" i="22"/>
  <c r="G50" i="22"/>
  <c r="G49" i="22"/>
  <c r="G65" i="22"/>
  <c r="G18" i="22"/>
  <c r="G17" i="22"/>
  <c r="G24" i="22"/>
  <c r="G26" i="22"/>
  <c r="G21" i="22"/>
  <c r="F86" i="47"/>
  <c r="D79" i="22"/>
  <c r="G44" i="22"/>
  <c r="G42" i="22"/>
  <c r="G13" i="22"/>
  <c r="G37" i="22"/>
  <c r="G79" i="22"/>
  <c r="C105" i="22"/>
  <c r="C108" i="22"/>
  <c r="O145" i="39"/>
  <c r="P145" i="39"/>
  <c r="G16" i="22"/>
  <c r="G33" i="22"/>
  <c r="P31" i="22"/>
  <c r="G70" i="22"/>
  <c r="G80" i="22"/>
  <c r="D75" i="22"/>
  <c r="D70" i="22"/>
  <c r="D69" i="22"/>
  <c r="G14" i="22"/>
  <c r="P43" i="22"/>
  <c r="C87" i="22"/>
  <c r="G55" i="22"/>
  <c r="G56" i="22"/>
  <c r="P32" i="22"/>
  <c r="G71" i="22"/>
  <c r="D76" i="22"/>
  <c r="G53" i="22"/>
  <c r="D74" i="22"/>
  <c r="C121" i="22"/>
  <c r="P41" i="22"/>
  <c r="P35" i="22"/>
  <c r="D72" i="22"/>
  <c r="G15" i="22"/>
  <c r="P34" i="22"/>
  <c r="G28" i="22"/>
  <c r="G32" i="22"/>
  <c r="G52" i="22"/>
  <c r="G69" i="22"/>
  <c r="C115" i="22"/>
  <c r="G63" i="22"/>
  <c r="P42" i="22"/>
  <c r="G35" i="22"/>
  <c r="G72" i="22"/>
  <c r="D77" i="22"/>
  <c r="G61" i="22"/>
  <c r="P37" i="22"/>
  <c r="G51" i="22"/>
  <c r="G73" i="22"/>
  <c r="G48" i="22"/>
  <c r="G49" i="47" s="1"/>
  <c r="G48" i="47" s="1"/>
  <c r="G76" i="22"/>
  <c r="G23" i="22"/>
  <c r="P33" i="22"/>
  <c r="G59" i="22"/>
  <c r="P38" i="22"/>
  <c r="D73" i="22"/>
  <c r="G38" i="22"/>
  <c r="P36" i="22"/>
  <c r="D71" i="22"/>
  <c r="D78" i="22"/>
  <c r="G12" i="22"/>
  <c r="P39" i="22"/>
  <c r="P40" i="22"/>
  <c r="G36" i="22"/>
  <c r="G74" i="22"/>
  <c r="G77" i="22"/>
  <c r="C102" i="22"/>
  <c r="C91" i="22"/>
  <c r="C96" i="22" s="1"/>
  <c r="G45" i="22"/>
  <c r="G66" i="22"/>
  <c r="G78" i="22"/>
  <c r="C106" i="22" l="1"/>
  <c r="C109" i="22"/>
  <c r="G79" i="47"/>
  <c r="G84" i="47"/>
  <c r="B104" i="47" l="1"/>
  <c r="B103" i="47"/>
  <c r="B105" i="47" s="1"/>
  <c r="B99" i="47"/>
  <c r="B98" i="47"/>
  <c r="B100" i="47" s="1"/>
  <c r="G85" i="47"/>
  <c r="G86" i="47"/>
  <c r="H86" i="47" s="1"/>
  <c r="I86" i="47" s="1"/>
  <c r="J86" i="47" s="1"/>
  <c r="K86" i="47" s="1"/>
  <c r="L86" i="47" s="1"/>
  <c r="M86" i="47" s="1"/>
  <c r="N86" i="47" s="1"/>
  <c r="O86" i="47" s="1"/>
  <c r="P86" i="47" s="1"/>
  <c r="Q86" i="47" s="1"/>
  <c r="R86" i="47" s="1"/>
  <c r="S86" i="47" s="1"/>
  <c r="T86" i="47" s="1"/>
  <c r="U86" i="47" s="1"/>
  <c r="V86" i="47" s="1"/>
  <c r="G80" i="47"/>
  <c r="G81" i="47"/>
  <c r="H81" i="47" s="1"/>
  <c r="I81" i="47" s="1"/>
  <c r="J81" i="47" s="1"/>
  <c r="K81" i="47" s="1"/>
  <c r="L81" i="47" s="1"/>
  <c r="M81" i="47" s="1"/>
  <c r="N81" i="47" s="1"/>
  <c r="O81" i="47" s="1"/>
  <c r="P81" i="47" s="1"/>
  <c r="Q81" i="47" s="1"/>
  <c r="R81" i="47" s="1"/>
  <c r="S81" i="47" s="1"/>
  <c r="T81" i="47" s="1"/>
  <c r="U81" i="47" s="1"/>
  <c r="V81" i="47" s="1"/>
  <c r="F92" i="52" l="1"/>
  <c r="E92" i="52" s="1"/>
  <c r="F93" i="52" l="1"/>
  <c r="E93" i="52" s="1"/>
</calcChain>
</file>

<file path=xl/comments1.xml><?xml version="1.0" encoding="utf-8"?>
<comments xmlns="http://schemas.openxmlformats.org/spreadsheetml/2006/main">
  <authors>
    <author>Cepea</author>
  </authors>
  <commentList>
    <comment ref="M6" authorId="0">
      <text>
        <r>
          <rPr>
            <b/>
            <sz val="9"/>
            <color indexed="81"/>
            <rFont val="Tahoma"/>
            <family val="2"/>
          </rPr>
          <t xml:space="preserve">Cepea:
</t>
        </r>
        <r>
          <rPr>
            <sz val="9"/>
            <color indexed="81"/>
            <rFont val="Tahoma"/>
            <family val="2"/>
          </rPr>
          <t xml:space="preserve">
Preencher de acordo com o tipo de arrendamento:</t>
        </r>
        <r>
          <rPr>
            <b/>
            <sz val="9"/>
            <color indexed="81"/>
            <rFont val="Tahoma"/>
            <family val="2"/>
          </rPr>
          <t xml:space="preserve">
Se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Tahoma"/>
            <family val="2"/>
          </rPr>
          <t xml:space="preserve">Pecuária = </t>
        </r>
        <r>
          <rPr>
            <sz val="9"/>
            <color indexed="81"/>
            <rFont val="Tahoma"/>
            <family val="2"/>
          </rPr>
          <t xml:space="preserve">Colocar o valor por cabeça/mês/hectare em "R$/Unidade" e o período em "meses" de arrendamento (Se for anual, colocar "12 meses"). A lotação em cabeças é calculada a partir do preenchimento da Aba "Rebanho"
</t>
        </r>
        <r>
          <rPr>
            <b/>
            <sz val="9"/>
            <color indexed="81"/>
            <rFont val="Tahoma"/>
            <family val="2"/>
          </rPr>
          <t xml:space="preserve">Se Soja/Milho = </t>
        </r>
        <r>
          <rPr>
            <sz val="9"/>
            <color indexed="81"/>
            <rFont val="Tahoma"/>
            <family val="2"/>
          </rPr>
          <t>Colocar o valor da saca de mercado na região em "R$/unidade" e o número de sacas do valor do arrendamento por hectare em "N</t>
        </r>
        <r>
          <rPr>
            <sz val="9"/>
            <color indexed="81"/>
            <rFont val="Arial"/>
            <family val="2"/>
          </rPr>
          <t>°</t>
        </r>
        <r>
          <rPr>
            <sz val="9"/>
            <color indexed="81"/>
            <rFont val="Tahoma"/>
            <family val="2"/>
          </rPr>
          <t xml:space="preserve"> de unidades"
</t>
        </r>
        <r>
          <rPr>
            <b/>
            <sz val="9"/>
            <color indexed="81"/>
            <rFont val="Tahoma"/>
            <family val="2"/>
          </rPr>
          <t>Se Cana ou Outros =</t>
        </r>
        <r>
          <rPr>
            <sz val="9"/>
            <color indexed="81"/>
            <rFont val="Tahoma"/>
            <family val="2"/>
          </rPr>
          <t xml:space="preserve"> Colocar o valor total por hectare/ano em "R$/unidade"
</t>
        </r>
        <r>
          <rPr>
            <b/>
            <sz val="9"/>
            <color indexed="81"/>
            <rFont val="Tahoma"/>
            <family val="2"/>
          </rPr>
          <t>Colocar em todos o período por ano de arrendamento (meses).</t>
        </r>
      </text>
    </comment>
    <comment ref="P6" authorId="0">
      <text>
        <r>
          <rPr>
            <b/>
            <sz val="9"/>
            <color indexed="81"/>
            <rFont val="Tahoma"/>
            <family val="2"/>
          </rPr>
          <t>Cepea:</t>
        </r>
        <r>
          <rPr>
            <sz val="9"/>
            <color indexed="81"/>
            <rFont val="Tahoma"/>
            <family val="2"/>
          </rPr>
          <t xml:space="preserve">
Preencher os campos de acordo com os valores de venda da terra na região. Se não houver valor para um determinado "descrição" </t>
        </r>
        <r>
          <rPr>
            <b/>
            <sz val="9"/>
            <color indexed="81"/>
            <rFont val="Tahoma"/>
            <family val="2"/>
          </rPr>
          <t>deixar em branco.</t>
        </r>
        <r>
          <rPr>
            <sz val="9"/>
            <color indexed="81"/>
            <rFont val="Tahoma"/>
            <family val="2"/>
          </rPr>
          <t xml:space="preserve"> O cálculo será feito a partir da média desses valores na ausência de algum valor.</t>
        </r>
      </text>
    </comment>
  </commentList>
</comments>
</file>

<file path=xl/comments2.xml><?xml version="1.0" encoding="utf-8"?>
<comments xmlns="http://schemas.openxmlformats.org/spreadsheetml/2006/main">
  <authors>
    <author>Cepea</author>
    <author>Marcia</author>
    <author>Daniel</author>
  </authors>
  <commentList>
    <comment ref="H6" authorId="0">
      <text>
        <r>
          <rPr>
            <b/>
            <sz val="9"/>
            <color indexed="81"/>
            <rFont val="Tahoma"/>
            <family val="2"/>
          </rPr>
          <t>Cepea:</t>
        </r>
        <r>
          <rPr>
            <sz val="9"/>
            <color indexed="81"/>
            <rFont val="Tahoma"/>
            <family val="2"/>
          </rPr>
          <t xml:space="preserve">
Se produção de leite então G7/G8; se produção de corte então digitar número de vacas</t>
        </r>
      </text>
    </comment>
    <comment ref="C15" authorId="1">
      <text>
        <r>
          <rPr>
            <b/>
            <sz val="8"/>
            <color indexed="81"/>
            <rFont val="Tahoma"/>
            <family val="2"/>
          </rPr>
          <t xml:space="preserve">Cepea:
</t>
        </r>
        <r>
          <rPr>
            <sz val="8"/>
            <color indexed="81"/>
            <rFont val="Tahoma"/>
            <family val="2"/>
          </rPr>
          <t>Multíparas: não considera as novilhas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16" authorId="1">
      <text>
        <r>
          <rPr>
            <b/>
            <sz val="8"/>
            <color indexed="81"/>
            <rFont val="Tahoma"/>
            <family val="2"/>
          </rPr>
          <t>Cepea:</t>
        </r>
        <r>
          <rPr>
            <sz val="8"/>
            <color indexed="81"/>
            <rFont val="Tahoma"/>
            <family val="2"/>
          </rPr>
          <t xml:space="preserve">
Matrizes: é a soma das vacas solteiras + parídas + novilhas na reprodução</t>
        </r>
      </text>
    </comment>
    <comment ref="K25" authorId="2">
      <text>
        <r>
          <rPr>
            <b/>
            <sz val="9"/>
            <color indexed="81"/>
            <rFont val="Tahoma"/>
            <family val="2"/>
          </rPr>
          <t>Cepea:</t>
        </r>
        <r>
          <rPr>
            <sz val="9"/>
            <color indexed="81"/>
            <rFont val="Tahoma"/>
            <family val="2"/>
          </rPr>
          <t xml:space="preserve">
Ao passar as fêmeas para a categoria de engorda, é considerado que a categoria passou com o peso inicial.</t>
        </r>
      </text>
    </comment>
    <comment ref="R46" authorId="2">
      <text>
        <r>
          <rPr>
            <b/>
            <sz val="9"/>
            <color indexed="81"/>
            <rFont val="Tahoma"/>
            <family val="2"/>
          </rPr>
          <t>Cepea:</t>
        </r>
        <r>
          <rPr>
            <sz val="9"/>
            <color indexed="81"/>
            <rFont val="Tahoma"/>
            <family val="2"/>
          </rPr>
          <t xml:space="preserve">
Valor ponderado pelo total de cabeças ponderada.</t>
        </r>
      </text>
    </comment>
    <comment ref="U46" authorId="0">
      <text>
        <r>
          <rPr>
            <b/>
            <sz val="9"/>
            <color indexed="81"/>
            <rFont val="Tahoma"/>
            <family val="2"/>
          </rPr>
          <t>Cepea:</t>
        </r>
        <r>
          <rPr>
            <sz val="9"/>
            <color indexed="81"/>
            <rFont val="Tahoma"/>
            <family val="2"/>
          </rPr>
          <t xml:space="preserve">
Base para o Cálculo de @ Produzidas da Propriedade
</t>
        </r>
      </text>
    </comment>
    <comment ref="X46" authorId="0">
      <text>
        <r>
          <rPr>
            <b/>
            <sz val="9"/>
            <color indexed="81"/>
            <rFont val="Tahoma"/>
            <family val="2"/>
          </rPr>
          <t xml:space="preserve">Cepea:
RESULTADO USADO EM @ PRODUZIDAS DA PROPRIEDADE
</t>
        </r>
        <r>
          <rPr>
            <sz val="9"/>
            <color indexed="81"/>
            <rFont val="Tahoma"/>
            <family val="2"/>
          </rPr>
          <t xml:space="preserve">
Neste cálculo considerou-se as arrobas produzidas por cada categoria do animal. Mesmo com a sua mortalidade em categorias conseguintes, o seu ganho de peso nas categorias anteriores continua sendo considerado.
Resultado técnico da propriedade.</t>
        </r>
      </text>
    </comment>
    <comment ref="Y46" authorId="0">
      <text>
        <r>
          <rPr>
            <b/>
            <sz val="9"/>
            <color indexed="81"/>
            <rFont val="Tahoma"/>
            <family val="2"/>
          </rPr>
          <t>Cepea:</t>
        </r>
        <r>
          <rPr>
            <sz val="9"/>
            <color indexed="81"/>
            <rFont val="Tahoma"/>
            <family val="2"/>
          </rPr>
          <t xml:space="preserve">
Neste cálculo consideram-se o número de arrobas produzidas, descontando-se o ganho de peso da mortalidade do animal em suas categorias anteriores.
Com a finalidade de verificar a quantidade de ganho de peso efetivo para a ponderação dos custos.</t>
        </r>
      </text>
    </comment>
    <comment ref="U48" authorId="0">
      <text>
        <r>
          <rPr>
            <b/>
            <sz val="9"/>
            <color indexed="81"/>
            <rFont val="Tahoma"/>
            <family val="2"/>
          </rPr>
          <t>Cepea:</t>
        </r>
        <r>
          <rPr>
            <sz val="9"/>
            <color indexed="81"/>
            <rFont val="Tahoma"/>
            <family val="2"/>
          </rPr>
          <t xml:space="preserve">
O peso do bezerro nascido vai para o "kg de peso vivo produzidos" da mesma categoria de bezerro. Ou seja, um bezerro de 35kg PV de nascença, terá produzido 35kg de PV.</t>
        </r>
      </text>
    </comment>
    <comment ref="V48" authorId="0">
      <text>
        <r>
          <rPr>
            <b/>
            <sz val="9"/>
            <color indexed="81"/>
            <rFont val="Tahoma"/>
            <family val="2"/>
          </rPr>
          <t>Cepea:</t>
        </r>
        <r>
          <rPr>
            <sz val="9"/>
            <color indexed="81"/>
            <rFont val="Tahoma"/>
            <family val="2"/>
          </rPr>
          <t xml:space="preserve">
O peso do bezerro nascido vai para o "kg de peso vivo produzidos" da mesma categoria de bezerro. Ou seja, um bezerro de 35kg PV de nascença, terá produzido 35kg de PV.</t>
        </r>
      </text>
    </comment>
    <comment ref="G53" authorId="0">
      <text>
        <r>
          <rPr>
            <b/>
            <sz val="9"/>
            <color indexed="81"/>
            <rFont val="Tahoma"/>
            <family val="2"/>
          </rPr>
          <t>Cepea:</t>
        </r>
        <r>
          <rPr>
            <sz val="9"/>
            <color indexed="81"/>
            <rFont val="Tahoma"/>
            <family val="2"/>
          </rPr>
          <t xml:space="preserve">
Valor da @</t>
        </r>
      </text>
    </comment>
    <comment ref="K53" authorId="0">
      <text>
        <r>
          <rPr>
            <b/>
            <sz val="9"/>
            <color indexed="81"/>
            <rFont val="Tahoma"/>
            <family val="2"/>
          </rPr>
          <t>Cepea:</t>
        </r>
        <r>
          <rPr>
            <sz val="9"/>
            <color indexed="81"/>
            <rFont val="Tahoma"/>
            <family val="2"/>
          </rPr>
          <t xml:space="preserve">
Ao passar as fêmeas para a categoria de engorda, é considerado que a categoria passou com o peso inicial.</t>
        </r>
      </text>
    </comment>
    <comment ref="G54" authorId="0">
      <text>
        <r>
          <rPr>
            <b/>
            <sz val="9"/>
            <color indexed="81"/>
            <rFont val="Tahoma"/>
            <family val="2"/>
          </rPr>
          <t>Cepea:</t>
        </r>
        <r>
          <rPr>
            <sz val="9"/>
            <color indexed="81"/>
            <rFont val="Tahoma"/>
            <family val="2"/>
          </rPr>
          <t xml:space="preserve">
Valor da @</t>
        </r>
      </text>
    </comment>
    <comment ref="U54" authorId="0">
      <text>
        <r>
          <rPr>
            <b/>
            <sz val="9"/>
            <color indexed="81"/>
            <rFont val="Tahoma"/>
            <family val="2"/>
          </rPr>
          <t>Cepea:</t>
        </r>
        <r>
          <rPr>
            <sz val="9"/>
            <color indexed="81"/>
            <rFont val="Tahoma"/>
            <family val="2"/>
          </rPr>
          <t xml:space="preserve">
O peso do bezerro nascido vai para o "kg de peso vivo produzidos" da mesma categoria de bezerro. Ou seja, um bezerro de 35kg PV de nascença, terá produzido 35kg de PV.</t>
        </r>
      </text>
    </comment>
    <comment ref="V54" authorId="0">
      <text>
        <r>
          <rPr>
            <b/>
            <sz val="9"/>
            <color indexed="81"/>
            <rFont val="Tahoma"/>
            <family val="2"/>
          </rPr>
          <t>Cepea:</t>
        </r>
        <r>
          <rPr>
            <sz val="9"/>
            <color indexed="81"/>
            <rFont val="Tahoma"/>
            <family val="2"/>
          </rPr>
          <t xml:space="preserve">
O peso do bezerro nascido vai para o "kg de peso vivo produzidos" da mesma categoria de bezerro. Ou seja, um bezerro de 35kg PV de nascença, terá produzido 35kg de PV.</t>
        </r>
      </text>
    </comment>
    <comment ref="G59" authorId="0">
      <text>
        <r>
          <rPr>
            <b/>
            <sz val="9"/>
            <color indexed="81"/>
            <rFont val="Tahoma"/>
            <family val="2"/>
          </rPr>
          <t>Cepea:</t>
        </r>
        <r>
          <rPr>
            <sz val="9"/>
            <color indexed="81"/>
            <rFont val="Tahoma"/>
            <family val="2"/>
          </rPr>
          <t xml:space="preserve">
Valor da @</t>
        </r>
      </text>
    </comment>
    <comment ref="V59" authorId="0">
      <text>
        <r>
          <rPr>
            <b/>
            <sz val="9"/>
            <color indexed="81"/>
            <rFont val="Tahoma"/>
            <family val="2"/>
          </rPr>
          <t>Cepea:</t>
        </r>
        <r>
          <rPr>
            <sz val="9"/>
            <color indexed="81"/>
            <rFont val="Tahoma"/>
            <family val="2"/>
          </rPr>
          <t xml:space="preserve">
VACAS - não consideram a categoria anterior para soma... </t>
        </r>
        <r>
          <rPr>
            <b/>
            <sz val="9"/>
            <color indexed="81"/>
            <rFont val="Tahoma"/>
            <family val="2"/>
          </rPr>
          <t>Somente elas mesmas - não é considerado a tx de mortalidade neste ponto - somente o descarte!!!!!</t>
        </r>
      </text>
    </comment>
    <comment ref="G60" authorId="0">
      <text>
        <r>
          <rPr>
            <b/>
            <sz val="9"/>
            <color indexed="81"/>
            <rFont val="Tahoma"/>
            <family val="2"/>
          </rPr>
          <t>Cepea:</t>
        </r>
        <r>
          <rPr>
            <sz val="9"/>
            <color indexed="81"/>
            <rFont val="Tahoma"/>
            <family val="2"/>
          </rPr>
          <t xml:space="preserve">
Valor da @</t>
        </r>
      </text>
    </comment>
    <comment ref="V60" authorId="0">
      <text>
        <r>
          <rPr>
            <b/>
            <sz val="9"/>
            <color indexed="81"/>
            <rFont val="Tahoma"/>
            <family val="2"/>
          </rPr>
          <t>Cepea:</t>
        </r>
        <r>
          <rPr>
            <sz val="9"/>
            <color indexed="81"/>
            <rFont val="Tahoma"/>
            <family val="2"/>
          </rPr>
          <t xml:space="preserve">
VACAS - não consideram a categoria anterior para soma... </t>
        </r>
        <r>
          <rPr>
            <b/>
            <sz val="9"/>
            <color indexed="81"/>
            <rFont val="Tahoma"/>
            <family val="2"/>
          </rPr>
          <t>Somente elas mesmas - não é considerado a tx de mortalidade neste ponto - somente o descarte!!!!!</t>
        </r>
      </text>
    </comment>
    <comment ref="G61" authorId="0">
      <text>
        <r>
          <rPr>
            <b/>
            <sz val="9"/>
            <color indexed="81"/>
            <rFont val="Tahoma"/>
            <family val="2"/>
          </rPr>
          <t>Cepea:</t>
        </r>
        <r>
          <rPr>
            <sz val="9"/>
            <color indexed="81"/>
            <rFont val="Tahoma"/>
            <family val="2"/>
          </rPr>
          <t xml:space="preserve">
Valor da @</t>
        </r>
      </text>
    </comment>
    <comment ref="AT63" authorId="2">
      <text>
        <r>
          <rPr>
            <b/>
            <sz val="9"/>
            <color indexed="81"/>
            <rFont val="Tahoma"/>
            <family val="2"/>
          </rPr>
          <t xml:space="preserve">Cepea:
TOTAL PONDERADO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5" authorId="0">
      <text>
        <r>
          <rPr>
            <b/>
            <sz val="9"/>
            <color indexed="81"/>
            <rFont val="Tahoma"/>
            <family val="2"/>
          </rPr>
          <t>Cepea:</t>
        </r>
        <r>
          <rPr>
            <sz val="9"/>
            <color indexed="81"/>
            <rFont val="Tahoma"/>
            <family val="2"/>
          </rPr>
          <t xml:space="preserve">
Valor da @</t>
        </r>
      </text>
    </comment>
    <comment ref="B88" authorId="2">
      <text>
        <r>
          <rPr>
            <b/>
            <sz val="9"/>
            <color indexed="81"/>
            <rFont val="Tahoma"/>
            <family val="2"/>
          </rPr>
          <t>Cepea:</t>
        </r>
        <r>
          <rPr>
            <sz val="9"/>
            <color indexed="81"/>
            <rFont val="Tahoma"/>
            <family val="2"/>
          </rPr>
          <t xml:space="preserve">
Não alterar a categoria de animal da caixa, cálculo automático da venda de Touro anual.</t>
        </r>
      </text>
    </comment>
    <comment ref="B89" authorId="2">
      <text>
        <r>
          <rPr>
            <b/>
            <sz val="9"/>
            <color indexed="81"/>
            <rFont val="Tahoma"/>
            <family val="2"/>
          </rPr>
          <t>Cepea:</t>
        </r>
        <r>
          <rPr>
            <sz val="9"/>
            <color indexed="81"/>
            <rFont val="Tahoma"/>
            <family val="2"/>
          </rPr>
          <t xml:space="preserve">
Não alterar a categoria de animal da caixa, cálculo automático do descarte de vacas. (Vacas paridas/solteiras)</t>
        </r>
      </text>
    </comment>
  </commentList>
</comments>
</file>

<file path=xl/comments3.xml><?xml version="1.0" encoding="utf-8"?>
<comments xmlns="http://schemas.openxmlformats.org/spreadsheetml/2006/main">
  <authors>
    <author>Cepea</author>
  </authors>
  <commentList>
    <comment ref="C9" authorId="0">
      <text>
        <r>
          <rPr>
            <b/>
            <sz val="9"/>
            <color indexed="81"/>
            <rFont val="Tahoma"/>
            <family val="2"/>
          </rPr>
          <t>Cepea:</t>
        </r>
        <r>
          <rPr>
            <sz val="9"/>
            <color indexed="81"/>
            <rFont val="Tahoma"/>
            <family val="2"/>
          </rPr>
          <t xml:space="preserve">
Se=1, então cultura anual (milho, sorgo…), Se=2; então cultura perene (cana, café…)</t>
        </r>
      </text>
    </comment>
  </commentList>
</comments>
</file>

<file path=xl/comments4.xml><?xml version="1.0" encoding="utf-8"?>
<comments xmlns="http://schemas.openxmlformats.org/spreadsheetml/2006/main">
  <authors>
    <author>Cepea</author>
  </authors>
  <commentList>
    <comment ref="C9" authorId="0">
      <text>
        <r>
          <rPr>
            <b/>
            <sz val="9"/>
            <color indexed="81"/>
            <rFont val="Tahoma"/>
            <family val="2"/>
          </rPr>
          <t>Cepea:</t>
        </r>
        <r>
          <rPr>
            <sz val="9"/>
            <color indexed="81"/>
            <rFont val="Tahoma"/>
            <family val="2"/>
          </rPr>
          <t xml:space="preserve">
Se=1, então cultura anual (milho, sorgo…), Se=2; então cultura perene (cana, café…)</t>
        </r>
      </text>
    </comment>
  </commentList>
</comments>
</file>

<file path=xl/comments5.xml><?xml version="1.0" encoding="utf-8"?>
<comments xmlns="http://schemas.openxmlformats.org/spreadsheetml/2006/main">
  <authors>
    <author>Cepea</author>
    <author>Marcia</author>
  </authors>
  <commentList>
    <comment ref="D9" authorId="0">
      <text>
        <r>
          <rPr>
            <b/>
            <sz val="9"/>
            <color indexed="81"/>
            <rFont val="Tahoma"/>
            <family val="2"/>
          </rPr>
          <t>Cepea:</t>
        </r>
        <r>
          <rPr>
            <sz val="9"/>
            <color indexed="81"/>
            <rFont val="Tahoma"/>
            <family val="2"/>
          </rPr>
          <t xml:space="preserve">
Se diarista, considerar neste campo o número de diárias que seriam utilizadas ao longo do ano.
Se tiver a necessidade de separar o número de diaristas, considerar uma nova "contratação" de diarista.</t>
        </r>
      </text>
    </comment>
    <comment ref="E9" authorId="0">
      <text>
        <r>
          <rPr>
            <b/>
            <sz val="9"/>
            <color indexed="81"/>
            <rFont val="Tahoma"/>
            <family val="2"/>
          </rPr>
          <t>Cepea:</t>
        </r>
        <r>
          <rPr>
            <sz val="9"/>
            <color indexed="81"/>
            <rFont val="Tahoma"/>
            <family val="2"/>
          </rPr>
          <t xml:space="preserve">
Se diarista considerar neste campo o valor de cada diária</t>
        </r>
      </text>
    </comment>
    <comment ref="D39" authorId="1">
      <text>
        <r>
          <rPr>
            <b/>
            <sz val="8"/>
            <color indexed="81"/>
            <rFont val="Tahoma"/>
            <family val="2"/>
          </rPr>
          <t>Cepea:</t>
        </r>
        <r>
          <rPr>
            <sz val="8"/>
            <color indexed="81"/>
            <rFont val="Tahoma"/>
            <family val="2"/>
          </rPr>
          <t xml:space="preserve">
Final de semana (1,5 dias parado/F.S) + Feriados</t>
        </r>
      </text>
    </comment>
  </commentList>
</comments>
</file>

<file path=xl/comments6.xml><?xml version="1.0" encoding="utf-8"?>
<comments xmlns="http://schemas.openxmlformats.org/spreadsheetml/2006/main">
  <authors>
    <author>Daniel</author>
  </authors>
  <commentList>
    <comment ref="U5" authorId="0">
      <text>
        <r>
          <rPr>
            <b/>
            <sz val="9"/>
            <color indexed="81"/>
            <rFont val="Tahoma"/>
            <family val="2"/>
          </rPr>
          <t>Cepea:</t>
        </r>
        <r>
          <rPr>
            <sz val="9"/>
            <color indexed="81"/>
            <rFont val="Tahoma"/>
            <family val="2"/>
          </rPr>
          <t xml:space="preserve">
Caso haja consumo de Proteínado inserir o número de meses ano que o mesmo é consumido.</t>
        </r>
      </text>
    </comment>
    <comment ref="V5" authorId="0">
      <text>
        <r>
          <rPr>
            <b/>
            <sz val="9"/>
            <color indexed="81"/>
            <rFont val="Tahoma"/>
            <family val="2"/>
          </rPr>
          <t>Cepea:</t>
        </r>
        <r>
          <rPr>
            <sz val="9"/>
            <color indexed="81"/>
            <rFont val="Tahoma"/>
            <family val="2"/>
          </rPr>
          <t xml:space="preserve">
Resultado correlacionado com o tempo de permanência da categoria do animal.</t>
        </r>
      </text>
    </comment>
    <comment ref="W5" authorId="0">
      <text>
        <r>
          <rPr>
            <b/>
            <sz val="9"/>
            <color indexed="81"/>
            <rFont val="Tahoma"/>
            <family val="2"/>
          </rPr>
          <t>Cepea:</t>
        </r>
        <r>
          <rPr>
            <sz val="9"/>
            <color indexed="81"/>
            <rFont val="Tahoma"/>
            <family val="2"/>
          </rPr>
          <t xml:space="preserve">
Resultado correlacionado com o tempo de permanência da categoria do animal.</t>
        </r>
      </text>
    </comment>
  </commentList>
</comments>
</file>

<file path=xl/sharedStrings.xml><?xml version="1.0" encoding="utf-8"?>
<sst xmlns="http://schemas.openxmlformats.org/spreadsheetml/2006/main" count="3814" uniqueCount="1967">
  <si>
    <t>Quantidade</t>
  </si>
  <si>
    <t>Vida Útil</t>
  </si>
  <si>
    <t>Total</t>
  </si>
  <si>
    <t>Área reserva</t>
  </si>
  <si>
    <t>Ivermectina</t>
  </si>
  <si>
    <t>Tx de desfrute</t>
  </si>
  <si>
    <t>Gasolina</t>
  </si>
  <si>
    <t>Peso médio</t>
  </si>
  <si>
    <t>Energia</t>
  </si>
  <si>
    <t>Telefone</t>
  </si>
  <si>
    <t>Animais de Trabalho</t>
  </si>
  <si>
    <t>ITR</t>
  </si>
  <si>
    <t>Bezerros</t>
  </si>
  <si>
    <t>Bezerras</t>
  </si>
  <si>
    <t>Construções - Benfeitorias</t>
  </si>
  <si>
    <t>Valor total</t>
  </si>
  <si>
    <t>Casa para funcionário</t>
  </si>
  <si>
    <t>Casa sede (escritório)</t>
  </si>
  <si>
    <t>Galpão</t>
  </si>
  <si>
    <t>Represas</t>
  </si>
  <si>
    <t>Cerca convencional</t>
  </si>
  <si>
    <t>Bebedouros</t>
  </si>
  <si>
    <t>Máquinas</t>
  </si>
  <si>
    <t>Especificação</t>
  </si>
  <si>
    <t>Implementos</t>
  </si>
  <si>
    <t>Grade Pesada</t>
  </si>
  <si>
    <t>Grade intermediária</t>
  </si>
  <si>
    <t>Grade niveladora</t>
  </si>
  <si>
    <t>Vicon</t>
  </si>
  <si>
    <t>Carreta</t>
  </si>
  <si>
    <t>Roçadeira</t>
  </si>
  <si>
    <t>Lâmina</t>
  </si>
  <si>
    <t>Equipamentos</t>
  </si>
  <si>
    <t>Geradores</t>
  </si>
  <si>
    <t>Transformadores</t>
  </si>
  <si>
    <t>Fiação, Instalação_Rede</t>
  </si>
  <si>
    <t>Bombas</t>
  </si>
  <si>
    <t>Ferramentas em  geral</t>
  </si>
  <si>
    <t>Motosserra</t>
  </si>
  <si>
    <t>Operação</t>
  </si>
  <si>
    <t>Máquina</t>
  </si>
  <si>
    <t>Implemento</t>
  </si>
  <si>
    <t>Unidade</t>
  </si>
  <si>
    <t>Dose</t>
  </si>
  <si>
    <t>unidade</t>
  </si>
  <si>
    <t>Administrador</t>
  </si>
  <si>
    <t>Agrônomo</t>
  </si>
  <si>
    <t xml:space="preserve">Veterinário </t>
  </si>
  <si>
    <t>Téc agrícola</t>
  </si>
  <si>
    <t>Mecânico</t>
  </si>
  <si>
    <t>Contabilidade</t>
  </si>
  <si>
    <t>Envio Postal</t>
  </si>
  <si>
    <t>Anual</t>
  </si>
  <si>
    <t>Categoria</t>
  </si>
  <si>
    <t>Funrural</t>
  </si>
  <si>
    <t>Arado</t>
  </si>
  <si>
    <t>Poço semi artesiano</t>
  </si>
  <si>
    <t>Link</t>
  </si>
  <si>
    <t>Tanque</t>
  </si>
  <si>
    <t>Distribuidor de calcáreo</t>
  </si>
  <si>
    <t>Terraceador</t>
  </si>
  <si>
    <t>Roda d'água</t>
  </si>
  <si>
    <t>Encanamento</t>
  </si>
  <si>
    <t>Carroças</t>
  </si>
  <si>
    <t>RECEITA</t>
  </si>
  <si>
    <t>C.N.A.</t>
  </si>
  <si>
    <t>Sindicato Rural</t>
  </si>
  <si>
    <t>Porteira</t>
  </si>
  <si>
    <t>Estrada</t>
  </si>
  <si>
    <t>GTA e Guia</t>
  </si>
  <si>
    <t>Polivalente</t>
  </si>
  <si>
    <t>Tratorista</t>
  </si>
  <si>
    <t>Blitz</t>
  </si>
  <si>
    <t>ENERGIA</t>
  </si>
  <si>
    <t>SUPLEMENTAÇÃO</t>
  </si>
  <si>
    <t>Valor Total</t>
  </si>
  <si>
    <t>Antibióticos</t>
  </si>
  <si>
    <t>TOTAL</t>
  </si>
  <si>
    <t>Cobertura</t>
  </si>
  <si>
    <t>Produto</t>
  </si>
  <si>
    <t>Fim</t>
  </si>
  <si>
    <t>Inoculante</t>
  </si>
  <si>
    <t>SEMENTE</t>
  </si>
  <si>
    <t>Plantio do Milho safra</t>
  </si>
  <si>
    <t>Plantio do Milho safrinha</t>
  </si>
  <si>
    <t>Plantio da Aveia</t>
  </si>
  <si>
    <t>Plantio da Soja</t>
  </si>
  <si>
    <t>Plantio do Capim</t>
  </si>
  <si>
    <t>OPERAÇÃO</t>
  </si>
  <si>
    <t>ADUBOS E CORRETIVOS</t>
  </si>
  <si>
    <t>Pré-plantio</t>
  </si>
  <si>
    <t>Foliar</t>
  </si>
  <si>
    <t>Agimix</t>
  </si>
  <si>
    <t>Alaclor + Atrazina SC Nortox</t>
  </si>
  <si>
    <t>Alaclor Nortox</t>
  </si>
  <si>
    <t>Atranex 500</t>
  </si>
  <si>
    <t>Atrazimex</t>
  </si>
  <si>
    <t>Atrazina Atanor 50</t>
  </si>
  <si>
    <t>Boxer</t>
  </si>
  <si>
    <t>Capri</t>
  </si>
  <si>
    <t>Equip Plus</t>
  </si>
  <si>
    <t>Gesapax 500 Ciba-Geigy</t>
  </si>
  <si>
    <t>Herbimix SC</t>
  </si>
  <si>
    <t>Herbitrin</t>
  </si>
  <si>
    <t>Kadett CE</t>
  </si>
  <si>
    <t>Laço CE</t>
  </si>
  <si>
    <t>Nicosulfuron Nortox 40 SC</t>
  </si>
  <si>
    <t>Posmil</t>
  </si>
  <si>
    <t>Primatop SC</t>
  </si>
  <si>
    <t>Primestra Gold</t>
  </si>
  <si>
    <t>Primoleo</t>
  </si>
  <si>
    <t>Sanson 40 SC</t>
  </si>
  <si>
    <t>Surpass</t>
  </si>
  <si>
    <t>Classic</t>
  </si>
  <si>
    <t>Cobra</t>
  </si>
  <si>
    <t>Verdict</t>
  </si>
  <si>
    <t>2,4 D</t>
  </si>
  <si>
    <t xml:space="preserve">Reglone </t>
  </si>
  <si>
    <t>Gramaxone</t>
  </si>
  <si>
    <t>Gesaprim 500 Ciba</t>
  </si>
  <si>
    <t>Round up WG</t>
  </si>
  <si>
    <t>Trifuralina</t>
  </si>
  <si>
    <t>Scepter</t>
  </si>
  <si>
    <t>Herburon</t>
  </si>
  <si>
    <t>Zapp QI</t>
  </si>
  <si>
    <t>Gamit</t>
  </si>
  <si>
    <t>Flumizin</t>
  </si>
  <si>
    <t>Envoke</t>
  </si>
  <si>
    <t>Aurora</t>
  </si>
  <si>
    <t>Finale</t>
  </si>
  <si>
    <t>Dropp</t>
  </si>
  <si>
    <t>Finish</t>
  </si>
  <si>
    <t>Round up Trop</t>
  </si>
  <si>
    <t>Spyder</t>
  </si>
  <si>
    <t>Velpar</t>
  </si>
  <si>
    <t>HERBICIDA</t>
  </si>
  <si>
    <t>INSETICIDA</t>
  </si>
  <si>
    <t>FUNGICIDA</t>
  </si>
  <si>
    <t>INSUMOS</t>
  </si>
  <si>
    <t>AG8011</t>
  </si>
  <si>
    <t>AG9020</t>
  </si>
  <si>
    <t>SARA</t>
  </si>
  <si>
    <t>AG1040</t>
  </si>
  <si>
    <t>AG1018</t>
  </si>
  <si>
    <t>Plantio do Sorgo</t>
  </si>
  <si>
    <t>AG7088</t>
  </si>
  <si>
    <t>DKB191</t>
  </si>
  <si>
    <t>DKB199</t>
  </si>
  <si>
    <t>DKB212</t>
  </si>
  <si>
    <t>DKB214</t>
  </si>
  <si>
    <t>Mombaça</t>
  </si>
  <si>
    <t>Tanzania</t>
  </si>
  <si>
    <t>Calcário Dolomítico</t>
  </si>
  <si>
    <t>Calcário Calcítico</t>
  </si>
  <si>
    <t>Gesso</t>
  </si>
  <si>
    <t>Ad. 08-30-16 + 0,5% Zn</t>
  </si>
  <si>
    <t>Ad. 30-00-16 + 0,5% Zn</t>
  </si>
  <si>
    <t>Ad. 00-18-20</t>
  </si>
  <si>
    <t>Ad. 02-18-20</t>
  </si>
  <si>
    <t>Ad. 12-06-12</t>
  </si>
  <si>
    <t>Ad. 08-28-12 + 0,3%B + 0,3%Zn</t>
  </si>
  <si>
    <t>Micronutriente (FTE BR 12)</t>
  </si>
  <si>
    <t>Uréia</t>
  </si>
  <si>
    <t>Ad. 08-28-16 + 4% Zn</t>
  </si>
  <si>
    <t>Nitrato de amônio</t>
  </si>
  <si>
    <t>Sulfato de amônio</t>
  </si>
  <si>
    <t>Ad. Foliar Manganês</t>
  </si>
  <si>
    <t>Ad. 20-00-20</t>
  </si>
  <si>
    <t>Ad. 02-20-10</t>
  </si>
  <si>
    <t>Calcário Magnesiano</t>
  </si>
  <si>
    <t>Nitrato de potássio</t>
  </si>
  <si>
    <t>Ácido Bórico</t>
  </si>
  <si>
    <t>Ad. 08-24-12</t>
  </si>
  <si>
    <t>Ad. 02-20-20</t>
  </si>
  <si>
    <t>Ad. 08-20-20</t>
  </si>
  <si>
    <t>Ad. 25-00-25</t>
  </si>
  <si>
    <t>Cloreto de potássio</t>
  </si>
  <si>
    <t>Super Simples</t>
  </si>
  <si>
    <t>Super Triplo</t>
  </si>
  <si>
    <t>Ad. 04-14-08</t>
  </si>
  <si>
    <t>Cyptrin 250 CE</t>
  </si>
  <si>
    <t>Diafuran 50</t>
  </si>
  <si>
    <t>Dimilin</t>
  </si>
  <si>
    <t>Fastac 100 SC</t>
  </si>
  <si>
    <t>Fênix</t>
  </si>
  <si>
    <t>Furadan 350 TS</t>
  </si>
  <si>
    <t>Furazin 310 TS</t>
  </si>
  <si>
    <t>Gallaxy 100 CE</t>
  </si>
  <si>
    <t>Karate 250 Zeon</t>
  </si>
  <si>
    <t>Karate 50 Zeon CS</t>
  </si>
  <si>
    <t>Laser 400 SC</t>
  </si>
  <si>
    <t>Lorsban 480 BR</t>
  </si>
  <si>
    <t>Match CE</t>
  </si>
  <si>
    <t>Ralzer 350 TS</t>
  </si>
  <si>
    <t>Tudor</t>
  </si>
  <si>
    <t>Piredan</t>
  </si>
  <si>
    <t>Pounce</t>
  </si>
  <si>
    <t>Tamaron BR</t>
  </si>
  <si>
    <t>Azodrin 400</t>
  </si>
  <si>
    <t>Lannate</t>
  </si>
  <si>
    <t>Thiodan</t>
  </si>
  <si>
    <t>Keshet</t>
  </si>
  <si>
    <t>Larvin</t>
  </si>
  <si>
    <t>Cartap</t>
  </si>
  <si>
    <t>Folisuper</t>
  </si>
  <si>
    <t>Mospilan</t>
  </si>
  <si>
    <t>Polo</t>
  </si>
  <si>
    <t>Fury 200</t>
  </si>
  <si>
    <t>Vertimec</t>
  </si>
  <si>
    <t>Fury 400</t>
  </si>
  <si>
    <t>Standak</t>
  </si>
  <si>
    <t>Nomolt</t>
  </si>
  <si>
    <t>Semevin 350 RA</t>
  </si>
  <si>
    <t>Politrin</t>
  </si>
  <si>
    <t>Bulldock</t>
  </si>
  <si>
    <t>PBROPE</t>
  </si>
  <si>
    <t>Gaúcho</t>
  </si>
  <si>
    <t>Regent 800 WG</t>
  </si>
  <si>
    <t>Maxim XL</t>
  </si>
  <si>
    <t>Futor</t>
  </si>
  <si>
    <t>Opera</t>
  </si>
  <si>
    <t>Score</t>
  </si>
  <si>
    <t>Impact</t>
  </si>
  <si>
    <t>Priori xtra</t>
  </si>
  <si>
    <t>Vitavax</t>
  </si>
  <si>
    <t>Folicur</t>
  </si>
  <si>
    <t>Stratego</t>
  </si>
  <si>
    <t>Derosal Plus</t>
  </si>
  <si>
    <t>Cercobin</t>
  </si>
  <si>
    <t>DATAS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</si>
  <si>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</si>
  <si>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</si>
  <si>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</si>
  <si>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</si>
  <si>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</si>
  <si>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</si>
  <si>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</si>
  <si>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</si>
  <si>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</si>
  <si>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</si>
  <si>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</si>
  <si>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</si>
  <si>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kg</t>
  </si>
  <si>
    <t>Ton</t>
  </si>
  <si>
    <t>Kg</t>
  </si>
  <si>
    <t>Round up</t>
  </si>
  <si>
    <t>Litros</t>
  </si>
  <si>
    <t>Colheita</t>
  </si>
  <si>
    <t>COLHEITA</t>
  </si>
  <si>
    <t>Grãos</t>
  </si>
  <si>
    <t>Espiga</t>
  </si>
  <si>
    <t>Capineira</t>
  </si>
  <si>
    <t>Ensilagem</t>
  </si>
  <si>
    <t>Lona plastica</t>
  </si>
  <si>
    <t>m2</t>
  </si>
  <si>
    <t>sc</t>
  </si>
  <si>
    <t>ha</t>
  </si>
  <si>
    <t>ARRENDAMENTO</t>
  </si>
  <si>
    <t>Área da cultura</t>
  </si>
  <si>
    <t>COMERCIALIZAÇÃO</t>
  </si>
  <si>
    <t>FETHAB</t>
  </si>
  <si>
    <t>SERVIÇO TERCEIRIZADO</t>
  </si>
  <si>
    <t>Tratamento de Semente</t>
  </si>
  <si>
    <t>Inseticida</t>
  </si>
  <si>
    <t>Fungicida</t>
  </si>
  <si>
    <t>TRATAMENTO DE SEMENTE</t>
  </si>
  <si>
    <t>Tratamento de semente</t>
  </si>
  <si>
    <t>Adubação</t>
  </si>
  <si>
    <t>Plantio</t>
  </si>
  <si>
    <t>Aplicação de Herbicida</t>
  </si>
  <si>
    <t>Aplicação de Fungicida</t>
  </si>
  <si>
    <t>Aplicação de Inseticida</t>
  </si>
  <si>
    <t>Adjuvante</t>
  </si>
  <si>
    <t>Joint Oil</t>
  </si>
  <si>
    <t>Nimbus</t>
  </si>
  <si>
    <t>Iharagen</t>
  </si>
  <si>
    <t>Oppa</t>
  </si>
  <si>
    <t>Agral</t>
  </si>
  <si>
    <t>Antiespuma</t>
  </si>
  <si>
    <t>Atrativo</t>
  </si>
  <si>
    <t>Açucar</t>
  </si>
  <si>
    <t>Imantic</t>
  </si>
  <si>
    <t>Regulador</t>
  </si>
  <si>
    <t>Pix</t>
  </si>
  <si>
    <t>Tuval</t>
  </si>
  <si>
    <t>Pix HC</t>
  </si>
  <si>
    <t>oleo mineral</t>
  </si>
  <si>
    <t>Iharol</t>
  </si>
  <si>
    <t>Atach</t>
  </si>
  <si>
    <t>Assit</t>
  </si>
  <si>
    <t>Energic</t>
  </si>
  <si>
    <t>ADJUVANTES E OUTROS</t>
  </si>
  <si>
    <t>Início</t>
  </si>
  <si>
    <t>Tanques</t>
  </si>
  <si>
    <t>Datas</t>
  </si>
  <si>
    <t>Sim</t>
  </si>
  <si>
    <t>Não</t>
  </si>
  <si>
    <t>Opção</t>
  </si>
  <si>
    <t>Valor por ha</t>
  </si>
  <si>
    <t>Receita</t>
  </si>
  <si>
    <t>Geral</t>
  </si>
  <si>
    <t>Mão-de-obra</t>
  </si>
  <si>
    <t>Vacinas</t>
  </si>
  <si>
    <t>Medicamentos em geral</t>
  </si>
  <si>
    <t>ANÁLISE ADMINISTRATIVA</t>
  </si>
  <si>
    <t>BENEFICIAMENTO</t>
  </si>
  <si>
    <t>Custo do beneficiamento</t>
  </si>
  <si>
    <t>Custo da classificação MI</t>
  </si>
  <si>
    <t>Custo da classificação ME</t>
  </si>
  <si>
    <t>ARMAZENAMENTO</t>
  </si>
  <si>
    <t>Custo do armazém</t>
  </si>
  <si>
    <t>Custo portuário</t>
  </si>
  <si>
    <t>Frete até o porto</t>
  </si>
  <si>
    <t>FRETE ATÉ O PORTO</t>
  </si>
  <si>
    <t>Soja</t>
  </si>
  <si>
    <t>Arbore State CO-MO</t>
  </si>
  <si>
    <t>litro</t>
  </si>
  <si>
    <t>Arbore CO-MO TS</t>
  </si>
  <si>
    <t>Cruiser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</si>
  <si>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</si>
  <si>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</si>
  <si>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</si>
  <si>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</si>
  <si>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</si>
  <si>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</si>
  <si>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</si>
  <si>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</si>
  <si>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</si>
  <si>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</si>
  <si>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</si>
  <si>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</si>
  <si>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Trop</t>
  </si>
  <si>
    <t>Curyon</t>
  </si>
  <si>
    <t>Engeo</t>
  </si>
  <si>
    <t>Select</t>
  </si>
  <si>
    <t>Instalação</t>
  </si>
  <si>
    <t>Valor do novo</t>
  </si>
  <si>
    <t>Tx manut</t>
  </si>
  <si>
    <t>Manut.</t>
  </si>
  <si>
    <t>Pecuária de corte</t>
  </si>
  <si>
    <t>Fibra</t>
  </si>
  <si>
    <t>Rateio do Custo</t>
  </si>
  <si>
    <t>BENFEITORIAS</t>
  </si>
  <si>
    <t>BENFEITORIAS, MAQUINAS, IMPLEMENTOS E EQUIPAMENTOS</t>
  </si>
  <si>
    <t>MÁQUINAS</t>
  </si>
  <si>
    <t>Curral</t>
  </si>
  <si>
    <t>Reservatório, poço, tubulação</t>
  </si>
  <si>
    <t>Modelo</t>
  </si>
  <si>
    <t>Potencia</t>
  </si>
  <si>
    <t>Vida Útil (horas)</t>
  </si>
  <si>
    <t>Combustível</t>
  </si>
  <si>
    <t>Pecuária de leite</t>
  </si>
  <si>
    <t>Potência</t>
  </si>
  <si>
    <t xml:space="preserve">Valor do diesel  = </t>
  </si>
  <si>
    <t>IMPLEMENTOS</t>
  </si>
  <si>
    <t>Pulverizador (montado no trator)</t>
  </si>
  <si>
    <t>Semeadora para plantio direto</t>
  </si>
  <si>
    <t>Ítem</t>
  </si>
  <si>
    <t>Subslolador</t>
  </si>
  <si>
    <t>INVENTÁRIO</t>
  </si>
  <si>
    <t>REBANHO BOVINO</t>
  </si>
  <si>
    <t>Indicadores de Produção</t>
  </si>
  <si>
    <t>Intervalo entre partos (meses)</t>
  </si>
  <si>
    <t>Idade a primeira cria (meses)</t>
  </si>
  <si>
    <t>Taxa de natalidade (matrizes)</t>
  </si>
  <si>
    <t>Taxa de natalidade (multiparas)</t>
  </si>
  <si>
    <t>Taxa de lotação em área de pasto</t>
  </si>
  <si>
    <t>Tx Rep. Desc./matrizes</t>
  </si>
  <si>
    <t>Tx Rep. Touros/ano</t>
  </si>
  <si>
    <t>Crias produzidas/vaca</t>
  </si>
  <si>
    <t>Idade total da vaca</t>
  </si>
  <si>
    <t>Peso no início</t>
  </si>
  <si>
    <t>Peso no final</t>
  </si>
  <si>
    <t>Garrotes</t>
  </si>
  <si>
    <t>Boi Gordo</t>
  </si>
  <si>
    <t>Descrição do rebanho</t>
  </si>
  <si>
    <t xml:space="preserve">Especificação </t>
  </si>
  <si>
    <t>Qtdade(kg)/categoria</t>
  </si>
  <si>
    <t>TOTAL UA</t>
  </si>
  <si>
    <t>Reprodutor</t>
  </si>
  <si>
    <t>Vaca falhada/solteira/seca</t>
  </si>
  <si>
    <t xml:space="preserve"> TOTAL ANIMAIS PRODUÇÃO</t>
  </si>
  <si>
    <t>Equinos</t>
  </si>
  <si>
    <t>Boi Magro</t>
  </si>
  <si>
    <t>Novilhas 12 a 24 meses</t>
  </si>
  <si>
    <t>Novilhas 24 a 36 meses</t>
  </si>
  <si>
    <t>Sistema de produção</t>
  </si>
  <si>
    <t>CUSTO DE PRODUÇÃO NA AGROPECUÁRIA</t>
  </si>
  <si>
    <t>Cria</t>
  </si>
  <si>
    <t>Cria-recria</t>
  </si>
  <si>
    <t>Ciclo completo</t>
  </si>
  <si>
    <t>Recria</t>
  </si>
  <si>
    <t>Engorda</t>
  </si>
  <si>
    <t>Peso Vivo</t>
  </si>
  <si>
    <t>Data do pagamento</t>
  </si>
  <si>
    <t>Horas/ha</t>
  </si>
  <si>
    <t>M.O. diarista (R$/ha)</t>
  </si>
  <si>
    <t>Insumos</t>
  </si>
  <si>
    <t>R$/Unidade</t>
  </si>
  <si>
    <t>Qtde utiliz.</t>
  </si>
  <si>
    <t>Compra anual</t>
  </si>
  <si>
    <t>Custo por ha:</t>
  </si>
  <si>
    <t>Custo total:</t>
  </si>
  <si>
    <t>Custo da hora</t>
  </si>
  <si>
    <t>Custo (hora máq.)</t>
  </si>
  <si>
    <t>Funcionário</t>
  </si>
  <si>
    <t>Outras Informações</t>
  </si>
  <si>
    <t>FGTS (%)</t>
  </si>
  <si>
    <t>INSS sobre a folha (%)</t>
  </si>
  <si>
    <t>Salário Mínimo:</t>
  </si>
  <si>
    <t>Horas de trabalho/ha</t>
  </si>
  <si>
    <t>Custo da M.O./hora</t>
  </si>
  <si>
    <t>Total M.O.</t>
  </si>
  <si>
    <t>Mês da oper.</t>
  </si>
  <si>
    <t>Mês do pgt.</t>
  </si>
  <si>
    <t>Custo op/ha</t>
  </si>
  <si>
    <t>Suplementação</t>
  </si>
  <si>
    <t>% do lote</t>
  </si>
  <si>
    <t>cabeças</t>
  </si>
  <si>
    <t>Período de cons. (meses)</t>
  </si>
  <si>
    <t>Preco</t>
  </si>
  <si>
    <t>Categoria do cons.</t>
  </si>
  <si>
    <t>Valor gasto</t>
  </si>
  <si>
    <t>Preco/kg</t>
  </si>
  <si>
    <t>R$ da M.O./hora</t>
  </si>
  <si>
    <t>Evento</t>
  </si>
  <si>
    <t>Categoria da aplic.</t>
  </si>
  <si>
    <t>SANIDADE</t>
  </si>
  <si>
    <t>dose</t>
  </si>
  <si>
    <t>Vacina Brucelose</t>
  </si>
  <si>
    <t>Vacina Febre aftosa</t>
  </si>
  <si>
    <t>Unidade de compra</t>
  </si>
  <si>
    <t>Preco (frasco/dose)</t>
  </si>
  <si>
    <t>Preco/ml ou dose</t>
  </si>
  <si>
    <t>Total kg</t>
  </si>
  <si>
    <t>Total medic.</t>
  </si>
  <si>
    <t>Horas trabalhadas</t>
  </si>
  <si>
    <t>Total Geral</t>
  </si>
  <si>
    <t>Sanidade e Identificação</t>
  </si>
  <si>
    <t>MANUTENÇÃO DE CERCAS</t>
  </si>
  <si>
    <t>Arame Farpado</t>
  </si>
  <si>
    <t>Catraca (esticadores)</t>
  </si>
  <si>
    <t>Mourão</t>
  </si>
  <si>
    <t>Palanque</t>
  </si>
  <si>
    <t>Balancin</t>
  </si>
  <si>
    <t>Preco da unidade</t>
  </si>
  <si>
    <t>Qtde utilizada</t>
  </si>
  <si>
    <t>Custos Administrativos</t>
  </si>
  <si>
    <t>Mat. p/ escritório</t>
  </si>
  <si>
    <t>Pagamento</t>
  </si>
  <si>
    <t>Elétrica</t>
  </si>
  <si>
    <t>IMPOSTOS E CONTRIBUIÇÕES</t>
  </si>
  <si>
    <t>Despesas bancárias</t>
  </si>
  <si>
    <t>Custo oper/ha</t>
  </si>
  <si>
    <t>Impostos e contribuições      (Taxa fixa)</t>
  </si>
  <si>
    <t>Fundepec</t>
  </si>
  <si>
    <t>%</t>
  </si>
  <si>
    <t>por cab.</t>
  </si>
  <si>
    <t>Data do recebimento</t>
  </si>
  <si>
    <t>Caixa dágua, tubulação, bomba</t>
  </si>
  <si>
    <t>Carro de boi</t>
  </si>
  <si>
    <t>EQUIPAMENTOS</t>
  </si>
  <si>
    <t>Pistola de vacinação</t>
  </si>
  <si>
    <t>Vacina Carbúnculo</t>
  </si>
  <si>
    <t>Abamectnina</t>
  </si>
  <si>
    <t>Cipermetrina</t>
  </si>
  <si>
    <t>Controle Parasitário</t>
  </si>
  <si>
    <t>Mata Bicheira</t>
  </si>
  <si>
    <t>frasco</t>
  </si>
  <si>
    <t>Antibiótico agrovet</t>
  </si>
  <si>
    <t>Vaqueiro (1)</t>
  </si>
  <si>
    <t>Vaqueiro (2)</t>
  </si>
  <si>
    <t>Valor/unidade</t>
  </si>
  <si>
    <t>Imposto</t>
  </si>
  <si>
    <t>Tempo de perm. P/ pond.</t>
  </si>
  <si>
    <t>Utilitários</t>
  </si>
  <si>
    <t>% da pecuária</t>
  </si>
  <si>
    <t>Custo anual</t>
  </si>
  <si>
    <t>UTILITÁRIOS</t>
  </si>
  <si>
    <t>Consumo de comb.</t>
  </si>
  <si>
    <t>Combust.</t>
  </si>
  <si>
    <t>Dias Inativos no ano</t>
  </si>
  <si>
    <t>Horas de trabalho</t>
  </si>
  <si>
    <t>MÃO-DE-OBRA</t>
  </si>
  <si>
    <t>M.O</t>
  </si>
  <si>
    <t>Horas</t>
  </si>
  <si>
    <t>Horas trabalhadas Total</t>
  </si>
  <si>
    <t>PECUÁRIA DE CORTE</t>
  </si>
  <si>
    <t>Compra de animais</t>
  </si>
  <si>
    <t>Impostos de comercialização</t>
  </si>
  <si>
    <t>Manutenção das pastagens</t>
  </si>
  <si>
    <t>Custo total</t>
  </si>
  <si>
    <t>Total M.O. por ha</t>
  </si>
  <si>
    <t>Horas em oper./ano</t>
  </si>
  <si>
    <t>Mês da operação</t>
  </si>
  <si>
    <t>Logistica p/ abastecer</t>
  </si>
  <si>
    <t>Controle Paras.</t>
  </si>
  <si>
    <t>SANIDADE e Eventos</t>
  </si>
  <si>
    <t>Identificação</t>
  </si>
  <si>
    <t>Med. em geral</t>
  </si>
  <si>
    <t>VACINAS</t>
  </si>
  <si>
    <t>Brucelose</t>
  </si>
  <si>
    <t>CONTROLE PARASIT.</t>
  </si>
  <si>
    <t>Produtos - Evento 01</t>
  </si>
  <si>
    <t>Insumo</t>
  </si>
  <si>
    <t>Frasco/dose/ml</t>
  </si>
  <si>
    <t>Evento - 01</t>
  </si>
  <si>
    <t>Evento - 02</t>
  </si>
  <si>
    <t>Evento - 03</t>
  </si>
  <si>
    <t>Evento - 04</t>
  </si>
  <si>
    <t>Evento - 05</t>
  </si>
  <si>
    <t>Evento - 06</t>
  </si>
  <si>
    <t>ANTIBIÓTICOS</t>
  </si>
  <si>
    <t>MEDICAMENTOS EM GERAL</t>
  </si>
  <si>
    <t>Seringas</t>
  </si>
  <si>
    <t>Luvas</t>
  </si>
  <si>
    <t>IDENTIFICAÇÃO/RASTREABILIDADE</t>
  </si>
  <si>
    <t>Botton</t>
  </si>
  <si>
    <t>Dose/kg; frasco</t>
  </si>
  <si>
    <t>1:dose/cab; 2:ml/kg; 3: unidade</t>
  </si>
  <si>
    <t>Produtos - Evento 02</t>
  </si>
  <si>
    <t>Produtos - Evento 03</t>
  </si>
  <si>
    <t>Produtos - Evento 04</t>
  </si>
  <si>
    <t>Produtos - Evento 05</t>
  </si>
  <si>
    <t>Produtos - Evento 06</t>
  </si>
  <si>
    <t>Sanidade (Insumos + Mão-de-obra)</t>
  </si>
  <si>
    <t>RESUMO</t>
  </si>
  <si>
    <t>Mão-de-obra excedente</t>
  </si>
  <si>
    <t>Med em geral</t>
  </si>
  <si>
    <t>Vida Útil (anos)</t>
  </si>
  <si>
    <t>CO</t>
  </si>
  <si>
    <t>Custo Oper./hora</t>
  </si>
  <si>
    <t>Custo Oper./ano</t>
  </si>
  <si>
    <t>Manut total</t>
  </si>
  <si>
    <t>Manut/unid</t>
  </si>
  <si>
    <t>CO total</t>
  </si>
  <si>
    <t>Cototal</t>
  </si>
  <si>
    <t>Benfeitorias</t>
  </si>
  <si>
    <t>Área de manutenção:</t>
  </si>
  <si>
    <t>Nascimentos</t>
  </si>
  <si>
    <t>Machos</t>
  </si>
  <si>
    <t>Fêmeas</t>
  </si>
  <si>
    <t>Desmamados</t>
  </si>
  <si>
    <t>Boi magro</t>
  </si>
  <si>
    <t>Reprodutores</t>
  </si>
  <si>
    <t>Vaca parida (multiparas)</t>
  </si>
  <si>
    <t>Taxa de Mortalidade pré-desmama (%)</t>
  </si>
  <si>
    <t>Taxa de Mortalidade pós-desmama (%)</t>
  </si>
  <si>
    <t>Resultado Operacional Líquido</t>
  </si>
  <si>
    <t>Custo Operacional</t>
  </si>
  <si>
    <t>Não apagar</t>
  </si>
  <si>
    <t>UA</t>
  </si>
  <si>
    <t>Porcentagem</t>
  </si>
  <si>
    <t>Categorias</t>
  </si>
  <si>
    <t>Total de animais</t>
  </si>
  <si>
    <t>Cabeças</t>
  </si>
  <si>
    <t>UA pond</t>
  </si>
  <si>
    <t>Evento - 07</t>
  </si>
  <si>
    <t>Produtos - Evento 07</t>
  </si>
  <si>
    <t>Produtos - Evento 08</t>
  </si>
  <si>
    <t>Evento - 08</t>
  </si>
  <si>
    <t>Produtos - Evento 09</t>
  </si>
  <si>
    <t>Evento - 09</t>
  </si>
  <si>
    <t>Evento - 10</t>
  </si>
  <si>
    <t>Produtos - Evento 10</t>
  </si>
  <si>
    <t>Produtos - Evento 11</t>
  </si>
  <si>
    <t>Evento - 11</t>
  </si>
  <si>
    <t>Produtos - Evento 12</t>
  </si>
  <si>
    <t>Evento - 12</t>
  </si>
  <si>
    <t>Humidicula</t>
  </si>
  <si>
    <t>Sorgo</t>
  </si>
  <si>
    <t>Milho</t>
  </si>
  <si>
    <t>Brachiaria Brizantha 32 VC</t>
  </si>
  <si>
    <t>Brachiaria Brizantha 40 VC</t>
  </si>
  <si>
    <t>Brachiaria Decumbens</t>
  </si>
  <si>
    <t>Aveia</t>
  </si>
  <si>
    <t>Azevem</t>
  </si>
  <si>
    <t>Milheto</t>
  </si>
  <si>
    <t>Aveia Preta</t>
  </si>
  <si>
    <t>Arame Liso/Ovalado</t>
  </si>
  <si>
    <t>Raiva</t>
  </si>
  <si>
    <t>Grade leve</t>
  </si>
  <si>
    <t>Mochador</t>
  </si>
  <si>
    <t>Horas trabalhadas/ano</t>
  </si>
  <si>
    <t>Receita e Custo Operacional</t>
  </si>
  <si>
    <t>CUSTO OPERACIONAL EFETIVO - COE</t>
  </si>
  <si>
    <t>CUSTO OPERACIONAL TOTAL - COT</t>
  </si>
  <si>
    <t>DEPRECIAÇÕES</t>
  </si>
  <si>
    <t>Total depreciação</t>
  </si>
  <si>
    <t>COE da pecuária</t>
  </si>
  <si>
    <t>Trator de Esteira</t>
  </si>
  <si>
    <t>Pá Carregadeira</t>
  </si>
  <si>
    <t>Broca</t>
  </si>
  <si>
    <t>Moto</t>
  </si>
  <si>
    <t>Carro</t>
  </si>
  <si>
    <t xml:space="preserve">Valor do gasolina  = </t>
  </si>
  <si>
    <t xml:space="preserve">Valor do álcool  = </t>
  </si>
  <si>
    <t>Diesel</t>
  </si>
  <si>
    <t>Álcool</t>
  </si>
  <si>
    <t>Caminhonete</t>
  </si>
  <si>
    <t>COMBUSTÍVEL</t>
  </si>
  <si>
    <t>Caminhão</t>
  </si>
  <si>
    <t>Outros</t>
  </si>
  <si>
    <t>Geral - Todos</t>
  </si>
  <si>
    <t>Roçadeira Manual</t>
  </si>
  <si>
    <t>Leite</t>
  </si>
  <si>
    <t>Confinamento</t>
  </si>
  <si>
    <t>Tx residual</t>
  </si>
  <si>
    <t>Selaria</t>
  </si>
  <si>
    <t>Pulverizador Costal</t>
  </si>
  <si>
    <t>Depreciação</t>
  </si>
  <si>
    <t>Manutenção</t>
  </si>
  <si>
    <t>Depreciação/Mantenção</t>
  </si>
  <si>
    <t>Manutenção + Depreciação</t>
  </si>
  <si>
    <t>Botijão de sêmem</t>
  </si>
  <si>
    <t>Latão (50 Litros)</t>
  </si>
  <si>
    <t>Picadeira Estacionária</t>
  </si>
  <si>
    <t>Picadeira de Forragem</t>
  </si>
  <si>
    <t>Distribuidor de esterco</t>
  </si>
  <si>
    <t>Lavadora Jato</t>
  </si>
  <si>
    <t>Ordenha - Balde ao pé (conjunto)</t>
  </si>
  <si>
    <t>Ordenha Mecânica (conjunto)</t>
  </si>
  <si>
    <t>Tanque de Expansão</t>
  </si>
  <si>
    <t>*Considera-se 20 dias de trabalho por mês e oito horas por dia</t>
  </si>
  <si>
    <t>Área de formação:</t>
  </si>
  <si>
    <t>Formação Lavoura:</t>
  </si>
  <si>
    <t>Hormônio</t>
  </si>
  <si>
    <t xml:space="preserve">Diesel </t>
  </si>
  <si>
    <t>Aftosa</t>
  </si>
  <si>
    <t>Paratifo</t>
  </si>
  <si>
    <t>Leptospirose</t>
  </si>
  <si>
    <t>IBR/BVD</t>
  </si>
  <si>
    <t>Botulismo</t>
  </si>
  <si>
    <t>Carrapaticida</t>
  </si>
  <si>
    <t>Inseminação Artificial</t>
  </si>
  <si>
    <t>INSEMINAÇÃO ARTIFICIAL</t>
  </si>
  <si>
    <t>Tipo/Raça:</t>
  </si>
  <si>
    <t>Nome Comercial/Fabricante</t>
  </si>
  <si>
    <t>Brinco pequeno</t>
  </si>
  <si>
    <t>Brinco médio</t>
  </si>
  <si>
    <t>Brinco grande</t>
  </si>
  <si>
    <t>Sêmen</t>
  </si>
  <si>
    <t>Nitrogênio líquido</t>
  </si>
  <si>
    <t>Pipetas</t>
  </si>
  <si>
    <t>Bainhas</t>
  </si>
  <si>
    <t>Butijão</t>
  </si>
  <si>
    <t>Frasco</t>
  </si>
  <si>
    <t>Pacote</t>
  </si>
  <si>
    <t>Luva</t>
  </si>
  <si>
    <t>Filtro</t>
  </si>
  <si>
    <t>Formol</t>
  </si>
  <si>
    <t>Material de limpeza de desinfecção</t>
  </si>
  <si>
    <t>Higienização ordenhadeira/tanque</t>
  </si>
  <si>
    <t>Borracha - teteira</t>
  </si>
  <si>
    <t>Cloro</t>
  </si>
  <si>
    <t>Detergente (ácido e alcalino)</t>
  </si>
  <si>
    <t>Detergente alcalino</t>
  </si>
  <si>
    <t>Detergente ácido</t>
  </si>
  <si>
    <t>Detergente (neutro)</t>
  </si>
  <si>
    <t>Iodo</t>
  </si>
  <si>
    <t>Sabão em pó</t>
  </si>
  <si>
    <t>Sabão pedra</t>
  </si>
  <si>
    <t>Papel toalha</t>
  </si>
  <si>
    <t>PósDip</t>
  </si>
  <si>
    <t>Vitaminas</t>
  </si>
  <si>
    <t>Modificador Orgânico</t>
  </si>
  <si>
    <t>Inseminação Artificia</t>
  </si>
  <si>
    <t>Antiinflamatório</t>
  </si>
  <si>
    <t>Sal Mineral 40 g de P</t>
  </si>
  <si>
    <t>Sal Mineral 45 g de P</t>
  </si>
  <si>
    <t>Sal Mineral 50 g de P</t>
  </si>
  <si>
    <t>Sal Mineral 55 g de P</t>
  </si>
  <si>
    <t>Sal Mineral 60 g de P</t>
  </si>
  <si>
    <t>Sal Mineral 65 g de P</t>
  </si>
  <si>
    <t>Sal Mineral 70 g de P</t>
  </si>
  <si>
    <t>Sal Mineral 75 g de P</t>
  </si>
  <si>
    <t>Sal Mineral 80 g de P</t>
  </si>
  <si>
    <t>Sal Mineral 90 g de P</t>
  </si>
  <si>
    <t>Sal Mineral 85 g de P</t>
  </si>
  <si>
    <t>Sal Mineral 95 g de P</t>
  </si>
  <si>
    <t>Sal Mineral 100 g de P</t>
  </si>
  <si>
    <t>Sal Mineral 110 g de P</t>
  </si>
  <si>
    <t>Sal Mineral 120 g de P</t>
  </si>
  <si>
    <t>Sal Mineral 130 g de P</t>
  </si>
  <si>
    <t>Sal Branco</t>
  </si>
  <si>
    <t>Sal Proteinado Águas</t>
  </si>
  <si>
    <t>Sal Proteinado Secas</t>
  </si>
  <si>
    <t>Alimentação</t>
  </si>
  <si>
    <t>Farelo Soja</t>
  </si>
  <si>
    <t>Farelo Milho</t>
  </si>
  <si>
    <t>Alimentação (Concentrado + Volumoso)</t>
  </si>
  <si>
    <t>Outras Receitas</t>
  </si>
  <si>
    <t>Atividade</t>
  </si>
  <si>
    <t>Período</t>
  </si>
  <si>
    <t>R$/Periodo</t>
  </si>
  <si>
    <t>Bezerros Desmamados</t>
  </si>
  <si>
    <t>Bezerras Desmamadas</t>
  </si>
  <si>
    <t>Novilhas Ano</t>
  </si>
  <si>
    <t>Novilhas Sobreano</t>
  </si>
  <si>
    <t>Vaca Primípara</t>
  </si>
  <si>
    <t>Touro</t>
  </si>
  <si>
    <t>Bezerro Desmamados</t>
  </si>
  <si>
    <t>Vacas primíparas</t>
  </si>
  <si>
    <t>Total Vacas</t>
  </si>
  <si>
    <t>Clostridiose</t>
  </si>
  <si>
    <t>Preço por animal/@/litro leite</t>
  </si>
  <si>
    <t>Receita anual</t>
  </si>
  <si>
    <t>Lote 1</t>
  </si>
  <si>
    <t>Lote 2</t>
  </si>
  <si>
    <t>Lote 3</t>
  </si>
  <si>
    <t>Lote 4</t>
  </si>
  <si>
    <t>Lote 5</t>
  </si>
  <si>
    <t>Bezerras desmamadas</t>
  </si>
  <si>
    <t>Bezerros desmamados</t>
  </si>
  <si>
    <t>Boi gordo</t>
  </si>
  <si>
    <t>Período de lactação (meses)</t>
  </si>
  <si>
    <t>Vaca solteira/seca</t>
  </si>
  <si>
    <t>Vacas em lactação</t>
  </si>
  <si>
    <t>Bezerras em aleitamento</t>
  </si>
  <si>
    <t>Bezerro em aleitamento</t>
  </si>
  <si>
    <t>Lote 1 - Leite</t>
  </si>
  <si>
    <t>Lote 2 - Leite</t>
  </si>
  <si>
    <t>Lote 3 - Leite</t>
  </si>
  <si>
    <t>Lote 4 - Leite</t>
  </si>
  <si>
    <t>Lote 5 - Leite</t>
  </si>
  <si>
    <t>Receita venda de animais</t>
  </si>
  <si>
    <t>Receita leite</t>
  </si>
  <si>
    <t>Receita Animais</t>
  </si>
  <si>
    <t>Receita Leite</t>
  </si>
  <si>
    <t>CUSTOS E ADMINISTRATIVOS</t>
  </si>
  <si>
    <t>Juros bancários</t>
  </si>
  <si>
    <t>Associações</t>
  </si>
  <si>
    <t>Produção diária (litros)</t>
  </si>
  <si>
    <t>Produtividade:</t>
  </si>
  <si>
    <t>Número de cortes:</t>
  </si>
  <si>
    <t>Outros (Rufiao)</t>
  </si>
  <si>
    <t>Cartorio</t>
  </si>
  <si>
    <t>Projetos</t>
  </si>
  <si>
    <t>IPVA</t>
  </si>
  <si>
    <t>Silo</t>
  </si>
  <si>
    <t>Balança</t>
  </si>
  <si>
    <t>Antimastítico - Vaca seca</t>
  </si>
  <si>
    <t>Antimastítico - Vaca lactação</t>
  </si>
  <si>
    <t>Penicilina</t>
  </si>
  <si>
    <t>Oxitetraciclina</t>
  </si>
  <si>
    <t>Tipo de pastagem</t>
  </si>
  <si>
    <t>Relação vaca/touro</t>
  </si>
  <si>
    <t>Bezerros em aleitamento</t>
  </si>
  <si>
    <t>Rendimento</t>
  </si>
  <si>
    <t>Medicamento - Vacinas</t>
  </si>
  <si>
    <t>Medicamento - Controle Parasitário</t>
  </si>
  <si>
    <t>Medicamento - Antibióticos</t>
  </si>
  <si>
    <t>Manutenção - Benfeitorias</t>
  </si>
  <si>
    <t>Manutenção - Equipamentos</t>
  </si>
  <si>
    <t>Valor Total (COE)</t>
  </si>
  <si>
    <t>Amoxilina</t>
  </si>
  <si>
    <t>Bezerreiro</t>
  </si>
  <si>
    <t>Cerca elétrica</t>
  </si>
  <si>
    <t>Cerca interna</t>
  </si>
  <si>
    <t>Cercas perimetrais</t>
  </si>
  <si>
    <t>Saleiros (Cocho)</t>
  </si>
  <si>
    <t>Cocho</t>
  </si>
  <si>
    <t>Esterqueira</t>
  </si>
  <si>
    <t>Sala de ordenha</t>
  </si>
  <si>
    <t>Desintegrador</t>
  </si>
  <si>
    <t>Fábrica de ração</t>
  </si>
  <si>
    <t>Ensiladora</t>
  </si>
  <si>
    <t>Resfriador</t>
  </si>
  <si>
    <t>Triturador</t>
  </si>
  <si>
    <t>Concentrado Comercial</t>
  </si>
  <si>
    <t>Ração</t>
  </si>
  <si>
    <t>Caroço de algodão</t>
  </si>
  <si>
    <t>Farelo de Trigo</t>
  </si>
  <si>
    <t>Farelo de Arroz</t>
  </si>
  <si>
    <t>Farelo de algodão</t>
  </si>
  <si>
    <t>Resíduo de Cervejaria</t>
  </si>
  <si>
    <t>Resíduo de mandioca</t>
  </si>
  <si>
    <t xml:space="preserve">Concentrado Bezerro </t>
  </si>
  <si>
    <t>Concentrado Bezerra</t>
  </si>
  <si>
    <t>Cama de frango</t>
  </si>
  <si>
    <t>Poupa cítrica</t>
  </si>
  <si>
    <t>CUSTO TOTAL - CT</t>
  </si>
  <si>
    <t>Frete do leite</t>
  </si>
  <si>
    <t>Comercialização (Gastos, Impostos e taxas)</t>
  </si>
  <si>
    <t>R$/litro leite</t>
  </si>
  <si>
    <t>Margem Bruta/Área</t>
  </si>
  <si>
    <t>Margem Líquida/Área</t>
  </si>
  <si>
    <t>Material de Ordenha</t>
  </si>
  <si>
    <t>MATERIAL DE ORDENHA</t>
  </si>
  <si>
    <t>Material de ordenha</t>
  </si>
  <si>
    <t xml:space="preserve"> </t>
  </si>
  <si>
    <t>Idade anos</t>
  </si>
  <si>
    <t>Produção vaca/dia (litros)</t>
  </si>
  <si>
    <t>Novilhas 36 a 48 meses</t>
  </si>
  <si>
    <t>INSS</t>
  </si>
  <si>
    <t>Compra</t>
  </si>
  <si>
    <t>Total de vacas em lactação</t>
  </si>
  <si>
    <t>Cultura perene/anual:</t>
  </si>
  <si>
    <t>Capital Investido</t>
  </si>
  <si>
    <t>Caneca de fundo preto</t>
  </si>
  <si>
    <t>% (ano)</t>
  </si>
  <si>
    <t>Ganho peso médio</t>
  </si>
  <si>
    <t>Suplementação Mineral</t>
  </si>
  <si>
    <t>R$/@ vendida</t>
  </si>
  <si>
    <t>Arrobas produzida/Mão-de-obra</t>
  </si>
  <si>
    <t>Investimento de compra</t>
  </si>
  <si>
    <t>FunserSul</t>
  </si>
  <si>
    <t>Cozinheira</t>
  </si>
  <si>
    <t>Doramectina</t>
  </si>
  <si>
    <t>Frete</t>
  </si>
  <si>
    <t>Mantimentos</t>
  </si>
  <si>
    <t>Rescisão de Contrato</t>
  </si>
  <si>
    <t>Mão-de-obra contratada</t>
  </si>
  <si>
    <t>COE</t>
  </si>
  <si>
    <t>COT</t>
  </si>
  <si>
    <t>Tempo de perm.</t>
  </si>
  <si>
    <t>"@" vendidos</t>
  </si>
  <si>
    <t>Lenha</t>
  </si>
  <si>
    <t>Quant. cabeças anual</t>
  </si>
  <si>
    <t>Área total</t>
  </si>
  <si>
    <t>Áreas</t>
  </si>
  <si>
    <t>Área de benfeitorias</t>
  </si>
  <si>
    <t>% de vacas em 1a cria:</t>
  </si>
  <si>
    <t>% Rateio</t>
  </si>
  <si>
    <t>Valor da terra</t>
  </si>
  <si>
    <t>Investimento</t>
  </si>
  <si>
    <t>CUIDADO NESTA PARTE, CONFERIR COM A PASTA DE DESCRIÇÃO DO INVENTÁRIO</t>
  </si>
  <si>
    <t>Taxa</t>
  </si>
  <si>
    <t>Descrição</t>
  </si>
  <si>
    <t>Índice</t>
  </si>
  <si>
    <t>Valor em R$</t>
  </si>
  <si>
    <t>Custo Operacional Efetivo - COE</t>
  </si>
  <si>
    <t>Custo Operacional Total - COT</t>
  </si>
  <si>
    <t>Custo de Oportunidade de Capital - COC</t>
  </si>
  <si>
    <t>Total de Depreciação</t>
  </si>
  <si>
    <t>Custo Total - CT</t>
  </si>
  <si>
    <t>Receita total</t>
  </si>
  <si>
    <t>Animais de serviço</t>
  </si>
  <si>
    <t>Inventário</t>
  </si>
  <si>
    <t>Formação de pastagens</t>
  </si>
  <si>
    <t>Formação de área agrícola</t>
  </si>
  <si>
    <t>Categorais</t>
  </si>
  <si>
    <t>Valor de venda</t>
  </si>
  <si>
    <t>N de animais</t>
  </si>
  <si>
    <t>Utilitário</t>
  </si>
  <si>
    <t>Peso médio categoria</t>
  </si>
  <si>
    <t>kg médio/categoria</t>
  </si>
  <si>
    <t>Frete de animais</t>
  </si>
  <si>
    <t>Comissão de venda</t>
  </si>
  <si>
    <t>Consumo (unidade/mês)</t>
  </si>
  <si>
    <t>Taxa de lotação na propriedade total</t>
  </si>
  <si>
    <t>Taxa de lotação em área total</t>
  </si>
  <si>
    <t>Pro-labore</t>
  </si>
  <si>
    <t>Taxa de natalidade</t>
  </si>
  <si>
    <t>Taxa de reposição/descarte de matrizes</t>
  </si>
  <si>
    <t>Animais de Serviço</t>
  </si>
  <si>
    <t>Remuneração de Capital - Benfeitorias</t>
  </si>
  <si>
    <t>Remuneração de Capital - Máquinas</t>
  </si>
  <si>
    <t>Remuneração de Capital - Implementos</t>
  </si>
  <si>
    <t>Remuneração de Capital - Equipamentos</t>
  </si>
  <si>
    <t>Remuneração de Capital - Utilitários</t>
  </si>
  <si>
    <t>Custo de Oportunidade da Terra</t>
  </si>
  <si>
    <t>Remuneração de Capital - Animais</t>
  </si>
  <si>
    <t>Remuneração de Capital - Pastagem</t>
  </si>
  <si>
    <t>Remuneração de Capital - Agricultura Perene</t>
  </si>
  <si>
    <t>Aquisição de animais</t>
  </si>
  <si>
    <t>Preço por animal</t>
  </si>
  <si>
    <t>Análise Econômica da Atividade Pecuária</t>
  </si>
  <si>
    <t>"@" Comprados</t>
  </si>
  <si>
    <t>Arrobas produzidas</t>
  </si>
  <si>
    <t>Arrobas vendidas</t>
  </si>
  <si>
    <t>INDICADORES TÉCNICOS</t>
  </si>
  <si>
    <t xml:space="preserve">Área média dos piquetes anual </t>
  </si>
  <si>
    <t>Área média dos piquetes (pastagem perene)</t>
  </si>
  <si>
    <t>Área de pastagem (anual)</t>
  </si>
  <si>
    <t>Área de pastagem (perene)</t>
  </si>
  <si>
    <t>Número de funcionários</t>
  </si>
  <si>
    <t>Cabeças Pond</t>
  </si>
  <si>
    <t>Custo (COE)/arrobas produzidas</t>
  </si>
  <si>
    <t>Custo (COT)/arrobas produzidas</t>
  </si>
  <si>
    <t>Custo (CT)/arrobas produzidas</t>
  </si>
  <si>
    <t>Raça</t>
  </si>
  <si>
    <r>
      <t>N</t>
    </r>
    <r>
      <rPr>
        <i/>
        <vertAlign val="superscript"/>
        <sz val="10"/>
        <rFont val="Arial"/>
        <family val="2"/>
      </rPr>
      <t>o</t>
    </r>
    <r>
      <rPr>
        <i/>
        <sz val="10"/>
        <rFont val="Arial"/>
        <family val="2"/>
      </rPr>
      <t>de piquetes (pastagem perene)</t>
    </r>
  </si>
  <si>
    <t>Pró-Labore</t>
  </si>
  <si>
    <t>Ganho de peso</t>
  </si>
  <si>
    <t>Rebanho</t>
  </si>
  <si>
    <t>Indicadores de produtividade</t>
  </si>
  <si>
    <t>Suplementação mineral</t>
  </si>
  <si>
    <t>Suplementação proteinada</t>
  </si>
  <si>
    <t>Trator (55 cv)</t>
  </si>
  <si>
    <t>Trator (65 cv)</t>
  </si>
  <si>
    <t>Trator (75 cv)</t>
  </si>
  <si>
    <t>Trator (85 cv)</t>
  </si>
  <si>
    <t>Trator ( 90 cv)</t>
  </si>
  <si>
    <t>Trator (105 cv)</t>
  </si>
  <si>
    <t>Trator (120 cv)</t>
  </si>
  <si>
    <t>Diarista</t>
  </si>
  <si>
    <t>Produção de Nivelamento* (COE)</t>
  </si>
  <si>
    <t>Produção de Nivelamento* (COT)</t>
  </si>
  <si>
    <t>*Arrobas produzidas</t>
  </si>
  <si>
    <t xml:space="preserve">Preço arrobas vendidas </t>
  </si>
  <si>
    <t xml:space="preserve">Custo (COE)/arrobas vendidas </t>
  </si>
  <si>
    <t xml:space="preserve">Custo (COT)/arrobas vendidas </t>
  </si>
  <si>
    <t xml:space="preserve">Custo (CT)/arrobas vendidas </t>
  </si>
  <si>
    <t>*Receita referente a todas as entrada, não apenas da venda de animais</t>
  </si>
  <si>
    <t>Custo (COE)/ha</t>
  </si>
  <si>
    <t>Custo (COT)/ha</t>
  </si>
  <si>
    <t>Consumo 
(Unidade/Mês)</t>
  </si>
  <si>
    <t>Custo (hora impl.)</t>
  </si>
  <si>
    <t>Gasto Comb</t>
  </si>
  <si>
    <t>Formação</t>
  </si>
  <si>
    <t>Manutenção Máquinas</t>
  </si>
  <si>
    <t>Manutenção implementos</t>
  </si>
  <si>
    <t>Custo da hora maq</t>
  </si>
  <si>
    <t>Custo da hora comb</t>
  </si>
  <si>
    <t>Perene</t>
  </si>
  <si>
    <t>Combustível - Utilitários</t>
  </si>
  <si>
    <t>Manutenção - Máquinas (Pastagem)</t>
  </si>
  <si>
    <t>Manutenção - Implementos (Pastagem)</t>
  </si>
  <si>
    <t xml:space="preserve">Manutenção - Utilitários </t>
  </si>
  <si>
    <t>Insumos (Pastagem)</t>
  </si>
  <si>
    <t>Mão-de-obra (Pastagem)</t>
  </si>
  <si>
    <t>Combustível - Máquinas (Pastagem)</t>
  </si>
  <si>
    <t>Manutenção - Máquinas (Agricultura)</t>
  </si>
  <si>
    <t>Manutenção - Implementos (Agricultura)</t>
  </si>
  <si>
    <t>Combustível - Máquinas (Agricultura)</t>
  </si>
  <si>
    <t>Insumos (Agricultura)</t>
  </si>
  <si>
    <t>Mão-de-obra (Agricultura)</t>
  </si>
  <si>
    <t>Vida útil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</si>
  <si>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</si>
  <si>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</si>
  <si>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</si>
  <si>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</si>
  <si>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</si>
  <si>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</si>
  <si>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</si>
  <si>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</si>
  <si>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</si>
  <si>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</si>
  <si>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</si>
  <si>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</si>
  <si>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Mês inicial</t>
  </si>
  <si>
    <t>Mês final</t>
  </si>
  <si>
    <t>Quantidade L leite/dia</t>
  </si>
  <si>
    <t>Depreciação Anim. Trab.</t>
  </si>
  <si>
    <t>Área de formação/reforma:</t>
  </si>
  <si>
    <t>Venda</t>
  </si>
  <si>
    <t>Final</t>
  </si>
  <si>
    <t>Qtde</t>
  </si>
  <si>
    <t xml:space="preserve">Região:  </t>
  </si>
  <si>
    <t xml:space="preserve">Estado:  </t>
  </si>
  <si>
    <t xml:space="preserve">Data:  </t>
  </si>
  <si>
    <t xml:space="preserve">Sistema de produção:  </t>
  </si>
  <si>
    <t>Valor/ha</t>
  </si>
  <si>
    <r>
      <t>N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 xml:space="preserve"> divisões</t>
    </r>
  </si>
  <si>
    <t xml:space="preserve">Taxa de juros real:  </t>
  </si>
  <si>
    <t>Máquinas (Pastagem)</t>
  </si>
  <si>
    <t>Implementos (Pastagem)</t>
  </si>
  <si>
    <t>Máquinas (Agricultura)</t>
  </si>
  <si>
    <t>Implementos (Agricultura)</t>
  </si>
  <si>
    <t>Área pastagem nativo</t>
  </si>
  <si>
    <t>Receita***/ha****</t>
  </si>
  <si>
    <t>*** Receita total</t>
  </si>
  <si>
    <t>**** Área total</t>
  </si>
  <si>
    <t xml:space="preserve">Mês </t>
  </si>
  <si>
    <t>Ano</t>
  </si>
  <si>
    <t>Condicionais</t>
  </si>
  <si>
    <t>Tempo permanencia</t>
  </si>
  <si>
    <t>Valor (compra)</t>
  </si>
  <si>
    <t>Bezerras em aleitamento (Engorda)</t>
  </si>
  <si>
    <t>Bezerras desmamadas (Engorda)</t>
  </si>
  <si>
    <t>Vaca (Engorda)</t>
  </si>
  <si>
    <t>Novilhas preenhe</t>
  </si>
  <si>
    <t>Novilhas sobreano</t>
  </si>
  <si>
    <t>Novilhas sobreano (Engorda)</t>
  </si>
  <si>
    <t>Área pastagem cultivada</t>
  </si>
  <si>
    <t>Algodão</t>
  </si>
  <si>
    <t>Período nasc.</t>
  </si>
  <si>
    <t>Mês</t>
  </si>
  <si>
    <t>Arrendamento</t>
  </si>
  <si>
    <t>Dia</t>
  </si>
  <si>
    <t>Número de dias por mês</t>
  </si>
  <si>
    <t>Tabela de apoio</t>
  </si>
  <si>
    <t>NÃO APAGAR</t>
  </si>
  <si>
    <t>Formação Pastagem:</t>
  </si>
  <si>
    <t>Seguro Acidente de trabalho</t>
  </si>
  <si>
    <t>Bezerro desmamados</t>
  </si>
  <si>
    <t>Consumo (Sacos/ano)</t>
  </si>
  <si>
    <t>Retirada Familiar (mês):</t>
  </si>
  <si>
    <t>No Animais</t>
  </si>
  <si>
    <t>Tx. de Lotação Pasto</t>
  </si>
  <si>
    <t>Área</t>
  </si>
  <si>
    <t>Qtdd</t>
  </si>
  <si>
    <t>Área de reserva</t>
  </si>
  <si>
    <t>Área de pastagem perene</t>
  </si>
  <si>
    <t>Área de pastagem anual</t>
  </si>
  <si>
    <t>Área de lavoura</t>
  </si>
  <si>
    <t>Resumo das áreas</t>
  </si>
  <si>
    <t>% de área</t>
  </si>
  <si>
    <t>Área Total</t>
  </si>
  <si>
    <t>Cerca</t>
  </si>
  <si>
    <t>Interna</t>
  </si>
  <si>
    <t>Perimetral</t>
  </si>
  <si>
    <t>Divisões</t>
  </si>
  <si>
    <r>
      <t>N</t>
    </r>
    <r>
      <rPr>
        <i/>
        <vertAlign val="superscript"/>
        <sz val="10"/>
        <rFont val="Arial"/>
        <family val="2"/>
      </rPr>
      <t>o</t>
    </r>
    <r>
      <rPr>
        <i/>
        <sz val="10"/>
        <rFont val="Arial"/>
        <family val="2"/>
      </rPr>
      <t>de piquetes (pastagem anual)</t>
    </r>
  </si>
  <si>
    <t>Área divisão</t>
  </si>
  <si>
    <t>Seguros</t>
  </si>
  <si>
    <t>Novillhas preenhe</t>
  </si>
  <si>
    <t>Representatividade no rebanho (ponderado)</t>
  </si>
  <si>
    <t xml:space="preserve"> TOTAL PONDERADO ANIMAIS PRODUÇÃO</t>
  </si>
  <si>
    <t>INVESTIMENTO POR CATEGORIA</t>
  </si>
  <si>
    <t>Quantidade anual</t>
  </si>
  <si>
    <t>Depreciação Animais de serviço</t>
  </si>
  <si>
    <t>TOTAL INVESTIMENTO REBANHO</t>
  </si>
  <si>
    <t>Tx. Nasc. Média:</t>
  </si>
  <si>
    <t>Tx. Nasc. Vacas de 1a cria:</t>
  </si>
  <si>
    <t>Consumo (Kg/cab.dia)</t>
  </si>
  <si>
    <t>Recria e Engorda</t>
  </si>
  <si>
    <t xml:space="preserve"> MÉDIA TOTAL ANIMAIS PRODUÇÃO</t>
  </si>
  <si>
    <t>kg peso vivo vendidos</t>
  </si>
  <si>
    <t>kg peso vivo comprados</t>
  </si>
  <si>
    <t>Ef. de carcaça</t>
  </si>
  <si>
    <t>kg carcaça vendidos</t>
  </si>
  <si>
    <t>Tempo permanencia Ano</t>
  </si>
  <si>
    <t>RETORNO POR REAL INVESTIDO</t>
  </si>
  <si>
    <t>Receita/COE</t>
  </si>
  <si>
    <t>Receita/COT</t>
  </si>
  <si>
    <t>Receita/CT</t>
  </si>
  <si>
    <t>Manutenção (benf, equip, util, maqui, impl)</t>
  </si>
  <si>
    <t>Insumos (past e agric)</t>
  </si>
  <si>
    <t>Mão-de-obra (rebanho)</t>
  </si>
  <si>
    <t>Assist técnica</t>
  </si>
  <si>
    <t>Medicamentos, identificação e inseminação</t>
  </si>
  <si>
    <t>Reposição de Animais</t>
  </si>
  <si>
    <t>RESUMO COE</t>
  </si>
  <si>
    <t>Valor</t>
  </si>
  <si>
    <t>Depreciações</t>
  </si>
  <si>
    <t>Efetivos</t>
  </si>
  <si>
    <t>COMPOSIÇÃO DE CUSTOS  do CT</t>
  </si>
  <si>
    <t>Engorda Fêmea</t>
  </si>
  <si>
    <t>Sim/Não</t>
  </si>
  <si>
    <t>Custo de arrendamento</t>
  </si>
  <si>
    <t>.@ produzida/área de pastagem</t>
  </si>
  <si>
    <t>Investimento Ponderado</t>
  </si>
  <si>
    <t>Total UA ponderado</t>
  </si>
  <si>
    <t>Idade de abate do boi gordo ou venda do animal</t>
  </si>
  <si>
    <t>Investimento ponderado</t>
  </si>
  <si>
    <t>Custo da terra</t>
  </si>
  <si>
    <t>Antena</t>
  </si>
  <si>
    <t>Vacas solteiras secas</t>
  </si>
  <si>
    <t>Vacas em lactação (primip e multip)</t>
  </si>
  <si>
    <t>Vacas multiparas</t>
  </si>
  <si>
    <t>Vacas em lactação multiparas</t>
  </si>
  <si>
    <t>Falta completar</t>
  </si>
  <si>
    <t>Consumo de Proteinado (ano)</t>
  </si>
  <si>
    <t>Consumo Sal Mineral</t>
  </si>
  <si>
    <t>Consumo Proteinado</t>
  </si>
  <si>
    <t>Bezerros/as</t>
  </si>
  <si>
    <t>Gasto Combustível</t>
  </si>
  <si>
    <t>Área reforma por ano</t>
  </si>
  <si>
    <t>Manutenção - Máquinas e Implementos (Suplementação)</t>
  </si>
  <si>
    <t>Manutenção - Máquinas e Implementos (Alimentação)</t>
  </si>
  <si>
    <t>Combustível - Máquinas (Suplementação)</t>
  </si>
  <si>
    <t>Combustível - Máquinas (Alimentação)</t>
  </si>
  <si>
    <t>Custo hora (maq+impl)</t>
  </si>
  <si>
    <t>Remuneração do Capital Circulante</t>
  </si>
  <si>
    <t>Margem Bruta - MB - (Receita-COE) Anual</t>
  </si>
  <si>
    <t>Margem Líquida - ML - (Receita-COT) Anual</t>
  </si>
  <si>
    <t>Lucro - (Receita - CT) Anual</t>
  </si>
  <si>
    <t>Margem Bruta - MB - (Receita-COE) Mensal</t>
  </si>
  <si>
    <t>Margem Líquida - ML - (Receita-COT) Mensal</t>
  </si>
  <si>
    <t>Lucro - (Receita - CT) Mensal</t>
  </si>
  <si>
    <t>Margem Unitária [Margem Líquida /Arrobas produzidas]</t>
  </si>
  <si>
    <t>Margem Unitária [Margem Bruta /Arrobas produzidas]</t>
  </si>
  <si>
    <t>Margem Unitária [Lucro/Arrobas produzidas]</t>
  </si>
  <si>
    <t>Margem Unitária [Margem Bruta /Arrobas vendidas]</t>
  </si>
  <si>
    <t>Margem Unitária [Margem Líquida /Arrobas vendidas]</t>
  </si>
  <si>
    <t>Margem Unitária [Lucro/Arrobas vendidas]</t>
  </si>
  <si>
    <t>Capital de Empréstimos</t>
  </si>
  <si>
    <t>Estoque de Capital Total</t>
  </si>
  <si>
    <t>Taxa de Remuneração do Capital (ML/Estoque de Capital)</t>
  </si>
  <si>
    <t>Ponte</t>
  </si>
  <si>
    <t>Idade da primeira cria (meses)</t>
  </si>
  <si>
    <t>Antitóxico</t>
  </si>
  <si>
    <t>Soro</t>
  </si>
  <si>
    <t>Cálcio</t>
  </si>
  <si>
    <t>.@ vendida/área de pastagem</t>
  </si>
  <si>
    <t>Arrobas vendidas/Mão-de-obra</t>
  </si>
  <si>
    <t>Arrobas compradas</t>
  </si>
  <si>
    <t>Base de calculo, não apagar</t>
  </si>
  <si>
    <t>Número total de funcionarios</t>
  </si>
  <si>
    <t>*Como é feita a distribuição da suplementação nos pastos?</t>
  </si>
  <si>
    <t>*Como é feita a distribuição da alimentação nos cochos?</t>
  </si>
  <si>
    <t>Valor de arrendamento</t>
  </si>
  <si>
    <t>Receita Total</t>
  </si>
  <si>
    <t>Custo Operacional Efetivo</t>
  </si>
  <si>
    <t>Custo Operaciontal Total</t>
  </si>
  <si>
    <t>Custo Total</t>
  </si>
  <si>
    <t>Receita Total pelas arrobas produzidas</t>
  </si>
  <si>
    <t>Receita Total pelas arrobas vendidas</t>
  </si>
  <si>
    <t>CONTRIBUIÇÃO SINDICAL - CNA</t>
  </si>
  <si>
    <t>IMPOSTO SOBRE A PROPRIEDADE TERRITORIAL RURAL - ITR</t>
  </si>
  <si>
    <t>IMPOSTO SOBRE A PROPRIEDADE DE VEÍCULOS AUTOMOTORES - IPVA</t>
  </si>
  <si>
    <t>Tabela 1: Cálculo da contribuição Sindical Rural vigente a partir de 1º de janeiro de 2012 (CNA).</t>
  </si>
  <si>
    <t>Tabela 2: Tabela de Alíquotas para Cálculo do Imposto Sobre a Propriedade Territorial Rural - ITR (%) (tabela referente ao ano de 2011).</t>
  </si>
  <si>
    <t>Tabela 3: Tabela de Alíquota por estado do Imposto Sobre a Propriedade de Veículos Automotores - IPVA (tabela referente ao ano de 2011).</t>
  </si>
  <si>
    <t>Linhas</t>
  </si>
  <si>
    <t>Classe de Capital Social ou Valor da Terra Nua Tributável (VTNT) (em R$)</t>
  </si>
  <si>
    <t>Alíquota</t>
  </si>
  <si>
    <t>Parcela a adicionar</t>
  </si>
  <si>
    <r>
      <t>GRAU DE UTILIZAÇÃO (GU)</t>
    </r>
    <r>
      <rPr>
        <sz val="7.5"/>
        <rFont val="Verdana"/>
        <family val="2"/>
      </rPr>
      <t xml:space="preserve"> </t>
    </r>
    <r>
      <rPr>
        <b/>
        <sz val="7.5"/>
        <color indexed="8"/>
        <rFont val="Verdana"/>
        <family val="2"/>
      </rPr>
      <t>( EM % )</t>
    </r>
    <r>
      <rPr>
        <sz val="7.5"/>
        <rFont val="Verdana"/>
        <family val="2"/>
      </rPr>
      <t xml:space="preserve"> </t>
    </r>
  </si>
  <si>
    <t>Região Sul</t>
  </si>
  <si>
    <t>Sergipe</t>
  </si>
  <si>
    <t>Amapá</t>
  </si>
  <si>
    <t xml:space="preserve">ÁREA TOTAL DO IMÓVEL (EM HECTARES) </t>
  </si>
  <si>
    <r>
      <t>Até 30</t>
    </r>
    <r>
      <rPr>
        <sz val="7.5"/>
        <rFont val="Verdana"/>
        <family val="2"/>
      </rPr>
      <t xml:space="preserve"> </t>
    </r>
  </si>
  <si>
    <t xml:space="preserve">Maior que 30 até 50 </t>
  </si>
  <si>
    <t xml:space="preserve">Maior que 50 até 65 </t>
  </si>
  <si>
    <t xml:space="preserve">Maior que 65 até 80 </t>
  </si>
  <si>
    <t xml:space="preserve">Maior que 80 </t>
  </si>
  <si>
    <t>Rio Grande do Sul</t>
  </si>
  <si>
    <t>Alagoas</t>
  </si>
  <si>
    <t>Amazonas</t>
  </si>
  <si>
    <t>(R$)</t>
  </si>
  <si>
    <t>Santa Catarina</t>
  </si>
  <si>
    <t>Pernambuco</t>
  </si>
  <si>
    <t>Roraima</t>
  </si>
  <si>
    <t>Até 3.092,79</t>
  </si>
  <si>
    <t>Contribuição mínima – R$ 24,73</t>
  </si>
  <si>
    <t>-</t>
  </si>
  <si>
    <r>
      <t>Até 50</t>
    </r>
    <r>
      <rPr>
        <sz val="7.5"/>
        <rFont val="Verdana"/>
        <family val="2"/>
      </rPr>
      <t xml:space="preserve"> </t>
    </r>
  </si>
  <si>
    <t>Paraná</t>
  </si>
  <si>
    <t>Paraíba</t>
  </si>
  <si>
    <t>Rondônia</t>
  </si>
  <si>
    <t>De 3.092,80 a 6.185,59</t>
  </si>
  <si>
    <r>
      <t>Maior que 50 até 200</t>
    </r>
    <r>
      <rPr>
        <sz val="7.5"/>
        <rFont val="Verdana"/>
        <family val="2"/>
      </rPr>
      <t xml:space="preserve"> </t>
    </r>
  </si>
  <si>
    <t>Região Sudeste</t>
  </si>
  <si>
    <t>Rio Grande do Norte</t>
  </si>
  <si>
    <t>Acre</t>
  </si>
  <si>
    <t>De 6.185,60 a 61.855,95</t>
  </si>
  <si>
    <r>
      <t>Maior que 200 até 500</t>
    </r>
    <r>
      <rPr>
        <sz val="7.5"/>
        <rFont val="Verdana"/>
        <family val="2"/>
      </rPr>
      <t xml:space="preserve"> </t>
    </r>
  </si>
  <si>
    <t>São Paulo</t>
  </si>
  <si>
    <t>Ceará</t>
  </si>
  <si>
    <t>Região Centro-Oeste + DF</t>
  </si>
  <si>
    <t xml:space="preserve">De 61.855,96 a 6.185.594,40 </t>
  </si>
  <si>
    <r>
      <t>Maior que 500 até 1.000</t>
    </r>
    <r>
      <rPr>
        <sz val="7.5"/>
        <rFont val="Verdana"/>
        <family val="2"/>
      </rPr>
      <t xml:space="preserve"> </t>
    </r>
  </si>
  <si>
    <t>Rio de Janeiro</t>
  </si>
  <si>
    <t>Piauí</t>
  </si>
  <si>
    <t>Mato Grosso</t>
  </si>
  <si>
    <t>De 6.185.594,41 a 32.989.836,80</t>
  </si>
  <si>
    <r>
      <t>Maior que 1.000 até 5.000</t>
    </r>
    <r>
      <rPr>
        <sz val="7.5"/>
        <rFont val="Verdana"/>
        <family val="2"/>
      </rPr>
      <t xml:space="preserve"> </t>
    </r>
  </si>
  <si>
    <t>Minas Gerais</t>
  </si>
  <si>
    <t>Maranhão</t>
  </si>
  <si>
    <t>Mato Grosso do Sul</t>
  </si>
  <si>
    <t>Acima de 32.989.836,80</t>
  </si>
  <si>
    <t>Contribuição máxima – R$ 11.645,41</t>
  </si>
  <si>
    <r>
      <t>Acima de 5.000</t>
    </r>
    <r>
      <rPr>
        <sz val="7.5"/>
        <rFont val="Verdana"/>
        <family val="2"/>
      </rPr>
      <t xml:space="preserve"> </t>
    </r>
  </si>
  <si>
    <t>Espírito Santo</t>
  </si>
  <si>
    <t>Região Norte</t>
  </si>
  <si>
    <t>Goiás</t>
  </si>
  <si>
    <t>2,5% e 3,75%</t>
  </si>
  <si>
    <t>Região Nordeste</t>
  </si>
  <si>
    <t>Tocantins</t>
  </si>
  <si>
    <t>Distrito Federal</t>
  </si>
  <si>
    <t>Bahia</t>
  </si>
  <si>
    <t>2,5% e 3,5%</t>
  </si>
  <si>
    <t>Pará</t>
  </si>
  <si>
    <t>Linhas de Crédito</t>
  </si>
  <si>
    <t>Tipo</t>
  </si>
  <si>
    <t>Juros</t>
  </si>
  <si>
    <t>Total/ano</t>
  </si>
  <si>
    <t>Cédito</t>
  </si>
  <si>
    <t>Programa</t>
  </si>
  <si>
    <t>PRONAF (até 10 mil)</t>
  </si>
  <si>
    <t>Custeio</t>
  </si>
  <si>
    <t>PRONAF (10 a 20 mil)</t>
  </si>
  <si>
    <t>PRONAF (20 a 50 mil)</t>
  </si>
  <si>
    <t>PSI-BNDES</t>
  </si>
  <si>
    <t>Programa ABC</t>
  </si>
  <si>
    <t>Moderinfra</t>
  </si>
  <si>
    <t>Moderagro</t>
  </si>
  <si>
    <t>Prodecoop</t>
  </si>
  <si>
    <t>Procap-Agro</t>
  </si>
  <si>
    <t>Moderfrota</t>
  </si>
  <si>
    <t>Moderfrota/Pronamp</t>
  </si>
  <si>
    <t>Administrativos, Impostos fixos, energia e juros</t>
  </si>
  <si>
    <t>Outras receitas</t>
  </si>
  <si>
    <t>Receita Agricultura</t>
  </si>
  <si>
    <t xml:space="preserve">Receita/ha </t>
  </si>
  <si>
    <t>Custos</t>
  </si>
  <si>
    <t>Receita Venda de Animais</t>
  </si>
  <si>
    <t>COMPOSIÇÃO DA RECEITA DA BOVINOCULTURA</t>
  </si>
  <si>
    <t xml:space="preserve">Custo ha </t>
  </si>
  <si>
    <t>Cálculo Base de Manutenção (ha)</t>
  </si>
  <si>
    <t>% da área de Manut.</t>
  </si>
  <si>
    <t>Total Área Manutenção</t>
  </si>
  <si>
    <t>Custo total (Formação + Manutenção):</t>
  </si>
  <si>
    <t>FGTS</t>
  </si>
  <si>
    <t>Incra</t>
  </si>
  <si>
    <t>Multa recisória</t>
  </si>
  <si>
    <t>Aviso Prévio</t>
  </si>
  <si>
    <t>Salário Educação</t>
  </si>
  <si>
    <t>No de Cabeças</t>
  </si>
  <si>
    <t>Engorda de Fêmeas</t>
  </si>
  <si>
    <t>**Ler com atenção os comentários ao selecionar diarista</t>
  </si>
  <si>
    <t>Consumo (Kg/UA.dia)</t>
  </si>
  <si>
    <t>Rend de carcaça</t>
  </si>
  <si>
    <t>Rend Carcaça</t>
  </si>
  <si>
    <t>Preço recebido pelas arrobas produzidas</t>
  </si>
  <si>
    <t>Remuneração e Oportunidade</t>
  </si>
  <si>
    <t>Valor Unitário (R$)</t>
  </si>
  <si>
    <t>COMPOSIÇÃO RECEITA PROPRIEDADE</t>
  </si>
  <si>
    <t>Remuneração de Capital</t>
  </si>
  <si>
    <t>COMPOSIÇÃO DE CUSTOS  do CT - Rentabilidade</t>
  </si>
  <si>
    <t>Hectares de pastagem (perene+anual)</t>
  </si>
  <si>
    <t>Arrobas Produzidas</t>
  </si>
  <si>
    <t>Custo por @ produzidas</t>
  </si>
  <si>
    <t>Custo por hectare</t>
  </si>
  <si>
    <t>CT</t>
  </si>
  <si>
    <t>Custo "Rebanho" por categoria animal</t>
  </si>
  <si>
    <t>Impostos Comercialização</t>
  </si>
  <si>
    <t>Proteinado</t>
  </si>
  <si>
    <t>Mineral</t>
  </si>
  <si>
    <t>Consumo de Sal</t>
  </si>
  <si>
    <t>Cont1</t>
  </si>
  <si>
    <t>Cont2</t>
  </si>
  <si>
    <t>Base Calculo</t>
  </si>
  <si>
    <t>Custo do Sal (R$/kg)</t>
  </si>
  <si>
    <t>Consumo (meses)</t>
  </si>
  <si>
    <t>Custo do Sal (R$/período.cab)</t>
  </si>
  <si>
    <t>Total no período</t>
  </si>
  <si>
    <t>Tipo de Sal (Base)</t>
  </si>
  <si>
    <t>Prot</t>
  </si>
  <si>
    <t>Min</t>
  </si>
  <si>
    <t>Tipo de Sal Consumido por Categoria</t>
  </si>
  <si>
    <t>Gastos de Comercialização</t>
  </si>
  <si>
    <t>N° Funcionários / N° de Diárias</t>
  </si>
  <si>
    <t>Consumo</t>
  </si>
  <si>
    <t>Custo (R$/kg)</t>
  </si>
  <si>
    <t>Período de Consumo</t>
  </si>
  <si>
    <t>Custo por período de consumo (R$/cab)</t>
  </si>
  <si>
    <t>Custo por Cabeça (R$/cab)</t>
  </si>
  <si>
    <t>Total por categoria</t>
  </si>
  <si>
    <t>Num Cabeças</t>
  </si>
  <si>
    <t>Condicional</t>
  </si>
  <si>
    <t>Não alterar</t>
  </si>
  <si>
    <t>Médio</t>
  </si>
  <si>
    <t>R$/cab.ano</t>
  </si>
  <si>
    <t>Total por cabeça</t>
  </si>
  <si>
    <t>Branco</t>
  </si>
  <si>
    <t>Cont3</t>
  </si>
  <si>
    <r>
      <t>Branco (</t>
    </r>
    <r>
      <rPr>
        <b/>
        <u/>
        <sz val="10"/>
        <rFont val="Arial"/>
        <family val="2"/>
      </rPr>
      <t>S/N)</t>
    </r>
  </si>
  <si>
    <t>Participação (% - ano)</t>
  </si>
  <si>
    <t>No Cab</t>
  </si>
  <si>
    <t>No Pond de Cab</t>
  </si>
  <si>
    <t>Tempo de Perm</t>
  </si>
  <si>
    <t>Sanidade</t>
  </si>
  <si>
    <t>Remuneração</t>
  </si>
  <si>
    <t>Descrição do Rebanho</t>
  </si>
  <si>
    <t>Num Cabeças Pond</t>
  </si>
  <si>
    <t>Cab. Compradas</t>
  </si>
  <si>
    <t>Cab. Rebanho</t>
  </si>
  <si>
    <t>Por cabeça</t>
  </si>
  <si>
    <t>R$ por cabeça (mortalidade)</t>
  </si>
  <si>
    <t>Total animais</t>
  </si>
  <si>
    <t>N° Salários/ Valor Diária</t>
  </si>
  <si>
    <t>Tabela BASE - CÁLCULO OPERACIONAL SUPLEMENTAÇÃO</t>
  </si>
  <si>
    <t>Operação 1</t>
  </si>
  <si>
    <t>Operação 2</t>
  </si>
  <si>
    <t>Operação 3</t>
  </si>
  <si>
    <t>Operação 4</t>
  </si>
  <si>
    <t>Custo Total (maq+impl)</t>
  </si>
  <si>
    <t>Custo Total Combustível</t>
  </si>
  <si>
    <t>Não Apagar</t>
  </si>
  <si>
    <t>Mataburro</t>
  </si>
  <si>
    <t>Motossera/Furadeira</t>
  </si>
  <si>
    <t>Plantadeira</t>
  </si>
  <si>
    <t>Colhedora de forragens</t>
  </si>
  <si>
    <t>Trator (110 cv)</t>
  </si>
  <si>
    <t xml:space="preserve">Despesas gerais e impostos na venda </t>
  </si>
  <si>
    <t>Despesas gerais e comissões de corretagem na compra de animais</t>
  </si>
  <si>
    <t>Despesas na venda dos animais</t>
  </si>
  <si>
    <t>Despesas na Compra dos animais</t>
  </si>
  <si>
    <t>Corretagem (%)</t>
  </si>
  <si>
    <t>Frete (%)</t>
  </si>
  <si>
    <t>Corretagem (cab)</t>
  </si>
  <si>
    <t>Frete (cab)</t>
  </si>
  <si>
    <t>Mão-de-obra (Assistência técnica)</t>
  </si>
  <si>
    <t>Mão-de-obra (Formal)</t>
  </si>
  <si>
    <t>Mão-de-obra (Diarista)</t>
  </si>
  <si>
    <t>Custo por Cabeça</t>
  </si>
  <si>
    <t>Receita/Cabeça</t>
  </si>
  <si>
    <t>COE/Cabeça</t>
  </si>
  <si>
    <t>COT/Cabeça</t>
  </si>
  <si>
    <t>CT/Cabeça</t>
  </si>
  <si>
    <t xml:space="preserve">                                   </t>
  </si>
  <si>
    <t>Tx. Preenhez Vacas:</t>
  </si>
  <si>
    <t>Tx. Preenhez Vacas de 1a cria:</t>
  </si>
  <si>
    <t xml:space="preserve">  </t>
  </si>
  <si>
    <t xml:space="preserve">R$/ha </t>
  </si>
  <si>
    <t>Terra agricultura</t>
  </si>
  <si>
    <t>R$/unidade</t>
  </si>
  <si>
    <t>N° Unidades (Ex: Sacas)</t>
  </si>
  <si>
    <t xml:space="preserve">Lot. cab/ha </t>
  </si>
  <si>
    <t>Nenhum</t>
  </si>
  <si>
    <t>Pecuária</t>
  </si>
  <si>
    <t>Cana-de-Açúcar</t>
  </si>
  <si>
    <t>Outro</t>
  </si>
  <si>
    <t>Citros</t>
  </si>
  <si>
    <t>Floresta plantada</t>
  </si>
  <si>
    <t>Tx. Nat. Vacas de 1a cria:</t>
  </si>
  <si>
    <t>Tx. Nat. Vacas:</t>
  </si>
  <si>
    <t>Compra de Animais</t>
  </si>
  <si>
    <t>Tx. Juros</t>
  </si>
  <si>
    <t>Média valor de venda da terra nua</t>
  </si>
  <si>
    <t>Capital Investido em Animais</t>
  </si>
  <si>
    <t>Total Capital Investido - CI</t>
  </si>
  <si>
    <t>Receita agricultura</t>
  </si>
  <si>
    <t>Total de Investimentos</t>
  </si>
  <si>
    <t>Receita - COE (Margem Bruta)</t>
  </si>
  <si>
    <t>Receita - COT (Margem Líquida)</t>
  </si>
  <si>
    <t>Receita - CT (Lucro)</t>
  </si>
  <si>
    <t>Tx. Nasc. Vacas Multíparas:</t>
  </si>
  <si>
    <t>Período de Arrendamento por Ano</t>
  </si>
  <si>
    <t>Terra reserva</t>
  </si>
  <si>
    <t>Terra pasto</t>
  </si>
  <si>
    <t>Valor médio</t>
  </si>
  <si>
    <t>Dados Arrendamento (R$/ha)</t>
  </si>
  <si>
    <t xml:space="preserve">Dados Valor da Terra (R$/ha) </t>
  </si>
  <si>
    <t>* Ler atentamente todos os rótulos de informações.</t>
  </si>
  <si>
    <t>Aveia/Azevém (forragem)</t>
  </si>
  <si>
    <t>Valor de venda 
(média anual) - R$/cab ou R$/@ - Ver comentários</t>
  </si>
  <si>
    <t>Gastos Comercialização</t>
  </si>
  <si>
    <t>Impostos</t>
  </si>
  <si>
    <t>Taxas</t>
  </si>
  <si>
    <t>Kg Peso Vivo Produzidos</t>
  </si>
  <si>
    <t>Kg  de Peso Vivo Produzidos (Mortalidade)</t>
  </si>
  <si>
    <t>.@ produzidas (TECNICO)</t>
  </si>
  <si>
    <t>.@ produzidas (CUSTO)</t>
  </si>
  <si>
    <t>Comercialização (gastos, impostos e taxas)</t>
  </si>
  <si>
    <t>Mão-de-obra (diarista, past, agric)</t>
  </si>
  <si>
    <t>Área de floresta plantada (comercial)</t>
  </si>
  <si>
    <t>Amendoim</t>
  </si>
  <si>
    <t>Conta fora, este valor tem que ser um balizador igual a Tx. da célula abaixo</t>
  </si>
  <si>
    <t>Idade total da vaca (anos)</t>
  </si>
  <si>
    <t>Anos</t>
  </si>
  <si>
    <t>RECEITA ANUAL</t>
  </si>
  <si>
    <t>I. Terra</t>
  </si>
  <si>
    <t>II. Benfeitorias</t>
  </si>
  <si>
    <t>III. Máquinas</t>
  </si>
  <si>
    <t>IV. Implementos</t>
  </si>
  <si>
    <t>V. Equipamentos</t>
  </si>
  <si>
    <t>VI. Utilitário</t>
  </si>
  <si>
    <t>VII. Rebanho</t>
  </si>
  <si>
    <t>A ) INVESTIMENTOS (I + II + III)</t>
  </si>
  <si>
    <t>Terra</t>
  </si>
  <si>
    <t>II. Infraestrutura</t>
  </si>
  <si>
    <t>II. Rebanho</t>
  </si>
  <si>
    <t xml:space="preserve">Animais </t>
  </si>
  <si>
    <t>III. Pastagem</t>
  </si>
  <si>
    <t>Pastagem Inicial</t>
  </si>
  <si>
    <t>B ) DEPESAS ANUAIS (I)</t>
  </si>
  <si>
    <t>I. Custos Operacionais da Propriedade</t>
  </si>
  <si>
    <t>II. Custos de Depreciação e Pró-labore da Propriedade</t>
  </si>
  <si>
    <t>Reforma Pastagem</t>
  </si>
  <si>
    <t>Reforma Agricultura Perene</t>
  </si>
  <si>
    <t>Margem Bruta</t>
  </si>
  <si>
    <t>Margem Bruta Descontada</t>
  </si>
  <si>
    <t>Margem Bruta Acumulada</t>
  </si>
  <si>
    <t>Margem Líquida</t>
  </si>
  <si>
    <t>Margem Líquida Descontada</t>
  </si>
  <si>
    <t>Margem Líquida Acumulada</t>
  </si>
  <si>
    <t>Lucro</t>
  </si>
  <si>
    <t>Lucro Descontado</t>
  </si>
  <si>
    <t>Lucro Acumulado</t>
  </si>
  <si>
    <t>Custo de Oportunidade do Capital</t>
  </si>
  <si>
    <t>Valor Presente Líquido (VPL)</t>
  </si>
  <si>
    <t>Taxa Interna de Retorno (TIR)</t>
  </si>
  <si>
    <t>Retorno por Real Investido (RR)</t>
  </si>
  <si>
    <t>III. Remuneração do Capital</t>
  </si>
  <si>
    <t>Férias</t>
  </si>
  <si>
    <t>13º</t>
  </si>
  <si>
    <t>Adicional</t>
  </si>
  <si>
    <t>Seguro de Acidente</t>
  </si>
  <si>
    <t>Salário Total (mês)</t>
  </si>
  <si>
    <t>Salário Total (Anual)</t>
  </si>
  <si>
    <t>Adicioal de Férias</t>
  </si>
  <si>
    <t>Salário Bruto (R$/Anual)</t>
  </si>
  <si>
    <t>Encargos (Anual)</t>
  </si>
  <si>
    <t>Cálculo por Funcionário</t>
  </si>
  <si>
    <t>Total Anual por categotia</t>
  </si>
  <si>
    <t>Tempo de permanência do animal na propriedade</t>
  </si>
  <si>
    <t>Protocolo completo</t>
  </si>
  <si>
    <t>Aguadas</t>
  </si>
  <si>
    <t>até 2 anos</t>
  </si>
  <si>
    <t>Consumo anual/12 meses</t>
  </si>
  <si>
    <t>Tx. Preenhez Novilhas de 1a cria:</t>
  </si>
  <si>
    <t>Tx. Nat. Novilhas de 1a cria:</t>
  </si>
  <si>
    <t>Tx. Nasc. Novilhas de 1a cria:</t>
  </si>
  <si>
    <t>Alta Floresta</t>
  </si>
  <si>
    <t>Mora na cidade 100 m2</t>
  </si>
  <si>
    <t>100 m2</t>
  </si>
  <si>
    <t>4 fios arame liso 5x5</t>
  </si>
  <si>
    <t>5 fios arame liso 4x4</t>
  </si>
  <si>
    <t>Completo coberto</t>
  </si>
  <si>
    <t>10x15 m2 com galpão de sal</t>
  </si>
  <si>
    <t>Madeira</t>
  </si>
  <si>
    <t>Coberto madeira</t>
  </si>
  <si>
    <t>28 dicos 22"</t>
  </si>
  <si>
    <t>16 discos 28"</t>
  </si>
  <si>
    <t>4 rodas 4 t</t>
  </si>
  <si>
    <t>disco</t>
  </si>
  <si>
    <t>arrasto</t>
  </si>
  <si>
    <t>600 l</t>
  </si>
  <si>
    <t>Nelore</t>
  </si>
  <si>
    <t>330 cab</t>
  </si>
  <si>
    <t>Pour-on</t>
  </si>
  <si>
    <t>C/ antinflamatorio</t>
  </si>
  <si>
    <t>Tropa pasta</t>
  </si>
  <si>
    <t>brachiarão</t>
  </si>
  <si>
    <t>outros</t>
  </si>
  <si>
    <t>grade</t>
  </si>
  <si>
    <t>catação</t>
  </si>
  <si>
    <t>niveladora</t>
  </si>
  <si>
    <t>pulverização</t>
  </si>
  <si>
    <t>semente</t>
  </si>
  <si>
    <t xml:space="preserve">2 4 d </t>
  </si>
  <si>
    <t>calcario</t>
  </si>
  <si>
    <t>ton</t>
  </si>
  <si>
    <t>calcário</t>
  </si>
  <si>
    <t>roçada</t>
  </si>
  <si>
    <t>2 4 d picloram</t>
  </si>
  <si>
    <t>remangas</t>
  </si>
  <si>
    <t>2 toneladas</t>
  </si>
  <si>
    <t>hillux</t>
  </si>
  <si>
    <t>Tiguvon</t>
  </si>
  <si>
    <t>Checar</t>
  </si>
  <si>
    <t>semeio + adubo</t>
  </si>
  <si>
    <t>map</t>
  </si>
  <si>
    <t>Data</t>
  </si>
  <si>
    <t>pastos</t>
  </si>
  <si>
    <t>Nº de cabeça</t>
  </si>
  <si>
    <t>UA Total</t>
  </si>
  <si>
    <t>Categoria animal</t>
  </si>
  <si>
    <t>ponderação %</t>
  </si>
  <si>
    <t>peso inicial</t>
  </si>
  <si>
    <t>Peso final</t>
  </si>
  <si>
    <t>tempo de permanencia</t>
  </si>
  <si>
    <t>venda</t>
  </si>
  <si>
    <t>pecuaria_MJRebanho</t>
  </si>
  <si>
    <t>Dosagem</t>
  </si>
  <si>
    <t>IDUnidadeDosagem</t>
  </si>
  <si>
    <t>IDINSPreco</t>
  </si>
  <si>
    <t>IDAtividade</t>
  </si>
  <si>
    <t>IDPropriedade</t>
  </si>
  <si>
    <t>IDSafra</t>
  </si>
  <si>
    <t>IDMJRebanho</t>
  </si>
  <si>
    <t>pecuaria_REBVenda</t>
  </si>
  <si>
    <t>Fundos</t>
  </si>
  <si>
    <t>GtaGuia</t>
  </si>
  <si>
    <t>QuantCab</t>
  </si>
  <si>
    <t>InclusoCorretagem</t>
  </si>
  <si>
    <t>FunRural</t>
  </si>
  <si>
    <t>RendCarcaca</t>
  </si>
  <si>
    <t>PMP</t>
  </si>
  <si>
    <t>Mes</t>
  </si>
  <si>
    <t>IDREBAquisicao</t>
  </si>
  <si>
    <t>IDREBVenda</t>
  </si>
  <si>
    <t>C</t>
  </si>
  <si>
    <t>F</t>
  </si>
  <si>
    <t>ID painel</t>
  </si>
  <si>
    <t>pecuaria_REBAquisicao</t>
  </si>
  <si>
    <t>InclusoImposto</t>
  </si>
  <si>
    <t>TipoAquisicao</t>
  </si>
  <si>
    <t>IDREBCaracterizacao</t>
  </si>
  <si>
    <t>pecuaria_INSPreco</t>
  </si>
  <si>
    <t>Observação</t>
  </si>
  <si>
    <t>MesCompra</t>
  </si>
  <si>
    <t>ValorUnit</t>
  </si>
  <si>
    <t>IDInsumo</t>
  </si>
  <si>
    <t>pecuaria_REBIndicesZootec</t>
  </si>
  <si>
    <t>PercDesfrute</t>
  </si>
  <si>
    <t>PercDescReprodutor</t>
  </si>
  <si>
    <t>PercDescMatriz</t>
  </si>
  <si>
    <t>IdadeVaca</t>
  </si>
  <si>
    <t>QuantCrias</t>
  </si>
  <si>
    <t>IntervaloParto</t>
  </si>
  <si>
    <t>VacaTouro</t>
  </si>
  <si>
    <t>PercMortePos</t>
  </si>
  <si>
    <t>PercMortePre</t>
  </si>
  <si>
    <t>IDREBIndZootec</t>
  </si>
  <si>
    <t xml:space="preserve">Valor de venda </t>
  </si>
  <si>
    <t>ID Programa</t>
  </si>
  <si>
    <t>pecuaria_REBCaracterizacao</t>
  </si>
  <si>
    <t>TotalCabPond</t>
  </si>
  <si>
    <t>PesoFinal</t>
  </si>
  <si>
    <t>PesoInicial</t>
  </si>
  <si>
    <t>MesFinal</t>
  </si>
  <si>
    <t>MesInicial</t>
  </si>
  <si>
    <t>IDRebCategoria</t>
  </si>
  <si>
    <t>Periodo do ano</t>
  </si>
  <si>
    <t>Quantidade de Func</t>
  </si>
  <si>
    <t>Nº salarios</t>
  </si>
  <si>
    <t>pecuaria_INVMaoObraValor</t>
  </si>
  <si>
    <t>PeriodoDiasAno</t>
  </si>
  <si>
    <t>QuantFunc</t>
  </si>
  <si>
    <t>Salario</t>
  </si>
  <si>
    <t>IDUnidadeSalario</t>
  </si>
  <si>
    <t>IDMaoObra</t>
  </si>
  <si>
    <t>IDINVMaoObra</t>
  </si>
  <si>
    <t>pecuaria_PROPTaxa</t>
  </si>
  <si>
    <t>QuantAno</t>
  </si>
  <si>
    <t>ValorTaxa</t>
  </si>
  <si>
    <t>IDTaxa</t>
  </si>
  <si>
    <t>IDPROPTaxa</t>
  </si>
  <si>
    <t>PercUtilizacao</t>
  </si>
  <si>
    <t>vida útil</t>
  </si>
  <si>
    <t>ID programa</t>
  </si>
  <si>
    <t>ID Painel</t>
  </si>
  <si>
    <t>pecuaria_INVUtilitarioValor</t>
  </si>
  <si>
    <t>QuantLAno</t>
  </si>
  <si>
    <t>TxManutencao</t>
  </si>
  <si>
    <t>TxSeguro</t>
  </si>
  <si>
    <t>TxResidual</t>
  </si>
  <si>
    <t>VidaUtilAnos</t>
  </si>
  <si>
    <t>ValorUsado</t>
  </si>
  <si>
    <t>ValorNovo</t>
  </si>
  <si>
    <t>IDUtilitario</t>
  </si>
  <si>
    <t>IDINVUtilitario</t>
  </si>
  <si>
    <t>pecuaria_INVBenfeitoriaValor</t>
  </si>
  <si>
    <t>Complemento</t>
  </si>
  <si>
    <t>IDBenfeitoria</t>
  </si>
  <si>
    <t>IDINVBenfeitoria</t>
  </si>
  <si>
    <t>pecuaria_INVEquipamentoValor</t>
  </si>
  <si>
    <t>UtilAnual</t>
  </si>
  <si>
    <t>IDEquipamento</t>
  </si>
  <si>
    <t>IDINVEquipamento</t>
  </si>
  <si>
    <t>Vida util horas</t>
  </si>
  <si>
    <t>pecuaria_INVImplementoValor</t>
  </si>
  <si>
    <t>VidaUtilAno</t>
  </si>
  <si>
    <t>VidaUtilHr</t>
  </si>
  <si>
    <t>IDImplemento</t>
  </si>
  <si>
    <t>IDINVImplemento</t>
  </si>
  <si>
    <t>pecuaria_INVMaquinaValor</t>
  </si>
  <si>
    <t>IDMaquina</t>
  </si>
  <si>
    <t>IDINVMaquina</t>
  </si>
  <si>
    <t>ValorUnitario</t>
  </si>
  <si>
    <t>IDRECOutras</t>
  </si>
  <si>
    <t>cultivar</t>
  </si>
  <si>
    <t>área</t>
  </si>
  <si>
    <t>pecuaria_PROPCultura</t>
  </si>
  <si>
    <t>Talhao</t>
  </si>
  <si>
    <t>QuantAreaCultHa</t>
  </si>
  <si>
    <t>IDPROPCultura</t>
  </si>
  <si>
    <t>IDCultura</t>
  </si>
  <si>
    <t>pecuaria_PROPData</t>
  </si>
  <si>
    <t>Sistema</t>
  </si>
  <si>
    <t>AnoRealizacaoPainel</t>
  </si>
  <si>
    <t>MesRealizacaoPainel</t>
  </si>
  <si>
    <t>DataRealizacaoPainel</t>
  </si>
  <si>
    <t>IDPROPData</t>
  </si>
  <si>
    <t>Tamanho</t>
  </si>
  <si>
    <t>pecuaria_PROPArea</t>
  </si>
  <si>
    <t>QuantAreaHa</t>
  </si>
  <si>
    <t>ValorTerraHa</t>
  </si>
  <si>
    <t>IDTipoArea</t>
  </si>
  <si>
    <t>IDPROPArea</t>
  </si>
  <si>
    <t>Vermífugo Tropa</t>
  </si>
  <si>
    <t>Medicamentos</t>
  </si>
  <si>
    <t>Poupa cítrica 1000 kg</t>
  </si>
  <si>
    <t>Cama de frango 1 kg</t>
  </si>
  <si>
    <t>Concentrado Bezerra 50 kg</t>
  </si>
  <si>
    <t>Concentrado Bezerro  1 kg</t>
  </si>
  <si>
    <t>Uréia 1 kg</t>
  </si>
  <si>
    <t>Resíduo de mandioca 1 kg</t>
  </si>
  <si>
    <t>Resíduo de Cervejaria 1 kg</t>
  </si>
  <si>
    <t>Farelo de algodão 50 kg</t>
  </si>
  <si>
    <t>Farelo de Arroz 1 kg</t>
  </si>
  <si>
    <t>Farelo de Trigo 1 kg</t>
  </si>
  <si>
    <t>Caroço de algodão 1 kg</t>
  </si>
  <si>
    <t>Ração 1 kg</t>
  </si>
  <si>
    <t>Ração 40 kg</t>
  </si>
  <si>
    <t>Concentrado Comercial 40 kg</t>
  </si>
  <si>
    <t>Farelo Milho 50 kg</t>
  </si>
  <si>
    <t>Milho 50 kg</t>
  </si>
  <si>
    <t>Farelo Soja 40 kg</t>
  </si>
  <si>
    <t>Soja 40 kg</t>
  </si>
  <si>
    <t>Sal Proteinado Secas 30 kg</t>
  </si>
  <si>
    <t>Sal Proteinado Secas 25 kg</t>
  </si>
  <si>
    <t>Sal Proteinado Águas 30 kg</t>
  </si>
  <si>
    <t>Sal Proteinado Águas 25 kg</t>
  </si>
  <si>
    <t>Sal Mineral 130 g de P 30 kg</t>
  </si>
  <si>
    <t>Sal Mineral 130 g de P 25 kg</t>
  </si>
  <si>
    <t>Sal Mineral 120 g de P 30 kg</t>
  </si>
  <si>
    <t>Sal Mineral 120 g de P 25 kg</t>
  </si>
  <si>
    <t>Sal Mineral 110 g de P 30 kg</t>
  </si>
  <si>
    <t>Sal Mineral 110 g de P 25 kg</t>
  </si>
  <si>
    <t>Sal Mineral 100 g de P 30 kg</t>
  </si>
  <si>
    <t>Sal Mineral 100 g de P 25 kg</t>
  </si>
  <si>
    <t>Sal Mineral 95 g de P 30 kg</t>
  </si>
  <si>
    <t>Sal Mineral 95 g de P 25 kg</t>
  </si>
  <si>
    <t>Sal Mineral 90 g de P 30 kg</t>
  </si>
  <si>
    <t>Sal Mineral 90 g de P 25 kg</t>
  </si>
  <si>
    <t>Sal Mineral 85 g de P 30 kg</t>
  </si>
  <si>
    <t>Sal Mineral 85 g de P 25 kg</t>
  </si>
  <si>
    <t>Sal Mineral 80 g de P 30 kg</t>
  </si>
  <si>
    <t>Sal Mineral 80 g de P 25 kg</t>
  </si>
  <si>
    <t>Sal Mineral 75 g de P 30 kg</t>
  </si>
  <si>
    <t>Sal Mineral 75 g de P 25 kg</t>
  </si>
  <si>
    <t>Sal Mineral 70 g de P 30 kg</t>
  </si>
  <si>
    <t>Sal Mineral 70 g de P 25 kg</t>
  </si>
  <si>
    <t>Sal Mineral 65 g de P 30 kg</t>
  </si>
  <si>
    <t>Sal Mineral 65 g de P 25 kg</t>
  </si>
  <si>
    <t>Sal Mineral 60 g de P 30 kg</t>
  </si>
  <si>
    <t>Sal Mineral 60 g de P 25 kg</t>
  </si>
  <si>
    <t>Sal Mineral 55 g de P 30 kg</t>
  </si>
  <si>
    <t>Sal Mineral 55 g de P 25 kg</t>
  </si>
  <si>
    <t>Sal Mineral 50 g de P 30 kg</t>
  </si>
  <si>
    <t>Sal Mineral 50 g de P 25 kg</t>
  </si>
  <si>
    <t>Sal Mineral 45 g de P 30 kg</t>
  </si>
  <si>
    <t>Sal Mineral 45 g de P 25 kg</t>
  </si>
  <si>
    <t>Sal Mineral 40 g de P 30 kg</t>
  </si>
  <si>
    <t>Sal Mineral 40 g de P 25 kg</t>
  </si>
  <si>
    <t>Sal Branco 25 kg</t>
  </si>
  <si>
    <t>Animais de trabalho (2)</t>
  </si>
  <si>
    <t>Animais de trabalho</t>
  </si>
  <si>
    <t>Bezerra em aleitamento</t>
  </si>
  <si>
    <t>Vaca em lactação</t>
  </si>
  <si>
    <t>Vaca primípara</t>
  </si>
  <si>
    <t>Novilha sobreano (2)</t>
  </si>
  <si>
    <t>Novilha sobreano</t>
  </si>
  <si>
    <t>Bezerra desmamada</t>
  </si>
  <si>
    <t>Garrote</t>
  </si>
  <si>
    <t>Bezerro desmamado</t>
  </si>
  <si>
    <t>M.Obra Temporária</t>
  </si>
  <si>
    <t>Vaqueiro II</t>
  </si>
  <si>
    <t>Vaqueiro I</t>
  </si>
  <si>
    <t>Técnico Agrícola</t>
  </si>
  <si>
    <t>Veterinário</t>
  </si>
  <si>
    <t>Eng.Agrônomo</t>
  </si>
  <si>
    <t>Mão de Obra</t>
  </si>
  <si>
    <t>Seguro</t>
  </si>
  <si>
    <t/>
  </si>
  <si>
    <t>Tx. média de juros p/ financ. - gov (anual) / Juros Bancários (R$)</t>
  </si>
  <si>
    <t>CNA</t>
  </si>
  <si>
    <t>Sindicato rural</t>
  </si>
  <si>
    <t>Preço Diesel</t>
  </si>
  <si>
    <t>Energia Elétrica</t>
  </si>
  <si>
    <t>Viagens</t>
  </si>
  <si>
    <t>Material p/ escritório</t>
  </si>
  <si>
    <t>Rio Branco</t>
  </si>
  <si>
    <t>Três Lagoas</t>
  </si>
  <si>
    <t>Silo metálico 70.000sc</t>
  </si>
  <si>
    <t>Miranda RE- PAINEL</t>
  </si>
  <si>
    <t>Saleiros (com cobertura)</t>
  </si>
  <si>
    <t>Vitória da Conquista</t>
  </si>
  <si>
    <t>Itapetinga</t>
  </si>
  <si>
    <t>Roda d'agua</t>
  </si>
  <si>
    <t>Barreiras C</t>
  </si>
  <si>
    <t>Santa Cruz do Rio Pardo RE</t>
  </si>
  <si>
    <t>Presidente Venceslau RE</t>
  </si>
  <si>
    <t>Presidente Venceslau C</t>
  </si>
  <si>
    <t>Marília C</t>
  </si>
  <si>
    <t>Itapetininga C</t>
  </si>
  <si>
    <t>Andradina R</t>
  </si>
  <si>
    <t>Galpão - 450 m2</t>
  </si>
  <si>
    <t>Araçatuba RE</t>
  </si>
  <si>
    <t>Galpão - 800 m2</t>
  </si>
  <si>
    <t>São Miguel do Araguaia CR</t>
  </si>
  <si>
    <t>Porangatu C</t>
  </si>
  <si>
    <t>Jussara E</t>
  </si>
  <si>
    <t>Curral (mang, ser, tronco, bal)</t>
  </si>
  <si>
    <t>Jussara R</t>
  </si>
  <si>
    <t xml:space="preserve">Cocho </t>
  </si>
  <si>
    <t>Jussara C</t>
  </si>
  <si>
    <t>Cerca arame liso</t>
  </si>
  <si>
    <t>Itarumã CRE</t>
  </si>
  <si>
    <t>Cerca interna arame liso</t>
  </si>
  <si>
    <t>Mineiros RE</t>
  </si>
  <si>
    <t>Mineiros C</t>
  </si>
  <si>
    <t>Jataí RE</t>
  </si>
  <si>
    <t>Guarapuava C</t>
  </si>
  <si>
    <t>Casa para Funcionário - Alvenaria 20 a 39 m2</t>
  </si>
  <si>
    <t>Londrina CRE</t>
  </si>
  <si>
    <t>Caixa dágua tubulação e bomba</t>
  </si>
  <si>
    <t>Cascavel RE</t>
  </si>
  <si>
    <t>Cascavel C</t>
  </si>
  <si>
    <t>Bebedouro</t>
  </si>
  <si>
    <t>Santa Vitória</t>
  </si>
  <si>
    <t>Montes Claros RE</t>
  </si>
  <si>
    <t>Carlos Chagas RE</t>
  </si>
  <si>
    <t>Carlos Chagas C</t>
  </si>
  <si>
    <t>EPI</t>
  </si>
  <si>
    <t>Marabá</t>
  </si>
  <si>
    <t>Paragominas C</t>
  </si>
  <si>
    <t>Rio Verde do MT</t>
  </si>
  <si>
    <t>Porto Murtinho</t>
  </si>
  <si>
    <t>Poconé</t>
  </si>
  <si>
    <t>Cuiabá</t>
  </si>
  <si>
    <t>Freezer</t>
  </si>
  <si>
    <t xml:space="preserve">Coxim (Pantanal) </t>
  </si>
  <si>
    <t>Vila Rica</t>
  </si>
  <si>
    <t>Cáceres (Pantanal)</t>
  </si>
  <si>
    <t>Coxim</t>
  </si>
  <si>
    <t>Corumbá</t>
  </si>
  <si>
    <t>Água Boa</t>
  </si>
  <si>
    <t xml:space="preserve">General Salgado </t>
  </si>
  <si>
    <t>Motoserra</t>
  </si>
  <si>
    <t>Piracicaba</t>
  </si>
  <si>
    <t>Presidente Venceslau</t>
  </si>
  <si>
    <t>São José do Rio Preto</t>
  </si>
  <si>
    <t>Porto Velho</t>
  </si>
  <si>
    <t>Cacoal</t>
  </si>
  <si>
    <t>Vilhena</t>
  </si>
  <si>
    <t>Gerador</t>
  </si>
  <si>
    <t>Holambra</t>
  </si>
  <si>
    <t>Assis</t>
  </si>
  <si>
    <t>Ferramentas em geral</t>
  </si>
  <si>
    <t>Andradina</t>
  </si>
  <si>
    <t>Alvorada</t>
  </si>
  <si>
    <t>Paraíso do Tocantins</t>
  </si>
  <si>
    <t>Carroças, bombas costais, triturador</t>
  </si>
  <si>
    <t>Colina do Tocantins</t>
  </si>
  <si>
    <t>Araguaína</t>
  </si>
  <si>
    <t>Botijao de semen</t>
  </si>
  <si>
    <t>Santo Antônio da Plantina</t>
  </si>
  <si>
    <t>Bomba d'água</t>
  </si>
  <si>
    <t>Umuarama</t>
  </si>
  <si>
    <t>Paranavaí</t>
  </si>
  <si>
    <t>Garapuava</t>
  </si>
  <si>
    <t>Uberlândia</t>
  </si>
  <si>
    <t>Uberaba</t>
  </si>
  <si>
    <t>Montes Claros</t>
  </si>
  <si>
    <t>Adubadeira</t>
  </si>
  <si>
    <t>Governador Valarares</t>
  </si>
  <si>
    <t>Terraplanagem</t>
  </si>
  <si>
    <t>Santa Maria</t>
  </si>
  <si>
    <t>Tanque de Água</t>
  </si>
  <si>
    <t>Lavras do Sul (Correto)</t>
  </si>
  <si>
    <t>Subsolador</t>
  </si>
  <si>
    <t>Lavras do Sul C</t>
  </si>
  <si>
    <t>Bagé RE</t>
  </si>
  <si>
    <t>Bagé C</t>
  </si>
  <si>
    <t>Alegrete RE</t>
  </si>
  <si>
    <t>Pulverizador</t>
  </si>
  <si>
    <t>Alegrete</t>
  </si>
  <si>
    <t>Semeadora</t>
  </si>
  <si>
    <t>Barra do Garças</t>
  </si>
  <si>
    <t>Pontes de Lacerda</t>
  </si>
  <si>
    <t>Cáceres</t>
  </si>
  <si>
    <t>São Miguel do Araguaia</t>
  </si>
  <si>
    <t>Grade</t>
  </si>
  <si>
    <t>Rio Verde</t>
  </si>
  <si>
    <t>Uruaçu</t>
  </si>
  <si>
    <t>Porangatu</t>
  </si>
  <si>
    <t>Nova Crixás</t>
  </si>
  <si>
    <t>Ensilador</t>
  </si>
  <si>
    <t>Niquelândia</t>
  </si>
  <si>
    <t>Jataí</t>
  </si>
  <si>
    <t>Distribuidor de Calcário</t>
  </si>
  <si>
    <t>Ceres</t>
  </si>
  <si>
    <t>Colhedor de forragem</t>
  </si>
  <si>
    <t>Catalão</t>
  </si>
  <si>
    <t>Tupã C</t>
  </si>
  <si>
    <t>Tupã RE</t>
  </si>
  <si>
    <t>Ji Paraná</t>
  </si>
  <si>
    <t>Santana do Araguaia</t>
  </si>
  <si>
    <t>Redenção</t>
  </si>
  <si>
    <t>Paragominas</t>
  </si>
  <si>
    <t>São Gabriel do Oeste</t>
  </si>
  <si>
    <t>Ribas do Rio Pardo</t>
  </si>
  <si>
    <t>Paranaíba</t>
  </si>
  <si>
    <t>Nova Andradina</t>
  </si>
  <si>
    <t>Naviraí</t>
  </si>
  <si>
    <t>Miranda</t>
  </si>
  <si>
    <t>Dourados</t>
  </si>
  <si>
    <t>Aquidauana</t>
  </si>
  <si>
    <t>Chapadão do Sul</t>
  </si>
  <si>
    <t>Potencia Máquinas</t>
  </si>
  <si>
    <t>Brasilândia</t>
  </si>
  <si>
    <t>Bonito</t>
  </si>
  <si>
    <t>Amambaí</t>
  </si>
  <si>
    <t>Camapuã</t>
  </si>
  <si>
    <t>Sorriso</t>
  </si>
  <si>
    <t>Campo Novo do Parecis</t>
  </si>
  <si>
    <t>Maracaju</t>
  </si>
  <si>
    <t>Cândido Mota</t>
  </si>
  <si>
    <t>Londrina</t>
  </si>
  <si>
    <t>Guarapuava</t>
  </si>
  <si>
    <t>Cascavel</t>
  </si>
  <si>
    <t>Teste 14/01/2009</t>
  </si>
  <si>
    <t>Teste 05/01/2009</t>
  </si>
  <si>
    <t>Teste 12/12/2008</t>
  </si>
  <si>
    <t>Camapuã - RS</t>
  </si>
  <si>
    <t>Propriedade</t>
  </si>
  <si>
    <t>ID Local</t>
  </si>
  <si>
    <t>ID Local.1</t>
  </si>
  <si>
    <t>atividade</t>
  </si>
  <si>
    <t>ins.1</t>
  </si>
  <si>
    <t>ins.2</t>
  </si>
  <si>
    <t>ins.3</t>
  </si>
  <si>
    <t>ins.4</t>
  </si>
  <si>
    <t>ins.5</t>
  </si>
  <si>
    <t>ins.6</t>
  </si>
  <si>
    <t>ins.7</t>
  </si>
  <si>
    <t>ins.8</t>
  </si>
  <si>
    <t>ins.9</t>
  </si>
  <si>
    <t>ins.10</t>
  </si>
  <si>
    <t>ins.11</t>
  </si>
  <si>
    <t>ins.12</t>
  </si>
  <si>
    <t>ins.13</t>
  </si>
  <si>
    <t>ins.14</t>
  </si>
  <si>
    <t>ins.15</t>
  </si>
  <si>
    <t>ins.16</t>
  </si>
  <si>
    <t>ins.17</t>
  </si>
  <si>
    <t>ins.18</t>
  </si>
  <si>
    <t>ins.19</t>
  </si>
  <si>
    <t>ins.20</t>
  </si>
  <si>
    <t>ins.21</t>
  </si>
  <si>
    <t>ins.22</t>
  </si>
  <si>
    <t>ins.23</t>
  </si>
  <si>
    <t>ins.24</t>
  </si>
  <si>
    <t>ins.25</t>
  </si>
  <si>
    <t>ins.26</t>
  </si>
  <si>
    <t>ins.27</t>
  </si>
  <si>
    <t>ins.28</t>
  </si>
  <si>
    <t>ins.29</t>
  </si>
  <si>
    <t>ins.30</t>
  </si>
  <si>
    <t>ins.31</t>
  </si>
  <si>
    <t>ins.32</t>
  </si>
  <si>
    <t>ins.33</t>
  </si>
  <si>
    <t>ins.34</t>
  </si>
  <si>
    <t>ins.35</t>
  </si>
  <si>
    <t>ins.36</t>
  </si>
  <si>
    <t>ins.37</t>
  </si>
  <si>
    <t>ins.38</t>
  </si>
  <si>
    <t>ins.39</t>
  </si>
  <si>
    <t>ins.40</t>
  </si>
  <si>
    <t>ins.41</t>
  </si>
  <si>
    <t>ins.42</t>
  </si>
  <si>
    <t>ins.43</t>
  </si>
  <si>
    <t>ins.44</t>
  </si>
  <si>
    <t>ins.45</t>
  </si>
  <si>
    <t>ins.46</t>
  </si>
  <si>
    <t>ins.47</t>
  </si>
  <si>
    <t>ins.48</t>
  </si>
  <si>
    <t>ins.49</t>
  </si>
  <si>
    <t>ins.50</t>
  </si>
  <si>
    <t>ins.51</t>
  </si>
  <si>
    <t>ins.52</t>
  </si>
  <si>
    <t>ins.53</t>
  </si>
  <si>
    <t>ins.54</t>
  </si>
  <si>
    <t>ins.55</t>
  </si>
  <si>
    <t>ins.56</t>
  </si>
  <si>
    <t>ins.57</t>
  </si>
  <si>
    <t>ins.58</t>
  </si>
  <si>
    <t>ins.59</t>
  </si>
  <si>
    <t>ins.60</t>
  </si>
  <si>
    <t>ins.61</t>
  </si>
  <si>
    <t>ins.62</t>
  </si>
  <si>
    <t>ins.63</t>
  </si>
  <si>
    <t>ins.64</t>
  </si>
  <si>
    <t>ins.65</t>
  </si>
  <si>
    <t>ins.66</t>
  </si>
  <si>
    <t>ins.67</t>
  </si>
  <si>
    <t>ins.68</t>
  </si>
  <si>
    <t>ins.69</t>
  </si>
  <si>
    <t>ins.70</t>
  </si>
  <si>
    <t>ins.71</t>
  </si>
  <si>
    <t>ins.72</t>
  </si>
  <si>
    <t>ins.73</t>
  </si>
  <si>
    <t>ins.74</t>
  </si>
  <si>
    <t>ins.75</t>
  </si>
  <si>
    <t>ins.76</t>
  </si>
  <si>
    <t>ins.77</t>
  </si>
  <si>
    <t>ins.78</t>
  </si>
  <si>
    <t>ins.79</t>
  </si>
  <si>
    <t>ins.80</t>
  </si>
  <si>
    <t>ins.81</t>
  </si>
  <si>
    <t>ins.82</t>
  </si>
  <si>
    <t>ins.83</t>
  </si>
  <si>
    <t>ins.84</t>
  </si>
  <si>
    <t>ins.85</t>
  </si>
  <si>
    <t>ins.86</t>
  </si>
  <si>
    <t>ins.87</t>
  </si>
  <si>
    <t>ins.88</t>
  </si>
  <si>
    <t>ins.89</t>
  </si>
  <si>
    <t>ins.90</t>
  </si>
  <si>
    <t>ins.91</t>
  </si>
  <si>
    <t>ins.92</t>
  </si>
  <si>
    <t>ins.93</t>
  </si>
  <si>
    <t>ins.94</t>
  </si>
  <si>
    <t>ins.95</t>
  </si>
  <si>
    <t>ins.96</t>
  </si>
  <si>
    <t>ins.97</t>
  </si>
  <si>
    <t>ins.98</t>
  </si>
  <si>
    <t>ins.99</t>
  </si>
  <si>
    <t>ins.100</t>
  </si>
  <si>
    <t>ins.101</t>
  </si>
  <si>
    <t>ins.102</t>
  </si>
  <si>
    <t>ins.103</t>
  </si>
  <si>
    <t>ins.104</t>
  </si>
  <si>
    <t>ins.105</t>
  </si>
  <si>
    <t>ins.106</t>
  </si>
  <si>
    <t>ins.107</t>
  </si>
  <si>
    <t>ins.108</t>
  </si>
  <si>
    <t>ins.109</t>
  </si>
  <si>
    <t>ins.110</t>
  </si>
  <si>
    <t>ins.111</t>
  </si>
  <si>
    <t>ins.112</t>
  </si>
  <si>
    <t>ins.113</t>
  </si>
  <si>
    <t>ins.114</t>
  </si>
  <si>
    <t>ins.115</t>
  </si>
  <si>
    <t>ins.116</t>
  </si>
  <si>
    <t>ins.117</t>
  </si>
  <si>
    <t>ins.118</t>
  </si>
  <si>
    <t>ins.119</t>
  </si>
  <si>
    <t>ins.120</t>
  </si>
  <si>
    <t>ins.121</t>
  </si>
  <si>
    <t>ins.122</t>
  </si>
  <si>
    <t>ins.123</t>
  </si>
  <si>
    <t>ins.124</t>
  </si>
  <si>
    <t>ins.125</t>
  </si>
  <si>
    <t>ins.126</t>
  </si>
  <si>
    <t>ins.127</t>
  </si>
  <si>
    <t>ins.128</t>
  </si>
  <si>
    <t>ins.129</t>
  </si>
  <si>
    <t>ins.130</t>
  </si>
  <si>
    <t>ins.131</t>
  </si>
  <si>
    <t>ins.132</t>
  </si>
  <si>
    <t>ins.133</t>
  </si>
  <si>
    <t>ins.134</t>
  </si>
  <si>
    <t>ins.135</t>
  </si>
  <si>
    <t>ins.136</t>
  </si>
  <si>
    <t>ins.137</t>
  </si>
  <si>
    <t>ins.138</t>
  </si>
  <si>
    <t>ins.139</t>
  </si>
  <si>
    <t>ins.140</t>
  </si>
  <si>
    <t>ins.141</t>
  </si>
  <si>
    <t>ins.142</t>
  </si>
  <si>
    <t>ins.143</t>
  </si>
  <si>
    <t>ins.144</t>
  </si>
  <si>
    <t>ins.145</t>
  </si>
  <si>
    <t>ins.146</t>
  </si>
  <si>
    <t>ins.147</t>
  </si>
  <si>
    <t>ins.148</t>
  </si>
  <si>
    <t>ins.149</t>
  </si>
  <si>
    <t>ins.150</t>
  </si>
  <si>
    <t>ins.151</t>
  </si>
  <si>
    <t>ins.152</t>
  </si>
  <si>
    <t>ins.153</t>
  </si>
  <si>
    <t>ins.154</t>
  </si>
  <si>
    <t>ins.155</t>
  </si>
  <si>
    <t>ins.156</t>
  </si>
  <si>
    <t>ins.157</t>
  </si>
  <si>
    <t>ins.158</t>
  </si>
  <si>
    <t>ins.159</t>
  </si>
  <si>
    <t>ins.160</t>
  </si>
  <si>
    <t>ins.161</t>
  </si>
  <si>
    <t>ins.162</t>
  </si>
  <si>
    <t>fim</t>
  </si>
  <si>
    <t>IDMJAgricola</t>
  </si>
  <si>
    <t>Ordem</t>
  </si>
  <si>
    <t>PercArea</t>
  </si>
  <si>
    <t>DescricaoAtividade</t>
  </si>
  <si>
    <t>ValorTerceirizacaoHa</t>
  </si>
  <si>
    <t>ServTerceirizado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</si>
</sst>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6">
    <numFmt numFmtId="8" formatCode="&quot;R$&quot;\ #,##0.00;[Red]\-&quot;R$&quot;\ #,##0.00"/>
    <numFmt numFmtId="42" formatCode="_-&quot;R$&quot;\ * #,##0_-;\-&quot;R$&quot;\ * #,##0_-;_-&quot;R$&quot;\ 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_([$R$ -416]* #,##0.00_);_([$R$ -416]* \(#,##0.00\);_([$R$ -416]* &quot;-&quot;??_);_(@_)"/>
    <numFmt numFmtId="167" formatCode="0%&quot; Área de Pastagem&quot;"/>
    <numFmt numFmtId="168" formatCode="0.0%"/>
    <numFmt numFmtId="169" formatCode="0.0"/>
    <numFmt numFmtId="170" formatCode="0\ &quot;cab&quot;"/>
    <numFmt numFmtId="171" formatCode="##\ &quot;Antes do plantio&quot;"/>
    <numFmt numFmtId="172" formatCode="##\ &quot;Dias antes do plantio&quot;"/>
    <numFmt numFmtId="173" formatCode="##\ &quot;Dias depois do plantio&quot;"/>
    <numFmt numFmtId="174" formatCode="0.000"/>
    <numFmt numFmtId="175" formatCode="0\ &quot;ha&quot;"/>
    <numFmt numFmtId="176" formatCode="0.0\ &quot;anos&quot;"/>
    <numFmt numFmtId="177" formatCode="0.0\ &quot;meses&quot;"/>
    <numFmt numFmtId="178" formatCode="0.00\ &quot;meses&quot;"/>
    <numFmt numFmtId="179" formatCode="0.00\ &quot;kg&quot;"/>
    <numFmt numFmtId="180" formatCode="0.00\ &quot; / cab&quot;"/>
    <numFmt numFmtId="181" formatCode="0\ &quot;anos&quot;"/>
    <numFmt numFmtId="182" formatCode="0\ &quot;cv&quot;"/>
    <numFmt numFmtId="183" formatCode="0\ &quot;horas&quot;"/>
    <numFmt numFmtId="184" formatCode="0\ &quot;kg&quot;"/>
    <numFmt numFmtId="185" formatCode="0\ &quot;meses&quot;"/>
    <numFmt numFmtId="186" formatCode="0.0\ &quot;ha&quot;"/>
    <numFmt numFmtId="187" formatCode="_(&quot;R$ &quot;* #,##0.000_);_(&quot;R$ &quot;* \(#,##0.000\);_(&quot;R$ &quot;* &quot;-&quot;??_);_(@_)"/>
    <numFmt numFmtId="188" formatCode="0\ &quot;ml/frasco&quot;;\ &quot;dose&quot;"/>
    <numFmt numFmtId="189" formatCode="0\ &quot;metros&quot;"/>
    <numFmt numFmtId="190" formatCode="0.0000"/>
    <numFmt numFmtId="191" formatCode="0\ &quot;litros&quot;"/>
    <numFmt numFmtId="192" formatCode="_(&quot;R$ &quot;* #,##0.0_);_(&quot;R$ &quot;* \(#,##0.0\);_(&quot;R$ &quot;* &quot;-&quot;??_);_(@_)"/>
    <numFmt numFmtId="193" formatCode="0\ &quot;dias&quot;"/>
    <numFmt numFmtId="194" formatCode="0\ &quot;cab vendidas&quot;"/>
    <numFmt numFmtId="195" formatCode="0.00\ &quot;cab&quot;"/>
    <numFmt numFmtId="196" formatCode="_(* #,##0_);_(* \(#,##0\);_(* &quot;-&quot;??_);_(@_)"/>
    <numFmt numFmtId="197" formatCode="0\ &quot;cabeças&quot;"/>
    <numFmt numFmtId="198" formatCode="0.00\ &quot;ha&quot;"/>
    <numFmt numFmtId="199" formatCode="_(&quot;R$ &quot;* #,##0.0000_);_(&quot;R$ &quot;* \(#,##0.0000\);_(&quot;R$ &quot;* &quot;-&quot;??_);_(@_)"/>
    <numFmt numFmtId="200" formatCode="&quot;R$&quot;\ 0.00&quot;/ha&quot;"/>
    <numFmt numFmtId="201" formatCode="0.0\ &quot;t/ha&quot;"/>
    <numFmt numFmtId="202" formatCode="&quot;R$&quot;\ 0.00&quot;/ha.ano&quot;"/>
    <numFmt numFmtId="203" formatCode="0.00\ &quot;@/ha&quot;"/>
    <numFmt numFmtId="204" formatCode="0.00\ &quot;anos&quot;"/>
    <numFmt numFmtId="205" formatCode="0.00\ &quot;@&quot;"/>
    <numFmt numFmtId="206" formatCode="0.00\ &quot;UA/ha.mensal&quot;"/>
    <numFmt numFmtId="207" formatCode="&quot;mês&quot;\ 0"/>
    <numFmt numFmtId="208" formatCode="_-[$R$-416]\ * #,##0.00_-;\-[$R$-416]\ * #,##0.00_-;_-[$R$-416]\ * &quot;-&quot;??_-;_-@_-"/>
    <numFmt numFmtId="209" formatCode="0.00\ &quot;UA/ha&quot;"/>
    <numFmt numFmtId="210" formatCode="&quot;@ vendida/ área de pastagem&quot;"/>
    <numFmt numFmtId="211" formatCode="0\ &quot;funcionário(s)&quot;"/>
    <numFmt numFmtId="212" formatCode="0.00\ &quot;gr/cab.dia&quot;"/>
    <numFmt numFmtId="213" formatCode="0.00\ &quot;gr/UA.dia&quot;"/>
    <numFmt numFmtId="214" formatCode="&quot;R$&quot;\ #,##0.00&quot;/@&quot;"/>
    <numFmt numFmtId="215" formatCode="#,##0.0"/>
    <numFmt numFmtId="216" formatCode="0.0\ &quot;ml/frasco&quot;;\ &quot;dose&quot;"/>
    <numFmt numFmtId="217" formatCode="0.0\ &quot;km&quot;"/>
    <numFmt numFmtId="218" formatCode="0.0\ &quot;cab&quot;"/>
    <numFmt numFmtId="219" formatCode="0.0\ &quot;L&quot;"/>
    <numFmt numFmtId="220" formatCode="0.0\ &quot;cabeças&quot;"/>
    <numFmt numFmtId="221" formatCode="#,###,##0.0\ &quot;kg&quot;"/>
    <numFmt numFmtId="222" formatCode="#,###,##0\ &quot;cab&quot;"/>
    <numFmt numFmtId="223" formatCode="#,###,##0.0\ &quot;UA&quot;"/>
    <numFmt numFmtId="224" formatCode="#,###,##0.0\ &quot;@&quot;"/>
    <numFmt numFmtId="225" formatCode="#,###,##0\ &quot;kg&quot;"/>
    <numFmt numFmtId="226" formatCode="#,##0\ &quot;g/dia&quot;"/>
    <numFmt numFmtId="227" formatCode="0.0\ &quot;mêses&quot;"/>
    <numFmt numFmtId="228" formatCode="0.00\ &quot;km&quot;"/>
    <numFmt numFmtId="229" formatCode="#,###,##0.0\ &quot;cab&quot;"/>
    <numFmt numFmtId="230" formatCode="_(&quot;R$ &quot;* #,##0.00_);_(&quot;R$ &quot;* \(#,##0.00\);_(&quot;R$ &quot;* &quot;-&quot;_);_(@_)"/>
    <numFmt numFmtId="231" formatCode="0.0\ &quot;UA&quot;"/>
    <numFmt numFmtId="232" formatCode="#,###,##0.0"/>
    <numFmt numFmtId="233" formatCode="0.0\ &quot;kg&quot;"/>
    <numFmt numFmtId="234" formatCode="#,###,##0.00\ &quot;@&quot;"/>
    <numFmt numFmtId="235" formatCode="#,##0.00\ &quot;@/ha&quot;"/>
    <numFmt numFmtId="236" formatCode="#,##0\ &quot;@/funcionário&quot;"/>
    <numFmt numFmtId="237" formatCode="_(&quot;R$ &quot;* #,##0.0\ &quot;/ha&quot;_);_(&quot;R$ &quot;* \(#,##0.0\ &quot;/ha&quot;\);_(&quot;R$ &quot;* &quot;-&quot;??\ &quot;ha&quot;_);_(@_)"/>
    <numFmt numFmtId="238" formatCode="0.0\ &quot;horas&quot;"/>
    <numFmt numFmtId="239" formatCode="#,##0.000"/>
    <numFmt numFmtId="240" formatCode="#,##0.0\ &quot;ha&quot;"/>
    <numFmt numFmtId="241" formatCode="#,##0.0\ &quot;@&quot;"/>
    <numFmt numFmtId="242" formatCode="&quot;R$&quot;\ #,##0.0&quot;/ha&quot;"/>
    <numFmt numFmtId="243" formatCode="&quot;R$&quot;\ #,##0.0&quot;/@&quot;"/>
    <numFmt numFmtId="244" formatCode="_(&quot;R$ &quot;* #,##0.0\ &quot;/cab&quot;_);_(&quot;R$ &quot;* \(#,##0.0\ &quot;/cab&quot;\);_(&quot;R$ &quot;* &quot;-&quot;??\ &quot;cab&quot;_);_(@_)"/>
    <numFmt numFmtId="245" formatCode="_(#,##0.000\ &quot;kg/dia&quot;_);_(#,##0.000\ &quot;kg/dia&quot;\);_(&quot;-&quot;??\ &quot;kg/dia&quot;_);_(@_)"/>
    <numFmt numFmtId="246" formatCode="_(#,##0.00\ &quot;meses&quot;_);_(#,##0.00\ &quot;meses&quot;\);_(&quot;-&quot;??\ &quot;meses&quot;_);_(@_)"/>
    <numFmt numFmtId="247" formatCode="_(&quot;R$ &quot;* #,##0.00\ &quot;/kg&quot;_);_(&quot;R$ &quot;* \(#,##0.00\ &quot;/kg&quot;\);_(&quot;R$ &quot;* &quot;-&quot;??\ &quot;kg&quot;_);_(@_)"/>
    <numFmt numFmtId="248" formatCode="_-* #,##0.0_-;\-* #,##0.0_-;_-* &quot;-&quot;?_-;_-@_-"/>
    <numFmt numFmtId="249" formatCode="_(&quot;R$ &quot;* #,##0.00\ &quot;/cab&quot;_);_(&quot;R$ &quot;* \(#,##0.00\ &quot;/cab&quot;\);_(&quot;R$ &quot;* &quot;-&quot;??\ &quot;cab&quot;_);_(@_)"/>
    <numFmt numFmtId="250" formatCode="#,###,##0.0\ &quot;L&quot;"/>
    <numFmt numFmtId="251" formatCode="_(&quot;R$ &quot;* #,##0.00\ &quot;/@&quot;_);_(&quot;R$ &quot;* \(#,##0.00\ &quot;/@&quot;\);_(&quot;R$ &quot;* &quot;-&quot;??\ &quot;@&quot;_);_(@_)"/>
    <numFmt numFmtId="252" formatCode="_(&quot;R$ &quot;* #,##0.00\ &quot;/ha&quot;_);_(&quot;R$ &quot;* \(#,##0.00\ &quot;/ha&quot;\);_(&quot;R$ &quot;* &quot;-&quot;??\ &quot;ha&quot;_);_(@_)"/>
    <numFmt numFmtId="253" formatCode="_(#,##0.00\ &quot;@&quot;_);_(\(#,##0.00\ &quot;@&quot;\);_(&quot;-&quot;??\ &quot;@&quot;_);_(@_)"/>
    <numFmt numFmtId="254" formatCode="&quot;R$&quot;\ #,##0.00;[Red]&quot;R$&quot;\ #,##0.00"/>
    <numFmt numFmtId="255" formatCode="0.00\ &quot;gr/dia&quot;"/>
  </numFmts>
  <fonts count="9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color indexed="22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i/>
      <sz val="10"/>
      <name val="Arial"/>
      <family val="2"/>
    </font>
    <font>
      <i/>
      <sz val="8"/>
      <name val="Arial"/>
      <family val="2"/>
    </font>
    <font>
      <b/>
      <sz val="10"/>
      <color indexed="10"/>
      <name val="Arial"/>
      <family val="2"/>
    </font>
    <font>
      <i/>
      <sz val="10"/>
      <name val="Arial"/>
      <family val="2"/>
    </font>
    <font>
      <b/>
      <i/>
      <sz val="8"/>
      <name val="Arial"/>
      <family val="2"/>
    </font>
    <font>
      <i/>
      <sz val="10"/>
      <color indexed="10"/>
      <name val="Arial"/>
      <family val="2"/>
    </font>
    <font>
      <b/>
      <sz val="10"/>
      <color indexed="12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i/>
      <sz val="10"/>
      <color indexed="10"/>
      <name val="Arial"/>
      <family val="2"/>
    </font>
    <font>
      <sz val="10"/>
      <name val="Arial"/>
      <family val="2"/>
    </font>
    <font>
      <sz val="7"/>
      <name val="Arial"/>
      <family val="2"/>
    </font>
    <font>
      <b/>
      <sz val="9"/>
      <name val="Arial"/>
      <family val="2"/>
    </font>
    <font>
      <b/>
      <i/>
      <sz val="12"/>
      <name val="Arial"/>
      <family val="2"/>
    </font>
    <font>
      <b/>
      <sz val="7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20"/>
      <name val="Arial"/>
      <family val="2"/>
    </font>
    <font>
      <b/>
      <sz val="12"/>
      <color indexed="10"/>
      <name val="Arial"/>
      <family val="2"/>
    </font>
    <font>
      <sz val="12"/>
      <name val="Arial"/>
      <family val="2"/>
    </font>
    <font>
      <sz val="12"/>
      <name val="Times New Roman"/>
      <family val="1"/>
    </font>
    <font>
      <sz val="1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Arial"/>
      <family val="2"/>
    </font>
    <font>
      <b/>
      <sz val="11"/>
      <name val="Calibri"/>
      <family val="2"/>
    </font>
    <font>
      <vertAlign val="superscript"/>
      <sz val="10"/>
      <name val="Arial"/>
      <family val="2"/>
    </font>
    <font>
      <i/>
      <vertAlign val="superscript"/>
      <sz val="10"/>
      <name val="Arial"/>
      <family val="2"/>
    </font>
    <font>
      <sz val="10"/>
      <name val="Arial"/>
      <family val="2"/>
    </font>
    <font>
      <b/>
      <sz val="30"/>
      <name val="Arial"/>
      <family val="2"/>
    </font>
    <font>
      <b/>
      <sz val="25"/>
      <name val="Arial"/>
      <family val="2"/>
    </font>
    <font>
      <b/>
      <sz val="16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u/>
      <sz val="1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7.5"/>
      <name val="Verdana"/>
      <family val="2"/>
    </font>
    <font>
      <b/>
      <sz val="7.5"/>
      <color indexed="8"/>
      <name val="Verdana"/>
      <family val="2"/>
    </font>
    <font>
      <sz val="10"/>
      <name val="Arial"/>
      <family val="2"/>
    </font>
    <font>
      <sz val="10"/>
      <name val="Arial"/>
      <family val="2"/>
    </font>
    <font>
      <sz val="10"/>
      <color theme="0" tint="-0.499984740745262"/>
      <name val="Arial"/>
      <family val="2"/>
    </font>
    <font>
      <b/>
      <sz val="10"/>
      <color theme="0" tint="-0.499984740745262"/>
      <name val="Arial"/>
      <family val="2"/>
    </font>
    <font>
      <sz val="10"/>
      <color theme="0" tint="-0.249977111117893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color theme="0" tint="-0.249977111117893"/>
      <name val="Arial"/>
      <family val="2"/>
    </font>
    <font>
      <b/>
      <sz val="10"/>
      <color theme="3"/>
      <name val="Arial"/>
      <family val="2"/>
    </font>
    <font>
      <sz val="10"/>
      <color theme="0" tint="-0.14999847407452621"/>
      <name val="Arial"/>
      <family val="2"/>
    </font>
    <font>
      <b/>
      <sz val="7.5"/>
      <color rgb="FF000000"/>
      <name val="Verdana"/>
      <family val="2"/>
    </font>
    <font>
      <sz val="7.5"/>
      <color rgb="FF000000"/>
      <name val="Verdana"/>
      <family val="2"/>
    </font>
    <font>
      <b/>
      <sz val="10"/>
      <color rgb="FFC00000"/>
      <name val="Arial"/>
      <family val="2"/>
    </font>
    <font>
      <b/>
      <sz val="10"/>
      <color theme="4" tint="-0.499984740745262"/>
      <name val="Arial"/>
      <family val="2"/>
    </font>
    <font>
      <b/>
      <sz val="10"/>
      <color theme="0"/>
      <name val="Arial"/>
      <family val="2"/>
    </font>
    <font>
      <sz val="8"/>
      <color theme="0" tint="-0.14999847407452621"/>
      <name val="Arial"/>
      <family val="2"/>
    </font>
    <font>
      <b/>
      <sz val="10"/>
      <color theme="0" tint="-0.249977111117893"/>
      <name val="Arial"/>
      <family val="2"/>
    </font>
    <font>
      <b/>
      <sz val="9"/>
      <color theme="0" tint="-0.249977111117893"/>
      <name val="Arial"/>
      <family val="2"/>
    </font>
    <font>
      <sz val="10"/>
      <color theme="0"/>
      <name val="Arial"/>
      <family val="2"/>
    </font>
    <font>
      <sz val="10"/>
      <color theme="1" tint="0.249977111117893"/>
      <name val="Arial"/>
      <family val="2"/>
    </font>
    <font>
      <sz val="10"/>
      <color rgb="FFFF0000"/>
      <name val="Arial"/>
      <family val="2"/>
    </font>
    <font>
      <b/>
      <sz val="10"/>
      <color theme="1" tint="0.249977111117893"/>
      <name val="Arial"/>
      <family val="2"/>
    </font>
    <font>
      <b/>
      <u/>
      <sz val="10"/>
      <name val="Arial"/>
      <family val="2"/>
    </font>
    <font>
      <b/>
      <sz val="10"/>
      <color theme="3" tint="-0.499984740745262"/>
      <name val="Arial"/>
      <family val="2"/>
    </font>
    <font>
      <sz val="10"/>
      <color theme="0" tint="-0.34998626667073579"/>
      <name val="Arial"/>
      <family val="2"/>
    </font>
    <font>
      <b/>
      <sz val="12"/>
      <color rgb="FFC00000"/>
      <name val="Arial"/>
      <family val="2"/>
    </font>
    <font>
      <sz val="9"/>
      <color indexed="81"/>
      <name val="Arial"/>
      <family val="2"/>
    </font>
    <font>
      <sz val="8"/>
      <color theme="1" tint="0.249977111117893"/>
      <name val="Arial"/>
      <family val="2"/>
    </font>
    <font>
      <sz val="10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b/>
      <sz val="10"/>
      <color theme="1" tint="0.34998626667073579"/>
      <name val="Arial"/>
      <family val="2"/>
    </font>
    <font>
      <b/>
      <sz val="8"/>
      <color theme="1" tint="0.34998626667073579"/>
      <name val="Arial"/>
      <family val="2"/>
    </font>
    <font>
      <b/>
      <sz val="11"/>
      <color theme="0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0" tint="-0.14999847407452621"/>
      <name val="Calibri"/>
      <family val="2"/>
      <scheme val="minor"/>
    </font>
    <font>
      <b/>
      <sz val="11"/>
      <color theme="0" tint="-0.14999847407452621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0" tint="-0.34998626667073579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Arial"/>
    </font>
  </fonts>
  <fills count="3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1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double">
        <color indexed="64"/>
      </right>
      <top/>
      <bottom style="thick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</borders>
  <cellStyleXfs count="55">
    <xf numFmtId="0" fontId="0" fillId="0" borderId="0"/>
    <xf numFmtId="164" fontId="1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96" fillId="0" borderId="0"/>
    <xf numFmtId="0" fontId="97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7" fillId="0" borderId="0"/>
    <xf numFmtId="0" fontId="96" fillId="0" borderId="0"/>
    <xf numFmtId="0" fontId="96" fillId="0" borderId="0"/>
    <xf numFmtId="0" fontId="97" fillId="0" borderId="0"/>
  </cellStyleXfs>
  <cellXfs count="2849">
    <xf numFmtId="0" fontId="0" fillId="0" borderId="0" xfId="0"/>
    <xf numFmtId="0" fontId="0" fillId="2" borderId="1" xfId="0" applyFill="1" applyBorder="1"/>
    <xf numFmtId="0" fontId="0" fillId="2" borderId="1" xfId="0" applyFill="1" applyBorder="1" applyProtection="1">
      <protection locked="0"/>
    </xf>
    <xf numFmtId="0" fontId="0" fillId="3" borderId="1" xfId="0" applyFill="1" applyBorder="1"/>
    <xf numFmtId="0" fontId="4" fillId="3" borderId="1" xfId="0" applyFont="1" applyFill="1" applyBorder="1"/>
    <xf numFmtId="0" fontId="4" fillId="2" borderId="1" xfId="0" applyFont="1" applyFill="1" applyBorder="1" applyProtection="1">
      <protection locked="0"/>
    </xf>
    <xf numFmtId="0" fontId="0" fillId="3" borderId="0" xfId="0" applyFill="1" applyBorder="1"/>
    <xf numFmtId="0" fontId="0" fillId="3" borderId="2" xfId="0" applyFill="1" applyBorder="1"/>
    <xf numFmtId="0" fontId="2" fillId="4" borderId="0" xfId="0" applyFont="1" applyFill="1" applyAlignment="1">
      <alignment horizontal="center"/>
    </xf>
    <xf numFmtId="0" fontId="2" fillId="4" borderId="3" xfId="0" applyFont="1" applyFill="1" applyBorder="1" applyAlignment="1">
      <alignment horizontal="center"/>
    </xf>
    <xf numFmtId="0" fontId="0" fillId="5" borderId="0" xfId="0" applyFill="1" applyAlignment="1">
      <alignment horizontal="center"/>
    </xf>
    <xf numFmtId="0" fontId="0" fillId="0" borderId="4" xfId="0" applyBorder="1" applyAlignment="1">
      <alignment horizontal="center"/>
    </xf>
    <xf numFmtId="0" fontId="5" fillId="0" borderId="4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5" fillId="0" borderId="5" xfId="0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0" fontId="4" fillId="0" borderId="0" xfId="0" applyFont="1" applyFill="1" applyBorder="1" applyAlignment="1" applyProtection="1">
      <alignment horizontal="center"/>
      <protection locked="0"/>
    </xf>
    <xf numFmtId="0" fontId="4" fillId="0" borderId="6" xfId="0" applyFont="1" applyFill="1" applyBorder="1" applyAlignment="1" applyProtection="1">
      <alignment horizontal="center"/>
      <protection locked="0"/>
    </xf>
    <xf numFmtId="0" fontId="4" fillId="0" borderId="4" xfId="0" applyFont="1" applyFill="1" applyBorder="1" applyAlignment="1" applyProtection="1">
      <alignment horizontal="center"/>
      <protection locked="0"/>
    </xf>
    <xf numFmtId="0" fontId="0" fillId="2" borderId="1" xfId="0" applyFill="1" applyBorder="1" applyAlignment="1">
      <alignment horizontal="center"/>
    </xf>
    <xf numFmtId="0" fontId="0" fillId="5" borderId="6" xfId="0" applyFill="1" applyBorder="1" applyAlignment="1">
      <alignment horizontal="center"/>
    </xf>
    <xf numFmtId="0" fontId="0" fillId="5" borderId="7" xfId="0" applyFill="1" applyBorder="1" applyAlignment="1">
      <alignment horizontal="center"/>
    </xf>
    <xf numFmtId="0" fontId="0" fillId="6" borderId="0" xfId="0" applyFill="1" applyAlignment="1">
      <alignment horizontal="center"/>
    </xf>
    <xf numFmtId="10" fontId="0" fillId="2" borderId="1" xfId="1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4" fillId="0" borderId="1" xfId="0" applyFont="1" applyFill="1" applyBorder="1" applyAlignment="1" applyProtection="1">
      <alignment horizontal="center"/>
      <protection locked="0"/>
    </xf>
    <xf numFmtId="0" fontId="22" fillId="0" borderId="4" xfId="0" applyFont="1" applyFill="1" applyBorder="1" applyAlignment="1" applyProtection="1">
      <alignment horizontal="center"/>
      <protection locked="0"/>
    </xf>
    <xf numFmtId="164" fontId="0" fillId="2" borderId="1" xfId="1" applyFont="1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9" fontId="0" fillId="2" borderId="1" xfId="11" applyFont="1" applyFill="1" applyBorder="1" applyAlignment="1">
      <alignment horizontal="center"/>
    </xf>
    <xf numFmtId="17" fontId="4" fillId="4" borderId="0" xfId="0" applyNumberFormat="1" applyFont="1" applyFill="1" applyAlignment="1">
      <alignment horizontal="center"/>
    </xf>
    <xf numFmtId="17" fontId="4" fillId="5" borderId="0" xfId="0" applyNumberFormat="1" applyFont="1" applyFill="1" applyAlignment="1">
      <alignment horizontal="center"/>
    </xf>
    <xf numFmtId="0" fontId="4" fillId="3" borderId="0" xfId="0" applyFont="1" applyFill="1"/>
    <xf numFmtId="0" fontId="4" fillId="3" borderId="0" xfId="0" applyFont="1" applyFill="1" applyBorder="1"/>
    <xf numFmtId="0" fontId="4" fillId="3" borderId="9" xfId="0" applyFont="1" applyFill="1" applyBorder="1"/>
    <xf numFmtId="0" fontId="2" fillId="3" borderId="0" xfId="0" applyFont="1" applyFill="1"/>
    <xf numFmtId="4" fontId="7" fillId="3" borderId="0" xfId="0" applyNumberFormat="1" applyFont="1" applyFill="1" applyProtection="1">
      <protection hidden="1"/>
    </xf>
    <xf numFmtId="4" fontId="0" fillId="3" borderId="0" xfId="0" applyNumberFormat="1" applyFill="1" applyProtection="1">
      <protection hidden="1"/>
    </xf>
    <xf numFmtId="0" fontId="0" fillId="3" borderId="0" xfId="0" applyFill="1" applyProtection="1">
      <protection hidden="1"/>
    </xf>
    <xf numFmtId="4" fontId="7" fillId="3" borderId="0" xfId="0" applyNumberFormat="1" applyFont="1" applyFill="1" applyBorder="1" applyProtection="1">
      <protection hidden="1"/>
    </xf>
    <xf numFmtId="0" fontId="9" fillId="3" borderId="0" xfId="0" applyFont="1" applyFill="1" applyAlignment="1">
      <alignment shrinkToFit="1"/>
    </xf>
    <xf numFmtId="0" fontId="11" fillId="3" borderId="0" xfId="0" applyFont="1" applyFill="1"/>
    <xf numFmtId="0" fontId="11" fillId="3" borderId="0" xfId="0" applyFont="1" applyFill="1" applyBorder="1"/>
    <xf numFmtId="0" fontId="2" fillId="3" borderId="0" xfId="0" applyFont="1" applyFill="1" applyAlignment="1">
      <alignment horizontal="center"/>
    </xf>
    <xf numFmtId="166" fontId="2" fillId="3" borderId="0" xfId="0" applyNumberFormat="1" applyFont="1" applyFill="1" applyBorder="1"/>
    <xf numFmtId="166" fontId="8" fillId="3" borderId="0" xfId="0" applyNumberFormat="1" applyFont="1" applyFill="1" applyBorder="1"/>
    <xf numFmtId="0" fontId="6" fillId="3" borderId="0" xfId="0" applyNumberFormat="1" applyFont="1" applyFill="1" applyBorder="1" applyAlignment="1">
      <alignment horizontal="center" vertical="center" textRotation="90" shrinkToFit="1"/>
    </xf>
    <xf numFmtId="0" fontId="4" fillId="2" borderId="5" xfId="0" applyFont="1" applyFill="1" applyBorder="1" applyProtection="1">
      <protection locked="0"/>
    </xf>
    <xf numFmtId="1" fontId="4" fillId="2" borderId="5" xfId="11" applyNumberFormat="1" applyFont="1" applyFill="1" applyBorder="1" applyProtection="1">
      <protection locked="0"/>
    </xf>
    <xf numFmtId="0" fontId="9" fillId="3" borderId="0" xfId="0" applyFont="1" applyFill="1" applyBorder="1" applyAlignment="1">
      <alignment shrinkToFit="1"/>
    </xf>
    <xf numFmtId="1" fontId="4" fillId="3" borderId="0" xfId="11" applyNumberFormat="1" applyFont="1" applyFill="1" applyBorder="1"/>
    <xf numFmtId="1" fontId="2" fillId="3" borderId="0" xfId="11" applyNumberFormat="1" applyFont="1" applyFill="1" applyBorder="1" applyAlignment="1">
      <alignment horizontal="right"/>
    </xf>
    <xf numFmtId="0" fontId="12" fillId="3" borderId="0" xfId="0" applyFont="1" applyFill="1" applyAlignment="1">
      <alignment horizontal="center" shrinkToFit="1"/>
    </xf>
    <xf numFmtId="0" fontId="2" fillId="2" borderId="1" xfId="0" applyFont="1" applyFill="1" applyBorder="1" applyProtection="1">
      <protection locked="0"/>
    </xf>
    <xf numFmtId="164" fontId="4" fillId="2" borderId="1" xfId="1" applyFont="1" applyFill="1" applyBorder="1" applyAlignment="1" applyProtection="1">
      <alignment horizontal="center"/>
      <protection locked="0"/>
    </xf>
    <xf numFmtId="9" fontId="4" fillId="3" borderId="0" xfId="11" applyFont="1" applyFill="1" applyBorder="1"/>
    <xf numFmtId="164" fontId="4" fillId="3" borderId="0" xfId="0" applyNumberFormat="1" applyFont="1" applyFill="1" applyBorder="1"/>
    <xf numFmtId="164" fontId="4" fillId="2" borderId="1" xfId="1" applyFont="1" applyFill="1" applyBorder="1"/>
    <xf numFmtId="0" fontId="2" fillId="7" borderId="0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9" fillId="3" borderId="9" xfId="0" applyFont="1" applyFill="1" applyBorder="1" applyAlignment="1">
      <alignment shrinkToFit="1"/>
    </xf>
    <xf numFmtId="182" fontId="0" fillId="0" borderId="1" xfId="0" applyNumberForma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2" fillId="0" borderId="13" xfId="0" applyFont="1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2" fillId="0" borderId="14" xfId="0" applyFont="1" applyFill="1" applyBorder="1" applyAlignment="1">
      <alignment horizontal="center"/>
    </xf>
    <xf numFmtId="9" fontId="4" fillId="0" borderId="1" xfId="11" applyFont="1" applyFill="1" applyBorder="1" applyAlignment="1">
      <alignment horizontal="center"/>
    </xf>
    <xf numFmtId="9" fontId="2" fillId="3" borderId="0" xfId="11" applyFont="1" applyFill="1" applyBorder="1" applyAlignment="1" applyProtection="1">
      <alignment horizontal="center"/>
      <protection locked="0"/>
    </xf>
    <xf numFmtId="164" fontId="2" fillId="2" borderId="15" xfId="1" applyFont="1" applyFill="1" applyBorder="1" applyAlignment="1" applyProtection="1">
      <alignment horizontal="center"/>
      <protection locked="0"/>
    </xf>
    <xf numFmtId="164" fontId="4" fillId="3" borderId="1" xfId="1" applyFont="1" applyFill="1" applyBorder="1"/>
    <xf numFmtId="0" fontId="4" fillId="3" borderId="1" xfId="21" applyNumberFormat="1" applyFont="1" applyFill="1" applyBorder="1" applyAlignment="1" applyProtection="1">
      <alignment horizontal="center"/>
      <protection locked="0"/>
    </xf>
    <xf numFmtId="183" fontId="4" fillId="3" borderId="1" xfId="21" applyNumberFormat="1" applyFont="1" applyFill="1" applyBorder="1" applyAlignment="1" applyProtection="1">
      <alignment horizontal="center"/>
      <protection locked="0"/>
    </xf>
    <xf numFmtId="0" fontId="2" fillId="0" borderId="5" xfId="0" applyFont="1" applyFill="1" applyBorder="1" applyAlignment="1">
      <alignment horizontal="center"/>
    </xf>
    <xf numFmtId="0" fontId="2" fillId="4" borderId="16" xfId="0" applyFont="1" applyFill="1" applyBorder="1" applyAlignment="1">
      <alignment horizontal="center"/>
    </xf>
    <xf numFmtId="164" fontId="4" fillId="3" borderId="1" xfId="1" applyFont="1" applyFill="1" applyBorder="1" applyAlignment="1">
      <alignment horizontal="center"/>
    </xf>
    <xf numFmtId="164" fontId="4" fillId="3" borderId="1" xfId="0" applyNumberFormat="1" applyFont="1" applyFill="1" applyBorder="1"/>
    <xf numFmtId="0" fontId="0" fillId="0" borderId="17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2" borderId="5" xfId="0" applyFill="1" applyBorder="1" applyAlignment="1" applyProtection="1">
      <alignment horizontal="center"/>
      <protection locked="0"/>
    </xf>
    <xf numFmtId="0" fontId="0" fillId="0" borderId="18" xfId="0" applyBorder="1" applyAlignment="1">
      <alignment horizontal="center"/>
    </xf>
    <xf numFmtId="0" fontId="0" fillId="3" borderId="0" xfId="0" applyFill="1" applyBorder="1" applyProtection="1">
      <protection hidden="1"/>
    </xf>
    <xf numFmtId="4" fontId="18" fillId="3" borderId="0" xfId="0" applyNumberFormat="1" applyFont="1" applyFill="1" applyBorder="1" applyProtection="1">
      <protection hidden="1"/>
    </xf>
    <xf numFmtId="4" fontId="0" fillId="3" borderId="0" xfId="0" applyNumberFormat="1" applyFill="1" applyBorder="1" applyProtection="1">
      <protection hidden="1"/>
    </xf>
    <xf numFmtId="0" fontId="0" fillId="3" borderId="0" xfId="0" applyFill="1" applyBorder="1" applyAlignment="1" applyProtection="1">
      <alignment horizontal="center"/>
      <protection hidden="1"/>
    </xf>
    <xf numFmtId="4" fontId="0" fillId="3" borderId="0" xfId="0" applyNumberFormat="1" applyFill="1" applyBorder="1" applyAlignment="1" applyProtection="1">
      <alignment horizontal="center"/>
      <protection hidden="1"/>
    </xf>
    <xf numFmtId="4" fontId="18" fillId="3" borderId="0" xfId="0" applyNumberFormat="1" applyFont="1" applyFill="1" applyProtection="1">
      <protection hidden="1"/>
    </xf>
    <xf numFmtId="0" fontId="2" fillId="3" borderId="0" xfId="0" applyFont="1" applyFill="1" applyBorder="1" applyAlignment="1">
      <alignment horizontal="center"/>
    </xf>
    <xf numFmtId="0" fontId="4" fillId="2" borderId="1" xfId="0" applyFont="1" applyFill="1" applyBorder="1"/>
    <xf numFmtId="0" fontId="2" fillId="3" borderId="0" xfId="0" applyFont="1" applyFill="1" applyBorder="1"/>
    <xf numFmtId="0" fontId="4" fillId="3" borderId="2" xfId="0" applyFont="1" applyFill="1" applyBorder="1"/>
    <xf numFmtId="0" fontId="0" fillId="3" borderId="0" xfId="0" applyFill="1"/>
    <xf numFmtId="164" fontId="0" fillId="3" borderId="1" xfId="1" applyFont="1" applyFill="1" applyBorder="1"/>
    <xf numFmtId="0" fontId="2" fillId="3" borderId="1" xfId="0" applyFont="1" applyFill="1" applyBorder="1"/>
    <xf numFmtId="164" fontId="2" fillId="3" borderId="1" xfId="0" applyNumberFormat="1" applyFont="1" applyFill="1" applyBorder="1"/>
    <xf numFmtId="0" fontId="18" fillId="3" borderId="2" xfId="0" applyFont="1" applyFill="1" applyBorder="1"/>
    <xf numFmtId="0" fontId="2" fillId="7" borderId="1" xfId="0" applyFont="1" applyFill="1" applyBorder="1"/>
    <xf numFmtId="0" fontId="2" fillId="7" borderId="1" xfId="0" applyFont="1" applyFill="1" applyBorder="1" applyAlignment="1">
      <alignment horizontal="center"/>
    </xf>
    <xf numFmtId="0" fontId="0" fillId="7" borderId="1" xfId="0" applyFill="1" applyBorder="1"/>
    <xf numFmtId="4" fontId="4" fillId="3" borderId="1" xfId="0" applyNumberFormat="1" applyFont="1" applyFill="1" applyBorder="1" applyAlignment="1" applyProtection="1">
      <alignment horizontal="center"/>
      <protection hidden="1"/>
    </xf>
    <xf numFmtId="164" fontId="0" fillId="3" borderId="8" xfId="1" applyFont="1" applyFill="1" applyBorder="1"/>
    <xf numFmtId="164" fontId="2" fillId="3" borderId="0" xfId="0" applyNumberFormat="1" applyFont="1" applyFill="1" applyBorder="1"/>
    <xf numFmtId="186" fontId="2" fillId="2" borderId="19" xfId="0" applyNumberFormat="1" applyFont="1" applyFill="1" applyBorder="1" applyAlignment="1">
      <alignment horizontal="center"/>
    </xf>
    <xf numFmtId="164" fontId="2" fillId="3" borderId="1" xfId="1" applyFont="1" applyFill="1" applyBorder="1" applyAlignment="1">
      <alignment horizontal="center"/>
    </xf>
    <xf numFmtId="164" fontId="0" fillId="3" borderId="1" xfId="0" applyNumberFormat="1" applyFill="1" applyBorder="1"/>
    <xf numFmtId="0" fontId="0" fillId="3" borderId="9" xfId="0" applyFill="1" applyBorder="1"/>
    <xf numFmtId="0" fontId="4" fillId="7" borderId="1" xfId="0" applyFont="1" applyFill="1" applyBorder="1"/>
    <xf numFmtId="4" fontId="18" fillId="3" borderId="2" xfId="0" applyNumberFormat="1" applyFont="1" applyFill="1" applyBorder="1" applyProtection="1">
      <protection hidden="1"/>
    </xf>
    <xf numFmtId="168" fontId="0" fillId="2" borderId="1" xfId="11" applyNumberFormat="1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0" fillId="7" borderId="19" xfId="0" applyFill="1" applyBorder="1"/>
    <xf numFmtId="164" fontId="0" fillId="3" borderId="0" xfId="0" applyNumberFormat="1" applyFill="1" applyBorder="1"/>
    <xf numFmtId="164" fontId="0" fillId="3" borderId="0" xfId="1" applyFont="1" applyFill="1" applyBorder="1"/>
    <xf numFmtId="164" fontId="0" fillId="3" borderId="0" xfId="1" applyFont="1" applyFill="1" applyBorder="1" applyAlignment="1">
      <alignment horizontal="center"/>
    </xf>
    <xf numFmtId="0" fontId="2" fillId="7" borderId="5" xfId="0" applyFont="1" applyFill="1" applyBorder="1" applyAlignment="1">
      <alignment horizontal="center"/>
    </xf>
    <xf numFmtId="0" fontId="2" fillId="7" borderId="13" xfId="0" applyFont="1" applyFill="1" applyBorder="1" applyAlignment="1">
      <alignment horizontal="center"/>
    </xf>
    <xf numFmtId="164" fontId="0" fillId="3" borderId="0" xfId="0" applyNumberFormat="1" applyFill="1"/>
    <xf numFmtId="187" fontId="0" fillId="2" borderId="1" xfId="1" applyNumberFormat="1" applyFont="1" applyFill="1" applyBorder="1" applyAlignment="1">
      <alignment horizontal="center"/>
    </xf>
    <xf numFmtId="164" fontId="0" fillId="3" borderId="1" xfId="1" applyNumberFormat="1" applyFont="1" applyFill="1" applyBorder="1" applyAlignment="1">
      <alignment horizontal="center"/>
    </xf>
    <xf numFmtId="0" fontId="18" fillId="3" borderId="0" xfId="0" applyFont="1" applyFill="1" applyBorder="1"/>
    <xf numFmtId="0" fontId="4" fillId="6" borderId="0" xfId="0" applyFont="1" applyFill="1" applyBorder="1" applyAlignment="1" applyProtection="1">
      <alignment horizontal="center"/>
      <protection locked="0"/>
    </xf>
    <xf numFmtId="0" fontId="4" fillId="5" borderId="0" xfId="0" applyFont="1" applyFill="1" applyBorder="1" applyAlignment="1" applyProtection="1">
      <alignment horizontal="center"/>
      <protection locked="0"/>
    </xf>
    <xf numFmtId="0" fontId="4" fillId="4" borderId="0" xfId="0" applyFont="1" applyFill="1" applyBorder="1" applyAlignment="1" applyProtection="1">
      <alignment horizontal="center"/>
      <protection locked="0"/>
    </xf>
    <xf numFmtId="0" fontId="0" fillId="0" borderId="6" xfId="0" applyBorder="1" applyAlignment="1">
      <alignment horizontal="center"/>
    </xf>
    <xf numFmtId="0" fontId="7" fillId="3" borderId="0" xfId="0" applyFont="1" applyFill="1"/>
    <xf numFmtId="164" fontId="0" fillId="3" borderId="1" xfId="1" applyFont="1" applyFill="1" applyBorder="1" applyAlignment="1">
      <alignment horizontal="center"/>
    </xf>
    <xf numFmtId="0" fontId="0" fillId="3" borderId="8" xfId="0" applyFill="1" applyBorder="1"/>
    <xf numFmtId="164" fontId="0" fillId="3" borderId="8" xfId="0" applyNumberFormat="1" applyFill="1" applyBorder="1"/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2" fillId="2" borderId="22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/>
    </xf>
    <xf numFmtId="0" fontId="0" fillId="0" borderId="23" xfId="0" applyBorder="1" applyAlignment="1">
      <alignment horizontal="center"/>
    </xf>
    <xf numFmtId="0" fontId="2" fillId="2" borderId="17" xfId="0" applyFont="1" applyFill="1" applyBorder="1" applyAlignment="1">
      <alignment horizontal="center"/>
    </xf>
    <xf numFmtId="0" fontId="4" fillId="0" borderId="23" xfId="0" applyFont="1" applyFill="1" applyBorder="1" applyAlignment="1" applyProtection="1">
      <alignment horizontal="center"/>
      <protection locked="0"/>
    </xf>
    <xf numFmtId="0" fontId="4" fillId="0" borderId="16" xfId="0" applyFont="1" applyFill="1" applyBorder="1" applyAlignment="1" applyProtection="1">
      <alignment horizontal="center"/>
      <protection locked="0"/>
    </xf>
    <xf numFmtId="0" fontId="2" fillId="2" borderId="10" xfId="0" applyFont="1" applyFill="1" applyBorder="1" applyAlignment="1">
      <alignment horizontal="center"/>
    </xf>
    <xf numFmtId="0" fontId="0" fillId="2" borderId="1" xfId="21" applyNumberFormat="1" applyFont="1" applyFill="1" applyBorder="1" applyAlignment="1">
      <alignment horizontal="center"/>
    </xf>
    <xf numFmtId="189" fontId="0" fillId="3" borderId="1" xfId="0" applyNumberFormat="1" applyFill="1" applyBorder="1" applyAlignment="1">
      <alignment horizontal="center"/>
    </xf>
    <xf numFmtId="0" fontId="0" fillId="0" borderId="24" xfId="0" applyFill="1" applyBorder="1" applyAlignment="1">
      <alignment horizontal="center"/>
    </xf>
    <xf numFmtId="0" fontId="2" fillId="7" borderId="25" xfId="0" applyFont="1" applyFill="1" applyBorder="1" applyAlignment="1">
      <alignment horizontal="center"/>
    </xf>
    <xf numFmtId="0" fontId="0" fillId="2" borderId="5" xfId="1" applyNumberFormat="1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1" fontId="0" fillId="3" borderId="0" xfId="0" applyNumberFormat="1" applyFill="1" applyBorder="1" applyAlignment="1">
      <alignment horizontal="center"/>
    </xf>
    <xf numFmtId="9" fontId="0" fillId="3" borderId="0" xfId="11" applyFont="1" applyFill="1" applyBorder="1" applyAlignment="1">
      <alignment horizontal="center"/>
    </xf>
    <xf numFmtId="184" fontId="0" fillId="3" borderId="1" xfId="0" applyNumberFormat="1" applyFill="1" applyBorder="1" applyAlignment="1">
      <alignment horizontal="center"/>
    </xf>
    <xf numFmtId="1" fontId="4" fillId="3" borderId="1" xfId="21" applyNumberFormat="1" applyFont="1" applyFill="1" applyBorder="1" applyAlignment="1">
      <alignment horizontal="center"/>
    </xf>
    <xf numFmtId="0" fontId="0" fillId="7" borderId="8" xfId="0" applyFill="1" applyBorder="1" applyAlignment="1">
      <alignment horizontal="center"/>
    </xf>
    <xf numFmtId="1" fontId="4" fillId="2" borderId="5" xfId="11" applyNumberFormat="1" applyFont="1" applyFill="1" applyBorder="1" applyAlignment="1" applyProtection="1">
      <alignment horizontal="center"/>
      <protection locked="0"/>
    </xf>
    <xf numFmtId="181" fontId="4" fillId="2" borderId="5" xfId="11" applyNumberFormat="1" applyFont="1" applyFill="1" applyBorder="1" applyAlignment="1" applyProtection="1">
      <alignment horizontal="center"/>
      <protection locked="0"/>
    </xf>
    <xf numFmtId="164" fontId="4" fillId="2" borderId="5" xfId="1" applyFont="1" applyFill="1" applyBorder="1" applyAlignment="1" applyProtection="1">
      <alignment horizontal="center"/>
      <protection locked="0"/>
    </xf>
    <xf numFmtId="0" fontId="0" fillId="0" borderId="13" xfId="0" applyBorder="1" applyAlignment="1">
      <alignment horizontal="center"/>
    </xf>
    <xf numFmtId="164" fontId="4" fillId="2" borderId="5" xfId="1" applyFont="1" applyFill="1" applyBorder="1" applyProtection="1">
      <protection locked="0"/>
    </xf>
    <xf numFmtId="169" fontId="4" fillId="3" borderId="1" xfId="21" applyNumberFormat="1" applyFont="1" applyFill="1" applyBorder="1" applyAlignment="1">
      <alignment horizontal="center"/>
    </xf>
    <xf numFmtId="0" fontId="5" fillId="3" borderId="0" xfId="0" applyFont="1" applyFill="1"/>
    <xf numFmtId="164" fontId="3" fillId="3" borderId="1" xfId="1" applyFont="1" applyFill="1" applyBorder="1" applyAlignment="1">
      <alignment horizontal="center"/>
    </xf>
    <xf numFmtId="164" fontId="3" fillId="3" borderId="0" xfId="1" applyFont="1" applyFill="1" applyBorder="1" applyAlignment="1">
      <alignment horizontal="center"/>
    </xf>
    <xf numFmtId="10" fontId="7" fillId="3" borderId="0" xfId="11" applyNumberFormat="1" applyFont="1" applyFill="1" applyProtection="1">
      <protection hidden="1"/>
    </xf>
    <xf numFmtId="0" fontId="0" fillId="3" borderId="9" xfId="0" applyFill="1" applyBorder="1" applyProtection="1">
      <protection hidden="1"/>
    </xf>
    <xf numFmtId="4" fontId="7" fillId="3" borderId="9" xfId="0" applyNumberFormat="1" applyFont="1" applyFill="1" applyBorder="1" applyProtection="1">
      <protection hidden="1"/>
    </xf>
    <xf numFmtId="4" fontId="0" fillId="3" borderId="9" xfId="0" applyNumberFormat="1" applyFill="1" applyBorder="1" applyProtection="1">
      <protection hidden="1"/>
    </xf>
    <xf numFmtId="4" fontId="7" fillId="3" borderId="1" xfId="0" applyNumberFormat="1" applyFont="1" applyFill="1" applyBorder="1" applyProtection="1">
      <protection hidden="1"/>
    </xf>
    <xf numFmtId="0" fontId="2" fillId="7" borderId="1" xfId="0" applyFont="1" applyFill="1" applyBorder="1" applyAlignment="1">
      <alignment horizontal="left"/>
    </xf>
    <xf numFmtId="164" fontId="0" fillId="3" borderId="1" xfId="1" applyFont="1" applyFill="1" applyBorder="1" applyProtection="1">
      <protection hidden="1"/>
    </xf>
    <xf numFmtId="0" fontId="7" fillId="7" borderId="1" xfId="0" applyFont="1" applyFill="1" applyBorder="1" applyAlignment="1">
      <alignment horizontal="center"/>
    </xf>
    <xf numFmtId="4" fontId="0" fillId="7" borderId="1" xfId="0" applyNumberFormat="1" applyFill="1" applyBorder="1" applyAlignment="1" applyProtection="1">
      <alignment horizontal="center"/>
      <protection hidden="1"/>
    </xf>
    <xf numFmtId="187" fontId="0" fillId="3" borderId="1" xfId="1" applyNumberFormat="1" applyFont="1" applyFill="1" applyBorder="1" applyProtection="1">
      <protection hidden="1"/>
    </xf>
    <xf numFmtId="164" fontId="3" fillId="3" borderId="1" xfId="1" applyFont="1" applyFill="1" applyBorder="1" applyProtection="1">
      <protection hidden="1"/>
    </xf>
    <xf numFmtId="181" fontId="3" fillId="3" borderId="1" xfId="0" applyNumberFormat="1" applyFont="1" applyFill="1" applyBorder="1" applyAlignment="1" applyProtection="1">
      <alignment horizontal="center"/>
      <protection hidden="1"/>
    </xf>
    <xf numFmtId="191" fontId="3" fillId="3" borderId="1" xfId="0" applyNumberFormat="1" applyFont="1" applyFill="1" applyBorder="1" applyAlignment="1" applyProtection="1">
      <alignment horizontal="center"/>
      <protection hidden="1"/>
    </xf>
    <xf numFmtId="193" fontId="0" fillId="2" borderId="1" xfId="0" applyNumberFormat="1" applyFill="1" applyBorder="1" applyAlignment="1">
      <alignment horizontal="center"/>
    </xf>
    <xf numFmtId="183" fontId="0" fillId="3" borderId="0" xfId="0" applyNumberFormat="1" applyFill="1" applyAlignment="1">
      <alignment horizontal="center"/>
    </xf>
    <xf numFmtId="169" fontId="3" fillId="3" borderId="1" xfId="0" applyNumberFormat="1" applyFont="1" applyFill="1" applyBorder="1" applyAlignment="1" applyProtection="1">
      <alignment horizontal="center"/>
      <protection locked="0"/>
    </xf>
    <xf numFmtId="0" fontId="0" fillId="3" borderId="26" xfId="0" applyFill="1" applyBorder="1"/>
    <xf numFmtId="0" fontId="0" fillId="3" borderId="14" xfId="0" applyFill="1" applyBorder="1"/>
    <xf numFmtId="0" fontId="0" fillId="3" borderId="27" xfId="0" applyFill="1" applyBorder="1"/>
    <xf numFmtId="0" fontId="11" fillId="2" borderId="1" xfId="0" applyFont="1" applyFill="1" applyBorder="1" applyAlignment="1">
      <alignment horizontal="center" vertical="center" wrapText="1"/>
    </xf>
    <xf numFmtId="0" fontId="11" fillId="2" borderId="28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center" wrapText="1"/>
    </xf>
    <xf numFmtId="0" fontId="5" fillId="3" borderId="2" xfId="0" applyFont="1" applyFill="1" applyBorder="1"/>
    <xf numFmtId="168" fontId="0" fillId="0" borderId="5" xfId="11" applyNumberFormat="1" applyFont="1" applyBorder="1" applyAlignment="1">
      <alignment horizontal="center"/>
    </xf>
    <xf numFmtId="0" fontId="0" fillId="3" borderId="0" xfId="0" applyFill="1" applyAlignment="1">
      <alignment horizontal="center"/>
    </xf>
    <xf numFmtId="0" fontId="11" fillId="3" borderId="29" xfId="0" applyFont="1" applyFill="1" applyBorder="1" applyAlignment="1">
      <alignment horizontal="center"/>
    </xf>
    <xf numFmtId="0" fontId="11" fillId="3" borderId="30" xfId="0" applyFont="1" applyFill="1" applyBorder="1" applyAlignment="1">
      <alignment horizontal="center"/>
    </xf>
    <xf numFmtId="0" fontId="11" fillId="3" borderId="22" xfId="0" applyFont="1" applyFill="1" applyBorder="1" applyAlignment="1">
      <alignment horizontal="center"/>
    </xf>
    <xf numFmtId="0" fontId="11" fillId="3" borderId="11" xfId="0" applyFont="1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0" borderId="0" xfId="0" applyFill="1" applyAlignment="1">
      <alignment horizontal="center"/>
    </xf>
    <xf numFmtId="0" fontId="0" fillId="3" borderId="5" xfId="0" applyFill="1" applyBorder="1"/>
    <xf numFmtId="0" fontId="11" fillId="3" borderId="31" xfId="0" applyFont="1" applyFill="1" applyBorder="1" applyAlignment="1">
      <alignment horizontal="center"/>
    </xf>
    <xf numFmtId="0" fontId="11" fillId="3" borderId="32" xfId="0" applyFont="1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11" fillId="3" borderId="33" xfId="0" applyFont="1" applyFill="1" applyBorder="1" applyAlignment="1">
      <alignment horizontal="center"/>
    </xf>
    <xf numFmtId="0" fontId="11" fillId="3" borderId="34" xfId="0" applyFont="1" applyFill="1" applyBorder="1" applyAlignment="1">
      <alignment horizontal="center"/>
    </xf>
    <xf numFmtId="0" fontId="31" fillId="0" borderId="0" xfId="0" applyFont="1"/>
    <xf numFmtId="0" fontId="0" fillId="3" borderId="0" xfId="0" applyFill="1" applyAlignment="1">
      <alignment horizontal="left"/>
    </xf>
    <xf numFmtId="0" fontId="0" fillId="3" borderId="1" xfId="0" applyFill="1" applyBorder="1" applyAlignment="1">
      <alignment horizontal="left"/>
    </xf>
    <xf numFmtId="0" fontId="0" fillId="3" borderId="0" xfId="0" applyFill="1" applyAlignment="1">
      <alignment horizontal="right"/>
    </xf>
    <xf numFmtId="164" fontId="5" fillId="3" borderId="1" xfId="0" applyNumberFormat="1" applyFont="1" applyFill="1" applyBorder="1"/>
    <xf numFmtId="0" fontId="10" fillId="3" borderId="1" xfId="0" applyFont="1" applyFill="1" applyBorder="1" applyAlignment="1">
      <alignment horizontal="center"/>
    </xf>
    <xf numFmtId="181" fontId="4" fillId="2" borderId="1" xfId="21" applyNumberFormat="1" applyFont="1" applyFill="1" applyBorder="1" applyAlignment="1" applyProtection="1">
      <alignment horizontal="center"/>
      <protection locked="0"/>
    </xf>
    <xf numFmtId="10" fontId="2" fillId="3" borderId="0" xfId="11" applyNumberFormat="1" applyFont="1" applyFill="1" applyBorder="1" applyAlignment="1" applyProtection="1">
      <alignment horizontal="center"/>
      <protection locked="0"/>
    </xf>
    <xf numFmtId="0" fontId="4" fillId="2" borderId="21" xfId="0" applyFont="1" applyFill="1" applyBorder="1" applyProtection="1">
      <protection locked="0"/>
    </xf>
    <xf numFmtId="0" fontId="2" fillId="4" borderId="35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5" xfId="0" applyBorder="1" applyAlignment="1">
      <alignment horizontal="center" wrapText="1"/>
    </xf>
    <xf numFmtId="0" fontId="19" fillId="6" borderId="0" xfId="0" applyFont="1" applyFill="1" applyAlignment="1">
      <alignment horizontal="center"/>
    </xf>
    <xf numFmtId="0" fontId="0" fillId="6" borderId="0" xfId="0" applyFill="1" applyBorder="1" applyAlignment="1">
      <alignment horizontal="center"/>
    </xf>
    <xf numFmtId="0" fontId="2" fillId="6" borderId="0" xfId="0" applyFont="1" applyFill="1" applyAlignment="1">
      <alignment horizontal="center"/>
    </xf>
    <xf numFmtId="0" fontId="0" fillId="5" borderId="36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0" fillId="5" borderId="37" xfId="0" applyFill="1" applyBorder="1" applyAlignment="1">
      <alignment horizontal="center"/>
    </xf>
    <xf numFmtId="0" fontId="0" fillId="5" borderId="38" xfId="0" applyFill="1" applyBorder="1" applyAlignment="1">
      <alignment horizontal="center"/>
    </xf>
    <xf numFmtId="0" fontId="0" fillId="5" borderId="39" xfId="0" applyFill="1" applyBorder="1" applyAlignment="1">
      <alignment horizontal="center"/>
    </xf>
    <xf numFmtId="0" fontId="0" fillId="5" borderId="40" xfId="0" applyFill="1" applyBorder="1" applyAlignment="1">
      <alignment horizontal="center"/>
    </xf>
    <xf numFmtId="0" fontId="0" fillId="0" borderId="31" xfId="0" applyFill="1" applyBorder="1" applyAlignment="1">
      <alignment horizontal="center"/>
    </xf>
    <xf numFmtId="0" fontId="0" fillId="0" borderId="22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4" fillId="0" borderId="20" xfId="0" applyFont="1" applyFill="1" applyBorder="1" applyAlignment="1" applyProtection="1">
      <alignment horizontal="center"/>
      <protection locked="0"/>
    </xf>
    <xf numFmtId="0" fontId="4" fillId="0" borderId="19" xfId="0" applyFont="1" applyFill="1" applyBorder="1" applyAlignment="1" applyProtection="1">
      <alignment horizontal="center"/>
      <protection locked="0"/>
    </xf>
    <xf numFmtId="0" fontId="0" fillId="0" borderId="4" xfId="0" applyFill="1" applyBorder="1" applyAlignment="1">
      <alignment horizontal="center"/>
    </xf>
    <xf numFmtId="0" fontId="4" fillId="0" borderId="0" xfId="0" applyFont="1" applyAlignment="1">
      <alignment horizontal="center"/>
    </xf>
    <xf numFmtId="16" fontId="0" fillId="0" borderId="0" xfId="0" applyNumberFormat="1" applyAlignment="1">
      <alignment horizontal="center"/>
    </xf>
    <xf numFmtId="172" fontId="7" fillId="0" borderId="0" xfId="0" applyNumberFormat="1" applyFont="1" applyAlignment="1">
      <alignment horizontal="center"/>
    </xf>
    <xf numFmtId="0" fontId="4" fillId="0" borderId="41" xfId="0" applyFont="1" applyFill="1" applyBorder="1" applyAlignment="1" applyProtection="1">
      <alignment horizontal="center"/>
      <protection locked="0"/>
    </xf>
    <xf numFmtId="171" fontId="0" fillId="0" borderId="0" xfId="0" applyNumberFormat="1" applyAlignment="1">
      <alignment horizontal="center"/>
    </xf>
    <xf numFmtId="173" fontId="0" fillId="0" borderId="0" xfId="0" applyNumberFormat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7" fillId="0" borderId="5" xfId="0" applyFont="1" applyFill="1" applyBorder="1" applyAlignment="1">
      <alignment horizontal="center"/>
    </xf>
    <xf numFmtId="0" fontId="7" fillId="0" borderId="18" xfId="0" applyFont="1" applyFill="1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42" xfId="0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16" fontId="0" fillId="4" borderId="0" xfId="0" applyNumberFormat="1" applyFill="1" applyAlignment="1">
      <alignment horizontal="center"/>
    </xf>
    <xf numFmtId="173" fontId="0" fillId="4" borderId="0" xfId="0" applyNumberFormat="1" applyFill="1" applyAlignment="1">
      <alignment horizontal="center"/>
    </xf>
    <xf numFmtId="16" fontId="0" fillId="0" borderId="0" xfId="0" applyNumberFormat="1" applyFill="1" applyAlignment="1">
      <alignment horizontal="center"/>
    </xf>
    <xf numFmtId="173" fontId="0" fillId="0" borderId="0" xfId="0" applyNumberFormat="1" applyFill="1" applyAlignment="1">
      <alignment horizontal="center"/>
    </xf>
    <xf numFmtId="0" fontId="0" fillId="2" borderId="4" xfId="0" applyFill="1" applyBorder="1" applyAlignment="1" applyProtection="1">
      <alignment horizontal="center"/>
      <protection locked="0"/>
    </xf>
    <xf numFmtId="0" fontId="0" fillId="2" borderId="43" xfId="0" applyFill="1" applyBorder="1" applyAlignment="1" applyProtection="1">
      <alignment horizontal="center"/>
      <protection locked="0"/>
    </xf>
    <xf numFmtId="0" fontId="22" fillId="0" borderId="13" xfId="0" applyFont="1" applyFill="1" applyBorder="1" applyAlignment="1" applyProtection="1">
      <alignment horizontal="center"/>
      <protection locked="0"/>
    </xf>
    <xf numFmtId="0" fontId="22" fillId="0" borderId="1" xfId="0" applyFont="1" applyFill="1" applyBorder="1" applyAlignment="1" applyProtection="1">
      <alignment horizontal="center"/>
      <protection locked="0"/>
    </xf>
    <xf numFmtId="0" fontId="25" fillId="0" borderId="1" xfId="0" applyFont="1" applyFill="1" applyBorder="1" applyAlignment="1" applyProtection="1">
      <alignment horizontal="center"/>
      <protection locked="0"/>
    </xf>
    <xf numFmtId="0" fontId="22" fillId="0" borderId="44" xfId="0" applyFont="1" applyFill="1" applyBorder="1" applyAlignment="1" applyProtection="1">
      <alignment horizontal="center"/>
      <protection locked="0"/>
    </xf>
    <xf numFmtId="0" fontId="22" fillId="0" borderId="42" xfId="0" applyFont="1" applyFill="1" applyBorder="1" applyAlignment="1" applyProtection="1">
      <alignment horizontal="center"/>
      <protection locked="0"/>
    </xf>
    <xf numFmtId="16" fontId="0" fillId="6" borderId="0" xfId="0" applyNumberFormat="1" applyFill="1" applyAlignment="1">
      <alignment horizontal="center"/>
    </xf>
    <xf numFmtId="0" fontId="4" fillId="5" borderId="36" xfId="0" applyFont="1" applyFill="1" applyBorder="1" applyAlignment="1">
      <alignment horizontal="center"/>
    </xf>
    <xf numFmtId="0" fontId="4" fillId="5" borderId="38" xfId="0" applyFont="1" applyFill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4" xfId="0" applyFont="1" applyBorder="1" applyAlignment="1">
      <alignment horizontal="center" wrapText="1"/>
    </xf>
    <xf numFmtId="0" fontId="4" fillId="0" borderId="39" xfId="0" applyFont="1" applyFill="1" applyBorder="1" applyAlignment="1">
      <alignment horizontal="center"/>
    </xf>
    <xf numFmtId="0" fontId="4" fillId="0" borderId="45" xfId="0" applyFont="1" applyFill="1" applyBorder="1" applyAlignment="1">
      <alignment horizontal="center"/>
    </xf>
    <xf numFmtId="0" fontId="4" fillId="2" borderId="14" xfId="0" applyFont="1" applyFill="1" applyBorder="1" applyAlignment="1" applyProtection="1">
      <alignment horizontal="center"/>
      <protection locked="0"/>
    </xf>
    <xf numFmtId="0" fontId="4" fillId="0" borderId="14" xfId="0" applyFont="1" applyBorder="1" applyAlignment="1">
      <alignment horizontal="center"/>
    </xf>
    <xf numFmtId="0" fontId="4" fillId="0" borderId="14" xfId="0" applyFont="1" applyFill="1" applyBorder="1" applyAlignment="1">
      <alignment horizontal="center"/>
    </xf>
    <xf numFmtId="0" fontId="4" fillId="0" borderId="27" xfId="0" applyFon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0" fontId="2" fillId="6" borderId="3" xfId="0" applyFont="1" applyFill="1" applyBorder="1" applyAlignment="1">
      <alignment horizontal="center"/>
    </xf>
    <xf numFmtId="164" fontId="2" fillId="3" borderId="0" xfId="1" applyFont="1" applyFill="1" applyBorder="1"/>
    <xf numFmtId="0" fontId="0" fillId="0" borderId="46" xfId="0" applyBorder="1" applyAlignment="1">
      <alignment horizontal="center"/>
    </xf>
    <xf numFmtId="0" fontId="22" fillId="0" borderId="5" xfId="0" applyFont="1" applyFill="1" applyBorder="1" applyAlignment="1" applyProtection="1">
      <alignment horizontal="center"/>
      <protection locked="0"/>
    </xf>
    <xf numFmtId="1" fontId="4" fillId="2" borderId="1" xfId="11" applyNumberFormat="1" applyFont="1" applyFill="1" applyBorder="1" applyAlignment="1">
      <alignment horizontal="center"/>
    </xf>
    <xf numFmtId="0" fontId="7" fillId="3" borderId="0" xfId="0" applyFont="1" applyFill="1" applyBorder="1" applyAlignment="1">
      <alignment horizontal="center"/>
    </xf>
    <xf numFmtId="9" fontId="4" fillId="3" borderId="0" xfId="11" applyFont="1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26" xfId="0" applyFill="1" applyBorder="1" applyAlignment="1">
      <alignment horizontal="center"/>
    </xf>
    <xf numFmtId="0" fontId="0" fillId="2" borderId="14" xfId="0" applyFill="1" applyBorder="1" applyAlignment="1" applyProtection="1">
      <alignment horizontal="center"/>
      <protection locked="0"/>
    </xf>
    <xf numFmtId="0" fontId="0" fillId="2" borderId="14" xfId="0" applyFill="1" applyBorder="1" applyAlignment="1">
      <alignment horizontal="center"/>
    </xf>
    <xf numFmtId="164" fontId="1" fillId="2" borderId="1" xfId="1" applyFill="1" applyBorder="1"/>
    <xf numFmtId="164" fontId="1" fillId="3" borderId="1" xfId="1" applyFill="1" applyBorder="1"/>
    <xf numFmtId="164" fontId="1" fillId="3" borderId="13" xfId="1" applyFill="1" applyBorder="1" applyAlignment="1">
      <alignment horizontal="center"/>
    </xf>
    <xf numFmtId="164" fontId="1" fillId="3" borderId="47" xfId="1" applyFill="1" applyBorder="1" applyAlignment="1">
      <alignment horizontal="center"/>
    </xf>
    <xf numFmtId="164" fontId="1" fillId="3" borderId="0" xfId="1" applyFill="1" applyBorder="1" applyAlignment="1">
      <alignment horizontal="center"/>
    </xf>
    <xf numFmtId="164" fontId="1" fillId="2" borderId="1" xfId="1" applyFill="1" applyBorder="1" applyAlignment="1">
      <alignment horizontal="center"/>
    </xf>
    <xf numFmtId="0" fontId="2" fillId="3" borderId="0" xfId="0" applyFont="1" applyFill="1" applyBorder="1" applyAlignment="1">
      <alignment horizontal="right"/>
    </xf>
    <xf numFmtId="186" fontId="2" fillId="3" borderId="1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10" fillId="3" borderId="8" xfId="0" applyFont="1" applyFill="1" applyBorder="1" applyAlignment="1">
      <alignment horizontal="center"/>
    </xf>
    <xf numFmtId="0" fontId="4" fillId="3" borderId="8" xfId="0" applyFont="1" applyFill="1" applyBorder="1"/>
    <xf numFmtId="164" fontId="5" fillId="3" borderId="8" xfId="0" applyNumberFormat="1" applyFont="1" applyFill="1" applyBorder="1"/>
    <xf numFmtId="0" fontId="0" fillId="2" borderId="22" xfId="0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5" xfId="0" applyFill="1" applyBorder="1"/>
    <xf numFmtId="43" fontId="2" fillId="3" borderId="1" xfId="1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164" fontId="21" fillId="2" borderId="1" xfId="1" applyFont="1" applyFill="1" applyBorder="1"/>
    <xf numFmtId="0" fontId="3" fillId="2" borderId="1" xfId="0" applyFont="1" applyFill="1" applyBorder="1"/>
    <xf numFmtId="0" fontId="4" fillId="2" borderId="22" xfId="0" applyFont="1" applyFill="1" applyBorder="1" applyAlignment="1" applyProtection="1">
      <alignment horizontal="center"/>
      <protection locked="0"/>
    </xf>
    <xf numFmtId="0" fontId="4" fillId="2" borderId="11" xfId="0" applyFont="1" applyFill="1" applyBorder="1" applyAlignment="1" applyProtection="1">
      <alignment horizontal="center"/>
      <protection locked="0"/>
    </xf>
    <xf numFmtId="0" fontId="4" fillId="2" borderId="4" xfId="0" applyFont="1" applyFill="1" applyBorder="1" applyAlignment="1" applyProtection="1">
      <alignment horizontal="center"/>
      <protection locked="0"/>
    </xf>
    <xf numFmtId="4" fontId="4" fillId="2" borderId="6" xfId="0" applyNumberFormat="1" applyFont="1" applyFill="1" applyBorder="1" applyAlignment="1" applyProtection="1">
      <alignment horizontal="center" vertical="top" wrapText="1"/>
      <protection hidden="1"/>
    </xf>
    <xf numFmtId="0" fontId="4" fillId="2" borderId="6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188" fontId="4" fillId="3" borderId="1" xfId="0" applyNumberFormat="1" applyFont="1" applyFill="1" applyBorder="1" applyAlignment="1">
      <alignment horizontal="center"/>
    </xf>
    <xf numFmtId="164" fontId="2" fillId="3" borderId="0" xfId="0" applyNumberFormat="1" applyFont="1" applyFill="1"/>
    <xf numFmtId="164" fontId="2" fillId="3" borderId="0" xfId="1" applyFont="1" applyFill="1" applyProtection="1">
      <protection hidden="1"/>
    </xf>
    <xf numFmtId="0" fontId="4" fillId="0" borderId="5" xfId="0" applyFont="1" applyBorder="1" applyAlignment="1">
      <alignment horizontal="center"/>
    </xf>
    <xf numFmtId="0" fontId="4" fillId="2" borderId="13" xfId="0" applyFont="1" applyFill="1" applyBorder="1" applyAlignment="1">
      <alignment horizontal="center"/>
    </xf>
    <xf numFmtId="0" fontId="4" fillId="2" borderId="48" xfId="0" applyFont="1" applyFill="1" applyBorder="1" applyProtection="1">
      <protection locked="0"/>
    </xf>
    <xf numFmtId="1" fontId="4" fillId="2" borderId="1" xfId="11" applyNumberFormat="1" applyFont="1" applyFill="1" applyBorder="1" applyAlignment="1" applyProtection="1">
      <alignment horizontal="center"/>
      <protection locked="0"/>
    </xf>
    <xf numFmtId="181" fontId="4" fillId="2" borderId="1" xfId="11" applyNumberFormat="1" applyFont="1" applyFill="1" applyBorder="1" applyAlignment="1" applyProtection="1">
      <alignment horizontal="center"/>
      <protection locked="0"/>
    </xf>
    <xf numFmtId="196" fontId="2" fillId="2" borderId="19" xfId="21" applyNumberFormat="1" applyFont="1" applyFill="1" applyBorder="1" applyAlignment="1">
      <alignment horizontal="center"/>
    </xf>
    <xf numFmtId="188" fontId="4" fillId="0" borderId="1" xfId="0" applyNumberFormat="1" applyFont="1" applyFill="1" applyBorder="1" applyAlignment="1">
      <alignment horizontal="center"/>
    </xf>
    <xf numFmtId="0" fontId="0" fillId="3" borderId="25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3" borderId="0" xfId="0" applyFill="1" applyAlignment="1" applyProtection="1">
      <alignment horizontal="center"/>
      <protection hidden="1"/>
    </xf>
    <xf numFmtId="0" fontId="4" fillId="3" borderId="0" xfId="0" applyFont="1" applyFill="1" applyBorder="1" applyAlignment="1">
      <alignment horizontal="center"/>
    </xf>
    <xf numFmtId="0" fontId="11" fillId="3" borderId="0" xfId="0" applyFont="1" applyFill="1" applyBorder="1" applyAlignment="1">
      <alignment horizontal="center"/>
    </xf>
    <xf numFmtId="164" fontId="2" fillId="3" borderId="0" xfId="0" applyNumberFormat="1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3" borderId="9" xfId="0" applyFont="1" applyFill="1" applyBorder="1" applyAlignment="1">
      <alignment horizontal="center"/>
    </xf>
    <xf numFmtId="164" fontId="4" fillId="3" borderId="0" xfId="1" applyFont="1" applyFill="1" applyBorder="1" applyAlignment="1">
      <alignment horizontal="center"/>
    </xf>
    <xf numFmtId="164" fontId="2" fillId="3" borderId="0" xfId="0" applyNumberFormat="1" applyFont="1" applyFill="1" applyAlignment="1" applyProtection="1">
      <alignment horizontal="center"/>
      <protection hidden="1"/>
    </xf>
    <xf numFmtId="0" fontId="0" fillId="3" borderId="9" xfId="0" applyFill="1" applyBorder="1" applyAlignment="1" applyProtection="1">
      <alignment horizontal="center"/>
      <protection hidden="1"/>
    </xf>
    <xf numFmtId="0" fontId="4" fillId="3" borderId="25" xfId="0" applyFont="1" applyFill="1" applyBorder="1"/>
    <xf numFmtId="0" fontId="4" fillId="3" borderId="5" xfId="0" applyFont="1" applyFill="1" applyBorder="1"/>
    <xf numFmtId="9" fontId="3" fillId="3" borderId="1" xfId="11" applyFont="1" applyFill="1" applyBorder="1" applyAlignment="1" applyProtection="1">
      <alignment horizontal="center"/>
      <protection hidden="1"/>
    </xf>
    <xf numFmtId="43" fontId="0" fillId="3" borderId="0" xfId="0" applyNumberFormat="1" applyFill="1" applyBorder="1"/>
    <xf numFmtId="201" fontId="2" fillId="2" borderId="19" xfId="0" applyNumberFormat="1" applyFont="1" applyFill="1" applyBorder="1" applyAlignment="1">
      <alignment horizontal="center"/>
    </xf>
    <xf numFmtId="0" fontId="2" fillId="4" borderId="31" xfId="0" applyFont="1" applyFill="1" applyBorder="1" applyAlignment="1">
      <alignment horizontal="center"/>
    </xf>
    <xf numFmtId="0" fontId="2" fillId="4" borderId="29" xfId="0" applyFont="1" applyFill="1" applyBorder="1" applyAlignment="1">
      <alignment horizontal="center"/>
    </xf>
    <xf numFmtId="0" fontId="2" fillId="4" borderId="30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2" fillId="4" borderId="3" xfId="0" applyFont="1" applyFill="1" applyBorder="1" applyAlignment="1">
      <alignment horizontal="center" vertical="center"/>
    </xf>
    <xf numFmtId="0" fontId="2" fillId="4" borderId="50" xfId="0" applyFont="1" applyFill="1" applyBorder="1" applyAlignment="1">
      <alignment horizontal="center" vertical="center"/>
    </xf>
    <xf numFmtId="4" fontId="0" fillId="3" borderId="0" xfId="0" applyNumberFormat="1" applyFill="1" applyAlignment="1" applyProtection="1">
      <alignment horizontal="center"/>
      <protection hidden="1"/>
    </xf>
    <xf numFmtId="164" fontId="4" fillId="3" borderId="1" xfId="0" applyNumberFormat="1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4" fontId="0" fillId="3" borderId="9" xfId="0" applyNumberFormat="1" applyFill="1" applyBorder="1" applyAlignment="1" applyProtection="1">
      <alignment horizontal="center"/>
      <protection hidden="1"/>
    </xf>
    <xf numFmtId="43" fontId="4" fillId="3" borderId="1" xfId="0" applyNumberFormat="1" applyFont="1" applyFill="1" applyBorder="1" applyAlignment="1">
      <alignment horizontal="center"/>
    </xf>
    <xf numFmtId="0" fontId="0" fillId="7" borderId="4" xfId="0" applyFill="1" applyBorder="1"/>
    <xf numFmtId="0" fontId="18" fillId="2" borderId="1" xfId="0" applyFont="1" applyFill="1" applyBorder="1" applyAlignment="1">
      <alignment horizontal="center"/>
    </xf>
    <xf numFmtId="43" fontId="0" fillId="3" borderId="0" xfId="0" applyNumberFormat="1" applyFill="1" applyBorder="1" applyAlignment="1">
      <alignment horizontal="center"/>
    </xf>
    <xf numFmtId="0" fontId="0" fillId="3" borderId="0" xfId="0" applyFill="1" applyBorder="1" applyAlignment="1">
      <alignment horizontal="left"/>
    </xf>
    <xf numFmtId="0" fontId="0" fillId="3" borderId="45" xfId="0" applyFill="1" applyBorder="1"/>
    <xf numFmtId="0" fontId="0" fillId="3" borderId="51" xfId="0" applyFill="1" applyBorder="1"/>
    <xf numFmtId="0" fontId="4" fillId="3" borderId="52" xfId="0" applyFont="1" applyFill="1" applyBorder="1" applyAlignment="1">
      <alignment horizontal="center"/>
    </xf>
    <xf numFmtId="0" fontId="4" fillId="3" borderId="53" xfId="0" applyFont="1" applyFill="1" applyBorder="1" applyAlignment="1">
      <alignment horizontal="center"/>
    </xf>
    <xf numFmtId="0" fontId="2" fillId="3" borderId="54" xfId="0" applyFont="1" applyFill="1" applyBorder="1"/>
    <xf numFmtId="0" fontId="4" fillId="3" borderId="0" xfId="0" applyFont="1" applyFill="1" applyBorder="1" applyAlignment="1">
      <alignment horizontal="left"/>
    </xf>
    <xf numFmtId="0" fontId="2" fillId="3" borderId="49" xfId="0" applyFont="1" applyFill="1" applyBorder="1" applyAlignment="1">
      <alignment horizontal="left"/>
    </xf>
    <xf numFmtId="0" fontId="2" fillId="3" borderId="0" xfId="0" applyFont="1" applyFill="1" applyAlignment="1">
      <alignment horizontal="left"/>
    </xf>
    <xf numFmtId="0" fontId="0" fillId="2" borderId="0" xfId="0" applyFill="1"/>
    <xf numFmtId="0" fontId="0" fillId="2" borderId="2" xfId="0" applyFill="1" applyBorder="1"/>
    <xf numFmtId="0" fontId="4" fillId="9" borderId="0" xfId="0" applyFont="1" applyFill="1"/>
    <xf numFmtId="0" fontId="2" fillId="2" borderId="0" xfId="0" applyFont="1" applyFill="1"/>
    <xf numFmtId="9" fontId="0" fillId="2" borderId="0" xfId="0" applyNumberFormat="1" applyFill="1"/>
    <xf numFmtId="0" fontId="2" fillId="2" borderId="2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4" fillId="2" borderId="0" xfId="0" applyFont="1" applyFill="1"/>
    <xf numFmtId="1" fontId="0" fillId="2" borderId="0" xfId="0" applyNumberFormat="1" applyFill="1" applyAlignment="1">
      <alignment horizontal="center"/>
    </xf>
    <xf numFmtId="208" fontId="0" fillId="0" borderId="1" xfId="1" applyNumberFormat="1" applyFont="1" applyBorder="1"/>
    <xf numFmtId="208" fontId="0" fillId="2" borderId="1" xfId="0" applyNumberFormat="1" applyFill="1" applyBorder="1"/>
    <xf numFmtId="208" fontId="0" fillId="2" borderId="0" xfId="0" applyNumberFormat="1" applyFill="1"/>
    <xf numFmtId="0" fontId="10" fillId="2" borderId="0" xfId="0" applyFont="1" applyFill="1"/>
    <xf numFmtId="208" fontId="10" fillId="2" borderId="0" xfId="0" applyNumberFormat="1" applyFont="1" applyFill="1"/>
    <xf numFmtId="208" fontId="2" fillId="2" borderId="0" xfId="0" applyNumberFormat="1" applyFont="1" applyFill="1"/>
    <xf numFmtId="43" fontId="2" fillId="2" borderId="0" xfId="0" applyNumberFormat="1" applyFont="1" applyFill="1"/>
    <xf numFmtId="0" fontId="0" fillId="2" borderId="52" xfId="0" applyFill="1" applyBorder="1"/>
    <xf numFmtId="4" fontId="0" fillId="2" borderId="1" xfId="0" applyNumberFormat="1" applyFill="1" applyBorder="1"/>
    <xf numFmtId="0" fontId="2" fillId="2" borderId="1" xfId="0" applyFont="1" applyFill="1" applyBorder="1"/>
    <xf numFmtId="0" fontId="2" fillId="2" borderId="0" xfId="0" applyFont="1" applyFill="1" applyBorder="1"/>
    <xf numFmtId="0" fontId="0" fillId="2" borderId="0" xfId="0" applyFill="1" applyBorder="1"/>
    <xf numFmtId="208" fontId="2" fillId="2" borderId="0" xfId="0" applyNumberFormat="1" applyFont="1" applyFill="1" applyBorder="1"/>
    <xf numFmtId="164" fontId="4" fillId="2" borderId="0" xfId="1" applyFont="1" applyFill="1"/>
    <xf numFmtId="0" fontId="2" fillId="8" borderId="0" xfId="0" applyFont="1" applyFill="1"/>
    <xf numFmtId="208" fontId="2" fillId="8" borderId="0" xfId="0" applyNumberFormat="1" applyFont="1" applyFill="1"/>
    <xf numFmtId="0" fontId="2" fillId="2" borderId="0" xfId="0" applyFont="1" applyFill="1" applyBorder="1" applyAlignment="1">
      <alignment horizontal="center"/>
    </xf>
    <xf numFmtId="10" fontId="4" fillId="2" borderId="0" xfId="11" applyNumberFormat="1" applyFont="1" applyFill="1" applyBorder="1" applyAlignment="1" applyProtection="1">
      <alignment horizontal="center"/>
      <protection hidden="1"/>
    </xf>
    <xf numFmtId="177" fontId="4" fillId="2" borderId="0" xfId="0" applyNumberFormat="1" applyFont="1" applyFill="1" applyBorder="1" applyAlignment="1" applyProtection="1">
      <alignment horizontal="center"/>
      <protection hidden="1"/>
    </xf>
    <xf numFmtId="206" fontId="4" fillId="2" borderId="0" xfId="0" applyNumberFormat="1" applyFont="1" applyFill="1" applyBorder="1" applyAlignment="1" applyProtection="1">
      <alignment horizontal="center"/>
      <protection hidden="1"/>
    </xf>
    <xf numFmtId="4" fontId="6" fillId="3" borderId="1" xfId="0" applyNumberFormat="1" applyFont="1" applyFill="1" applyBorder="1" applyAlignment="1">
      <alignment horizontal="center"/>
    </xf>
    <xf numFmtId="208" fontId="0" fillId="0" borderId="1" xfId="1" applyNumberFormat="1" applyFont="1" applyBorder="1" applyAlignment="1">
      <alignment horizontal="center"/>
    </xf>
    <xf numFmtId="1" fontId="0" fillId="2" borderId="1" xfId="0" applyNumberFormat="1" applyFill="1" applyBorder="1" applyAlignment="1">
      <alignment horizontal="center"/>
    </xf>
    <xf numFmtId="208" fontId="0" fillId="2" borderId="1" xfId="0" applyNumberFormat="1" applyFill="1" applyBorder="1" applyAlignment="1">
      <alignment horizontal="center"/>
    </xf>
    <xf numFmtId="10" fontId="0" fillId="9" borderId="0" xfId="0" applyNumberFormat="1" applyFill="1"/>
    <xf numFmtId="2" fontId="0" fillId="2" borderId="1" xfId="0" applyNumberFormat="1" applyFill="1" applyBorder="1" applyAlignment="1">
      <alignment horizontal="center"/>
    </xf>
    <xf numFmtId="9" fontId="4" fillId="2" borderId="1" xfId="0" applyNumberFormat="1" applyFont="1" applyFill="1" applyBorder="1"/>
    <xf numFmtId="4" fontId="4" fillId="2" borderId="0" xfId="0" applyNumberFormat="1" applyFont="1" applyFill="1" applyBorder="1" applyAlignment="1" applyProtection="1">
      <alignment horizontal="left"/>
      <protection hidden="1"/>
    </xf>
    <xf numFmtId="4" fontId="4" fillId="2" borderId="30" xfId="0" applyNumberFormat="1" applyFont="1" applyFill="1" applyBorder="1" applyAlignment="1" applyProtection="1">
      <protection hidden="1"/>
    </xf>
    <xf numFmtId="10" fontId="4" fillId="2" borderId="30" xfId="11" applyNumberFormat="1" applyFont="1" applyFill="1" applyBorder="1" applyAlignment="1" applyProtection="1">
      <alignment horizontal="center"/>
      <protection hidden="1"/>
    </xf>
    <xf numFmtId="4" fontId="4" fillId="2" borderId="0" xfId="0" applyNumberFormat="1" applyFont="1" applyFill="1" applyBorder="1" applyAlignment="1" applyProtection="1">
      <protection hidden="1"/>
    </xf>
    <xf numFmtId="2" fontId="4" fillId="2" borderId="0" xfId="11" applyNumberFormat="1" applyFont="1" applyFill="1" applyBorder="1" applyAlignment="1" applyProtection="1">
      <alignment horizontal="center"/>
      <protection hidden="1"/>
    </xf>
    <xf numFmtId="4" fontId="4" fillId="2" borderId="2" xfId="0" applyNumberFormat="1" applyFont="1" applyFill="1" applyBorder="1" applyAlignment="1" applyProtection="1">
      <protection hidden="1"/>
    </xf>
    <xf numFmtId="209" fontId="4" fillId="2" borderId="2" xfId="0" applyNumberFormat="1" applyFont="1" applyFill="1" applyBorder="1" applyAlignment="1" applyProtection="1">
      <alignment horizontal="center"/>
      <protection hidden="1"/>
    </xf>
    <xf numFmtId="164" fontId="0" fillId="2" borderId="2" xfId="1" applyFont="1" applyFill="1" applyBorder="1"/>
    <xf numFmtId="164" fontId="2" fillId="3" borderId="2" xfId="1" applyFont="1" applyFill="1" applyBorder="1" applyAlignment="1">
      <alignment horizontal="center"/>
    </xf>
    <xf numFmtId="164" fontId="0" fillId="2" borderId="0" xfId="1" applyFont="1" applyFill="1" applyAlignment="1">
      <alignment horizontal="center"/>
    </xf>
    <xf numFmtId="164" fontId="0" fillId="2" borderId="52" xfId="1" applyFont="1" applyFill="1" applyBorder="1"/>
    <xf numFmtId="164" fontId="0" fillId="2" borderId="0" xfId="1" applyFont="1" applyFill="1"/>
    <xf numFmtId="168" fontId="0" fillId="2" borderId="0" xfId="11" applyNumberFormat="1" applyFont="1" applyFill="1"/>
    <xf numFmtId="164" fontId="0" fillId="3" borderId="2" xfId="0" applyNumberFormat="1" applyFill="1" applyBorder="1"/>
    <xf numFmtId="209" fontId="4" fillId="2" borderId="0" xfId="0" applyNumberFormat="1" applyFont="1" applyFill="1" applyBorder="1" applyAlignment="1" applyProtection="1">
      <alignment horizontal="center"/>
      <protection hidden="1"/>
    </xf>
    <xf numFmtId="164" fontId="0" fillId="2" borderId="2" xfId="1" applyFont="1" applyFill="1" applyBorder="1" applyAlignment="1">
      <alignment horizontal="center"/>
    </xf>
    <xf numFmtId="1" fontId="0" fillId="11" borderId="2" xfId="0" applyNumberFormat="1" applyFill="1" applyBorder="1" applyAlignment="1">
      <alignment horizontal="center"/>
    </xf>
    <xf numFmtId="1" fontId="0" fillId="11" borderId="0" xfId="0" applyNumberFormat="1" applyFill="1" applyBorder="1" applyAlignment="1">
      <alignment horizontal="center"/>
    </xf>
    <xf numFmtId="4" fontId="0" fillId="2" borderId="2" xfId="0" applyNumberFormat="1" applyFill="1" applyBorder="1" applyAlignment="1">
      <alignment horizontal="center"/>
    </xf>
    <xf numFmtId="4" fontId="0" fillId="2" borderId="0" xfId="0" applyNumberFormat="1" applyFill="1" applyBorder="1" applyAlignment="1">
      <alignment horizontal="center"/>
    </xf>
    <xf numFmtId="164" fontId="0" fillId="2" borderId="0" xfId="1" applyFont="1" applyFill="1" applyBorder="1" applyAlignment="1">
      <alignment horizontal="center"/>
    </xf>
    <xf numFmtId="0" fontId="4" fillId="12" borderId="0" xfId="0" applyFont="1" applyFill="1" applyAlignment="1">
      <alignment horizontal="right"/>
    </xf>
    <xf numFmtId="4" fontId="7" fillId="12" borderId="0" xfId="0" applyNumberFormat="1" applyFont="1" applyFill="1" applyProtection="1">
      <protection hidden="1"/>
    </xf>
    <xf numFmtId="4" fontId="0" fillId="12" borderId="0" xfId="0" applyNumberFormat="1" applyFill="1" applyProtection="1">
      <protection hidden="1"/>
    </xf>
    <xf numFmtId="0" fontId="17" fillId="12" borderId="0" xfId="0" applyFont="1" applyFill="1" applyBorder="1"/>
    <xf numFmtId="0" fontId="4" fillId="12" borderId="0" xfId="0" applyFont="1" applyFill="1"/>
    <xf numFmtId="0" fontId="4" fillId="12" borderId="0" xfId="0" applyFont="1" applyFill="1" applyBorder="1"/>
    <xf numFmtId="164" fontId="4" fillId="12" borderId="0" xfId="1" applyFont="1" applyFill="1"/>
    <xf numFmtId="0" fontId="4" fillId="12" borderId="2" xfId="0" applyFont="1" applyFill="1" applyBorder="1"/>
    <xf numFmtId="0" fontId="11" fillId="12" borderId="0" xfId="0" applyFont="1" applyFill="1" applyBorder="1"/>
    <xf numFmtId="9" fontId="4" fillId="12" borderId="1" xfId="11" applyFont="1" applyFill="1" applyBorder="1" applyAlignment="1" applyProtection="1">
      <alignment horizontal="center"/>
      <protection locked="0"/>
    </xf>
    <xf numFmtId="10" fontId="4" fillId="12" borderId="1" xfId="11" applyNumberFormat="1" applyFont="1" applyFill="1" applyBorder="1" applyAlignment="1">
      <alignment horizontal="center"/>
    </xf>
    <xf numFmtId="164" fontId="4" fillId="12" borderId="0" xfId="0" applyNumberFormat="1" applyFont="1" applyFill="1" applyBorder="1"/>
    <xf numFmtId="0" fontId="4" fillId="12" borderId="9" xfId="0" applyFont="1" applyFill="1" applyBorder="1"/>
    <xf numFmtId="0" fontId="11" fillId="12" borderId="0" xfId="0" applyFont="1" applyFill="1"/>
    <xf numFmtId="9" fontId="4" fillId="12" borderId="1" xfId="11" applyFont="1" applyFill="1" applyBorder="1" applyAlignment="1">
      <alignment horizontal="center"/>
    </xf>
    <xf numFmtId="9" fontId="4" fillId="12" borderId="0" xfId="11" applyFont="1" applyFill="1" applyBorder="1"/>
    <xf numFmtId="1" fontId="4" fillId="12" borderId="0" xfId="11" applyNumberFormat="1" applyFont="1" applyFill="1" applyBorder="1"/>
    <xf numFmtId="1" fontId="2" fillId="12" borderId="0" xfId="11" applyNumberFormat="1" applyFont="1" applyFill="1" applyBorder="1" applyAlignment="1">
      <alignment horizontal="right"/>
    </xf>
    <xf numFmtId="4" fontId="7" fillId="12" borderId="9" xfId="0" applyNumberFormat="1" applyFont="1" applyFill="1" applyBorder="1" applyProtection="1">
      <protection hidden="1"/>
    </xf>
    <xf numFmtId="4" fontId="7" fillId="12" borderId="0" xfId="0" applyNumberFormat="1" applyFont="1" applyFill="1" applyBorder="1" applyProtection="1">
      <protection hidden="1"/>
    </xf>
    <xf numFmtId="0" fontId="0" fillId="12" borderId="0" xfId="0" applyFill="1" applyBorder="1" applyProtection="1">
      <protection hidden="1"/>
    </xf>
    <xf numFmtId="164" fontId="4" fillId="12" borderId="1" xfId="1" applyFont="1" applyFill="1" applyBorder="1"/>
    <xf numFmtId="0" fontId="0" fillId="12" borderId="0" xfId="0" applyFill="1" applyBorder="1"/>
    <xf numFmtId="0" fontId="0" fillId="12" borderId="2" xfId="0" applyFill="1" applyBorder="1"/>
    <xf numFmtId="0" fontId="2" fillId="12" borderId="1" xfId="0" applyFont="1" applyFill="1" applyBorder="1" applyAlignment="1">
      <alignment horizontal="center"/>
    </xf>
    <xf numFmtId="0" fontId="0" fillId="12" borderId="0" xfId="0" applyFill="1"/>
    <xf numFmtId="164" fontId="0" fillId="12" borderId="1" xfId="0" applyNumberFormat="1" applyFill="1" applyBorder="1"/>
    <xf numFmtId="0" fontId="2" fillId="12" borderId="0" xfId="0" applyFont="1" applyFill="1" applyBorder="1" applyAlignment="1">
      <alignment horizontal="center"/>
    </xf>
    <xf numFmtId="164" fontId="0" fillId="12" borderId="0" xfId="0" applyNumberFormat="1" applyFill="1" applyBorder="1"/>
    <xf numFmtId="0" fontId="18" fillId="12" borderId="0" xfId="0" applyFont="1" applyFill="1"/>
    <xf numFmtId="0" fontId="0" fillId="12" borderId="0" xfId="0" applyFill="1" applyAlignment="1">
      <alignment horizontal="center"/>
    </xf>
    <xf numFmtId="0" fontId="0" fillId="12" borderId="0" xfId="0" applyFill="1" applyAlignment="1">
      <alignment horizontal="left"/>
    </xf>
    <xf numFmtId="0" fontId="19" fillId="12" borderId="0" xfId="0" applyFont="1" applyFill="1"/>
    <xf numFmtId="0" fontId="20" fillId="12" borderId="0" xfId="0" applyFont="1" applyFill="1" applyAlignment="1">
      <alignment horizontal="left"/>
    </xf>
    <xf numFmtId="17" fontId="8" fillId="12" borderId="54" xfId="0" applyNumberFormat="1" applyFont="1" applyFill="1" applyBorder="1" applyAlignment="1">
      <alignment horizontal="center"/>
    </xf>
    <xf numFmtId="17" fontId="8" fillId="12" borderId="52" xfId="0" applyNumberFormat="1" applyFont="1" applyFill="1" applyBorder="1" applyAlignment="1">
      <alignment horizontal="center"/>
    </xf>
    <xf numFmtId="17" fontId="8" fillId="12" borderId="53" xfId="0" applyNumberFormat="1" applyFont="1" applyFill="1" applyBorder="1" applyAlignment="1">
      <alignment horizontal="center"/>
    </xf>
    <xf numFmtId="17" fontId="8" fillId="12" borderId="0" xfId="0" applyNumberFormat="1" applyFont="1" applyFill="1" applyAlignment="1">
      <alignment horizontal="center"/>
    </xf>
    <xf numFmtId="0" fontId="2" fillId="12" borderId="15" xfId="0" applyFont="1" applyFill="1" applyBorder="1" applyAlignment="1" applyProtection="1">
      <alignment horizontal="center"/>
      <protection hidden="1"/>
    </xf>
    <xf numFmtId="0" fontId="8" fillId="12" borderId="0" xfId="0" applyFont="1" applyFill="1" applyAlignment="1">
      <alignment horizontal="center"/>
    </xf>
    <xf numFmtId="0" fontId="2" fillId="12" borderId="0" xfId="0" applyFont="1" applyFill="1"/>
    <xf numFmtId="0" fontId="2" fillId="12" borderId="0" xfId="0" applyFont="1" applyFill="1" applyBorder="1"/>
    <xf numFmtId="0" fontId="0" fillId="12" borderId="22" xfId="0" applyFill="1" applyBorder="1" applyAlignment="1">
      <alignment horizontal="left"/>
    </xf>
    <xf numFmtId="164" fontId="21" fillId="12" borderId="10" xfId="1" applyFont="1" applyFill="1" applyBorder="1"/>
    <xf numFmtId="164" fontId="21" fillId="12" borderId="11" xfId="1" applyFont="1" applyFill="1" applyBorder="1"/>
    <xf numFmtId="164" fontId="21" fillId="12" borderId="0" xfId="1" applyFont="1" applyFill="1"/>
    <xf numFmtId="164" fontId="20" fillId="12" borderId="0" xfId="0" applyNumberFormat="1" applyFont="1" applyFill="1" applyBorder="1"/>
    <xf numFmtId="0" fontId="0" fillId="12" borderId="4" xfId="0" applyFill="1" applyBorder="1" applyAlignment="1">
      <alignment horizontal="left"/>
    </xf>
    <xf numFmtId="164" fontId="21" fillId="12" borderId="1" xfId="1" applyFont="1" applyFill="1" applyBorder="1"/>
    <xf numFmtId="164" fontId="21" fillId="12" borderId="6" xfId="1" applyFont="1" applyFill="1" applyBorder="1"/>
    <xf numFmtId="0" fontId="0" fillId="12" borderId="4" xfId="0" applyFill="1" applyBorder="1"/>
    <xf numFmtId="43" fontId="0" fillId="12" borderId="0" xfId="0" applyNumberFormat="1" applyFill="1"/>
    <xf numFmtId="0" fontId="4" fillId="12" borderId="4" xfId="0" applyFont="1" applyFill="1" applyBorder="1"/>
    <xf numFmtId="10" fontId="21" fillId="12" borderId="0" xfId="11" applyNumberFormat="1" applyFont="1" applyFill="1" applyBorder="1" applyAlignment="1">
      <alignment horizontal="center"/>
    </xf>
    <xf numFmtId="164" fontId="21" fillId="12" borderId="42" xfId="1" applyFont="1" applyFill="1" applyBorder="1"/>
    <xf numFmtId="164" fontId="21" fillId="12" borderId="7" xfId="1" applyFont="1" applyFill="1" applyBorder="1"/>
    <xf numFmtId="0" fontId="0" fillId="12" borderId="15" xfId="0" applyFill="1" applyBorder="1" applyAlignment="1">
      <alignment horizontal="left"/>
    </xf>
    <xf numFmtId="164" fontId="0" fillId="12" borderId="54" xfId="0" applyNumberFormat="1" applyFill="1" applyBorder="1"/>
    <xf numFmtId="164" fontId="0" fillId="12" borderId="52" xfId="0" applyNumberFormat="1" applyFill="1" applyBorder="1"/>
    <xf numFmtId="164" fontId="0" fillId="12" borderId="53" xfId="0" applyNumberFormat="1" applyFill="1" applyBorder="1"/>
    <xf numFmtId="0" fontId="2" fillId="12" borderId="0" xfId="0" applyFont="1" applyFill="1" applyAlignment="1">
      <alignment horizontal="left"/>
    </xf>
    <xf numFmtId="0" fontId="0" fillId="12" borderId="39" xfId="0" applyFill="1" applyBorder="1" applyAlignment="1">
      <alignment horizontal="left"/>
    </xf>
    <xf numFmtId="164" fontId="21" fillId="12" borderId="0" xfId="1" applyNumberFormat="1" applyFont="1" applyFill="1"/>
    <xf numFmtId="0" fontId="0" fillId="12" borderId="22" xfId="0" applyFill="1" applyBorder="1"/>
    <xf numFmtId="0" fontId="0" fillId="12" borderId="56" xfId="0" applyFill="1" applyBorder="1" applyAlignment="1">
      <alignment horizontal="left"/>
    </xf>
    <xf numFmtId="164" fontId="21" fillId="12" borderId="8" xfId="1" applyFont="1" applyFill="1" applyBorder="1"/>
    <xf numFmtId="164" fontId="21" fillId="12" borderId="48" xfId="1" applyFont="1" applyFill="1" applyBorder="1"/>
    <xf numFmtId="164" fontId="0" fillId="12" borderId="42" xfId="0" applyNumberFormat="1" applyFill="1" applyBorder="1"/>
    <xf numFmtId="164" fontId="0" fillId="12" borderId="0" xfId="0" applyNumberFormat="1" applyFill="1"/>
    <xf numFmtId="0" fontId="10" fillId="12" borderId="0" xfId="0" applyFont="1" applyFill="1" applyBorder="1"/>
    <xf numFmtId="164" fontId="10" fillId="12" borderId="0" xfId="0" applyNumberFormat="1" applyFont="1" applyFill="1" applyBorder="1"/>
    <xf numFmtId="164" fontId="0" fillId="12" borderId="6" xfId="0" applyNumberFormat="1" applyFill="1" applyBorder="1"/>
    <xf numFmtId="0" fontId="4" fillId="12" borderId="22" xfId="0" applyFont="1" applyFill="1" applyBorder="1"/>
    <xf numFmtId="164" fontId="4" fillId="12" borderId="10" xfId="0" applyNumberFormat="1" applyFont="1" applyFill="1" applyBorder="1"/>
    <xf numFmtId="164" fontId="4" fillId="12" borderId="1" xfId="0" applyNumberFormat="1" applyFont="1" applyFill="1" applyBorder="1"/>
    <xf numFmtId="164" fontId="0" fillId="12" borderId="8" xfId="0" applyNumberFormat="1" applyFill="1" applyBorder="1"/>
    <xf numFmtId="164" fontId="0" fillId="12" borderId="57" xfId="0" applyNumberFormat="1" applyFill="1" applyBorder="1"/>
    <xf numFmtId="0" fontId="0" fillId="12" borderId="0" xfId="0" applyFill="1" applyBorder="1" applyAlignment="1">
      <alignment horizontal="left"/>
    </xf>
    <xf numFmtId="0" fontId="0" fillId="12" borderId="20" xfId="0" applyFill="1" applyBorder="1" applyAlignment="1">
      <alignment horizontal="left"/>
    </xf>
    <xf numFmtId="164" fontId="0" fillId="12" borderId="19" xfId="0" applyNumberFormat="1" applyFill="1" applyBorder="1"/>
    <xf numFmtId="164" fontId="0" fillId="12" borderId="23" xfId="0" applyNumberFormat="1" applyFill="1" applyBorder="1"/>
    <xf numFmtId="164" fontId="21" fillId="12" borderId="57" xfId="1" applyFont="1" applyFill="1" applyBorder="1"/>
    <xf numFmtId="164" fontId="21" fillId="12" borderId="0" xfId="1" applyFont="1" applyFill="1" applyBorder="1"/>
    <xf numFmtId="164" fontId="21" fillId="12" borderId="19" xfId="1" applyFont="1" applyFill="1" applyBorder="1"/>
    <xf numFmtId="164" fontId="21" fillId="12" borderId="23" xfId="1" applyFont="1" applyFill="1" applyBorder="1"/>
    <xf numFmtId="10" fontId="2" fillId="12" borderId="0" xfId="11" applyNumberFormat="1" applyFont="1" applyFill="1" applyBorder="1" applyAlignment="1" applyProtection="1">
      <alignment horizontal="center"/>
      <protection hidden="1"/>
    </xf>
    <xf numFmtId="164" fontId="0" fillId="12" borderId="7" xfId="0" applyNumberFormat="1" applyFill="1" applyBorder="1"/>
    <xf numFmtId="0" fontId="1" fillId="12" borderId="0" xfId="0" applyFont="1" applyFill="1" applyBorder="1" applyProtection="1">
      <protection hidden="1"/>
    </xf>
    <xf numFmtId="164" fontId="1" fillId="12" borderId="0" xfId="1" applyFont="1" applyFill="1" applyBorder="1" applyProtection="1">
      <protection hidden="1"/>
    </xf>
    <xf numFmtId="0" fontId="4" fillId="12" borderId="33" xfId="0" applyFont="1" applyFill="1" applyBorder="1" applyAlignment="1">
      <alignment horizontal="left"/>
    </xf>
    <xf numFmtId="164" fontId="21" fillId="12" borderId="59" xfId="1" applyFont="1" applyFill="1" applyBorder="1"/>
    <xf numFmtId="0" fontId="0" fillId="12" borderId="47" xfId="0" applyFill="1" applyBorder="1" applyAlignment="1">
      <alignment horizontal="left"/>
    </xf>
    <xf numFmtId="164" fontId="10" fillId="12" borderId="1" xfId="0" applyNumberFormat="1" applyFont="1" applyFill="1" applyBorder="1"/>
    <xf numFmtId="0" fontId="19" fillId="12" borderId="9" xfId="0" applyFont="1" applyFill="1" applyBorder="1"/>
    <xf numFmtId="10" fontId="1" fillId="12" borderId="0" xfId="11" applyNumberFormat="1" applyFont="1" applyFill="1" applyBorder="1" applyAlignment="1" applyProtection="1">
      <alignment horizontal="center"/>
      <protection hidden="1"/>
    </xf>
    <xf numFmtId="0" fontId="4" fillId="12" borderId="0" xfId="0" applyFont="1" applyFill="1" applyBorder="1" applyAlignment="1">
      <alignment horizontal="center"/>
    </xf>
    <xf numFmtId="0" fontId="0" fillId="2" borderId="1" xfId="0" applyFill="1" applyBorder="1" applyAlignment="1" applyProtection="1">
      <alignment horizontal="center"/>
      <protection locked="0"/>
    </xf>
    <xf numFmtId="0" fontId="0" fillId="12" borderId="0" xfId="0" applyFill="1" applyProtection="1">
      <protection hidden="1"/>
    </xf>
    <xf numFmtId="0" fontId="17" fillId="12" borderId="0" xfId="0" applyFont="1" applyFill="1"/>
    <xf numFmtId="0" fontId="11" fillId="12" borderId="0" xfId="0" applyFont="1" applyFill="1" applyBorder="1" applyAlignment="1">
      <alignment horizontal="center"/>
    </xf>
    <xf numFmtId="164" fontId="4" fillId="12" borderId="0" xfId="1" applyFont="1" applyFill="1" applyBorder="1" applyAlignment="1">
      <alignment horizontal="center"/>
    </xf>
    <xf numFmtId="0" fontId="7" fillId="12" borderId="0" xfId="0" applyFont="1" applyFill="1" applyBorder="1" applyAlignment="1">
      <alignment horizontal="center"/>
    </xf>
    <xf numFmtId="0" fontId="11" fillId="12" borderId="0" xfId="0" applyFont="1" applyFill="1" applyAlignment="1">
      <alignment horizontal="center"/>
    </xf>
    <xf numFmtId="0" fontId="4" fillId="12" borderId="9" xfId="0" applyFont="1" applyFill="1" applyBorder="1" applyAlignment="1">
      <alignment horizontal="center"/>
    </xf>
    <xf numFmtId="164" fontId="2" fillId="12" borderId="0" xfId="0" applyNumberFormat="1" applyFont="1" applyFill="1" applyAlignment="1" applyProtection="1">
      <alignment horizontal="center"/>
      <protection hidden="1"/>
    </xf>
    <xf numFmtId="0" fontId="0" fillId="12" borderId="9" xfId="0" applyFill="1" applyBorder="1" applyAlignment="1" applyProtection="1">
      <alignment horizontal="center"/>
      <protection hidden="1"/>
    </xf>
    <xf numFmtId="0" fontId="0" fillId="12" borderId="9" xfId="0" applyFill="1" applyBorder="1" applyProtection="1">
      <protection hidden="1"/>
    </xf>
    <xf numFmtId="186" fontId="4" fillId="12" borderId="0" xfId="0" applyNumberFormat="1" applyFont="1" applyFill="1" applyBorder="1" applyAlignment="1" applyProtection="1">
      <alignment horizontal="center"/>
      <protection locked="0"/>
    </xf>
    <xf numFmtId="2" fontId="21" fillId="2" borderId="1" xfId="1" applyNumberFormat="1" applyFont="1" applyFill="1" applyBorder="1"/>
    <xf numFmtId="164" fontId="3" fillId="2" borderId="1" xfId="1" applyFont="1" applyFill="1" applyBorder="1"/>
    <xf numFmtId="164" fontId="2" fillId="12" borderId="0" xfId="1" applyFont="1" applyFill="1" applyBorder="1"/>
    <xf numFmtId="164" fontId="2" fillId="12" borderId="11" xfId="1" applyFont="1" applyFill="1" applyBorder="1"/>
    <xf numFmtId="164" fontId="2" fillId="12" borderId="6" xfId="1" applyFont="1" applyFill="1" applyBorder="1"/>
    <xf numFmtId="164" fontId="2" fillId="12" borderId="7" xfId="1" applyFont="1" applyFill="1" applyBorder="1"/>
    <xf numFmtId="0" fontId="8" fillId="12" borderId="22" xfId="0" applyFont="1" applyFill="1" applyBorder="1"/>
    <xf numFmtId="0" fontId="8" fillId="12" borderId="4" xfId="0" applyFont="1" applyFill="1" applyBorder="1"/>
    <xf numFmtId="0" fontId="8" fillId="12" borderId="39" xfId="0" applyFont="1" applyFill="1" applyBorder="1"/>
    <xf numFmtId="0" fontId="11" fillId="12" borderId="22" xfId="0" applyFont="1" applyFill="1" applyBorder="1"/>
    <xf numFmtId="0" fontId="11" fillId="12" borderId="4" xfId="0" applyFont="1" applyFill="1" applyBorder="1"/>
    <xf numFmtId="0" fontId="11" fillId="12" borderId="39" xfId="0" applyFont="1" applyFill="1" applyBorder="1"/>
    <xf numFmtId="0" fontId="8" fillId="12" borderId="33" xfId="0" applyFont="1" applyFill="1" applyBorder="1" applyAlignment="1">
      <alignment horizontal="left"/>
    </xf>
    <xf numFmtId="0" fontId="8" fillId="12" borderId="0" xfId="0" applyFont="1" applyFill="1" applyBorder="1"/>
    <xf numFmtId="0" fontId="8" fillId="13" borderId="4" xfId="0" applyFont="1" applyFill="1" applyBorder="1"/>
    <xf numFmtId="0" fontId="11" fillId="12" borderId="39" xfId="0" applyFont="1" applyFill="1" applyBorder="1" applyAlignment="1">
      <alignment horizontal="left"/>
    </xf>
    <xf numFmtId="210" fontId="11" fillId="12" borderId="0" xfId="0" applyNumberFormat="1" applyFont="1" applyFill="1" applyBorder="1" applyAlignment="1">
      <alignment horizontal="left"/>
    </xf>
    <xf numFmtId="0" fontId="4" fillId="12" borderId="0" xfId="0" applyFont="1" applyFill="1" applyBorder="1" applyAlignment="1">
      <alignment vertical="center"/>
    </xf>
    <xf numFmtId="0" fontId="2" fillId="12" borderId="0" xfId="0" applyFont="1" applyFill="1" applyBorder="1" applyAlignment="1"/>
    <xf numFmtId="0" fontId="11" fillId="12" borderId="33" xfId="0" applyFont="1" applyFill="1" applyBorder="1" applyProtection="1">
      <protection hidden="1"/>
    </xf>
    <xf numFmtId="0" fontId="11" fillId="12" borderId="0" xfId="0" applyFont="1" applyFill="1" applyBorder="1" applyProtection="1">
      <protection hidden="1"/>
    </xf>
    <xf numFmtId="210" fontId="11" fillId="12" borderId="22" xfId="0" applyNumberFormat="1" applyFont="1" applyFill="1" applyBorder="1" applyAlignment="1">
      <alignment horizontal="left"/>
    </xf>
    <xf numFmtId="0" fontId="4" fillId="12" borderId="33" xfId="0" applyFont="1" applyFill="1" applyBorder="1" applyAlignment="1">
      <alignment horizontal="left" vertical="center"/>
    </xf>
    <xf numFmtId="200" fontId="8" fillId="12" borderId="0" xfId="0" applyNumberFormat="1" applyFont="1" applyFill="1" applyBorder="1" applyAlignment="1">
      <alignment horizontal="center"/>
    </xf>
    <xf numFmtId="0" fontId="9" fillId="12" borderId="0" xfId="0" applyFont="1" applyFill="1" applyBorder="1"/>
    <xf numFmtId="0" fontId="9" fillId="12" borderId="0" xfId="0" applyFont="1" applyFill="1"/>
    <xf numFmtId="164" fontId="39" fillId="3" borderId="1" xfId="1" applyFont="1" applyFill="1" applyBorder="1"/>
    <xf numFmtId="0" fontId="4" fillId="3" borderId="54" xfId="0" applyFont="1" applyFill="1" applyBorder="1" applyAlignment="1">
      <alignment horizontal="center"/>
    </xf>
    <xf numFmtId="0" fontId="4" fillId="3" borderId="60" xfId="0" applyFont="1" applyFill="1" applyBorder="1" applyAlignment="1">
      <alignment horizontal="center"/>
    </xf>
    <xf numFmtId="0" fontId="4" fillId="3" borderId="35" xfId="0" applyFont="1" applyFill="1" applyBorder="1" applyAlignment="1">
      <alignment horizontal="right"/>
    </xf>
    <xf numFmtId="0" fontId="4" fillId="3" borderId="37" xfId="0" applyFont="1" applyFill="1" applyBorder="1" applyAlignment="1">
      <alignment horizontal="right"/>
    </xf>
    <xf numFmtId="0" fontId="0" fillId="3" borderId="37" xfId="0" applyFill="1" applyBorder="1" applyAlignment="1">
      <alignment horizontal="right"/>
    </xf>
    <xf numFmtId="0" fontId="0" fillId="3" borderId="40" xfId="0" applyFill="1" applyBorder="1" applyAlignment="1">
      <alignment horizontal="right"/>
    </xf>
    <xf numFmtId="0" fontId="2" fillId="3" borderId="53" xfId="0" applyFont="1" applyFill="1" applyBorder="1" applyAlignment="1">
      <alignment horizontal="right"/>
    </xf>
    <xf numFmtId="164" fontId="0" fillId="3" borderId="61" xfId="1" applyFont="1" applyFill="1" applyBorder="1" applyAlignment="1">
      <alignment horizontal="center"/>
    </xf>
    <xf numFmtId="164" fontId="0" fillId="3" borderId="37" xfId="1" applyFont="1" applyFill="1" applyBorder="1" applyAlignment="1">
      <alignment horizontal="center"/>
    </xf>
    <xf numFmtId="164" fontId="2" fillId="3" borderId="54" xfId="1" applyFont="1" applyFill="1" applyBorder="1"/>
    <xf numFmtId="164" fontId="2" fillId="3" borderId="60" xfId="1" applyFont="1" applyFill="1" applyBorder="1"/>
    <xf numFmtId="164" fontId="2" fillId="3" borderId="52" xfId="1" applyFont="1" applyFill="1" applyBorder="1"/>
    <xf numFmtId="164" fontId="2" fillId="3" borderId="53" xfId="1" applyFont="1" applyFill="1" applyBorder="1"/>
    <xf numFmtId="164" fontId="2" fillId="12" borderId="0" xfId="0" applyNumberFormat="1" applyFont="1" applyFill="1" applyBorder="1" applyAlignment="1" applyProtection="1">
      <alignment horizontal="center"/>
      <protection hidden="1"/>
    </xf>
    <xf numFmtId="164" fontId="0" fillId="12" borderId="0" xfId="0" applyNumberFormat="1" applyFill="1" applyBorder="1" applyProtection="1">
      <protection hidden="1"/>
    </xf>
    <xf numFmtId="174" fontId="4" fillId="12" borderId="0" xfId="0" applyNumberFormat="1" applyFont="1" applyFill="1" applyBorder="1" applyAlignment="1">
      <alignment horizontal="center"/>
    </xf>
    <xf numFmtId="190" fontId="4" fillId="12" borderId="0" xfId="0" applyNumberFormat="1" applyFont="1" applyFill="1" applyBorder="1" applyAlignment="1">
      <alignment horizontal="center"/>
    </xf>
    <xf numFmtId="201" fontId="2" fillId="2" borderId="1" xfId="0" applyNumberFormat="1" applyFont="1" applyFill="1" applyBorder="1" applyAlignment="1">
      <alignment horizontal="center"/>
    </xf>
    <xf numFmtId="164" fontId="0" fillId="3" borderId="1" xfId="1" applyFont="1" applyFill="1" applyBorder="1" applyAlignment="1" applyProtection="1">
      <alignment horizontal="center"/>
      <protection hidden="1"/>
    </xf>
    <xf numFmtId="0" fontId="4" fillId="12" borderId="20" xfId="0" applyFont="1" applyFill="1" applyBorder="1"/>
    <xf numFmtId="0" fontId="14" fillId="12" borderId="62" xfId="0" applyFont="1" applyFill="1" applyBorder="1"/>
    <xf numFmtId="0" fontId="2" fillId="3" borderId="0" xfId="0" applyFont="1" applyFill="1" applyAlignment="1" applyProtection="1">
      <alignment horizontal="right"/>
      <protection hidden="1"/>
    </xf>
    <xf numFmtId="4" fontId="0" fillId="12" borderId="0" xfId="0" applyNumberFormat="1" applyFill="1" applyBorder="1" applyProtection="1">
      <protection hidden="1"/>
    </xf>
    <xf numFmtId="0" fontId="0" fillId="12" borderId="0" xfId="0" applyFill="1" applyBorder="1"/>
    <xf numFmtId="0" fontId="4" fillId="12" borderId="0" xfId="0" applyFont="1" applyFill="1" applyAlignment="1">
      <alignment horizontal="center"/>
    </xf>
    <xf numFmtId="0" fontId="18" fillId="3" borderId="0" xfId="0" applyFont="1" applyFill="1" applyAlignment="1">
      <alignment horizontal="left"/>
    </xf>
    <xf numFmtId="186" fontId="4" fillId="12" borderId="0" xfId="21" applyNumberFormat="1" applyFont="1" applyFill="1" applyBorder="1" applyAlignment="1" applyProtection="1">
      <alignment horizontal="center"/>
      <protection locked="0"/>
    </xf>
    <xf numFmtId="198" fontId="4" fillId="12" borderId="0" xfId="21" applyNumberFormat="1" applyFont="1" applyFill="1" applyBorder="1" applyAlignment="1" applyProtection="1">
      <alignment horizontal="center"/>
      <protection locked="0"/>
    </xf>
    <xf numFmtId="4" fontId="0" fillId="12" borderId="0" xfId="0" applyNumberFormat="1" applyFill="1" applyAlignment="1" applyProtection="1">
      <alignment horizontal="center"/>
      <protection hidden="1"/>
    </xf>
    <xf numFmtId="0" fontId="0" fillId="12" borderId="0" xfId="0" applyFill="1" applyAlignment="1" applyProtection="1">
      <alignment horizontal="center"/>
      <protection hidden="1"/>
    </xf>
    <xf numFmtId="4" fontId="28" fillId="12" borderId="0" xfId="0" applyNumberFormat="1" applyFont="1" applyFill="1" applyProtection="1">
      <protection hidden="1"/>
    </xf>
    <xf numFmtId="0" fontId="27" fillId="12" borderId="0" xfId="0" applyFont="1" applyFill="1" applyAlignment="1">
      <alignment horizontal="right"/>
    </xf>
    <xf numFmtId="0" fontId="17" fillId="12" borderId="0" xfId="0" applyFont="1" applyFill="1" applyBorder="1" applyAlignment="1">
      <alignment horizontal="center"/>
    </xf>
    <xf numFmtId="0" fontId="12" fillId="12" borderId="0" xfId="0" applyFont="1" applyFill="1" applyBorder="1" applyAlignment="1">
      <alignment horizontal="left" shrinkToFit="1"/>
    </xf>
    <xf numFmtId="0" fontId="8" fillId="12" borderId="0" xfId="0" applyFont="1" applyFill="1" applyBorder="1" applyAlignment="1">
      <alignment horizontal="left"/>
    </xf>
    <xf numFmtId="0" fontId="24" fillId="12" borderId="0" xfId="0" applyNumberFormat="1" applyFont="1" applyFill="1" applyBorder="1" applyAlignment="1" applyProtection="1">
      <alignment horizontal="left"/>
    </xf>
    <xf numFmtId="17" fontId="4" fillId="12" borderId="0" xfId="0" applyNumberFormat="1" applyFont="1" applyFill="1"/>
    <xf numFmtId="0" fontId="8" fillId="12" borderId="0" xfId="0" applyFont="1" applyFill="1"/>
    <xf numFmtId="167" fontId="4" fillId="12" borderId="0" xfId="0" applyNumberFormat="1" applyFont="1" applyFill="1" applyAlignment="1">
      <alignment horizontal="left" shrinkToFit="1"/>
    </xf>
    <xf numFmtId="0" fontId="4" fillId="12" borderId="0" xfId="0" applyFont="1" applyFill="1" applyAlignment="1">
      <alignment horizontal="left"/>
    </xf>
    <xf numFmtId="186" fontId="4" fillId="12" borderId="1" xfId="0" applyNumberFormat="1" applyFont="1" applyFill="1" applyBorder="1" applyAlignment="1" applyProtection="1">
      <alignment horizontal="center"/>
      <protection locked="0"/>
    </xf>
    <xf numFmtId="198" fontId="4" fillId="12" borderId="1" xfId="21" applyNumberFormat="1" applyFont="1" applyFill="1" applyBorder="1" applyAlignment="1" applyProtection="1">
      <alignment horizontal="center"/>
      <protection locked="0"/>
    </xf>
    <xf numFmtId="0" fontId="4" fillId="12" borderId="0" xfId="0" applyFont="1" applyFill="1" applyBorder="1" applyAlignment="1">
      <alignment horizontal="right"/>
    </xf>
    <xf numFmtId="186" fontId="4" fillId="12" borderId="1" xfId="21" applyNumberFormat="1" applyFont="1" applyFill="1" applyBorder="1" applyAlignment="1" applyProtection="1">
      <alignment horizontal="center"/>
      <protection locked="0"/>
    </xf>
    <xf numFmtId="0" fontId="4" fillId="12" borderId="2" xfId="0" applyFont="1" applyFill="1" applyBorder="1" applyAlignment="1">
      <alignment horizontal="center"/>
    </xf>
    <xf numFmtId="200" fontId="4" fillId="12" borderId="0" xfId="21" applyNumberFormat="1" applyFont="1" applyFill="1" applyBorder="1" applyAlignment="1" applyProtection="1">
      <alignment horizontal="center"/>
      <protection locked="0"/>
    </xf>
    <xf numFmtId="175" fontId="4" fillId="12" borderId="0" xfId="21" applyNumberFormat="1" applyFont="1" applyFill="1" applyBorder="1" applyAlignment="1" applyProtection="1">
      <alignment horizontal="center"/>
      <protection locked="0"/>
    </xf>
    <xf numFmtId="164" fontId="4" fillId="12" borderId="0" xfId="1" applyFont="1" applyFill="1" applyBorder="1" applyAlignment="1" applyProtection="1">
      <alignment horizontal="center"/>
      <protection locked="0"/>
    </xf>
    <xf numFmtId="0" fontId="4" fillId="12" borderId="0" xfId="0" applyFont="1" applyFill="1" applyBorder="1" applyAlignment="1"/>
    <xf numFmtId="1" fontId="4" fillId="12" borderId="0" xfId="0" applyNumberFormat="1" applyFont="1" applyFill="1" applyAlignment="1">
      <alignment horizontal="center"/>
    </xf>
    <xf numFmtId="1" fontId="4" fillId="12" borderId="0" xfId="0" applyNumberFormat="1" applyFont="1" applyFill="1" applyBorder="1" applyAlignment="1">
      <alignment horizontal="center"/>
    </xf>
    <xf numFmtId="0" fontId="18" fillId="12" borderId="2" xfId="0" applyFont="1" applyFill="1" applyBorder="1"/>
    <xf numFmtId="0" fontId="11" fillId="12" borderId="2" xfId="0" applyFont="1" applyFill="1" applyBorder="1"/>
    <xf numFmtId="166" fontId="2" fillId="12" borderId="2" xfId="0" applyNumberFormat="1" applyFont="1" applyFill="1" applyBorder="1"/>
    <xf numFmtId="166" fontId="11" fillId="12" borderId="2" xfId="0" applyNumberFormat="1" applyFont="1" applyFill="1" applyBorder="1" applyProtection="1">
      <protection locked="0"/>
    </xf>
    <xf numFmtId="0" fontId="11" fillId="12" borderId="2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left"/>
    </xf>
    <xf numFmtId="0" fontId="26" fillId="12" borderId="0" xfId="0" applyFont="1" applyFill="1" applyBorder="1" applyAlignment="1">
      <alignment shrinkToFit="1"/>
    </xf>
    <xf numFmtId="0" fontId="9" fillId="12" borderId="0" xfId="0" applyFont="1" applyFill="1" applyBorder="1" applyAlignment="1">
      <alignment shrinkToFit="1"/>
    </xf>
    <xf numFmtId="186" fontId="4" fillId="12" borderId="22" xfId="0" applyNumberFormat="1" applyFont="1" applyFill="1" applyBorder="1" applyAlignment="1" applyProtection="1">
      <alignment horizontal="center"/>
      <protection locked="0"/>
    </xf>
    <xf numFmtId="186" fontId="4" fillId="12" borderId="10" xfId="0" applyNumberFormat="1" applyFont="1" applyFill="1" applyBorder="1" applyAlignment="1" applyProtection="1">
      <alignment horizontal="center"/>
      <protection locked="0"/>
    </xf>
    <xf numFmtId="186" fontId="4" fillId="12" borderId="11" xfId="0" applyNumberFormat="1" applyFont="1" applyFill="1" applyBorder="1" applyAlignment="1" applyProtection="1">
      <alignment horizontal="center"/>
      <protection locked="0"/>
    </xf>
    <xf numFmtId="186" fontId="4" fillId="12" borderId="4" xfId="0" applyNumberFormat="1" applyFont="1" applyFill="1" applyBorder="1" applyAlignment="1" applyProtection="1">
      <alignment horizontal="center"/>
      <protection locked="0"/>
    </xf>
    <xf numFmtId="186" fontId="4" fillId="12" borderId="6" xfId="0" applyNumberFormat="1" applyFont="1" applyFill="1" applyBorder="1" applyAlignment="1" applyProtection="1">
      <alignment horizontal="center"/>
      <protection locked="0"/>
    </xf>
    <xf numFmtId="186" fontId="4" fillId="12" borderId="39" xfId="0" applyNumberFormat="1" applyFont="1" applyFill="1" applyBorder="1" applyAlignment="1" applyProtection="1">
      <alignment horizontal="center"/>
      <protection locked="0"/>
    </xf>
    <xf numFmtId="186" fontId="4" fillId="12" borderId="42" xfId="0" applyNumberFormat="1" applyFont="1" applyFill="1" applyBorder="1" applyAlignment="1" applyProtection="1">
      <alignment horizontal="center"/>
      <protection locked="0"/>
    </xf>
    <xf numFmtId="186" fontId="4" fillId="12" borderId="7" xfId="0" applyNumberFormat="1" applyFont="1" applyFill="1" applyBorder="1" applyAlignment="1" applyProtection="1">
      <alignment horizontal="center"/>
      <protection locked="0"/>
    </xf>
    <xf numFmtId="0" fontId="4" fillId="12" borderId="0" xfId="0" applyFont="1" applyFill="1" applyAlignment="1">
      <alignment horizontal="right"/>
    </xf>
    <xf numFmtId="186" fontId="4" fillId="12" borderId="56" xfId="0" applyNumberFormat="1" applyFont="1" applyFill="1" applyBorder="1" applyAlignment="1" applyProtection="1">
      <alignment horizontal="center"/>
      <protection locked="0"/>
    </xf>
    <xf numFmtId="186" fontId="4" fillId="12" borderId="20" xfId="0" applyNumberFormat="1" applyFont="1" applyFill="1" applyBorder="1" applyAlignment="1" applyProtection="1">
      <alignment horizontal="center"/>
      <protection locked="0"/>
    </xf>
    <xf numFmtId="186" fontId="4" fillId="12" borderId="19" xfId="0" applyNumberFormat="1" applyFont="1" applyFill="1" applyBorder="1" applyAlignment="1" applyProtection="1">
      <alignment horizontal="center"/>
      <protection locked="0"/>
    </xf>
    <xf numFmtId="186" fontId="4" fillId="12" borderId="23" xfId="0" applyNumberFormat="1" applyFont="1" applyFill="1" applyBorder="1" applyAlignment="1" applyProtection="1">
      <alignment horizontal="center"/>
      <protection locked="0"/>
    </xf>
    <xf numFmtId="0" fontId="2" fillId="12" borderId="0" xfId="0" applyFont="1" applyFill="1" applyAlignment="1">
      <alignment horizontal="right"/>
    </xf>
    <xf numFmtId="186" fontId="4" fillId="12" borderId="8" xfId="0" applyNumberFormat="1" applyFont="1" applyFill="1" applyBorder="1" applyAlignment="1" applyProtection="1">
      <alignment horizontal="center"/>
      <protection locked="0"/>
    </xf>
    <xf numFmtId="186" fontId="4" fillId="12" borderId="57" xfId="0" applyNumberFormat="1" applyFont="1" applyFill="1" applyBorder="1" applyAlignment="1" applyProtection="1">
      <alignment horizontal="center"/>
      <protection locked="0"/>
    </xf>
    <xf numFmtId="186" fontId="4" fillId="12" borderId="33" xfId="0" applyNumberFormat="1" applyFont="1" applyFill="1" applyBorder="1" applyAlignment="1" applyProtection="1">
      <alignment horizontal="center"/>
      <protection locked="0"/>
    </xf>
    <xf numFmtId="186" fontId="4" fillId="12" borderId="59" xfId="0" applyNumberFormat="1" applyFont="1" applyFill="1" applyBorder="1" applyAlignment="1" applyProtection="1">
      <alignment horizontal="center"/>
      <protection locked="0"/>
    </xf>
    <xf numFmtId="186" fontId="4" fillId="12" borderId="34" xfId="0" applyNumberFormat="1" applyFont="1" applyFill="1" applyBorder="1" applyAlignment="1" applyProtection="1">
      <alignment horizontal="center"/>
      <protection locked="0"/>
    </xf>
    <xf numFmtId="164" fontId="2" fillId="12" borderId="0" xfId="1" applyFont="1" applyFill="1" applyBorder="1" applyAlignment="1">
      <alignment horizontal="center"/>
    </xf>
    <xf numFmtId="10" fontId="4" fillId="12" borderId="0" xfId="0" applyNumberFormat="1" applyFont="1" applyFill="1"/>
    <xf numFmtId="10" fontId="2" fillId="12" borderId="15" xfId="0" applyNumberFormat="1" applyFont="1" applyFill="1" applyBorder="1" applyAlignment="1" applyProtection="1">
      <alignment horizontal="center"/>
      <protection hidden="1"/>
    </xf>
    <xf numFmtId="164" fontId="0" fillId="3" borderId="45" xfId="1" applyFont="1" applyFill="1" applyBorder="1" applyAlignment="1">
      <alignment horizontal="center"/>
    </xf>
    <xf numFmtId="0" fontId="0" fillId="12" borderId="41" xfId="0" applyFill="1" applyBorder="1" applyAlignment="1">
      <alignment horizontal="left"/>
    </xf>
    <xf numFmtId="164" fontId="21" fillId="12" borderId="67" xfId="1" applyFont="1" applyFill="1" applyBorder="1"/>
    <xf numFmtId="164" fontId="21" fillId="12" borderId="16" xfId="1" applyFont="1" applyFill="1" applyBorder="1"/>
    <xf numFmtId="4" fontId="7" fillId="3" borderId="0" xfId="0" applyNumberFormat="1" applyFont="1" applyFill="1" applyBorder="1" applyAlignment="1" applyProtection="1">
      <alignment horizontal="center" vertical="center"/>
      <protection hidden="1"/>
    </xf>
    <xf numFmtId="0" fontId="2" fillId="12" borderId="0" xfId="0" applyFont="1" applyFill="1" applyBorder="1" applyAlignment="1">
      <alignment horizontal="center"/>
    </xf>
    <xf numFmtId="0" fontId="0" fillId="12" borderId="0" xfId="0" applyFill="1" applyBorder="1"/>
    <xf numFmtId="0" fontId="0" fillId="3" borderId="70" xfId="0" applyFill="1" applyBorder="1"/>
    <xf numFmtId="0" fontId="0" fillId="3" borderId="71" xfId="0" applyFill="1" applyBorder="1"/>
    <xf numFmtId="0" fontId="0" fillId="3" borderId="72" xfId="0" applyFill="1" applyBorder="1"/>
    <xf numFmtId="0" fontId="0" fillId="3" borderId="73" xfId="0" applyFill="1" applyBorder="1"/>
    <xf numFmtId="0" fontId="0" fillId="3" borderId="74" xfId="0" applyFill="1" applyBorder="1"/>
    <xf numFmtId="0" fontId="0" fillId="3" borderId="75" xfId="0" applyFill="1" applyBorder="1"/>
    <xf numFmtId="0" fontId="0" fillId="3" borderId="76" xfId="0" applyFill="1" applyBorder="1"/>
    <xf numFmtId="0" fontId="0" fillId="3" borderId="77" xfId="0" applyFill="1" applyBorder="1"/>
    <xf numFmtId="164" fontId="0" fillId="2" borderId="1" xfId="1" applyFont="1" applyFill="1" applyBorder="1"/>
    <xf numFmtId="0" fontId="0" fillId="12" borderId="0" xfId="0" applyFill="1" applyBorder="1"/>
    <xf numFmtId="164" fontId="43" fillId="12" borderId="4" xfId="1" applyFont="1" applyFill="1" applyBorder="1"/>
    <xf numFmtId="164" fontId="43" fillId="12" borderId="6" xfId="1" applyFont="1" applyFill="1" applyBorder="1"/>
    <xf numFmtId="164" fontId="4" fillId="12" borderId="4" xfId="1" applyFont="1" applyFill="1" applyBorder="1" applyAlignment="1">
      <alignment horizontal="center"/>
    </xf>
    <xf numFmtId="164" fontId="4" fillId="12" borderId="4" xfId="1" applyFont="1" applyFill="1" applyBorder="1"/>
    <xf numFmtId="164" fontId="43" fillId="12" borderId="39" xfId="1" applyFont="1" applyFill="1" applyBorder="1"/>
    <xf numFmtId="164" fontId="43" fillId="12" borderId="7" xfId="1" applyFont="1" applyFill="1" applyBorder="1"/>
    <xf numFmtId="192" fontId="21" fillId="12" borderId="0" xfId="1" applyNumberFormat="1" applyFont="1" applyFill="1" applyBorder="1" applyAlignment="1">
      <alignment horizontal="center"/>
    </xf>
    <xf numFmtId="164" fontId="43" fillId="12" borderId="20" xfId="1" applyFont="1" applyFill="1" applyBorder="1"/>
    <xf numFmtId="164" fontId="43" fillId="12" borderId="23" xfId="1" applyFont="1" applyFill="1" applyBorder="1"/>
    <xf numFmtId="0" fontId="4" fillId="3" borderId="0" xfId="0" applyFont="1" applyFill="1" applyBorder="1" applyAlignment="1">
      <alignment horizontal="right"/>
    </xf>
    <xf numFmtId="0" fontId="0" fillId="3" borderId="78" xfId="0" applyFill="1" applyBorder="1"/>
    <xf numFmtId="0" fontId="0" fillId="3" borderId="30" xfId="0" applyFill="1" applyBorder="1"/>
    <xf numFmtId="0" fontId="2" fillId="3" borderId="30" xfId="0" applyFont="1" applyFill="1" applyBorder="1" applyAlignment="1">
      <alignment horizontal="right"/>
    </xf>
    <xf numFmtId="186" fontId="2" fillId="2" borderId="10" xfId="0" applyNumberFormat="1" applyFont="1" applyFill="1" applyBorder="1" applyAlignment="1">
      <alignment horizontal="center"/>
    </xf>
    <xf numFmtId="0" fontId="4" fillId="12" borderId="30" xfId="0" applyFont="1" applyFill="1" applyBorder="1" applyAlignment="1">
      <alignment horizontal="right"/>
    </xf>
    <xf numFmtId="0" fontId="0" fillId="3" borderId="30" xfId="0" applyFill="1" applyBorder="1" applyAlignment="1">
      <alignment horizontal="center"/>
    </xf>
    <xf numFmtId="0" fontId="4" fillId="3" borderId="30" xfId="0" applyFont="1" applyFill="1" applyBorder="1" applyAlignment="1">
      <alignment horizontal="center"/>
    </xf>
    <xf numFmtId="0" fontId="2" fillId="12" borderId="0" xfId="0" applyFont="1" applyFill="1" applyBorder="1" applyAlignment="1">
      <alignment horizontal="center"/>
    </xf>
    <xf numFmtId="0" fontId="0" fillId="12" borderId="0" xfId="0" applyFill="1" applyBorder="1"/>
    <xf numFmtId="0" fontId="0" fillId="3" borderId="79" xfId="0" applyFill="1" applyBorder="1"/>
    <xf numFmtId="0" fontId="18" fillId="2" borderId="8" xfId="0" applyFont="1" applyFill="1" applyBorder="1" applyAlignment="1">
      <alignment horizontal="center"/>
    </xf>
    <xf numFmtId="164" fontId="43" fillId="14" borderId="4" xfId="1" applyFont="1" applyFill="1" applyBorder="1"/>
    <xf numFmtId="164" fontId="43" fillId="14" borderId="6" xfId="1" applyFont="1" applyFill="1" applyBorder="1"/>
    <xf numFmtId="164" fontId="4" fillId="14" borderId="4" xfId="1" applyFont="1" applyFill="1" applyBorder="1" applyAlignment="1">
      <alignment horizontal="center"/>
    </xf>
    <xf numFmtId="164" fontId="4" fillId="14" borderId="4" xfId="1" applyFont="1" applyFill="1" applyBorder="1"/>
    <xf numFmtId="164" fontId="43" fillId="12" borderId="1" xfId="1" applyFont="1" applyFill="1" applyBorder="1"/>
    <xf numFmtId="164" fontId="43" fillId="14" borderId="1" xfId="1" applyFont="1" applyFill="1" applyBorder="1"/>
    <xf numFmtId="164" fontId="43" fillId="12" borderId="1" xfId="1" applyFont="1" applyFill="1" applyBorder="1" applyAlignment="1"/>
    <xf numFmtId="164" fontId="43" fillId="12" borderId="4" xfId="1" applyFont="1" applyFill="1" applyBorder="1" applyAlignment="1"/>
    <xf numFmtId="164" fontId="43" fillId="12" borderId="6" xfId="1" applyFont="1" applyFill="1" applyBorder="1" applyAlignment="1"/>
    <xf numFmtId="164" fontId="43" fillId="12" borderId="42" xfId="1" applyFont="1" applyFill="1" applyBorder="1"/>
    <xf numFmtId="164" fontId="43" fillId="12" borderId="19" xfId="1" applyFont="1" applyFill="1" applyBorder="1"/>
    <xf numFmtId="0" fontId="8" fillId="12" borderId="29" xfId="0" applyFont="1" applyFill="1" applyBorder="1" applyAlignment="1"/>
    <xf numFmtId="0" fontId="8" fillId="12" borderId="30" xfId="0" applyFont="1" applyFill="1" applyBorder="1" applyAlignment="1"/>
    <xf numFmtId="0" fontId="8" fillId="12" borderId="35" xfId="0" applyFont="1" applyFill="1" applyBorder="1" applyAlignment="1"/>
    <xf numFmtId="0" fontId="0" fillId="12" borderId="51" xfId="0" applyFill="1" applyBorder="1" applyAlignment="1"/>
    <xf numFmtId="0" fontId="0" fillId="12" borderId="2" xfId="0" applyFill="1" applyBorder="1" applyAlignment="1"/>
    <xf numFmtId="0" fontId="0" fillId="12" borderId="40" xfId="0" applyFill="1" applyBorder="1" applyAlignment="1"/>
    <xf numFmtId="0" fontId="18" fillId="12" borderId="0" xfId="0" applyFont="1" applyFill="1" applyBorder="1"/>
    <xf numFmtId="209" fontId="4" fillId="12" borderId="22" xfId="0" applyNumberFormat="1" applyFont="1" applyFill="1" applyBorder="1" applyAlignment="1" applyProtection="1">
      <alignment horizontal="center"/>
      <protection locked="0"/>
    </xf>
    <xf numFmtId="209" fontId="4" fillId="12" borderId="10" xfId="0" applyNumberFormat="1" applyFont="1" applyFill="1" applyBorder="1" applyAlignment="1" applyProtection="1">
      <alignment horizontal="center"/>
      <protection locked="0"/>
    </xf>
    <xf numFmtId="209" fontId="4" fillId="12" borderId="11" xfId="0" applyNumberFormat="1" applyFont="1" applyFill="1" applyBorder="1" applyAlignment="1" applyProtection="1">
      <alignment horizontal="center"/>
      <protection locked="0"/>
    </xf>
    <xf numFmtId="209" fontId="4" fillId="12" borderId="4" xfId="0" applyNumberFormat="1" applyFont="1" applyFill="1" applyBorder="1" applyAlignment="1" applyProtection="1">
      <alignment horizontal="center"/>
      <protection locked="0"/>
    </xf>
    <xf numFmtId="209" fontId="4" fillId="12" borderId="1" xfId="0" applyNumberFormat="1" applyFont="1" applyFill="1" applyBorder="1" applyAlignment="1" applyProtection="1">
      <alignment horizontal="center"/>
      <protection locked="0"/>
    </xf>
    <xf numFmtId="209" fontId="4" fillId="12" borderId="6" xfId="0" applyNumberFormat="1" applyFont="1" applyFill="1" applyBorder="1" applyAlignment="1" applyProtection="1">
      <alignment horizontal="center"/>
      <protection locked="0"/>
    </xf>
    <xf numFmtId="209" fontId="4" fillId="12" borderId="39" xfId="0" applyNumberFormat="1" applyFont="1" applyFill="1" applyBorder="1" applyAlignment="1" applyProtection="1">
      <alignment horizontal="center"/>
      <protection locked="0"/>
    </xf>
    <xf numFmtId="209" fontId="4" fillId="12" borderId="42" xfId="0" applyNumberFormat="1" applyFont="1" applyFill="1" applyBorder="1" applyAlignment="1" applyProtection="1">
      <alignment horizontal="center"/>
      <protection locked="0"/>
    </xf>
    <xf numFmtId="209" fontId="4" fillId="12" borderId="7" xfId="0" applyNumberFormat="1" applyFont="1" applyFill="1" applyBorder="1" applyAlignment="1" applyProtection="1">
      <alignment horizontal="center"/>
      <protection locked="0"/>
    </xf>
    <xf numFmtId="186" fontId="4" fillId="12" borderId="54" xfId="0" applyNumberFormat="1" applyFont="1" applyFill="1" applyBorder="1" applyAlignment="1" applyProtection="1">
      <alignment horizontal="center"/>
      <protection locked="0"/>
    </xf>
    <xf numFmtId="186" fontId="4" fillId="12" borderId="52" xfId="0" applyNumberFormat="1" applyFont="1" applyFill="1" applyBorder="1" applyAlignment="1" applyProtection="1">
      <alignment horizontal="center"/>
      <protection locked="0"/>
    </xf>
    <xf numFmtId="186" fontId="4" fillId="12" borderId="53" xfId="0" applyNumberFormat="1" applyFont="1" applyFill="1" applyBorder="1" applyAlignment="1" applyProtection="1">
      <alignment horizontal="center"/>
      <protection locked="0"/>
    </xf>
    <xf numFmtId="209" fontId="2" fillId="12" borderId="33" xfId="0" applyNumberFormat="1" applyFont="1" applyFill="1" applyBorder="1" applyAlignment="1" applyProtection="1">
      <alignment horizontal="center"/>
      <protection locked="0"/>
    </xf>
    <xf numFmtId="209" fontId="2" fillId="12" borderId="59" xfId="0" applyNumberFormat="1" applyFont="1" applyFill="1" applyBorder="1" applyAlignment="1" applyProtection="1">
      <alignment horizontal="center"/>
      <protection locked="0"/>
    </xf>
    <xf numFmtId="209" fontId="2" fillId="12" borderId="34" xfId="0" applyNumberFormat="1" applyFont="1" applyFill="1" applyBorder="1" applyAlignment="1" applyProtection="1">
      <alignment horizontal="center"/>
      <protection locked="0"/>
    </xf>
    <xf numFmtId="0" fontId="4" fillId="2" borderId="1" xfId="0" applyFont="1" applyFill="1" applyBorder="1" applyAlignment="1" applyProtection="1">
      <alignment horizontal="center"/>
      <protection locked="0"/>
    </xf>
    <xf numFmtId="164" fontId="44" fillId="12" borderId="0" xfId="1" applyFont="1" applyFill="1" applyBorder="1" applyAlignment="1"/>
    <xf numFmtId="164" fontId="0" fillId="2" borderId="1" xfId="1" applyFont="1" applyFill="1" applyBorder="1" applyAlignment="1"/>
    <xf numFmtId="10" fontId="4" fillId="12" borderId="0" xfId="11" applyNumberFormat="1" applyFont="1" applyFill="1" applyBorder="1"/>
    <xf numFmtId="10" fontId="4" fillId="12" borderId="0" xfId="0" applyNumberFormat="1" applyFont="1" applyFill="1" applyBorder="1"/>
    <xf numFmtId="0" fontId="0" fillId="12" borderId="0" xfId="0" applyFill="1" applyBorder="1"/>
    <xf numFmtId="0" fontId="2" fillId="12" borderId="58" xfId="0" applyFont="1" applyFill="1" applyBorder="1"/>
    <xf numFmtId="186" fontId="4" fillId="12" borderId="19" xfId="21" applyNumberFormat="1" applyFont="1" applyFill="1" applyBorder="1" applyAlignment="1" applyProtection="1">
      <alignment horizontal="center"/>
      <protection locked="0"/>
    </xf>
    <xf numFmtId="217" fontId="4" fillId="12" borderId="6" xfId="0" applyNumberFormat="1" applyFont="1" applyFill="1" applyBorder="1" applyAlignment="1">
      <alignment horizontal="center"/>
    </xf>
    <xf numFmtId="217" fontId="4" fillId="12" borderId="23" xfId="0" applyNumberFormat="1" applyFont="1" applyFill="1" applyBorder="1" applyAlignment="1">
      <alignment horizontal="center"/>
    </xf>
    <xf numFmtId="0" fontId="2" fillId="12" borderId="63" xfId="0" applyFont="1" applyFill="1" applyBorder="1"/>
    <xf numFmtId="0" fontId="17" fillId="12" borderId="54" xfId="0" applyFont="1" applyFill="1" applyBorder="1"/>
    <xf numFmtId="0" fontId="17" fillId="12" borderId="52" xfId="0" applyFont="1" applyFill="1" applyBorder="1"/>
    <xf numFmtId="217" fontId="4" fillId="12" borderId="20" xfId="0" applyNumberFormat="1" applyFont="1" applyFill="1" applyBorder="1" applyAlignment="1">
      <alignment horizontal="center"/>
    </xf>
    <xf numFmtId="217" fontId="4" fillId="12" borderId="4" xfId="0" applyNumberFormat="1" applyFont="1" applyFill="1" applyBorder="1" applyAlignment="1">
      <alignment horizontal="center"/>
    </xf>
    <xf numFmtId="0" fontId="2" fillId="12" borderId="58" xfId="0" applyFont="1" applyFill="1" applyBorder="1" applyAlignment="1">
      <alignment horizontal="center"/>
    </xf>
    <xf numFmtId="0" fontId="2" fillId="12" borderId="55" xfId="0" applyFont="1" applyFill="1" applyBorder="1" applyAlignment="1">
      <alignment horizontal="center"/>
    </xf>
    <xf numFmtId="0" fontId="2" fillId="12" borderId="33" xfId="0" applyFont="1" applyFill="1" applyBorder="1"/>
    <xf numFmtId="186" fontId="2" fillId="12" borderId="59" xfId="21" applyNumberFormat="1" applyFont="1" applyFill="1" applyBorder="1" applyAlignment="1" applyProtection="1">
      <alignment horizontal="center"/>
      <protection locked="0"/>
    </xf>
    <xf numFmtId="0" fontId="2" fillId="12" borderId="59" xfId="21" applyNumberFormat="1" applyFont="1" applyFill="1" applyBorder="1" applyAlignment="1" applyProtection="1">
      <alignment horizontal="center"/>
      <protection locked="0"/>
    </xf>
    <xf numFmtId="0" fontId="2" fillId="12" borderId="80" xfId="0" applyFont="1" applyFill="1" applyBorder="1" applyAlignment="1">
      <alignment horizontal="center"/>
    </xf>
    <xf numFmtId="202" fontId="4" fillId="12" borderId="0" xfId="21" applyNumberFormat="1" applyFont="1" applyFill="1" applyBorder="1" applyAlignment="1" applyProtection="1">
      <alignment horizontal="center"/>
      <protection locked="0"/>
    </xf>
    <xf numFmtId="164" fontId="2" fillId="12" borderId="19" xfId="0" applyNumberFormat="1" applyFont="1" applyFill="1" applyBorder="1"/>
    <xf numFmtId="4" fontId="7" fillId="3" borderId="69" xfId="0" applyNumberFormat="1" applyFont="1" applyFill="1" applyBorder="1" applyAlignment="1" applyProtection="1">
      <alignment horizontal="center" vertical="center"/>
      <protection hidden="1"/>
    </xf>
    <xf numFmtId="4" fontId="7" fillId="3" borderId="61" xfId="0" applyNumberFormat="1" applyFont="1" applyFill="1" applyBorder="1" applyAlignment="1" applyProtection="1">
      <alignment horizontal="center" vertical="center"/>
      <protection hidden="1"/>
    </xf>
    <xf numFmtId="0" fontId="2" fillId="12" borderId="82" xfId="21" applyNumberFormat="1" applyFont="1" applyFill="1" applyBorder="1" applyAlignment="1" applyProtection="1">
      <alignment horizontal="center"/>
      <protection locked="0"/>
    </xf>
    <xf numFmtId="0" fontId="2" fillId="12" borderId="82" xfId="0" applyFont="1" applyFill="1" applyBorder="1" applyAlignment="1">
      <alignment horizontal="center"/>
    </xf>
    <xf numFmtId="4" fontId="11" fillId="12" borderId="83" xfId="0" applyNumberFormat="1" applyFont="1" applyFill="1" applyBorder="1" applyAlignment="1">
      <alignment horizontal="left"/>
    </xf>
    <xf numFmtId="4" fontId="11" fillId="12" borderId="43" xfId="0" applyNumberFormat="1" applyFont="1" applyFill="1" applyBorder="1" applyAlignment="1">
      <alignment horizontal="left"/>
    </xf>
    <xf numFmtId="4" fontId="11" fillId="12" borderId="62" xfId="0" applyNumberFormat="1" applyFont="1" applyFill="1" applyBorder="1" applyAlignment="1">
      <alignment horizontal="left"/>
    </xf>
    <xf numFmtId="4" fontId="8" fillId="12" borderId="54" xfId="0" applyNumberFormat="1" applyFont="1" applyFill="1" applyBorder="1" applyAlignment="1">
      <alignment horizontal="left"/>
    </xf>
    <xf numFmtId="0" fontId="45" fillId="12" borderId="0" xfId="0" applyFont="1" applyFill="1" applyBorder="1" applyAlignment="1">
      <alignment horizontal="center" vertical="center"/>
    </xf>
    <xf numFmtId="0" fontId="45" fillId="12" borderId="0" xfId="0" applyFont="1" applyFill="1" applyAlignment="1">
      <alignment horizontal="center" vertical="center"/>
    </xf>
    <xf numFmtId="4" fontId="45" fillId="12" borderId="5" xfId="0" applyNumberFormat="1" applyFont="1" applyFill="1" applyBorder="1" applyAlignment="1" applyProtection="1">
      <alignment horizontal="center" vertical="center" wrapText="1"/>
      <protection hidden="1"/>
    </xf>
    <xf numFmtId="0" fontId="45" fillId="12" borderId="1" xfId="0" applyFont="1" applyFill="1" applyBorder="1" applyAlignment="1" applyProtection="1">
      <alignment horizontal="center" vertical="center"/>
      <protection hidden="1"/>
    </xf>
    <xf numFmtId="0" fontId="45" fillId="12" borderId="1" xfId="0" applyFont="1" applyFill="1" applyBorder="1" applyAlignment="1">
      <alignment horizontal="center" vertical="center"/>
    </xf>
    <xf numFmtId="3" fontId="45" fillId="12" borderId="1" xfId="0" applyNumberFormat="1" applyFont="1" applyFill="1" applyBorder="1" applyAlignment="1" applyProtection="1">
      <alignment horizontal="center" vertical="center" wrapText="1"/>
      <protection hidden="1"/>
    </xf>
    <xf numFmtId="4" fontId="45" fillId="12" borderId="0" xfId="0" applyNumberFormat="1" applyFont="1" applyFill="1" applyBorder="1" applyAlignment="1" applyProtection="1">
      <alignment horizontal="center" vertical="center" wrapText="1"/>
      <protection hidden="1"/>
    </xf>
    <xf numFmtId="0" fontId="45" fillId="12" borderId="0" xfId="0" applyFont="1" applyFill="1" applyBorder="1" applyAlignment="1" applyProtection="1">
      <alignment horizontal="center" vertical="center"/>
      <protection hidden="1"/>
    </xf>
    <xf numFmtId="0" fontId="2" fillId="3" borderId="19" xfId="0" applyFont="1" applyFill="1" applyBorder="1"/>
    <xf numFmtId="0" fontId="0" fillId="3" borderId="42" xfId="0" applyFill="1" applyBorder="1"/>
    <xf numFmtId="164" fontId="2" fillId="3" borderId="19" xfId="0" applyNumberFormat="1" applyFont="1" applyFill="1" applyBorder="1"/>
    <xf numFmtId="164" fontId="4" fillId="3" borderId="42" xfId="1" applyFont="1" applyFill="1" applyBorder="1" applyAlignment="1">
      <alignment horizontal="center"/>
    </xf>
    <xf numFmtId="222" fontId="4" fillId="12" borderId="1" xfId="0" applyNumberFormat="1" applyFont="1" applyFill="1" applyBorder="1" applyAlignment="1" applyProtection="1">
      <alignment horizontal="center" vertical="center"/>
      <protection hidden="1"/>
    </xf>
    <xf numFmtId="221" fontId="4" fillId="3" borderId="1" xfId="0" applyNumberFormat="1" applyFont="1" applyFill="1" applyBorder="1" applyAlignment="1" applyProtection="1">
      <alignment horizontal="center" vertical="center"/>
      <protection hidden="1"/>
    </xf>
    <xf numFmtId="222" fontId="4" fillId="12" borderId="81" xfId="0" applyNumberFormat="1" applyFont="1" applyFill="1" applyBorder="1" applyAlignment="1" applyProtection="1">
      <alignment horizontal="center" vertical="center"/>
      <protection hidden="1"/>
    </xf>
    <xf numFmtId="221" fontId="4" fillId="3" borderId="81" xfId="0" applyNumberFormat="1" applyFont="1" applyFill="1" applyBorder="1" applyAlignment="1" applyProtection="1">
      <alignment horizontal="center" vertical="center"/>
      <protection hidden="1"/>
    </xf>
    <xf numFmtId="222" fontId="4" fillId="12" borderId="87" xfId="0" applyNumberFormat="1" applyFont="1" applyFill="1" applyBorder="1" applyAlignment="1" applyProtection="1">
      <alignment horizontal="center" vertical="center"/>
      <protection hidden="1"/>
    </xf>
    <xf numFmtId="221" fontId="4" fillId="3" borderId="87" xfId="0" applyNumberFormat="1" applyFont="1" applyFill="1" applyBorder="1" applyAlignment="1" applyProtection="1">
      <alignment horizontal="center" vertical="center"/>
      <protection hidden="1"/>
    </xf>
    <xf numFmtId="222" fontId="4" fillId="12" borderId="19" xfId="0" applyNumberFormat="1" applyFont="1" applyFill="1" applyBorder="1" applyAlignment="1" applyProtection="1">
      <alignment horizontal="center" vertical="center"/>
      <protection hidden="1"/>
    </xf>
    <xf numFmtId="221" fontId="4" fillId="3" borderId="19" xfId="0" applyNumberFormat="1" applyFont="1" applyFill="1" applyBorder="1" applyAlignment="1" applyProtection="1">
      <alignment horizontal="center" vertical="center"/>
      <protection hidden="1"/>
    </xf>
    <xf numFmtId="221" fontId="4" fillId="3" borderId="42" xfId="0" applyNumberFormat="1" applyFont="1" applyFill="1" applyBorder="1" applyAlignment="1" applyProtection="1">
      <alignment horizontal="center" vertical="center"/>
      <protection hidden="1"/>
    </xf>
    <xf numFmtId="223" fontId="4" fillId="3" borderId="1" xfId="0" applyNumberFormat="1" applyFont="1" applyFill="1" applyBorder="1" applyAlignment="1" applyProtection="1">
      <alignment horizontal="center" vertical="center"/>
      <protection hidden="1"/>
    </xf>
    <xf numFmtId="164" fontId="0" fillId="3" borderId="1" xfId="1" applyFont="1" applyFill="1" applyBorder="1" applyAlignment="1" applyProtection="1">
      <alignment vertical="center"/>
      <protection hidden="1"/>
    </xf>
    <xf numFmtId="223" fontId="4" fillId="3" borderId="81" xfId="0" applyNumberFormat="1" applyFont="1" applyFill="1" applyBorder="1" applyAlignment="1" applyProtection="1">
      <alignment horizontal="center" vertical="center"/>
      <protection hidden="1"/>
    </xf>
    <xf numFmtId="164" fontId="0" fillId="3" borderId="81" xfId="1" applyFont="1" applyFill="1" applyBorder="1" applyAlignment="1" applyProtection="1">
      <alignment vertical="center"/>
      <protection hidden="1"/>
    </xf>
    <xf numFmtId="223" fontId="4" fillId="3" borderId="19" xfId="0" applyNumberFormat="1" applyFont="1" applyFill="1" applyBorder="1" applyAlignment="1" applyProtection="1">
      <alignment horizontal="center" vertical="center"/>
      <protection hidden="1"/>
    </xf>
    <xf numFmtId="164" fontId="0" fillId="3" borderId="19" xfId="1" applyFont="1" applyFill="1" applyBorder="1" applyAlignment="1" applyProtection="1">
      <alignment vertical="center"/>
      <protection hidden="1"/>
    </xf>
    <xf numFmtId="223" fontId="4" fillId="3" borderId="42" xfId="0" applyNumberFormat="1" applyFont="1" applyFill="1" applyBorder="1" applyAlignment="1" applyProtection="1">
      <alignment horizontal="center" vertical="center"/>
      <protection hidden="1"/>
    </xf>
    <xf numFmtId="164" fontId="0" fillId="3" borderId="42" xfId="1" applyFont="1" applyFill="1" applyBorder="1" applyAlignment="1" applyProtection="1">
      <alignment vertical="center"/>
      <protection hidden="1"/>
    </xf>
    <xf numFmtId="184" fontId="2" fillId="3" borderId="19" xfId="0" applyNumberFormat="1" applyFont="1" applyFill="1" applyBorder="1" applyAlignment="1" applyProtection="1">
      <alignment horizontal="center" vertical="center"/>
      <protection hidden="1"/>
    </xf>
    <xf numFmtId="164" fontId="4" fillId="3" borderId="19" xfId="1" applyFont="1" applyFill="1" applyBorder="1" applyAlignment="1" applyProtection="1">
      <alignment horizontal="center" vertical="center"/>
      <protection locked="0"/>
    </xf>
    <xf numFmtId="223" fontId="2" fillId="12" borderId="19" xfId="21" applyNumberFormat="1" applyFont="1" applyFill="1" applyBorder="1" applyAlignment="1" applyProtection="1">
      <alignment horizontal="center" vertical="center"/>
      <protection locked="0"/>
    </xf>
    <xf numFmtId="164" fontId="2" fillId="12" borderId="19" xfId="1" applyFont="1" applyFill="1" applyBorder="1" applyAlignment="1" applyProtection="1">
      <alignment horizontal="center" vertical="center"/>
      <protection locked="0"/>
    </xf>
    <xf numFmtId="222" fontId="4" fillId="12" borderId="42" xfId="0" applyNumberFormat="1" applyFont="1" applyFill="1" applyBorder="1" applyAlignment="1" applyProtection="1">
      <alignment horizontal="center" vertical="center"/>
      <protection hidden="1"/>
    </xf>
    <xf numFmtId="164" fontId="0" fillId="3" borderId="42" xfId="1" applyFont="1" applyFill="1" applyBorder="1"/>
    <xf numFmtId="165" fontId="0" fillId="2" borderId="42" xfId="0" applyNumberFormat="1" applyFill="1" applyBorder="1" applyAlignment="1">
      <alignment horizontal="center"/>
    </xf>
    <xf numFmtId="174" fontId="58" fillId="12" borderId="1" xfId="21" applyNumberFormat="1" applyFont="1" applyFill="1" applyBorder="1" applyAlignment="1">
      <alignment horizontal="center"/>
    </xf>
    <xf numFmtId="9" fontId="58" fillId="12" borderId="1" xfId="11" applyFont="1" applyFill="1" applyBorder="1" applyAlignment="1">
      <alignment horizontal="center"/>
    </xf>
    <xf numFmtId="215" fontId="58" fillId="12" borderId="1" xfId="21" applyNumberFormat="1" applyFont="1" applyFill="1" applyBorder="1" applyAlignment="1">
      <alignment horizontal="center"/>
    </xf>
    <xf numFmtId="164" fontId="58" fillId="3" borderId="1" xfId="1" applyNumberFormat="1" applyFont="1" applyFill="1" applyBorder="1" applyAlignment="1">
      <alignment horizontal="center"/>
    </xf>
    <xf numFmtId="186" fontId="4" fillId="0" borderId="1" xfId="21" applyNumberFormat="1" applyFont="1" applyFill="1" applyBorder="1" applyAlignment="1" applyProtection="1">
      <alignment horizontal="center"/>
      <protection locked="0"/>
    </xf>
    <xf numFmtId="228" fontId="2" fillId="12" borderId="59" xfId="0" applyNumberFormat="1" applyFont="1" applyFill="1" applyBorder="1" applyAlignment="1">
      <alignment horizontal="center"/>
    </xf>
    <xf numFmtId="228" fontId="2" fillId="12" borderId="34" xfId="0" applyNumberFormat="1" applyFont="1" applyFill="1" applyBorder="1" applyAlignment="1">
      <alignment horizontal="center"/>
    </xf>
    <xf numFmtId="165" fontId="2" fillId="2" borderId="19" xfId="21" applyNumberFormat="1" applyFont="1" applyFill="1" applyBorder="1" applyAlignment="1">
      <alignment horizontal="center"/>
    </xf>
    <xf numFmtId="229" fontId="2" fillId="3" borderId="19" xfId="0" applyNumberFormat="1" applyFont="1" applyFill="1" applyBorder="1" applyAlignment="1" applyProtection="1">
      <alignment horizontal="center" vertical="center"/>
      <protection hidden="1"/>
    </xf>
    <xf numFmtId="4" fontId="11" fillId="12" borderId="26" xfId="0" applyNumberFormat="1" applyFont="1" applyFill="1" applyBorder="1"/>
    <xf numFmtId="4" fontId="11" fillId="12" borderId="14" xfId="0" applyNumberFormat="1" applyFont="1" applyFill="1" applyBorder="1"/>
    <xf numFmtId="4" fontId="11" fillId="12" borderId="27" xfId="0" applyNumberFormat="1" applyFont="1" applyFill="1" applyBorder="1"/>
    <xf numFmtId="4" fontId="11" fillId="12" borderId="93" xfId="0" applyNumberFormat="1" applyFont="1" applyFill="1" applyBorder="1" applyAlignment="1">
      <alignment horizontal="left"/>
    </xf>
    <xf numFmtId="4" fontId="11" fillId="12" borderId="94" xfId="0" applyNumberFormat="1" applyFont="1" applyFill="1" applyBorder="1" applyAlignment="1">
      <alignment horizontal="left"/>
    </xf>
    <xf numFmtId="4" fontId="11" fillId="12" borderId="96" xfId="0" applyNumberFormat="1" applyFont="1" applyFill="1" applyBorder="1" applyAlignment="1">
      <alignment horizontal="left"/>
    </xf>
    <xf numFmtId="0" fontId="8" fillId="15" borderId="0" xfId="0" applyFont="1" applyFill="1" applyBorder="1" applyAlignment="1">
      <alignment horizontal="center" vertical="center" textRotation="90"/>
    </xf>
    <xf numFmtId="0" fontId="8" fillId="15" borderId="39" xfId="0" applyNumberFormat="1" applyFont="1" applyFill="1" applyBorder="1" applyAlignment="1">
      <alignment horizontal="left"/>
    </xf>
    <xf numFmtId="0" fontId="8" fillId="15" borderId="0" xfId="0" applyNumberFormat="1" applyFont="1" applyFill="1" applyBorder="1" applyAlignment="1">
      <alignment horizontal="left"/>
    </xf>
    <xf numFmtId="0" fontId="4" fillId="15" borderId="0" xfId="0" applyFont="1" applyFill="1"/>
    <xf numFmtId="0" fontId="11" fillId="15" borderId="0" xfId="0" applyFont="1" applyFill="1" applyBorder="1"/>
    <xf numFmtId="0" fontId="11" fillId="15" borderId="22" xfId="0" applyNumberFormat="1" applyFont="1" applyFill="1" applyBorder="1" applyAlignment="1">
      <alignment horizontal="left"/>
    </xf>
    <xf numFmtId="0" fontId="11" fillId="15" borderId="4" xfId="0" applyNumberFormat="1" applyFont="1" applyFill="1" applyBorder="1" applyAlignment="1">
      <alignment horizontal="left"/>
    </xf>
    <xf numFmtId="0" fontId="4" fillId="15" borderId="0" xfId="0" applyFont="1" applyFill="1" applyBorder="1"/>
    <xf numFmtId="0" fontId="4" fillId="15" borderId="15" xfId="0" applyFont="1" applyFill="1" applyBorder="1"/>
    <xf numFmtId="4" fontId="0" fillId="0" borderId="1" xfId="0" applyNumberFormat="1" applyBorder="1"/>
    <xf numFmtId="0" fontId="0" fillId="2" borderId="0" xfId="0" applyFill="1" applyBorder="1" applyAlignment="1">
      <alignment horizontal="center"/>
    </xf>
    <xf numFmtId="0" fontId="0" fillId="11" borderId="0" xfId="0" applyFill="1"/>
    <xf numFmtId="0" fontId="2" fillId="11" borderId="0" xfId="0" applyFont="1" applyFill="1" applyBorder="1"/>
    <xf numFmtId="164" fontId="4" fillId="11" borderId="0" xfId="1" applyFont="1" applyFill="1" applyBorder="1" applyAlignment="1">
      <alignment horizontal="center"/>
    </xf>
    <xf numFmtId="0" fontId="0" fillId="11" borderId="0" xfId="0" applyFill="1" applyBorder="1" applyAlignment="1">
      <alignment horizontal="center"/>
    </xf>
    <xf numFmtId="208" fontId="2" fillId="11" borderId="0" xfId="0" applyNumberFormat="1" applyFont="1" applyFill="1" applyBorder="1" applyAlignment="1">
      <alignment horizontal="center"/>
    </xf>
    <xf numFmtId="0" fontId="41" fillId="3" borderId="0" xfId="0" applyFont="1" applyFill="1" applyBorder="1" applyAlignment="1">
      <alignment vertical="center" wrapText="1"/>
    </xf>
    <xf numFmtId="0" fontId="46" fillId="12" borderId="0" xfId="0" applyFont="1" applyFill="1" applyBorder="1"/>
    <xf numFmtId="10" fontId="2" fillId="12" borderId="54" xfId="11" applyNumberFormat="1" applyFont="1" applyFill="1" applyBorder="1" applyAlignment="1" applyProtection="1">
      <protection hidden="1"/>
    </xf>
    <xf numFmtId="0" fontId="2" fillId="12" borderId="83" xfId="0" applyFont="1" applyFill="1" applyBorder="1" applyAlignment="1"/>
    <xf numFmtId="10" fontId="2" fillId="12" borderId="98" xfId="11" applyNumberFormat="1" applyFont="1" applyFill="1" applyBorder="1" applyAlignment="1" applyProtection="1">
      <protection hidden="1"/>
    </xf>
    <xf numFmtId="10" fontId="2" fillId="12" borderId="43" xfId="11" applyNumberFormat="1" applyFont="1" applyFill="1" applyBorder="1" applyAlignment="1" applyProtection="1">
      <protection hidden="1"/>
    </xf>
    <xf numFmtId="42" fontId="0" fillId="12" borderId="1" xfId="0" applyNumberFormat="1" applyFill="1" applyBorder="1"/>
    <xf numFmtId="42" fontId="0" fillId="12" borderId="42" xfId="0" applyNumberFormat="1" applyFill="1" applyBorder="1"/>
    <xf numFmtId="42" fontId="0" fillId="12" borderId="19" xfId="0" applyNumberFormat="1" applyFill="1" applyBorder="1"/>
    <xf numFmtId="0" fontId="2" fillId="16" borderId="52" xfId="0" applyFont="1" applyFill="1" applyBorder="1" applyAlignment="1">
      <alignment horizontal="center"/>
    </xf>
    <xf numFmtId="0" fontId="2" fillId="16" borderId="54" xfId="0" applyFont="1" applyFill="1" applyBorder="1"/>
    <xf numFmtId="0" fontId="2" fillId="16" borderId="53" xfId="0" applyFont="1" applyFill="1" applyBorder="1" applyAlignment="1">
      <alignment horizontal="center"/>
    </xf>
    <xf numFmtId="0" fontId="0" fillId="12" borderId="20" xfId="0" applyFill="1" applyBorder="1"/>
    <xf numFmtId="168" fontId="44" fillId="12" borderId="23" xfId="11" applyNumberFormat="1" applyFont="1" applyFill="1" applyBorder="1" applyAlignment="1">
      <alignment horizontal="center"/>
    </xf>
    <xf numFmtId="168" fontId="44" fillId="12" borderId="6" xfId="11" applyNumberFormat="1" applyFont="1" applyFill="1" applyBorder="1" applyAlignment="1">
      <alignment horizontal="center"/>
    </xf>
    <xf numFmtId="0" fontId="0" fillId="12" borderId="39" xfId="0" applyFill="1" applyBorder="1"/>
    <xf numFmtId="168" fontId="44" fillId="12" borderId="7" xfId="11" applyNumberFormat="1" applyFont="1" applyFill="1" applyBorder="1" applyAlignment="1">
      <alignment horizontal="center"/>
    </xf>
    <xf numFmtId="0" fontId="2" fillId="16" borderId="51" xfId="0" applyFont="1" applyFill="1" applyBorder="1"/>
    <xf numFmtId="42" fontId="2" fillId="16" borderId="2" xfId="0" applyNumberFormat="1" applyFont="1" applyFill="1" applyBorder="1"/>
    <xf numFmtId="10" fontId="2" fillId="16" borderId="40" xfId="11" applyNumberFormat="1" applyFont="1" applyFill="1" applyBorder="1"/>
    <xf numFmtId="230" fontId="44" fillId="12" borderId="1" xfId="11" applyNumberFormat="1" applyFont="1" applyFill="1" applyBorder="1" applyAlignment="1">
      <alignment horizontal="center"/>
    </xf>
    <xf numFmtId="0" fontId="2" fillId="12" borderId="42" xfId="0" applyFont="1" applyFill="1" applyBorder="1" applyAlignment="1">
      <alignment horizontal="center" vertical="center"/>
    </xf>
    <xf numFmtId="192" fontId="0" fillId="12" borderId="25" xfId="0" applyNumberFormat="1" applyFill="1" applyBorder="1"/>
    <xf numFmtId="192" fontId="0" fillId="12" borderId="85" xfId="0" applyNumberFormat="1" applyFill="1" applyBorder="1"/>
    <xf numFmtId="192" fontId="0" fillId="12" borderId="9" xfId="0" applyNumberFormat="1" applyFill="1" applyBorder="1"/>
    <xf numFmtId="0" fontId="11" fillId="12" borderId="56" xfId="0" applyFont="1" applyFill="1" applyBorder="1"/>
    <xf numFmtId="0" fontId="11" fillId="12" borderId="83" xfId="0" applyFont="1" applyFill="1" applyBorder="1"/>
    <xf numFmtId="223" fontId="4" fillId="3" borderId="86" xfId="0" applyNumberFormat="1" applyFont="1" applyFill="1" applyBorder="1" applyAlignment="1" applyProtection="1">
      <alignment horizontal="center" vertical="center"/>
      <protection hidden="1"/>
    </xf>
    <xf numFmtId="164" fontId="0" fillId="3" borderId="86" xfId="1" applyFont="1" applyFill="1" applyBorder="1" applyAlignment="1" applyProtection="1">
      <alignment vertical="center"/>
      <protection hidden="1"/>
    </xf>
    <xf numFmtId="0" fontId="4" fillId="12" borderId="31" xfId="0" applyFont="1" applyFill="1" applyBorder="1" applyAlignment="1">
      <alignment horizontal="left" vertical="center"/>
    </xf>
    <xf numFmtId="4" fontId="4" fillId="12" borderId="5" xfId="0" applyNumberFormat="1" applyFont="1" applyFill="1" applyBorder="1" applyAlignment="1" applyProtection="1">
      <alignment vertical="center"/>
      <protection hidden="1"/>
    </xf>
    <xf numFmtId="4" fontId="4" fillId="12" borderId="0" xfId="0" applyNumberFormat="1" applyFont="1" applyFill="1" applyBorder="1" applyAlignment="1" applyProtection="1">
      <alignment vertical="center"/>
      <protection hidden="1"/>
    </xf>
    <xf numFmtId="4" fontId="4" fillId="3" borderId="0" xfId="0" applyNumberFormat="1" applyFont="1" applyFill="1" applyBorder="1" applyAlignment="1" applyProtection="1">
      <alignment vertical="center"/>
      <protection hidden="1"/>
    </xf>
    <xf numFmtId="4" fontId="4" fillId="3" borderId="5" xfId="0" applyNumberFormat="1" applyFont="1" applyFill="1" applyBorder="1" applyAlignment="1" applyProtection="1">
      <alignment vertical="center"/>
      <protection hidden="1"/>
    </xf>
    <xf numFmtId="4" fontId="4" fillId="12" borderId="5" xfId="0" applyNumberFormat="1" applyFont="1" applyFill="1" applyBorder="1" applyAlignment="1" applyProtection="1">
      <alignment horizontal="center" vertical="center"/>
      <protection hidden="1"/>
    </xf>
    <xf numFmtId="4" fontId="45" fillId="12" borderId="5" xfId="0" applyNumberFormat="1" applyFont="1" applyFill="1" applyBorder="1" applyAlignment="1" applyProtection="1">
      <alignment vertical="center" wrapText="1"/>
      <protection hidden="1"/>
    </xf>
    <xf numFmtId="0" fontId="45" fillId="12" borderId="1" xfId="0" applyFont="1" applyFill="1" applyBorder="1" applyAlignment="1">
      <alignment vertical="center"/>
    </xf>
    <xf numFmtId="169" fontId="0" fillId="2" borderId="1" xfId="0" applyNumberFormat="1" applyFill="1" applyBorder="1" applyAlignment="1">
      <alignment horizontal="center"/>
    </xf>
    <xf numFmtId="169" fontId="58" fillId="12" borderId="1" xfId="21" applyNumberFormat="1" applyFont="1" applyFill="1" applyBorder="1" applyAlignment="1">
      <alignment horizontal="center"/>
    </xf>
    <xf numFmtId="230" fontId="58" fillId="12" borderId="1" xfId="21" applyNumberFormat="1" applyFont="1" applyFill="1" applyBorder="1" applyAlignment="1">
      <alignment horizontal="center"/>
    </xf>
    <xf numFmtId="3" fontId="0" fillId="3" borderId="1" xfId="0" applyNumberFormat="1" applyFill="1" applyBorder="1" applyAlignment="1">
      <alignment horizontal="center"/>
    </xf>
    <xf numFmtId="232" fontId="0" fillId="3" borderId="1" xfId="0" applyNumberFormat="1" applyFill="1" applyBorder="1" applyAlignment="1">
      <alignment horizontal="center"/>
    </xf>
    <xf numFmtId="4" fontId="4" fillId="12" borderId="0" xfId="0" applyNumberFormat="1" applyFont="1" applyFill="1" applyAlignment="1" applyProtection="1">
      <alignment horizontal="center"/>
      <protection hidden="1"/>
    </xf>
    <xf numFmtId="184" fontId="58" fillId="12" borderId="1" xfId="0" applyNumberFormat="1" applyFont="1" applyFill="1" applyBorder="1" applyAlignment="1">
      <alignment horizontal="center"/>
    </xf>
    <xf numFmtId="164" fontId="49" fillId="17" borderId="1" xfId="1" applyFont="1" applyFill="1" applyBorder="1" applyAlignment="1">
      <alignment horizontal="center"/>
    </xf>
    <xf numFmtId="3" fontId="3" fillId="3" borderId="1" xfId="0" applyNumberFormat="1" applyFont="1" applyFill="1" applyBorder="1" applyAlignment="1" applyProtection="1">
      <alignment horizontal="center"/>
      <protection hidden="1"/>
    </xf>
    <xf numFmtId="0" fontId="0" fillId="2" borderId="8" xfId="0" applyFill="1" applyBorder="1"/>
    <xf numFmtId="9" fontId="58" fillId="12" borderId="8" xfId="11" applyFont="1" applyFill="1" applyBorder="1" applyAlignment="1">
      <alignment horizontal="center"/>
    </xf>
    <xf numFmtId="215" fontId="2" fillId="3" borderId="19" xfId="0" applyNumberFormat="1" applyFont="1" applyFill="1" applyBorder="1" applyAlignment="1">
      <alignment horizontal="center"/>
    </xf>
    <xf numFmtId="230" fontId="2" fillId="3" borderId="19" xfId="0" applyNumberFormat="1" applyFont="1" applyFill="1" applyBorder="1"/>
    <xf numFmtId="227" fontId="58" fillId="12" borderId="1" xfId="21" applyNumberFormat="1" applyFont="1" applyFill="1" applyBorder="1" applyAlignment="1">
      <alignment horizontal="center"/>
    </xf>
    <xf numFmtId="0" fontId="2" fillId="12" borderId="101" xfId="0" applyFont="1" applyFill="1" applyBorder="1" applyAlignment="1">
      <alignment horizontal="center"/>
    </xf>
    <xf numFmtId="10" fontId="4" fillId="12" borderId="104" xfId="13" applyNumberFormat="1" applyFont="1" applyFill="1" applyBorder="1"/>
    <xf numFmtId="214" fontId="4" fillId="12" borderId="19" xfId="3" applyNumberFormat="1" applyFont="1" applyFill="1" applyBorder="1" applyAlignment="1">
      <alignment horizontal="center"/>
    </xf>
    <xf numFmtId="10" fontId="4" fillId="12" borderId="1" xfId="13" applyNumberFormat="1" applyFont="1" applyFill="1" applyBorder="1"/>
    <xf numFmtId="10" fontId="4" fillId="12" borderId="42" xfId="13" applyNumberFormat="1" applyFont="1" applyFill="1" applyBorder="1"/>
    <xf numFmtId="214" fontId="4" fillId="12" borderId="42" xfId="3" applyNumberFormat="1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 vertical="center" wrapText="1"/>
    </xf>
    <xf numFmtId="0" fontId="0" fillId="3" borderId="5" xfId="0" applyFill="1" applyBorder="1" applyAlignment="1">
      <alignment horizontal="center"/>
    </xf>
    <xf numFmtId="164" fontId="0" fillId="3" borderId="5" xfId="0" applyNumberFormat="1" applyFill="1" applyBorder="1" applyAlignment="1">
      <alignment horizontal="center"/>
    </xf>
    <xf numFmtId="0" fontId="0" fillId="3" borderId="18" xfId="0" applyFill="1" applyBorder="1" applyAlignment="1">
      <alignment horizontal="center"/>
    </xf>
    <xf numFmtId="0" fontId="2" fillId="12" borderId="1" xfId="0" applyFont="1" applyFill="1" applyBorder="1" applyAlignment="1">
      <alignment horizontal="center" vertical="center"/>
    </xf>
    <xf numFmtId="0" fontId="0" fillId="12" borderId="45" xfId="0" applyFill="1" applyBorder="1" applyAlignment="1">
      <alignment horizontal="left"/>
    </xf>
    <xf numFmtId="164" fontId="21" fillId="12" borderId="2" xfId="1" applyFont="1" applyFill="1" applyBorder="1"/>
    <xf numFmtId="164" fontId="21" fillId="12" borderId="40" xfId="1" applyFont="1" applyFill="1" applyBorder="1"/>
    <xf numFmtId="0" fontId="14" fillId="12" borderId="98" xfId="0" applyFont="1" applyFill="1" applyBorder="1"/>
    <xf numFmtId="0" fontId="4" fillId="12" borderId="106" xfId="0" applyFont="1" applyFill="1" applyBorder="1"/>
    <xf numFmtId="0" fontId="2" fillId="12" borderId="5" xfId="0" applyFont="1" applyFill="1" applyBorder="1" applyAlignment="1">
      <alignment horizontal="center" vertical="center" wrapText="1"/>
    </xf>
    <xf numFmtId="186" fontId="2" fillId="12" borderId="1" xfId="0" applyNumberFormat="1" applyFont="1" applyFill="1" applyBorder="1" applyAlignment="1">
      <alignment horizontal="center"/>
    </xf>
    <xf numFmtId="0" fontId="2" fillId="3" borderId="19" xfId="0" applyFont="1" applyFill="1" applyBorder="1" applyAlignment="1">
      <alignment horizontal="center"/>
    </xf>
    <xf numFmtId="164" fontId="0" fillId="3" borderId="42" xfId="0" applyNumberFormat="1" applyFill="1" applyBorder="1" applyAlignment="1">
      <alignment horizontal="center"/>
    </xf>
    <xf numFmtId="164" fontId="0" fillId="3" borderId="42" xfId="0" applyNumberFormat="1" applyFill="1" applyBorder="1"/>
    <xf numFmtId="164" fontId="0" fillId="3" borderId="0" xfId="0" applyNumberFormat="1" applyFill="1" applyBorder="1" applyAlignment="1"/>
    <xf numFmtId="164" fontId="2" fillId="3" borderId="0" xfId="0" applyNumberFormat="1" applyFont="1" applyFill="1" applyBorder="1" applyAlignment="1"/>
    <xf numFmtId="0" fontId="0" fillId="3" borderId="13" xfId="0" applyFill="1" applyBorder="1"/>
    <xf numFmtId="164" fontId="0" fillId="3" borderId="1" xfId="0" applyNumberFormat="1" applyFill="1" applyBorder="1" applyAlignment="1"/>
    <xf numFmtId="164" fontId="0" fillId="3" borderId="42" xfId="0" applyNumberFormat="1" applyFill="1" applyBorder="1" applyAlignment="1"/>
    <xf numFmtId="0" fontId="2" fillId="12" borderId="1" xfId="0" applyFont="1" applyFill="1" applyBorder="1" applyAlignment="1">
      <alignment horizontal="center" vertical="center" wrapText="1"/>
    </xf>
    <xf numFmtId="0" fontId="0" fillId="12" borderId="106" xfId="0" applyFill="1" applyBorder="1"/>
    <xf numFmtId="0" fontId="4" fillId="12" borderId="107" xfId="0" applyFont="1" applyFill="1" applyBorder="1"/>
    <xf numFmtId="0" fontId="4" fillId="12" borderId="58" xfId="0" applyFont="1" applyFill="1" applyBorder="1"/>
    <xf numFmtId="0" fontId="0" fillId="12" borderId="0" xfId="0" applyFill="1" applyBorder="1" applyAlignment="1">
      <alignment horizontal="right"/>
    </xf>
    <xf numFmtId="0" fontId="10" fillId="12" borderId="0" xfId="0" applyFont="1" applyFill="1" applyBorder="1" applyAlignment="1">
      <alignment horizontal="right"/>
    </xf>
    <xf numFmtId="0" fontId="2" fillId="12" borderId="0" xfId="0" applyFont="1" applyFill="1" applyBorder="1" applyAlignment="1">
      <alignment horizontal="right"/>
    </xf>
    <xf numFmtId="164" fontId="43" fillId="12" borderId="56" xfId="1" applyFont="1" applyFill="1" applyBorder="1"/>
    <xf numFmtId="164" fontId="43" fillId="12" borderId="8" xfId="1" applyFont="1" applyFill="1" applyBorder="1"/>
    <xf numFmtId="164" fontId="43" fillId="12" borderId="57" xfId="1" applyFont="1" applyFill="1" applyBorder="1"/>
    <xf numFmtId="0" fontId="8" fillId="12" borderId="33" xfId="0" applyFont="1" applyFill="1" applyBorder="1"/>
    <xf numFmtId="165" fontId="0" fillId="3" borderId="64" xfId="0" applyNumberFormat="1" applyFill="1" applyBorder="1"/>
    <xf numFmtId="164" fontId="21" fillId="12" borderId="3" xfId="1" applyFont="1" applyFill="1" applyBorder="1"/>
    <xf numFmtId="164" fontId="21" fillId="12" borderId="36" xfId="1" applyFont="1" applyFill="1" applyBorder="1"/>
    <xf numFmtId="192" fontId="21" fillId="12" borderId="36" xfId="1" applyNumberFormat="1" applyFont="1" applyFill="1" applyBorder="1" applyAlignment="1">
      <alignment horizontal="center"/>
    </xf>
    <xf numFmtId="43" fontId="4" fillId="12" borderId="3" xfId="0" applyNumberFormat="1" applyFont="1" applyFill="1" applyBorder="1"/>
    <xf numFmtId="164" fontId="21" fillId="12" borderId="38" xfId="1" applyFont="1" applyFill="1" applyBorder="1"/>
    <xf numFmtId="164" fontId="63" fillId="12" borderId="15" xfId="0" applyNumberFormat="1" applyFont="1" applyFill="1" applyBorder="1"/>
    <xf numFmtId="1" fontId="4" fillId="2" borderId="5" xfId="20" applyNumberFormat="1" applyFont="1" applyFill="1" applyBorder="1" applyAlignment="1" applyProtection="1">
      <alignment horizontal="center"/>
      <protection locked="0"/>
    </xf>
    <xf numFmtId="1" fontId="4" fillId="2" borderId="5" xfId="16" applyNumberFormat="1" applyFont="1" applyFill="1" applyBorder="1" applyAlignment="1" applyProtection="1">
      <alignment horizontal="center"/>
      <protection locked="0"/>
    </xf>
    <xf numFmtId="181" fontId="4" fillId="2" borderId="5" xfId="20" applyNumberFormat="1" applyFont="1" applyFill="1" applyBorder="1" applyAlignment="1" applyProtection="1">
      <alignment horizontal="center"/>
      <protection locked="0"/>
    </xf>
    <xf numFmtId="181" fontId="4" fillId="2" borderId="5" xfId="16" applyNumberFormat="1" applyFont="1" applyFill="1" applyBorder="1" applyAlignment="1" applyProtection="1">
      <alignment horizontal="center"/>
      <protection locked="0"/>
    </xf>
    <xf numFmtId="164" fontId="4" fillId="2" borderId="5" xfId="10" applyFont="1" applyFill="1" applyBorder="1" applyProtection="1">
      <protection locked="0"/>
    </xf>
    <xf numFmtId="1" fontId="4" fillId="2" borderId="5" xfId="13" applyNumberFormat="1" applyFont="1" applyFill="1" applyBorder="1" applyProtection="1">
      <protection locked="0"/>
    </xf>
    <xf numFmtId="164" fontId="3" fillId="3" borderId="1" xfId="10" applyFont="1" applyFill="1" applyBorder="1" applyProtection="1">
      <protection hidden="1"/>
    </xf>
    <xf numFmtId="0" fontId="2" fillId="12" borderId="1" xfId="0" applyFont="1" applyFill="1" applyBorder="1" applyAlignment="1">
      <alignment horizontal="center"/>
    </xf>
    <xf numFmtId="0" fontId="2" fillId="12" borderId="13" xfId="0" applyFont="1" applyFill="1" applyBorder="1" applyAlignment="1">
      <alignment horizontal="center"/>
    </xf>
    <xf numFmtId="4" fontId="0" fillId="12" borderId="0" xfId="0" applyNumberFormat="1" applyFill="1" applyProtection="1">
      <protection hidden="1"/>
    </xf>
    <xf numFmtId="4" fontId="0" fillId="12" borderId="0" xfId="0" applyNumberFormat="1" applyFill="1" applyAlignment="1" applyProtection="1">
      <alignment horizontal="center"/>
      <protection hidden="1"/>
    </xf>
    <xf numFmtId="4" fontId="0" fillId="12" borderId="0" xfId="0" applyNumberFormat="1" applyFill="1" applyAlignment="1" applyProtection="1">
      <alignment horizontal="left"/>
      <protection hidden="1"/>
    </xf>
    <xf numFmtId="164" fontId="4" fillId="2" borderId="1" xfId="6" applyFill="1" applyBorder="1"/>
    <xf numFmtId="164" fontId="4" fillId="2" borderId="1" xfId="10" applyFont="1" applyFill="1" applyBorder="1"/>
    <xf numFmtId="164" fontId="51" fillId="2" borderId="1" xfId="10" applyFill="1" applyBorder="1"/>
    <xf numFmtId="216" fontId="4" fillId="3" borderId="1" xfId="0" applyNumberFormat="1" applyFont="1" applyFill="1" applyBorder="1" applyAlignment="1">
      <alignment horizontal="center"/>
    </xf>
    <xf numFmtId="1" fontId="4" fillId="0" borderId="5" xfId="16" applyNumberFormat="1" applyFont="1" applyFill="1" applyBorder="1" applyAlignment="1" applyProtection="1">
      <alignment horizontal="center"/>
      <protection locked="0"/>
    </xf>
    <xf numFmtId="164" fontId="0" fillId="2" borderId="1" xfId="10" applyFont="1" applyFill="1" applyBorder="1" applyAlignment="1">
      <alignment horizontal="center"/>
    </xf>
    <xf numFmtId="9" fontId="0" fillId="2" borderId="13" xfId="0" applyNumberFormat="1" applyFill="1" applyBorder="1" applyAlignment="1">
      <alignment horizontal="center"/>
    </xf>
    <xf numFmtId="4" fontId="0" fillId="12" borderId="0" xfId="0" applyNumberFormat="1" applyFill="1" applyProtection="1">
      <protection hidden="1"/>
    </xf>
    <xf numFmtId="186" fontId="4" fillId="0" borderId="1" xfId="30" applyNumberFormat="1" applyFont="1" applyFill="1" applyBorder="1" applyAlignment="1" applyProtection="1">
      <alignment horizontal="center"/>
      <protection locked="0"/>
    </xf>
    <xf numFmtId="0" fontId="0" fillId="12" borderId="0" xfId="0" applyFill="1" applyProtection="1">
      <protection hidden="1"/>
    </xf>
    <xf numFmtId="181" fontId="4" fillId="2" borderId="1" xfId="30" applyNumberFormat="1" applyFont="1" applyFill="1" applyBorder="1" applyAlignment="1" applyProtection="1">
      <alignment horizontal="center"/>
      <protection locked="0"/>
    </xf>
    <xf numFmtId="165" fontId="2" fillId="3" borderId="15" xfId="0" applyNumberFormat="1" applyFont="1" applyFill="1" applyBorder="1"/>
    <xf numFmtId="4" fontId="11" fillId="12" borderId="109" xfId="0" applyNumberFormat="1" applyFont="1" applyFill="1" applyBorder="1" applyAlignment="1">
      <alignment horizontal="left"/>
    </xf>
    <xf numFmtId="4" fontId="11" fillId="12" borderId="98" xfId="0" applyNumberFormat="1" applyFont="1" applyFill="1" applyBorder="1" applyAlignment="1">
      <alignment horizontal="left"/>
    </xf>
    <xf numFmtId="4" fontId="8" fillId="12" borderId="51" xfId="0" applyNumberFormat="1" applyFont="1" applyFill="1" applyBorder="1" applyAlignment="1">
      <alignment horizontal="left"/>
    </xf>
    <xf numFmtId="0" fontId="4" fillId="0" borderId="1" xfId="0" applyFont="1" applyFill="1" applyBorder="1" applyAlignment="1">
      <alignment horizontal="center"/>
    </xf>
    <xf numFmtId="1" fontId="4" fillId="2" borderId="5" xfId="13" applyNumberFormat="1" applyFont="1" applyFill="1" applyBorder="1" applyAlignment="1" applyProtection="1">
      <alignment horizontal="center"/>
      <protection locked="0"/>
    </xf>
    <xf numFmtId="164" fontId="4" fillId="2" borderId="5" xfId="3" applyFont="1" applyFill="1" applyBorder="1" applyProtection="1">
      <protection locked="0"/>
    </xf>
    <xf numFmtId="1" fontId="4" fillId="2" borderId="21" xfId="13" applyNumberFormat="1" applyFont="1" applyFill="1" applyBorder="1" applyProtection="1">
      <protection locked="0"/>
    </xf>
    <xf numFmtId="0" fontId="2" fillId="12" borderId="0" xfId="0" applyFont="1" applyFill="1" applyBorder="1" applyAlignment="1">
      <alignment vertical="center" wrapText="1"/>
    </xf>
    <xf numFmtId="49" fontId="4" fillId="0" borderId="1" xfId="0" applyNumberFormat="1" applyFont="1" applyFill="1" applyBorder="1" applyAlignment="1">
      <alignment horizontal="center"/>
    </xf>
    <xf numFmtId="9" fontId="4" fillId="0" borderId="1" xfId="13" applyFont="1" applyFill="1" applyBorder="1" applyAlignment="1">
      <alignment horizontal="center"/>
    </xf>
    <xf numFmtId="164" fontId="4" fillId="2" borderId="1" xfId="3" applyFill="1" applyBorder="1"/>
    <xf numFmtId="4" fontId="0" fillId="12" borderId="0" xfId="0" applyNumberFormat="1" applyFill="1" applyAlignment="1" applyProtection="1">
      <alignment horizontal="right"/>
      <protection hidden="1"/>
    </xf>
    <xf numFmtId="230" fontId="0" fillId="18" borderId="15" xfId="0" applyNumberFormat="1" applyFill="1" applyBorder="1"/>
    <xf numFmtId="230" fontId="44" fillId="12" borderId="6" xfId="11" applyNumberFormat="1" applyFont="1" applyFill="1" applyBorder="1" applyAlignment="1">
      <alignment horizontal="center"/>
    </xf>
    <xf numFmtId="230" fontId="44" fillId="12" borderId="57" xfId="11" applyNumberFormat="1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45" fillId="3" borderId="0" xfId="0" applyFont="1" applyFill="1" applyBorder="1"/>
    <xf numFmtId="0" fontId="7" fillId="3" borderId="0" xfId="0" applyFont="1" applyFill="1" applyBorder="1"/>
    <xf numFmtId="0" fontId="0" fillId="12" borderId="4" xfId="0" applyFill="1" applyBorder="1" applyAlignment="1">
      <alignment horizontal="left"/>
    </xf>
    <xf numFmtId="0" fontId="11" fillId="12" borderId="20" xfId="0" applyFont="1" applyFill="1" applyBorder="1" applyAlignment="1">
      <alignment horizontal="left"/>
    </xf>
    <xf numFmtId="0" fontId="8" fillId="12" borderId="20" xfId="0" applyFont="1" applyFill="1" applyBorder="1"/>
    <xf numFmtId="0" fontId="0" fillId="19" borderId="0" xfId="0" applyFill="1"/>
    <xf numFmtId="0" fontId="65" fillId="11" borderId="29" xfId="0" applyFont="1" applyFill="1" applyBorder="1" applyAlignment="1">
      <alignment vertical="center" wrapText="1"/>
    </xf>
    <xf numFmtId="0" fontId="7" fillId="11" borderId="22" xfId="0" applyFont="1" applyFill="1" applyBorder="1"/>
    <xf numFmtId="168" fontId="7" fillId="11" borderId="11" xfId="0" applyNumberFormat="1" applyFont="1" applyFill="1" applyBorder="1" applyAlignment="1">
      <alignment horizontal="center"/>
    </xf>
    <xf numFmtId="0" fontId="7" fillId="11" borderId="12" xfId="0" applyFont="1" applyFill="1" applyBorder="1"/>
    <xf numFmtId="0" fontId="7" fillId="11" borderId="4" xfId="0" applyFont="1" applyFill="1" applyBorder="1"/>
    <xf numFmtId="168" fontId="7" fillId="11" borderId="5" xfId="0" applyNumberFormat="1" applyFont="1" applyFill="1" applyBorder="1" applyAlignment="1">
      <alignment horizontal="center"/>
    </xf>
    <xf numFmtId="168" fontId="7" fillId="11" borderId="6" xfId="0" applyNumberFormat="1" applyFont="1" applyFill="1" applyBorder="1" applyAlignment="1">
      <alignment horizontal="center"/>
    </xf>
    <xf numFmtId="0" fontId="7" fillId="11" borderId="13" xfId="0" applyFont="1" applyFill="1" applyBorder="1"/>
    <xf numFmtId="0" fontId="6" fillId="11" borderId="38" xfId="0" applyFont="1" applyFill="1" applyBorder="1" applyAlignment="1">
      <alignment horizontal="center" vertical="center" wrapText="1"/>
    </xf>
    <xf numFmtId="0" fontId="6" fillId="0" borderId="51" xfId="0" applyFont="1" applyBorder="1" applyAlignment="1">
      <alignment horizontal="center" wrapText="1"/>
    </xf>
    <xf numFmtId="0" fontId="7" fillId="0" borderId="38" xfId="0" applyFont="1" applyBorder="1" applyAlignment="1">
      <alignment wrapText="1"/>
    </xf>
    <xf numFmtId="0" fontId="7" fillId="0" borderId="2" xfId="0" applyFont="1" applyBorder="1" applyAlignment="1">
      <alignment horizontal="right" wrapText="1"/>
    </xf>
    <xf numFmtId="0" fontId="7" fillId="0" borderId="38" xfId="0" applyFont="1" applyBorder="1" applyAlignment="1">
      <alignment horizontal="center" wrapText="1"/>
    </xf>
    <xf numFmtId="0" fontId="65" fillId="0" borderId="119" xfId="0" applyFont="1" applyBorder="1" applyAlignment="1">
      <alignment horizontal="center" vertical="center" wrapText="1"/>
    </xf>
    <xf numFmtId="0" fontId="66" fillId="0" borderId="119" xfId="0" applyFont="1" applyBorder="1" applyAlignment="1">
      <alignment horizontal="center" vertical="center" wrapText="1"/>
    </xf>
    <xf numFmtId="10" fontId="7" fillId="0" borderId="2" xfId="0" applyNumberFormat="1" applyFont="1" applyBorder="1" applyAlignment="1">
      <alignment horizontal="right" wrapText="1"/>
    </xf>
    <xf numFmtId="0" fontId="65" fillId="0" borderId="120" xfId="0" applyFont="1" applyBorder="1" applyAlignment="1">
      <alignment horizontal="center" vertical="center" wrapText="1"/>
    </xf>
    <xf numFmtId="0" fontId="66" fillId="0" borderId="120" xfId="0" applyFont="1" applyBorder="1" applyAlignment="1">
      <alignment horizontal="center" vertical="center" wrapText="1"/>
    </xf>
    <xf numFmtId="4" fontId="7" fillId="0" borderId="38" xfId="0" applyNumberFormat="1" applyFont="1" applyBorder="1" applyAlignment="1">
      <alignment horizontal="center" wrapText="1"/>
    </xf>
    <xf numFmtId="0" fontId="7" fillId="11" borderId="39" xfId="0" applyFont="1" applyFill="1" applyBorder="1"/>
    <xf numFmtId="0" fontId="7" fillId="11" borderId="18" xfId="0" applyFont="1" applyFill="1" applyBorder="1" applyAlignment="1">
      <alignment horizontal="center"/>
    </xf>
    <xf numFmtId="168" fontId="7" fillId="11" borderId="7" xfId="0" applyNumberFormat="1" applyFont="1" applyFill="1" applyBorder="1" applyAlignment="1">
      <alignment horizontal="center"/>
    </xf>
    <xf numFmtId="0" fontId="7" fillId="11" borderId="44" xfId="0" applyFont="1" applyFill="1" applyBorder="1"/>
    <xf numFmtId="0" fontId="7" fillId="11" borderId="7" xfId="0" applyFont="1" applyFill="1" applyBorder="1" applyAlignment="1">
      <alignment horizontal="center"/>
    </xf>
    <xf numFmtId="165" fontId="2" fillId="3" borderId="0" xfId="0" applyNumberFormat="1" applyFont="1" applyFill="1" applyBorder="1"/>
    <xf numFmtId="164" fontId="0" fillId="3" borderId="5" xfId="0" applyNumberFormat="1" applyFill="1" applyBorder="1" applyAlignment="1"/>
    <xf numFmtId="0" fontId="2" fillId="4" borderId="4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4" borderId="6" xfId="0" applyFont="1" applyFill="1" applyBorder="1" applyAlignment="1">
      <alignment horizontal="center"/>
    </xf>
    <xf numFmtId="10" fontId="4" fillId="0" borderId="6" xfId="0" applyNumberFormat="1" applyFont="1" applyBorder="1" applyAlignment="1">
      <alignment horizontal="center"/>
    </xf>
    <xf numFmtId="9" fontId="0" fillId="0" borderId="6" xfId="0" applyNumberFormat="1" applyBorder="1" applyAlignment="1">
      <alignment horizontal="center"/>
    </xf>
    <xf numFmtId="0" fontId="4" fillId="0" borderId="1" xfId="0" applyFont="1" applyBorder="1" applyAlignment="1">
      <alignment horizontal="center"/>
    </xf>
    <xf numFmtId="10" fontId="0" fillId="0" borderId="6" xfId="0" applyNumberFormat="1" applyBorder="1" applyAlignment="1">
      <alignment horizontal="center"/>
    </xf>
    <xf numFmtId="0" fontId="0" fillId="12" borderId="4" xfId="0" applyFill="1" applyBorder="1" applyAlignment="1">
      <alignment horizontal="left"/>
    </xf>
    <xf numFmtId="0" fontId="0" fillId="2" borderId="0" xfId="0" applyFill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0" xfId="0" applyFill="1" applyBorder="1" applyAlignment="1">
      <alignment horizontal="center"/>
    </xf>
    <xf numFmtId="4" fontId="0" fillId="2" borderId="30" xfId="0" applyNumberFormat="1" applyFill="1" applyBorder="1" applyAlignment="1">
      <alignment horizontal="center"/>
    </xf>
    <xf numFmtId="164" fontId="0" fillId="2" borderId="30" xfId="1" applyFont="1" applyFill="1" applyBorder="1" applyAlignment="1">
      <alignment horizontal="center"/>
    </xf>
    <xf numFmtId="0" fontId="2" fillId="2" borderId="101" xfId="0" applyFont="1" applyFill="1" applyBorder="1"/>
    <xf numFmtId="164" fontId="2" fillId="2" borderId="0" xfId="1" applyFont="1" applyFill="1" applyBorder="1" applyAlignment="1">
      <alignment horizontal="right"/>
    </xf>
    <xf numFmtId="0" fontId="2" fillId="2" borderId="85" xfId="0" applyFont="1" applyFill="1" applyBorder="1"/>
    <xf numFmtId="164" fontId="67" fillId="2" borderId="85" xfId="1" applyFont="1" applyFill="1" applyBorder="1" applyAlignment="1">
      <alignment horizontal="right"/>
    </xf>
    <xf numFmtId="164" fontId="2" fillId="2" borderId="2" xfId="1" applyFont="1" applyFill="1" applyBorder="1" applyAlignment="1">
      <alignment horizontal="right"/>
    </xf>
    <xf numFmtId="0" fontId="2" fillId="2" borderId="19" xfId="0" applyFont="1" applyFill="1" applyBorder="1"/>
    <xf numFmtId="164" fontId="2" fillId="2" borderId="19" xfId="1" applyFont="1" applyFill="1" applyBorder="1"/>
    <xf numFmtId="208" fontId="2" fillId="9" borderId="19" xfId="0" applyNumberFormat="1" applyFont="1" applyFill="1" applyBorder="1"/>
    <xf numFmtId="0" fontId="4" fillId="2" borderId="42" xfId="0" applyFont="1" applyFill="1" applyBorder="1"/>
    <xf numFmtId="164" fontId="4" fillId="2" borderId="42" xfId="1" applyFont="1" applyFill="1" applyBorder="1"/>
    <xf numFmtId="208" fontId="0" fillId="2" borderId="42" xfId="0" applyNumberFormat="1" applyFill="1" applyBorder="1"/>
    <xf numFmtId="0" fontId="2" fillId="0" borderId="19" xfId="0" applyFont="1" applyBorder="1"/>
    <xf numFmtId="164" fontId="4" fillId="2" borderId="19" xfId="1" applyFont="1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208" fontId="2" fillId="9" borderId="19" xfId="0" applyNumberFormat="1" applyFont="1" applyFill="1" applyBorder="1" applyAlignment="1">
      <alignment horizontal="center"/>
    </xf>
    <xf numFmtId="4" fontId="0" fillId="0" borderId="42" xfId="0" applyNumberFormat="1" applyBorder="1"/>
    <xf numFmtId="208" fontId="0" fillId="0" borderId="42" xfId="1" applyNumberFormat="1" applyFont="1" applyBorder="1" applyAlignment="1">
      <alignment horizontal="center"/>
    </xf>
    <xf numFmtId="1" fontId="0" fillId="2" borderId="42" xfId="0" applyNumberFormat="1" applyFill="1" applyBorder="1" applyAlignment="1">
      <alignment horizontal="center"/>
    </xf>
    <xf numFmtId="208" fontId="0" fillId="2" borderId="42" xfId="0" applyNumberFormat="1" applyFill="1" applyBorder="1" applyAlignment="1">
      <alignment horizontal="center"/>
    </xf>
    <xf numFmtId="0" fontId="0" fillId="2" borderId="42" xfId="0" applyFill="1" applyBorder="1"/>
    <xf numFmtId="0" fontId="0" fillId="2" borderId="19" xfId="0" applyFill="1" applyBorder="1"/>
    <xf numFmtId="4" fontId="0" fillId="2" borderId="42" xfId="0" applyNumberFormat="1" applyFill="1" applyBorder="1"/>
    <xf numFmtId="208" fontId="0" fillId="0" borderId="42" xfId="1" applyNumberFormat="1" applyFont="1" applyBorder="1"/>
    <xf numFmtId="0" fontId="11" fillId="11" borderId="0" xfId="0" applyFont="1" applyFill="1" applyAlignment="1">
      <alignment horizontal="center"/>
    </xf>
    <xf numFmtId="0" fontId="4" fillId="11" borderId="0" xfId="0" applyFont="1" applyFill="1"/>
    <xf numFmtId="0" fontId="4" fillId="11" borderId="60" xfId="0" applyFont="1" applyFill="1" applyBorder="1" applyAlignment="1">
      <alignment horizontal="left" vertical="center"/>
    </xf>
    <xf numFmtId="0" fontId="11" fillId="11" borderId="12" xfId="0" applyFont="1" applyFill="1" applyBorder="1"/>
    <xf numFmtId="0" fontId="11" fillId="11" borderId="13" xfId="0" applyFont="1" applyFill="1" applyBorder="1"/>
    <xf numFmtId="0" fontId="11" fillId="11" borderId="28" xfId="0" applyFont="1" applyFill="1" applyBorder="1"/>
    <xf numFmtId="0" fontId="11" fillId="11" borderId="44" xfId="0" applyFont="1" applyFill="1" applyBorder="1" applyAlignment="1">
      <alignment horizontal="left"/>
    </xf>
    <xf numFmtId="0" fontId="11" fillId="11" borderId="47" xfId="0" applyFont="1" applyFill="1" applyBorder="1" applyAlignment="1">
      <alignment horizontal="left"/>
    </xf>
    <xf numFmtId="0" fontId="11" fillId="11" borderId="44" xfId="0" applyFont="1" applyFill="1" applyBorder="1"/>
    <xf numFmtId="0" fontId="4" fillId="11" borderId="0" xfId="0" applyFont="1" applyFill="1" applyBorder="1"/>
    <xf numFmtId="0" fontId="11" fillId="11" borderId="110" xfId="0" applyFont="1" applyFill="1" applyBorder="1"/>
    <xf numFmtId="198" fontId="11" fillId="11" borderId="17" xfId="0" applyNumberFormat="1" applyFont="1" applyFill="1" applyBorder="1" applyAlignment="1">
      <alignment horizontal="center"/>
    </xf>
    <xf numFmtId="0" fontId="11" fillId="11" borderId="25" xfId="0" applyFont="1" applyFill="1" applyBorder="1"/>
    <xf numFmtId="198" fontId="11" fillId="11" borderId="5" xfId="0" applyNumberFormat="1" applyFont="1" applyFill="1" applyBorder="1" applyAlignment="1">
      <alignment horizontal="center"/>
    </xf>
    <xf numFmtId="0" fontId="11" fillId="11" borderId="49" xfId="0" applyFont="1" applyFill="1" applyBorder="1"/>
    <xf numFmtId="198" fontId="11" fillId="11" borderId="48" xfId="0" applyNumberFormat="1" applyFont="1" applyFill="1" applyBorder="1" applyAlignment="1">
      <alignment horizontal="center"/>
    </xf>
    <xf numFmtId="0" fontId="11" fillId="11" borderId="85" xfId="0" applyFont="1" applyFill="1" applyBorder="1" applyAlignment="1">
      <alignment horizontal="left"/>
    </xf>
    <xf numFmtId="198" fontId="11" fillId="11" borderId="18" xfId="0" applyNumberFormat="1" applyFont="1" applyFill="1" applyBorder="1" applyAlignment="1">
      <alignment horizontal="center"/>
    </xf>
    <xf numFmtId="0" fontId="11" fillId="11" borderId="9" xfId="0" applyFont="1" applyFill="1" applyBorder="1" applyAlignment="1">
      <alignment horizontal="left"/>
    </xf>
    <xf numFmtId="2" fontId="11" fillId="11" borderId="21" xfId="0" applyNumberFormat="1" applyFont="1" applyFill="1" applyBorder="1" applyAlignment="1">
      <alignment horizontal="center"/>
    </xf>
    <xf numFmtId="2" fontId="11" fillId="11" borderId="18" xfId="0" applyNumberFormat="1" applyFont="1" applyFill="1" applyBorder="1" applyAlignment="1">
      <alignment horizontal="center"/>
    </xf>
    <xf numFmtId="237" fontId="11" fillId="11" borderId="17" xfId="0" applyNumberFormat="1" applyFont="1" applyFill="1" applyBorder="1" applyAlignment="1">
      <alignment horizontal="center"/>
    </xf>
    <xf numFmtId="0" fontId="11" fillId="11" borderId="85" xfId="0" applyFont="1" applyFill="1" applyBorder="1"/>
    <xf numFmtId="237" fontId="11" fillId="11" borderId="18" xfId="0" applyNumberFormat="1" applyFont="1" applyFill="1" applyBorder="1" applyAlignment="1">
      <alignment horizontal="center"/>
    </xf>
    <xf numFmtId="0" fontId="4" fillId="11" borderId="52" xfId="0" applyFont="1" applyFill="1" applyBorder="1" applyAlignment="1">
      <alignment horizontal="left" vertical="center"/>
    </xf>
    <xf numFmtId="165" fontId="11" fillId="11" borderId="82" xfId="21" applyFont="1" applyFill="1" applyBorder="1" applyAlignment="1">
      <alignment horizontal="center"/>
    </xf>
    <xf numFmtId="0" fontId="20" fillId="12" borderId="0" xfId="0" applyFont="1" applyFill="1" applyBorder="1"/>
    <xf numFmtId="9" fontId="11" fillId="12" borderId="0" xfId="11" applyFont="1" applyFill="1" applyBorder="1" applyAlignment="1">
      <alignment horizontal="center" vertical="center"/>
    </xf>
    <xf numFmtId="0" fontId="2" fillId="12" borderId="15" xfId="0" applyFont="1" applyFill="1" applyBorder="1" applyAlignment="1">
      <alignment horizontal="center"/>
    </xf>
    <xf numFmtId="164" fontId="14" fillId="12" borderId="26" xfId="1" applyFont="1" applyFill="1" applyBorder="1"/>
    <xf numFmtId="164" fontId="14" fillId="12" borderId="14" xfId="1" applyFont="1" applyFill="1" applyBorder="1"/>
    <xf numFmtId="164" fontId="14" fillId="12" borderId="27" xfId="1" applyFont="1" applyFill="1" applyBorder="1"/>
    <xf numFmtId="0" fontId="4" fillId="12" borderId="41" xfId="0" applyFont="1" applyFill="1" applyBorder="1"/>
    <xf numFmtId="0" fontId="69" fillId="20" borderId="54" xfId="0" applyFont="1" applyFill="1" applyBorder="1"/>
    <xf numFmtId="164" fontId="69" fillId="20" borderId="15" xfId="1" applyFont="1" applyFill="1" applyBorder="1"/>
    <xf numFmtId="164" fontId="69" fillId="12" borderId="52" xfId="1" applyFont="1" applyFill="1" applyBorder="1"/>
    <xf numFmtId="0" fontId="2" fillId="12" borderId="54" xfId="0" applyFont="1" applyFill="1" applyBorder="1"/>
    <xf numFmtId="0" fontId="69" fillId="12" borderId="0" xfId="0" applyFont="1" applyFill="1" applyBorder="1"/>
    <xf numFmtId="164" fontId="69" fillId="12" borderId="0" xfId="1" applyFont="1" applyFill="1" applyBorder="1"/>
    <xf numFmtId="0" fontId="14" fillId="12" borderId="83" xfId="0" applyFont="1" applyFill="1" applyBorder="1"/>
    <xf numFmtId="164" fontId="54" fillId="11" borderId="0" xfId="1" applyFont="1" applyFill="1" applyBorder="1" applyAlignment="1">
      <alignment horizontal="center"/>
    </xf>
    <xf numFmtId="164" fontId="54" fillId="11" borderId="2" xfId="1" applyFont="1" applyFill="1" applyBorder="1" applyAlignment="1">
      <alignment horizontal="center"/>
    </xf>
    <xf numFmtId="0" fontId="2" fillId="12" borderId="0" xfId="0" applyFont="1" applyFill="1" applyBorder="1" applyAlignment="1">
      <alignment horizontal="center"/>
    </xf>
    <xf numFmtId="49" fontId="4" fillId="0" borderId="0" xfId="0" applyNumberFormat="1" applyFont="1" applyFill="1" applyBorder="1" applyAlignment="1">
      <alignment horizontal="center"/>
    </xf>
    <xf numFmtId="9" fontId="4" fillId="0" borderId="0" xfId="13" applyFont="1" applyFill="1" applyBorder="1" applyAlignment="1">
      <alignment horizontal="center"/>
    </xf>
    <xf numFmtId="0" fontId="2" fillId="20" borderId="1" xfId="0" applyFont="1" applyFill="1" applyBorder="1" applyAlignment="1">
      <alignment horizontal="center"/>
    </xf>
    <xf numFmtId="164" fontId="4" fillId="20" borderId="1" xfId="3" applyFont="1" applyFill="1" applyBorder="1"/>
    <xf numFmtId="164" fontId="2" fillId="20" borderId="1" xfId="0" applyNumberFormat="1" applyFont="1" applyFill="1" applyBorder="1"/>
    <xf numFmtId="9" fontId="0" fillId="3" borderId="1" xfId="11" applyFont="1" applyFill="1" applyBorder="1"/>
    <xf numFmtId="164" fontId="0" fillId="3" borderId="14" xfId="0" applyNumberFormat="1" applyFill="1" applyBorder="1"/>
    <xf numFmtId="164" fontId="0" fillId="3" borderId="4" xfId="0" applyNumberFormat="1" applyFill="1" applyBorder="1"/>
    <xf numFmtId="183" fontId="2" fillId="12" borderId="0" xfId="0" applyNumberFormat="1" applyFont="1" applyFill="1" applyBorder="1" applyAlignment="1">
      <alignment horizontal="center"/>
    </xf>
    <xf numFmtId="9" fontId="54" fillId="12" borderId="0" xfId="11" applyFont="1" applyFill="1" applyBorder="1" applyAlignment="1">
      <alignment horizontal="center"/>
    </xf>
    <xf numFmtId="0" fontId="2" fillId="3" borderId="13" xfId="0" applyFont="1" applyFill="1" applyBorder="1" applyAlignment="1">
      <alignment horizontal="center"/>
    </xf>
    <xf numFmtId="239" fontId="58" fillId="12" borderId="1" xfId="21" applyNumberFormat="1" applyFont="1" applyFill="1" applyBorder="1" applyAlignment="1">
      <alignment horizontal="center"/>
    </xf>
    <xf numFmtId="169" fontId="39" fillId="12" borderId="1" xfId="21" applyNumberFormat="1" applyFont="1" applyFill="1" applyBorder="1" applyAlignment="1">
      <alignment horizontal="center"/>
    </xf>
    <xf numFmtId="174" fontId="4" fillId="0" borderId="1" xfId="21" applyNumberFormat="1" applyFont="1" applyFill="1" applyBorder="1" applyAlignment="1">
      <alignment horizontal="center"/>
    </xf>
    <xf numFmtId="0" fontId="2" fillId="3" borderId="0" xfId="0" applyFont="1" applyFill="1" applyAlignment="1">
      <alignment horizontal="right"/>
    </xf>
    <xf numFmtId="215" fontId="2" fillId="3" borderId="63" xfId="0" applyNumberFormat="1" applyFont="1" applyFill="1" applyBorder="1" applyAlignment="1">
      <alignment horizontal="center"/>
    </xf>
    <xf numFmtId="164" fontId="2" fillId="3" borderId="63" xfId="1" applyFont="1" applyFill="1" applyBorder="1" applyAlignment="1">
      <alignment horizontal="center"/>
    </xf>
    <xf numFmtId="184" fontId="0" fillId="3" borderId="42" xfId="0" applyNumberFormat="1" applyFill="1" applyBorder="1" applyAlignment="1">
      <alignment horizontal="center"/>
    </xf>
    <xf numFmtId="164" fontId="0" fillId="2" borderId="42" xfId="1" applyFont="1" applyFill="1" applyBorder="1" applyAlignment="1">
      <alignment horizontal="center"/>
    </xf>
    <xf numFmtId="164" fontId="0" fillId="3" borderId="42" xfId="1" applyNumberFormat="1" applyFont="1" applyFill="1" applyBorder="1" applyAlignment="1">
      <alignment horizontal="center"/>
    </xf>
    <xf numFmtId="9" fontId="0" fillId="2" borderId="42" xfId="11" applyFont="1" applyFill="1" applyBorder="1" applyAlignment="1">
      <alignment horizontal="center"/>
    </xf>
    <xf numFmtId="1" fontId="4" fillId="3" borderId="42" xfId="21" applyNumberFormat="1" applyFont="1" applyFill="1" applyBorder="1" applyAlignment="1">
      <alignment horizontal="center"/>
    </xf>
    <xf numFmtId="169" fontId="4" fillId="3" borderId="42" xfId="21" applyNumberFormat="1" applyFont="1" applyFill="1" applyBorder="1" applyAlignment="1">
      <alignment horizontal="center"/>
    </xf>
    <xf numFmtId="0" fontId="0" fillId="2" borderId="42" xfId="21" applyNumberFormat="1" applyFont="1" applyFill="1" applyBorder="1" applyAlignment="1">
      <alignment horizontal="center"/>
    </xf>
    <xf numFmtId="174" fontId="4" fillId="0" borderId="42" xfId="21" applyNumberFormat="1" applyFont="1" applyFill="1" applyBorder="1" applyAlignment="1">
      <alignment horizontal="center"/>
    </xf>
    <xf numFmtId="239" fontId="58" fillId="12" borderId="42" xfId="21" applyNumberFormat="1" applyFont="1" applyFill="1" applyBorder="1" applyAlignment="1">
      <alignment horizontal="center"/>
    </xf>
    <xf numFmtId="169" fontId="39" fillId="12" borderId="42" xfId="21" applyNumberFormat="1" applyFont="1" applyFill="1" applyBorder="1" applyAlignment="1">
      <alignment horizontal="center"/>
    </xf>
    <xf numFmtId="184" fontId="58" fillId="12" borderId="42" xfId="0" applyNumberFormat="1" applyFont="1" applyFill="1" applyBorder="1" applyAlignment="1">
      <alignment horizontal="center"/>
    </xf>
    <xf numFmtId="164" fontId="58" fillId="3" borderId="42" xfId="1" applyNumberFormat="1" applyFont="1" applyFill="1" applyBorder="1" applyAlignment="1">
      <alignment horizontal="center"/>
    </xf>
    <xf numFmtId="9" fontId="58" fillId="12" borderId="42" xfId="11" applyFont="1" applyFill="1" applyBorder="1" applyAlignment="1">
      <alignment horizontal="center"/>
    </xf>
    <xf numFmtId="169" fontId="58" fillId="12" borderId="42" xfId="21" applyNumberFormat="1" applyFont="1" applyFill="1" applyBorder="1" applyAlignment="1">
      <alignment horizontal="center"/>
    </xf>
    <xf numFmtId="174" fontId="58" fillId="12" borderId="42" xfId="21" applyNumberFormat="1" applyFont="1" applyFill="1" applyBorder="1" applyAlignment="1">
      <alignment horizontal="center"/>
    </xf>
    <xf numFmtId="215" fontId="58" fillId="12" borderId="42" xfId="21" applyNumberFormat="1" applyFont="1" applyFill="1" applyBorder="1" applyAlignment="1">
      <alignment horizontal="center"/>
    </xf>
    <xf numFmtId="230" fontId="58" fillId="12" borderId="42" xfId="21" applyNumberFormat="1" applyFont="1" applyFill="1" applyBorder="1" applyAlignment="1">
      <alignment horizontal="center"/>
    </xf>
    <xf numFmtId="0" fontId="0" fillId="12" borderId="46" xfId="0" applyFill="1" applyBorder="1" applyAlignment="1" applyProtection="1">
      <alignment horizontal="center"/>
      <protection locked="0"/>
    </xf>
    <xf numFmtId="0" fontId="0" fillId="12" borderId="65" xfId="0" applyFill="1" applyBorder="1" applyAlignment="1" applyProtection="1">
      <alignment horizontal="center"/>
      <protection locked="0"/>
    </xf>
    <xf numFmtId="0" fontId="0" fillId="3" borderId="26" xfId="0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0" fillId="3" borderId="27" xfId="0" applyFill="1" applyBorder="1" applyAlignment="1">
      <alignment horizontal="center"/>
    </xf>
    <xf numFmtId="0" fontId="23" fillId="12" borderId="0" xfId="0" applyFont="1" applyFill="1" applyBorder="1" applyAlignment="1" applyProtection="1">
      <alignment vertical="center" wrapText="1"/>
      <protection hidden="1"/>
    </xf>
    <xf numFmtId="0" fontId="69" fillId="21" borderId="29" xfId="0" applyFont="1" applyFill="1" applyBorder="1" applyAlignment="1">
      <alignment horizontal="center"/>
    </xf>
    <xf numFmtId="0" fontId="69" fillId="21" borderId="30" xfId="0" applyFont="1" applyFill="1" applyBorder="1" applyAlignment="1">
      <alignment horizontal="center"/>
    </xf>
    <xf numFmtId="0" fontId="69" fillId="21" borderId="35" xfId="0" applyFont="1" applyFill="1" applyBorder="1" applyAlignment="1">
      <alignment horizontal="center"/>
    </xf>
    <xf numFmtId="0" fontId="69" fillId="11" borderId="0" xfId="0" applyFont="1" applyFill="1" applyBorder="1" applyAlignment="1"/>
    <xf numFmtId="0" fontId="0" fillId="11" borderId="0" xfId="0" applyFill="1" applyBorder="1"/>
    <xf numFmtId="0" fontId="0" fillId="13" borderId="0" xfId="0" applyFill="1"/>
    <xf numFmtId="164" fontId="55" fillId="13" borderId="0" xfId="1" applyFont="1" applyFill="1"/>
    <xf numFmtId="0" fontId="2" fillId="12" borderId="85" xfId="0" applyFont="1" applyFill="1" applyBorder="1"/>
    <xf numFmtId="164" fontId="2" fillId="12" borderId="85" xfId="1" applyFont="1" applyFill="1" applyBorder="1"/>
    <xf numFmtId="0" fontId="2" fillId="14" borderId="85" xfId="0" applyFont="1" applyFill="1" applyBorder="1"/>
    <xf numFmtId="164" fontId="2" fillId="12" borderId="42" xfId="1" applyFont="1" applyFill="1" applyBorder="1"/>
    <xf numFmtId="164" fontId="4" fillId="13" borderId="1" xfId="1" applyFont="1" applyFill="1" applyBorder="1"/>
    <xf numFmtId="192" fontId="69" fillId="18" borderId="2" xfId="0" applyNumberFormat="1" applyFont="1" applyFill="1" applyBorder="1"/>
    <xf numFmtId="0" fontId="73" fillId="18" borderId="2" xfId="0" applyFont="1" applyFill="1" applyBorder="1"/>
    <xf numFmtId="0" fontId="8" fillId="14" borderId="39" xfId="0" applyFont="1" applyFill="1" applyBorder="1" applyAlignment="1">
      <alignment horizontal="left"/>
    </xf>
    <xf numFmtId="240" fontId="0" fillId="13" borderId="49" xfId="0" applyNumberFormat="1" applyFill="1" applyBorder="1"/>
    <xf numFmtId="241" fontId="0" fillId="13" borderId="9" xfId="0" applyNumberFormat="1" applyFill="1" applyBorder="1"/>
    <xf numFmtId="0" fontId="4" fillId="13" borderId="49" xfId="0" applyFont="1" applyFill="1" applyBorder="1" applyAlignment="1">
      <alignment horizontal="left"/>
    </xf>
    <xf numFmtId="0" fontId="4" fillId="13" borderId="9" xfId="0" applyFont="1" applyFill="1" applyBorder="1" applyAlignment="1">
      <alignment horizontal="left"/>
    </xf>
    <xf numFmtId="0" fontId="2" fillId="14" borderId="85" xfId="0" applyFont="1" applyFill="1" applyBorder="1" applyAlignment="1">
      <alignment horizontal="center"/>
    </xf>
    <xf numFmtId="0" fontId="74" fillId="13" borderId="0" xfId="0" applyFont="1" applyFill="1" applyAlignment="1">
      <alignment horizontal="left" indent="2"/>
    </xf>
    <xf numFmtId="242" fontId="0" fillId="13" borderId="0" xfId="0" applyNumberFormat="1" applyFill="1"/>
    <xf numFmtId="242" fontId="2" fillId="14" borderId="85" xfId="0" applyNumberFormat="1" applyFont="1" applyFill="1" applyBorder="1"/>
    <xf numFmtId="243" fontId="0" fillId="13" borderId="0" xfId="0" applyNumberFormat="1" applyFill="1"/>
    <xf numFmtId="243" fontId="2" fillId="14" borderId="85" xfId="0" applyNumberFormat="1" applyFont="1" applyFill="1" applyBorder="1"/>
    <xf numFmtId="164" fontId="4" fillId="2" borderId="5" xfId="6" applyFont="1" applyFill="1" applyBorder="1" applyAlignment="1" applyProtection="1">
      <alignment horizontal="center"/>
      <protection locked="0"/>
    </xf>
    <xf numFmtId="169" fontId="4" fillId="2" borderId="5" xfId="16" applyNumberFormat="1" applyFont="1" applyFill="1" applyBorder="1" applyAlignment="1" applyProtection="1">
      <alignment horizontal="center"/>
      <protection locked="0"/>
    </xf>
    <xf numFmtId="1" fontId="4" fillId="0" borderId="5" xfId="20" applyNumberFormat="1" applyFont="1" applyFill="1" applyBorder="1" applyAlignment="1" applyProtection="1">
      <alignment horizontal="center"/>
      <protection locked="0"/>
    </xf>
    <xf numFmtId="1" fontId="4" fillId="2" borderId="21" xfId="20" applyNumberFormat="1" applyFont="1" applyFill="1" applyBorder="1" applyAlignment="1" applyProtection="1">
      <alignment horizontal="center"/>
      <protection locked="0"/>
    </xf>
    <xf numFmtId="164" fontId="4" fillId="2" borderId="21" xfId="10" applyFont="1" applyFill="1" applyBorder="1" applyProtection="1">
      <protection locked="0"/>
    </xf>
    <xf numFmtId="181" fontId="4" fillId="2" borderId="19" xfId="30" applyNumberFormat="1" applyFont="1" applyFill="1" applyBorder="1" applyAlignment="1" applyProtection="1">
      <alignment horizontal="center"/>
      <protection locked="0"/>
    </xf>
    <xf numFmtId="1" fontId="4" fillId="2" borderId="21" xfId="16" applyNumberFormat="1" applyFont="1" applyFill="1" applyBorder="1" applyAlignment="1" applyProtection="1">
      <alignment horizontal="center"/>
      <protection locked="0"/>
    </xf>
    <xf numFmtId="164" fontId="4" fillId="2" borderId="5" xfId="6" applyFont="1" applyFill="1" applyBorder="1" applyProtection="1">
      <protection locked="0"/>
    </xf>
    <xf numFmtId="9" fontId="4" fillId="0" borderId="1" xfId="16" applyFont="1" applyFill="1" applyBorder="1" applyAlignment="1">
      <alignment horizontal="center"/>
    </xf>
    <xf numFmtId="164" fontId="4" fillId="2" borderId="1" xfId="6" applyFill="1" applyBorder="1" applyAlignment="1">
      <alignment horizontal="center"/>
    </xf>
    <xf numFmtId="164" fontId="55" fillId="2" borderId="1" xfId="1" applyFont="1" applyFill="1" applyBorder="1" applyAlignment="1">
      <alignment horizontal="center"/>
    </xf>
    <xf numFmtId="164" fontId="55" fillId="2" borderId="1" xfId="10" applyFont="1" applyFill="1" applyBorder="1"/>
    <xf numFmtId="0" fontId="2" fillId="12" borderId="113" xfId="0" applyFont="1" applyFill="1" applyBorder="1" applyAlignment="1">
      <alignment horizontal="center"/>
    </xf>
    <xf numFmtId="10" fontId="21" fillId="12" borderId="45" xfId="11" applyNumberFormat="1" applyFont="1" applyFill="1" applyBorder="1" applyAlignment="1">
      <alignment horizontal="center"/>
    </xf>
    <xf numFmtId="0" fontId="0" fillId="12" borderId="45" xfId="0" applyFill="1" applyBorder="1"/>
    <xf numFmtId="9" fontId="2" fillId="12" borderId="26" xfId="11" applyFont="1" applyFill="1" applyBorder="1" applyAlignment="1">
      <alignment vertical="center"/>
    </xf>
    <xf numFmtId="9" fontId="2" fillId="12" borderId="14" xfId="11" applyFont="1" applyFill="1" applyBorder="1" applyAlignment="1">
      <alignment vertical="center"/>
    </xf>
    <xf numFmtId="9" fontId="2" fillId="12" borderId="27" xfId="11" applyFont="1" applyFill="1" applyBorder="1" applyAlignment="1">
      <alignment vertical="center"/>
    </xf>
    <xf numFmtId="164" fontId="2" fillId="3" borderId="0" xfId="0" applyNumberFormat="1" applyFont="1" applyFill="1" applyBorder="1" applyAlignment="1">
      <alignment vertical="center" wrapText="1"/>
    </xf>
    <xf numFmtId="164" fontId="4" fillId="3" borderId="1" xfId="0" applyNumberFormat="1" applyFont="1" applyFill="1" applyBorder="1" applyAlignment="1">
      <alignment vertical="center" wrapText="1"/>
    </xf>
    <xf numFmtId="164" fontId="4" fillId="3" borderId="19" xfId="0" applyNumberFormat="1" applyFont="1" applyFill="1" applyBorder="1" applyAlignment="1">
      <alignment vertical="center" wrapText="1"/>
    </xf>
    <xf numFmtId="164" fontId="4" fillId="3" borderId="42" xfId="0" applyNumberFormat="1" applyFont="1" applyFill="1" applyBorder="1" applyAlignment="1">
      <alignment vertical="center" wrapText="1"/>
    </xf>
    <xf numFmtId="0" fontId="2" fillId="12" borderId="0" xfId="0" applyFont="1" applyFill="1" applyBorder="1" applyAlignment="1">
      <alignment vertical="center"/>
    </xf>
    <xf numFmtId="0" fontId="2" fillId="3" borderId="0" xfId="0" applyFont="1" applyFill="1" applyBorder="1" applyAlignment="1"/>
    <xf numFmtId="164" fontId="4" fillId="3" borderId="23" xfId="0" applyNumberFormat="1" applyFont="1" applyFill="1" applyBorder="1" applyAlignment="1">
      <alignment vertical="center" wrapText="1"/>
    </xf>
    <xf numFmtId="164" fontId="4" fillId="3" borderId="55" xfId="0" applyNumberFormat="1" applyFont="1" applyFill="1" applyBorder="1" applyAlignment="1">
      <alignment vertical="center" wrapText="1"/>
    </xf>
    <xf numFmtId="0" fontId="27" fillId="12" borderId="0" xfId="0" applyFont="1" applyFill="1" applyBorder="1" applyAlignment="1"/>
    <xf numFmtId="164" fontId="2" fillId="3" borderId="0" xfId="1" applyFont="1" applyFill="1" applyBorder="1" applyAlignment="1">
      <alignment horizontal="center"/>
    </xf>
    <xf numFmtId="4" fontId="0" fillId="12" borderId="0" xfId="0" applyNumberFormat="1" applyFill="1" applyBorder="1" applyAlignment="1">
      <alignment horizontal="right"/>
    </xf>
    <xf numFmtId="164" fontId="55" fillId="12" borderId="0" xfId="1" applyFont="1" applyFill="1" applyBorder="1"/>
    <xf numFmtId="4" fontId="0" fillId="12" borderId="0" xfId="0" applyNumberFormat="1" applyFill="1"/>
    <xf numFmtId="4" fontId="0" fillId="12" borderId="0" xfId="0" applyNumberFormat="1" applyFill="1" applyAlignment="1">
      <alignment horizontal="right"/>
    </xf>
    <xf numFmtId="170" fontId="0" fillId="12" borderId="0" xfId="0" applyNumberFormat="1" applyFill="1"/>
    <xf numFmtId="4" fontId="4" fillId="12" borderId="0" xfId="0" applyNumberFormat="1" applyFont="1" applyFill="1" applyAlignment="1">
      <alignment horizontal="right"/>
    </xf>
    <xf numFmtId="170" fontId="4" fillId="12" borderId="0" xfId="0" applyNumberFormat="1" applyFont="1" applyFill="1"/>
    <xf numFmtId="164" fontId="55" fillId="12" borderId="0" xfId="1" applyFont="1" applyFill="1"/>
    <xf numFmtId="199" fontId="55" fillId="12" borderId="0" xfId="1" applyNumberFormat="1" applyFont="1" applyFill="1" applyBorder="1"/>
    <xf numFmtId="177" fontId="0" fillId="3" borderId="1" xfId="0" applyNumberFormat="1" applyFill="1" applyBorder="1" applyAlignment="1">
      <alignment horizontal="center"/>
    </xf>
    <xf numFmtId="177" fontId="0" fillId="3" borderId="42" xfId="0" applyNumberFormat="1" applyFill="1" applyBorder="1" applyAlignment="1">
      <alignment horizontal="center"/>
    </xf>
    <xf numFmtId="0" fontId="2" fillId="3" borderId="42" xfId="0" applyFont="1" applyFill="1" applyBorder="1" applyAlignment="1">
      <alignment horizontal="center"/>
    </xf>
    <xf numFmtId="215" fontId="2" fillId="3" borderId="50" xfId="0" applyNumberFormat="1" applyFont="1" applyFill="1" applyBorder="1" applyAlignment="1">
      <alignment horizontal="right"/>
    </xf>
    <xf numFmtId="215" fontId="2" fillId="3" borderId="14" xfId="0" applyNumberFormat="1" applyFont="1" applyFill="1" applyBorder="1" applyAlignment="1">
      <alignment horizontal="right"/>
    </xf>
    <xf numFmtId="215" fontId="2" fillId="3" borderId="27" xfId="0" applyNumberFormat="1" applyFont="1" applyFill="1" applyBorder="1" applyAlignment="1">
      <alignment horizontal="right"/>
    </xf>
    <xf numFmtId="0" fontId="2" fillId="3" borderId="39" xfId="0" applyFont="1" applyFill="1" applyBorder="1" applyAlignment="1">
      <alignment horizontal="center"/>
    </xf>
    <xf numFmtId="0" fontId="2" fillId="3" borderId="7" xfId="0" applyFont="1" applyFill="1" applyBorder="1" applyAlignment="1">
      <alignment horizontal="center"/>
    </xf>
    <xf numFmtId="165" fontId="0" fillId="3" borderId="21" xfId="21" applyFont="1" applyFill="1" applyBorder="1" applyAlignment="1">
      <alignment horizontal="center"/>
    </xf>
    <xf numFmtId="165" fontId="0" fillId="3" borderId="5" xfId="21" applyFont="1" applyFill="1" applyBorder="1" applyAlignment="1">
      <alignment horizontal="center"/>
    </xf>
    <xf numFmtId="165" fontId="0" fillId="3" borderId="18" xfId="21" applyFont="1" applyFill="1" applyBorder="1" applyAlignment="1">
      <alignment horizontal="center"/>
    </xf>
    <xf numFmtId="0" fontId="4" fillId="12" borderId="11" xfId="0" applyFont="1" applyFill="1" applyBorder="1" applyAlignment="1">
      <alignment horizontal="center"/>
    </xf>
    <xf numFmtId="0" fontId="4" fillId="12" borderId="6" xfId="0" applyFont="1" applyFill="1" applyBorder="1" applyAlignment="1">
      <alignment horizontal="center"/>
    </xf>
    <xf numFmtId="0" fontId="4" fillId="12" borderId="7" xfId="0" applyFont="1" applyFill="1" applyBorder="1" applyAlignment="1">
      <alignment horizontal="center"/>
    </xf>
    <xf numFmtId="215" fontId="2" fillId="3" borderId="93" xfId="0" applyNumberFormat="1" applyFont="1" applyFill="1" applyBorder="1" applyAlignment="1">
      <alignment horizontal="right"/>
    </xf>
    <xf numFmtId="215" fontId="2" fillId="3" borderId="43" xfId="0" applyNumberFormat="1" applyFont="1" applyFill="1" applyBorder="1" applyAlignment="1">
      <alignment horizontal="right"/>
    </xf>
    <xf numFmtId="215" fontId="2" fillId="3" borderId="98" xfId="0" applyNumberFormat="1" applyFont="1" applyFill="1" applyBorder="1" applyAlignment="1">
      <alignment horizontal="right"/>
    </xf>
    <xf numFmtId="0" fontId="0" fillId="3" borderId="29" xfId="0" applyFill="1" applyBorder="1"/>
    <xf numFmtId="0" fontId="0" fillId="3" borderId="35" xfId="0" applyFill="1" applyBorder="1"/>
    <xf numFmtId="0" fontId="2" fillId="3" borderId="58" xfId="0" applyFont="1" applyFill="1" applyBorder="1" applyAlignment="1">
      <alignment horizontal="center"/>
    </xf>
    <xf numFmtId="0" fontId="2" fillId="3" borderId="63" xfId="0" applyFont="1" applyFill="1" applyBorder="1" applyAlignment="1">
      <alignment horizontal="center"/>
    </xf>
    <xf numFmtId="0" fontId="2" fillId="3" borderId="55" xfId="0" applyFont="1" applyFill="1" applyBorder="1" applyAlignment="1">
      <alignment horizontal="center"/>
    </xf>
    <xf numFmtId="245" fontId="0" fillId="12" borderId="20" xfId="0" applyNumberFormat="1" applyFill="1" applyBorder="1"/>
    <xf numFmtId="245" fontId="0" fillId="12" borderId="4" xfId="0" applyNumberFormat="1" applyFill="1" applyBorder="1"/>
    <xf numFmtId="245" fontId="0" fillId="12" borderId="39" xfId="0" applyNumberFormat="1" applyFill="1" applyBorder="1"/>
    <xf numFmtId="0" fontId="4" fillId="3" borderId="29" xfId="0" applyFont="1" applyFill="1" applyBorder="1" applyAlignment="1">
      <alignment horizontal="center"/>
    </xf>
    <xf numFmtId="164" fontId="55" fillId="12" borderId="20" xfId="1" applyFont="1" applyFill="1" applyBorder="1" applyAlignment="1">
      <alignment vertical="center"/>
    </xf>
    <xf numFmtId="164" fontId="55" fillId="12" borderId="4" xfId="1" applyFont="1" applyFill="1" applyBorder="1" applyAlignment="1">
      <alignment vertical="center"/>
    </xf>
    <xf numFmtId="164" fontId="55" fillId="12" borderId="39" xfId="1" applyFont="1" applyFill="1" applyBorder="1" applyAlignment="1">
      <alignment vertical="center"/>
    </xf>
    <xf numFmtId="246" fontId="55" fillId="12" borderId="20" xfId="1" applyNumberFormat="1" applyFont="1" applyFill="1" applyBorder="1" applyAlignment="1">
      <alignment vertical="center"/>
    </xf>
    <xf numFmtId="246" fontId="55" fillId="12" borderId="4" xfId="1" applyNumberFormat="1" applyFont="1" applyFill="1" applyBorder="1" applyAlignment="1">
      <alignment vertical="center"/>
    </xf>
    <xf numFmtId="246" fontId="55" fillId="12" borderId="39" xfId="1" applyNumberFormat="1" applyFont="1" applyFill="1" applyBorder="1" applyAlignment="1">
      <alignment vertical="center"/>
    </xf>
    <xf numFmtId="244" fontId="55" fillId="12" borderId="20" xfId="1" applyNumberFormat="1" applyFont="1" applyFill="1" applyBorder="1" applyAlignment="1">
      <alignment vertical="center"/>
    </xf>
    <xf numFmtId="215" fontId="2" fillId="3" borderId="83" xfId="0" applyNumberFormat="1" applyFont="1" applyFill="1" applyBorder="1" applyAlignment="1">
      <alignment horizontal="right"/>
    </xf>
    <xf numFmtId="244" fontId="55" fillId="12" borderId="50" xfId="1" applyNumberFormat="1" applyFont="1" applyFill="1" applyBorder="1" applyAlignment="1">
      <alignment vertical="center"/>
    </xf>
    <xf numFmtId="215" fontId="2" fillId="3" borderId="51" xfId="0" applyNumberFormat="1" applyFont="1" applyFill="1" applyBorder="1" applyAlignment="1">
      <alignment horizontal="right"/>
    </xf>
    <xf numFmtId="244" fontId="55" fillId="12" borderId="38" xfId="1" applyNumberFormat="1" applyFont="1" applyFill="1" applyBorder="1" applyAlignment="1">
      <alignment vertical="center"/>
    </xf>
    <xf numFmtId="244" fontId="2" fillId="12" borderId="26" xfId="1" applyNumberFormat="1" applyFont="1" applyFill="1" applyBorder="1" applyAlignment="1">
      <alignment vertical="center"/>
    </xf>
    <xf numFmtId="244" fontId="2" fillId="12" borderId="50" xfId="1" applyNumberFormat="1" applyFont="1" applyFill="1" applyBorder="1" applyAlignment="1">
      <alignment vertical="center"/>
    </xf>
    <xf numFmtId="244" fontId="2" fillId="12" borderId="38" xfId="1" applyNumberFormat="1" applyFont="1" applyFill="1" applyBorder="1" applyAlignment="1">
      <alignment vertical="center"/>
    </xf>
    <xf numFmtId="0" fontId="0" fillId="3" borderId="3" xfId="0" applyFill="1" applyBorder="1" applyAlignment="1"/>
    <xf numFmtId="0" fontId="0" fillId="3" borderId="38" xfId="0" applyFill="1" applyBorder="1" applyAlignment="1"/>
    <xf numFmtId="0" fontId="0" fillId="3" borderId="15" xfId="0" applyFill="1" applyBorder="1" applyAlignment="1"/>
    <xf numFmtId="0" fontId="2" fillId="3" borderId="33" xfId="0" applyFont="1" applyFill="1" applyBorder="1" applyAlignment="1">
      <alignment horizontal="center"/>
    </xf>
    <xf numFmtId="0" fontId="2" fillId="3" borderId="59" xfId="0" applyFont="1" applyFill="1" applyBorder="1" applyAlignment="1">
      <alignment horizontal="center"/>
    </xf>
    <xf numFmtId="0" fontId="2" fillId="3" borderId="34" xfId="0" applyFont="1" applyFill="1" applyBorder="1" applyAlignment="1">
      <alignment horizontal="center"/>
    </xf>
    <xf numFmtId="229" fontId="2" fillId="3" borderId="110" xfId="0" applyNumberFormat="1" applyFont="1" applyFill="1" applyBorder="1" applyAlignment="1">
      <alignment horizontal="center"/>
    </xf>
    <xf numFmtId="229" fontId="2" fillId="3" borderId="9" xfId="0" applyNumberFormat="1" applyFont="1" applyFill="1" applyBorder="1" applyAlignment="1">
      <alignment horizontal="center"/>
    </xf>
    <xf numFmtId="3" fontId="2" fillId="3" borderId="26" xfId="0" applyNumberFormat="1" applyFont="1" applyFill="1" applyBorder="1" applyAlignment="1">
      <alignment horizontal="center"/>
    </xf>
    <xf numFmtId="3" fontId="2" fillId="3" borderId="14" xfId="0" applyNumberFormat="1" applyFont="1" applyFill="1" applyBorder="1" applyAlignment="1">
      <alignment horizontal="center"/>
    </xf>
    <xf numFmtId="3" fontId="4" fillId="3" borderId="51" xfId="0" applyNumberFormat="1" applyFont="1" applyFill="1" applyBorder="1" applyAlignment="1">
      <alignment horizontal="center"/>
    </xf>
    <xf numFmtId="3" fontId="0" fillId="3" borderId="29" xfId="0" applyNumberFormat="1" applyFill="1" applyBorder="1" applyAlignment="1">
      <alignment horizontal="center"/>
    </xf>
    <xf numFmtId="3" fontId="2" fillId="3" borderId="93" xfId="0" applyNumberFormat="1" applyFont="1" applyFill="1" applyBorder="1" applyAlignment="1">
      <alignment horizontal="center"/>
    </xf>
    <xf numFmtId="3" fontId="0" fillId="3" borderId="0" xfId="0" applyNumberFormat="1" applyFill="1" applyAlignment="1">
      <alignment horizontal="center"/>
    </xf>
    <xf numFmtId="3" fontId="0" fillId="3" borderId="0" xfId="0" applyNumberFormat="1" applyFill="1" applyBorder="1" applyAlignment="1">
      <alignment horizontal="center"/>
    </xf>
    <xf numFmtId="3" fontId="2" fillId="3" borderId="51" xfId="0" applyNumberFormat="1" applyFont="1" applyFill="1" applyBorder="1" applyAlignment="1">
      <alignment horizontal="center"/>
    </xf>
    <xf numFmtId="3" fontId="2" fillId="3" borderId="83" xfId="0" applyNumberFormat="1" applyFont="1" applyFill="1" applyBorder="1" applyAlignment="1">
      <alignment horizontal="center"/>
    </xf>
    <xf numFmtId="0" fontId="2" fillId="3" borderId="38" xfId="0" applyFont="1" applyFill="1" applyBorder="1" applyAlignment="1">
      <alignment horizontal="center"/>
    </xf>
    <xf numFmtId="244" fontId="55" fillId="12" borderId="58" xfId="1" applyNumberFormat="1" applyFont="1" applyFill="1" applyBorder="1" applyAlignment="1">
      <alignment vertical="center"/>
    </xf>
    <xf numFmtId="3" fontId="4" fillId="3" borderId="29" xfId="0" applyNumberFormat="1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2" fillId="3" borderId="35" xfId="0" applyFont="1" applyFill="1" applyBorder="1" applyAlignment="1">
      <alignment horizontal="center" vertical="center"/>
    </xf>
    <xf numFmtId="244" fontId="55" fillId="12" borderId="93" xfId="1" applyNumberFormat="1" applyFont="1" applyFill="1" applyBorder="1" applyAlignment="1">
      <alignment vertical="center"/>
    </xf>
    <xf numFmtId="0" fontId="1" fillId="3" borderId="2" xfId="0" applyFont="1" applyFill="1" applyBorder="1" applyAlignment="1">
      <alignment horizontal="center"/>
    </xf>
    <xf numFmtId="244" fontId="2" fillId="3" borderId="30" xfId="0" applyNumberFormat="1" applyFont="1" applyFill="1" applyBorder="1"/>
    <xf numFmtId="244" fontId="2" fillId="3" borderId="0" xfId="0" applyNumberFormat="1" applyFont="1" applyFill="1" applyBorder="1"/>
    <xf numFmtId="244" fontId="2" fillId="3" borderId="2" xfId="0" applyNumberFormat="1" applyFont="1" applyFill="1" applyBorder="1"/>
    <xf numFmtId="0" fontId="2" fillId="3" borderId="65" xfId="0" applyFont="1" applyFill="1" applyBorder="1" applyAlignment="1">
      <alignment horizontal="center"/>
    </xf>
    <xf numFmtId="177" fontId="0" fillId="3" borderId="10" xfId="0" applyNumberFormat="1" applyFill="1" applyBorder="1" applyAlignment="1">
      <alignment horizontal="center"/>
    </xf>
    <xf numFmtId="177" fontId="0" fillId="3" borderId="11" xfId="0" applyNumberFormat="1" applyFill="1" applyBorder="1" applyAlignment="1">
      <alignment horizontal="center"/>
    </xf>
    <xf numFmtId="177" fontId="0" fillId="3" borderId="6" xfId="0" applyNumberFormat="1" applyFill="1" applyBorder="1" applyAlignment="1">
      <alignment horizontal="center"/>
    </xf>
    <xf numFmtId="177" fontId="0" fillId="3" borderId="7" xfId="0" applyNumberFormat="1" applyFill="1" applyBorder="1" applyAlignment="1">
      <alignment horizontal="center"/>
    </xf>
    <xf numFmtId="0" fontId="2" fillId="3" borderId="56" xfId="0" applyFont="1" applyFill="1" applyBorder="1" applyAlignment="1">
      <alignment horizontal="center"/>
    </xf>
    <xf numFmtId="0" fontId="2" fillId="3" borderId="57" xfId="0" applyFont="1" applyFill="1" applyBorder="1" applyAlignment="1">
      <alignment horizontal="center"/>
    </xf>
    <xf numFmtId="0" fontId="2" fillId="3" borderId="29" xfId="0" applyFont="1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4" fillId="12" borderId="10" xfId="0" applyFont="1" applyFill="1" applyBorder="1" applyAlignment="1">
      <alignment horizontal="center"/>
    </xf>
    <xf numFmtId="0" fontId="4" fillId="12" borderId="42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177" fontId="0" fillId="3" borderId="22" xfId="0" applyNumberFormat="1" applyFill="1" applyBorder="1" applyAlignment="1">
      <alignment horizontal="center"/>
    </xf>
    <xf numFmtId="177" fontId="0" fillId="3" borderId="4" xfId="0" applyNumberFormat="1" applyFill="1" applyBorder="1" applyAlignment="1">
      <alignment horizontal="center"/>
    </xf>
    <xf numFmtId="177" fontId="0" fillId="3" borderId="39" xfId="0" applyNumberFormat="1" applyFill="1" applyBorder="1" applyAlignment="1">
      <alignment horizontal="center"/>
    </xf>
    <xf numFmtId="0" fontId="2" fillId="3" borderId="45" xfId="0" applyFont="1" applyFill="1" applyBorder="1" applyAlignment="1">
      <alignment horizontal="center"/>
    </xf>
    <xf numFmtId="0" fontId="2" fillId="3" borderId="61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165" fontId="0" fillId="3" borderId="47" xfId="21" applyFont="1" applyFill="1" applyBorder="1" applyAlignment="1">
      <alignment horizontal="center"/>
    </xf>
    <xf numFmtId="165" fontId="0" fillId="3" borderId="13" xfId="21" applyFont="1" applyFill="1" applyBorder="1" applyAlignment="1">
      <alignment horizontal="center"/>
    </xf>
    <xf numFmtId="165" fontId="0" fillId="3" borderId="44" xfId="21" applyFont="1" applyFill="1" applyBorder="1" applyAlignment="1">
      <alignment horizontal="center"/>
    </xf>
    <xf numFmtId="244" fontId="2" fillId="3" borderId="26" xfId="0" applyNumberFormat="1" applyFont="1" applyFill="1" applyBorder="1"/>
    <xf numFmtId="244" fontId="2" fillId="3" borderId="14" xfId="0" applyNumberFormat="1" applyFont="1" applyFill="1" applyBorder="1"/>
    <xf numFmtId="244" fontId="2" fillId="3" borderId="27" xfId="0" applyNumberFormat="1" applyFont="1" applyFill="1" applyBorder="1"/>
    <xf numFmtId="164" fontId="0" fillId="12" borderId="0" xfId="1" applyFont="1" applyFill="1" applyBorder="1"/>
    <xf numFmtId="245" fontId="0" fillId="12" borderId="0" xfId="0" applyNumberFormat="1" applyFill="1" applyBorder="1"/>
    <xf numFmtId="0" fontId="2" fillId="12" borderId="54" xfId="0" applyFont="1" applyFill="1" applyBorder="1" applyAlignment="1">
      <alignment horizontal="center"/>
    </xf>
    <xf numFmtId="0" fontId="2" fillId="12" borderId="53" xfId="0" applyFont="1" applyFill="1" applyBorder="1" applyAlignment="1">
      <alignment horizontal="center"/>
    </xf>
    <xf numFmtId="247" fontId="55" fillId="12" borderId="22" xfId="1" applyNumberFormat="1" applyFont="1" applyFill="1" applyBorder="1" applyAlignment="1">
      <alignment vertical="center"/>
    </xf>
    <xf numFmtId="247" fontId="55" fillId="12" borderId="10" xfId="1" applyNumberFormat="1" applyFont="1" applyFill="1" applyBorder="1" applyAlignment="1">
      <alignment vertical="center"/>
    </xf>
    <xf numFmtId="247" fontId="55" fillId="12" borderId="11" xfId="1" applyNumberFormat="1" applyFont="1" applyFill="1" applyBorder="1" applyAlignment="1">
      <alignment vertical="center"/>
    </xf>
    <xf numFmtId="247" fontId="55" fillId="12" borderId="4" xfId="1" applyNumberFormat="1" applyFont="1" applyFill="1" applyBorder="1" applyAlignment="1">
      <alignment vertical="center"/>
    </xf>
    <xf numFmtId="247" fontId="55" fillId="12" borderId="1" xfId="1" applyNumberFormat="1" applyFont="1" applyFill="1" applyBorder="1" applyAlignment="1">
      <alignment vertical="center"/>
    </xf>
    <xf numFmtId="247" fontId="55" fillId="12" borderId="6" xfId="1" applyNumberFormat="1" applyFont="1" applyFill="1" applyBorder="1" applyAlignment="1">
      <alignment vertical="center"/>
    </xf>
    <xf numFmtId="247" fontId="55" fillId="12" borderId="39" xfId="1" applyNumberFormat="1" applyFont="1" applyFill="1" applyBorder="1" applyAlignment="1">
      <alignment vertical="center"/>
    </xf>
    <xf numFmtId="247" fontId="55" fillId="12" borderId="42" xfId="1" applyNumberFormat="1" applyFont="1" applyFill="1" applyBorder="1" applyAlignment="1">
      <alignment vertical="center"/>
    </xf>
    <xf numFmtId="247" fontId="55" fillId="12" borderId="7" xfId="1" applyNumberFormat="1" applyFont="1" applyFill="1" applyBorder="1" applyAlignment="1">
      <alignment vertical="center"/>
    </xf>
    <xf numFmtId="9" fontId="2" fillId="12" borderId="0" xfId="11" applyFont="1" applyFill="1" applyBorder="1" applyAlignment="1">
      <alignment vertical="center"/>
    </xf>
    <xf numFmtId="10" fontId="21" fillId="12" borderId="5" xfId="11" applyNumberFormat="1" applyFont="1" applyFill="1" applyBorder="1" applyAlignment="1">
      <alignment horizontal="center"/>
    </xf>
    <xf numFmtId="10" fontId="4" fillId="12" borderId="93" xfId="11" applyNumberFormat="1" applyFont="1" applyFill="1" applyBorder="1" applyAlignment="1">
      <alignment horizontal="center"/>
    </xf>
    <xf numFmtId="10" fontId="4" fillId="12" borderId="109" xfId="11" applyNumberFormat="1" applyFont="1" applyFill="1" applyBorder="1" applyAlignment="1">
      <alignment horizontal="center"/>
    </xf>
    <xf numFmtId="10" fontId="4" fillId="12" borderId="43" xfId="11" applyNumberFormat="1" applyFont="1" applyFill="1" applyBorder="1" applyAlignment="1">
      <alignment horizontal="center"/>
    </xf>
    <xf numFmtId="10" fontId="21" fillId="12" borderId="43" xfId="11" applyNumberFormat="1" applyFont="1" applyFill="1" applyBorder="1" applyAlignment="1">
      <alignment horizontal="center"/>
    </xf>
    <xf numFmtId="10" fontId="21" fillId="12" borderId="94" xfId="11" applyNumberFormat="1" applyFont="1" applyFill="1" applyBorder="1" applyAlignment="1">
      <alignment horizontal="center"/>
    </xf>
    <xf numFmtId="10" fontId="4" fillId="12" borderId="94" xfId="11" applyNumberFormat="1" applyFont="1" applyFill="1" applyBorder="1" applyAlignment="1">
      <alignment horizontal="center"/>
    </xf>
    <xf numFmtId="10" fontId="4" fillId="12" borderId="124" xfId="11" applyNumberFormat="1" applyFont="1" applyFill="1" applyBorder="1" applyAlignment="1">
      <alignment horizontal="center"/>
    </xf>
    <xf numFmtId="10" fontId="4" fillId="12" borderId="51" xfId="11" applyNumberFormat="1" applyFont="1" applyFill="1" applyBorder="1" applyAlignment="1">
      <alignment horizontal="center"/>
    </xf>
    <xf numFmtId="10" fontId="4" fillId="12" borderId="64" xfId="11" applyNumberFormat="1" applyFont="1" applyFill="1" applyBorder="1" applyAlignment="1">
      <alignment horizontal="center"/>
    </xf>
    <xf numFmtId="10" fontId="4" fillId="12" borderId="112" xfId="11" applyNumberFormat="1" applyFont="1" applyFill="1" applyBorder="1" applyAlignment="1">
      <alignment horizontal="center"/>
    </xf>
    <xf numFmtId="10" fontId="4" fillId="12" borderId="46" xfId="11" applyNumberFormat="1" applyFont="1" applyFill="1" applyBorder="1" applyAlignment="1">
      <alignment horizontal="center"/>
    </xf>
    <xf numFmtId="10" fontId="21" fillId="12" borderId="46" xfId="11" applyNumberFormat="1" applyFont="1" applyFill="1" applyBorder="1" applyAlignment="1">
      <alignment horizontal="center"/>
    </xf>
    <xf numFmtId="10" fontId="21" fillId="12" borderId="111" xfId="11" applyNumberFormat="1" applyFont="1" applyFill="1" applyBorder="1" applyAlignment="1">
      <alignment horizontal="center"/>
    </xf>
    <xf numFmtId="10" fontId="4" fillId="12" borderId="111" xfId="11" applyNumberFormat="1" applyFont="1" applyFill="1" applyBorder="1" applyAlignment="1">
      <alignment horizontal="center"/>
    </xf>
    <xf numFmtId="10" fontId="4" fillId="12" borderId="125" xfId="11" applyNumberFormat="1" applyFont="1" applyFill="1" applyBorder="1" applyAlignment="1">
      <alignment horizontal="center"/>
    </xf>
    <xf numFmtId="10" fontId="4" fillId="12" borderId="40" xfId="11" applyNumberFormat="1" applyFont="1" applyFill="1" applyBorder="1" applyAlignment="1">
      <alignment horizontal="center"/>
    </xf>
    <xf numFmtId="10" fontId="4" fillId="12" borderId="50" xfId="11" applyNumberFormat="1" applyFont="1" applyFill="1" applyBorder="1" applyAlignment="1">
      <alignment horizontal="center"/>
    </xf>
    <xf numFmtId="10" fontId="4" fillId="12" borderId="103" xfId="11" applyNumberFormat="1" applyFont="1" applyFill="1" applyBorder="1" applyAlignment="1">
      <alignment horizontal="center"/>
    </xf>
    <xf numFmtId="10" fontId="4" fillId="12" borderId="14" xfId="11" applyNumberFormat="1" applyFont="1" applyFill="1" applyBorder="1" applyAlignment="1">
      <alignment horizontal="center"/>
    </xf>
    <xf numFmtId="10" fontId="21" fillId="12" borderId="14" xfId="11" applyNumberFormat="1" applyFont="1" applyFill="1" applyBorder="1" applyAlignment="1">
      <alignment horizontal="center"/>
    </xf>
    <xf numFmtId="10" fontId="21" fillId="12" borderId="95" xfId="11" applyNumberFormat="1" applyFont="1" applyFill="1" applyBorder="1" applyAlignment="1">
      <alignment horizontal="center"/>
    </xf>
    <xf numFmtId="10" fontId="4" fillId="12" borderId="95" xfId="11" applyNumberFormat="1" applyFont="1" applyFill="1" applyBorder="1" applyAlignment="1">
      <alignment horizontal="center"/>
    </xf>
    <xf numFmtId="10" fontId="4" fillId="12" borderId="126" xfId="11" applyNumberFormat="1" applyFont="1" applyFill="1" applyBorder="1" applyAlignment="1">
      <alignment horizontal="center"/>
    </xf>
    <xf numFmtId="10" fontId="4" fillId="12" borderId="38" xfId="11" applyNumberFormat="1" applyFont="1" applyFill="1" applyBorder="1" applyAlignment="1">
      <alignment horizontal="center"/>
    </xf>
    <xf numFmtId="10" fontId="21" fillId="12" borderId="17" xfId="11" applyNumberFormat="1" applyFont="1" applyFill="1" applyBorder="1" applyAlignment="1">
      <alignment horizontal="center"/>
    </xf>
    <xf numFmtId="10" fontId="4" fillId="12" borderId="26" xfId="11" applyNumberFormat="1" applyFont="1" applyFill="1" applyBorder="1" applyAlignment="1">
      <alignment horizontal="center"/>
    </xf>
    <xf numFmtId="192" fontId="21" fillId="12" borderId="69" xfId="1" applyNumberFormat="1" applyFont="1" applyFill="1" applyBorder="1" applyAlignment="1">
      <alignment horizontal="center"/>
    </xf>
    <xf numFmtId="192" fontId="21" fillId="12" borderId="89" xfId="1" applyNumberFormat="1" applyFont="1" applyFill="1" applyBorder="1" applyAlignment="1">
      <alignment horizontal="center"/>
    </xf>
    <xf numFmtId="192" fontId="21" fillId="12" borderId="21" xfId="1" applyNumberFormat="1" applyFont="1" applyFill="1" applyBorder="1" applyAlignment="1">
      <alignment horizontal="center"/>
    </xf>
    <xf numFmtId="192" fontId="21" fillId="12" borderId="5" xfId="1" applyNumberFormat="1" applyFont="1" applyFill="1" applyBorder="1" applyAlignment="1">
      <alignment horizontal="center"/>
    </xf>
    <xf numFmtId="192" fontId="21" fillId="12" borderId="105" xfId="1" applyNumberFormat="1" applyFont="1" applyFill="1" applyBorder="1" applyAlignment="1">
      <alignment horizontal="center"/>
    </xf>
    <xf numFmtId="192" fontId="21" fillId="12" borderId="80" xfId="1" applyNumberFormat="1" applyFont="1" applyFill="1" applyBorder="1" applyAlignment="1">
      <alignment horizontal="center"/>
    </xf>
    <xf numFmtId="164" fontId="0" fillId="12" borderId="17" xfId="0" applyNumberFormat="1" applyFill="1" applyBorder="1"/>
    <xf numFmtId="164" fontId="0" fillId="12" borderId="5" xfId="0" applyNumberFormat="1" applyFill="1" applyBorder="1"/>
    <xf numFmtId="164" fontId="0" fillId="12" borderId="89" xfId="0" applyNumberFormat="1" applyFill="1" applyBorder="1"/>
    <xf numFmtId="192" fontId="0" fillId="12" borderId="21" xfId="0" applyNumberFormat="1" applyFill="1" applyBorder="1"/>
    <xf numFmtId="10" fontId="21" fillId="12" borderId="83" xfId="11" applyNumberFormat="1" applyFont="1" applyFill="1" applyBorder="1" applyAlignment="1">
      <alignment horizontal="center"/>
    </xf>
    <xf numFmtId="10" fontId="21" fillId="12" borderId="93" xfId="11" applyNumberFormat="1" applyFont="1" applyFill="1" applyBorder="1" applyAlignment="1">
      <alignment horizontal="center"/>
    </xf>
    <xf numFmtId="10" fontId="4" fillId="12" borderId="110" xfId="11" applyNumberFormat="1" applyFont="1" applyFill="1" applyBorder="1" applyAlignment="1">
      <alignment horizontal="center"/>
    </xf>
    <xf numFmtId="10" fontId="4" fillId="12" borderId="9" xfId="11" applyNumberFormat="1" applyFont="1" applyFill="1" applyBorder="1" applyAlignment="1">
      <alignment horizontal="center"/>
    </xf>
    <xf numFmtId="10" fontId="4" fillId="12" borderId="88" xfId="11" applyNumberFormat="1" applyFont="1" applyFill="1" applyBorder="1" applyAlignment="1">
      <alignment horizontal="center"/>
    </xf>
    <xf numFmtId="10" fontId="4" fillId="12" borderId="25" xfId="11" applyNumberFormat="1" applyFont="1" applyFill="1" applyBorder="1" applyAlignment="1">
      <alignment horizontal="center"/>
    </xf>
    <xf numFmtId="10" fontId="4" fillId="12" borderId="101" xfId="11" applyNumberFormat="1" applyFont="1" applyFill="1" applyBorder="1" applyAlignment="1">
      <alignment horizontal="center"/>
    </xf>
    <xf numFmtId="10" fontId="4" fillId="12" borderId="29" xfId="0" applyNumberFormat="1" applyFont="1" applyFill="1" applyBorder="1" applyAlignment="1"/>
    <xf numFmtId="10" fontId="4" fillId="12" borderId="30" xfId="0" applyNumberFormat="1" applyFont="1" applyFill="1" applyBorder="1" applyAlignment="1"/>
    <xf numFmtId="248" fontId="0" fillId="12" borderId="0" xfId="0" applyNumberFormat="1" applyFill="1"/>
    <xf numFmtId="0" fontId="2" fillId="12" borderId="2" xfId="0" applyFont="1" applyFill="1" applyBorder="1"/>
    <xf numFmtId="0" fontId="2" fillId="12" borderId="2" xfId="0" applyFont="1" applyFill="1" applyBorder="1" applyAlignment="1">
      <alignment horizontal="center"/>
    </xf>
    <xf numFmtId="244" fontId="1" fillId="12" borderId="1" xfId="1" applyNumberFormat="1" applyFont="1" applyFill="1" applyBorder="1" applyAlignment="1">
      <alignment horizontal="center" vertical="center"/>
    </xf>
    <xf numFmtId="227" fontId="1" fillId="12" borderId="19" xfId="1" applyNumberFormat="1" applyFont="1" applyFill="1" applyBorder="1" applyAlignment="1">
      <alignment horizontal="center" vertical="center"/>
    </xf>
    <xf numFmtId="0" fontId="2" fillId="12" borderId="51" xfId="0" applyFont="1" applyFill="1" applyBorder="1" applyAlignment="1">
      <alignment horizontal="center"/>
    </xf>
    <xf numFmtId="0" fontId="2" fillId="12" borderId="15" xfId="0" applyFont="1" applyFill="1" applyBorder="1" applyAlignment="1">
      <alignment horizontal="center" vertical="center"/>
    </xf>
    <xf numFmtId="0" fontId="2" fillId="12" borderId="38" xfId="0" applyFont="1" applyFill="1" applyBorder="1" applyAlignment="1">
      <alignment horizontal="center" vertical="center"/>
    </xf>
    <xf numFmtId="244" fontId="1" fillId="12" borderId="50" xfId="1" applyNumberFormat="1" applyFont="1" applyFill="1" applyBorder="1" applyAlignment="1">
      <alignment horizontal="center" vertical="center"/>
    </xf>
    <xf numFmtId="244" fontId="1" fillId="12" borderId="38" xfId="1" applyNumberFormat="1" applyFont="1" applyFill="1" applyBorder="1" applyAlignment="1">
      <alignment horizontal="center" vertical="center"/>
    </xf>
    <xf numFmtId="0" fontId="2" fillId="12" borderId="40" xfId="0" applyFont="1" applyFill="1" applyBorder="1" applyAlignment="1">
      <alignment horizontal="center"/>
    </xf>
    <xf numFmtId="244" fontId="1" fillId="12" borderId="20" xfId="1" applyNumberFormat="1" applyFont="1" applyFill="1" applyBorder="1" applyAlignment="1">
      <alignment horizontal="center" vertical="center"/>
    </xf>
    <xf numFmtId="244" fontId="1" fillId="12" borderId="6" xfId="1" applyNumberFormat="1" applyFont="1" applyFill="1" applyBorder="1" applyAlignment="1">
      <alignment horizontal="center" vertical="center"/>
    </xf>
    <xf numFmtId="244" fontId="1" fillId="12" borderId="42" xfId="1" applyNumberFormat="1" applyFont="1" applyFill="1" applyBorder="1" applyAlignment="1">
      <alignment horizontal="center" vertical="center"/>
    </xf>
    <xf numFmtId="244" fontId="1" fillId="12" borderId="7" xfId="1" applyNumberFormat="1" applyFont="1" applyFill="1" applyBorder="1" applyAlignment="1">
      <alignment horizontal="center" vertical="center"/>
    </xf>
    <xf numFmtId="229" fontId="1" fillId="12" borderId="20" xfId="1" applyNumberFormat="1" applyFont="1" applyFill="1" applyBorder="1" applyAlignment="1">
      <alignment horizontal="center" vertical="center"/>
    </xf>
    <xf numFmtId="229" fontId="1" fillId="12" borderId="23" xfId="1" applyNumberFormat="1" applyFont="1" applyFill="1" applyBorder="1" applyAlignment="1">
      <alignment horizontal="center" vertical="center"/>
    </xf>
    <xf numFmtId="229" fontId="1" fillId="12" borderId="58" xfId="1" applyNumberFormat="1" applyFont="1" applyFill="1" applyBorder="1" applyAlignment="1">
      <alignment horizontal="center" vertical="center"/>
    </xf>
    <xf numFmtId="227" fontId="1" fillId="12" borderId="63" xfId="1" applyNumberFormat="1" applyFont="1" applyFill="1" applyBorder="1" applyAlignment="1">
      <alignment horizontal="center" vertical="center"/>
    </xf>
    <xf numFmtId="229" fontId="1" fillId="12" borderId="55" xfId="1" applyNumberFormat="1" applyFont="1" applyFill="1" applyBorder="1" applyAlignment="1">
      <alignment horizontal="center" vertical="center"/>
    </xf>
    <xf numFmtId="4" fontId="0" fillId="12" borderId="36" xfId="0" applyNumberFormat="1" applyFill="1" applyBorder="1"/>
    <xf numFmtId="4" fontId="0" fillId="12" borderId="38" xfId="0" applyNumberFormat="1" applyFill="1" applyBorder="1"/>
    <xf numFmtId="164" fontId="11" fillId="12" borderId="0" xfId="0" applyNumberFormat="1" applyFont="1" applyFill="1" applyBorder="1" applyAlignment="1" applyProtection="1">
      <alignment horizontal="center"/>
      <protection hidden="1"/>
    </xf>
    <xf numFmtId="165" fontId="2" fillId="12" borderId="0" xfId="21" applyFont="1" applyFill="1" applyBorder="1" applyAlignment="1" applyProtection="1">
      <alignment horizontal="center"/>
      <protection hidden="1"/>
    </xf>
    <xf numFmtId="43" fontId="0" fillId="12" borderId="0" xfId="0" applyNumberFormat="1" applyFill="1" applyAlignment="1">
      <alignment horizontal="center"/>
    </xf>
    <xf numFmtId="0" fontId="1" fillId="12" borderId="0" xfId="0" applyFont="1" applyFill="1" applyBorder="1" applyAlignment="1">
      <alignment horizontal="center"/>
    </xf>
    <xf numFmtId="0" fontId="4" fillId="3" borderId="54" xfId="0" applyFont="1" applyFill="1" applyBorder="1" applyAlignment="1">
      <alignment horizontal="center"/>
    </xf>
    <xf numFmtId="3" fontId="2" fillId="12" borderId="93" xfId="0" applyNumberFormat="1" applyFont="1" applyFill="1" applyBorder="1" applyAlignment="1">
      <alignment horizontal="center"/>
    </xf>
    <xf numFmtId="245" fontId="0" fillId="12" borderId="22" xfId="0" applyNumberFormat="1" applyFill="1" applyBorder="1"/>
    <xf numFmtId="245" fontId="0" fillId="12" borderId="10" xfId="0" applyNumberFormat="1" applyFill="1" applyBorder="1"/>
    <xf numFmtId="245" fontId="0" fillId="12" borderId="11" xfId="0" applyNumberFormat="1" applyFill="1" applyBorder="1"/>
    <xf numFmtId="245" fontId="0" fillId="12" borderId="1" xfId="0" applyNumberFormat="1" applyFill="1" applyBorder="1"/>
    <xf numFmtId="245" fontId="0" fillId="12" borderId="6" xfId="0" applyNumberFormat="1" applyFill="1" applyBorder="1"/>
    <xf numFmtId="3" fontId="2" fillId="12" borderId="51" xfId="0" applyNumberFormat="1" applyFont="1" applyFill="1" applyBorder="1" applyAlignment="1">
      <alignment horizontal="center"/>
    </xf>
    <xf numFmtId="245" fontId="0" fillId="12" borderId="42" xfId="0" applyNumberFormat="1" applyFill="1" applyBorder="1"/>
    <xf numFmtId="245" fontId="0" fillId="12" borderId="7" xfId="0" applyNumberFormat="1" applyFill="1" applyBorder="1"/>
    <xf numFmtId="248" fontId="0" fillId="12" borderId="0" xfId="0" applyNumberFormat="1" applyFill="1" applyBorder="1"/>
    <xf numFmtId="0" fontId="1" fillId="3" borderId="54" xfId="0" applyFont="1" applyFill="1" applyBorder="1" applyAlignment="1">
      <alignment horizontal="center"/>
    </xf>
    <xf numFmtId="229" fontId="2" fillId="3" borderId="11" xfId="0" applyNumberFormat="1" applyFont="1" applyFill="1" applyBorder="1" applyAlignment="1">
      <alignment horizontal="center"/>
    </xf>
    <xf numFmtId="229" fontId="2" fillId="3" borderId="23" xfId="0" applyNumberFormat="1" applyFont="1" applyFill="1" applyBorder="1" applyAlignment="1">
      <alignment horizontal="center"/>
    </xf>
    <xf numFmtId="244" fontId="1" fillId="12" borderId="22" xfId="1" applyNumberFormat="1" applyFont="1" applyFill="1" applyBorder="1" applyAlignment="1">
      <alignment horizontal="center" vertical="center"/>
    </xf>
    <xf numFmtId="244" fontId="1" fillId="12" borderId="10" xfId="1" applyNumberFormat="1" applyFont="1" applyFill="1" applyBorder="1" applyAlignment="1">
      <alignment horizontal="center" vertical="center"/>
    </xf>
    <xf numFmtId="244" fontId="1" fillId="12" borderId="11" xfId="1" applyNumberFormat="1" applyFont="1" applyFill="1" applyBorder="1" applyAlignment="1">
      <alignment horizontal="center" vertical="center"/>
    </xf>
    <xf numFmtId="244" fontId="1" fillId="12" borderId="58" xfId="1" applyNumberFormat="1" applyFont="1" applyFill="1" applyBorder="1" applyAlignment="1">
      <alignment horizontal="center" vertical="center"/>
    </xf>
    <xf numFmtId="49" fontId="4" fillId="0" borderId="19" xfId="0" applyNumberFormat="1" applyFont="1" applyFill="1" applyBorder="1" applyAlignment="1">
      <alignment horizontal="center"/>
    </xf>
    <xf numFmtId="9" fontId="4" fillId="0" borderId="8" xfId="16" applyFont="1" applyFill="1" applyBorder="1" applyAlignment="1">
      <alignment horizontal="center"/>
    </xf>
    <xf numFmtId="9" fontId="4" fillId="0" borderId="8" xfId="13" applyFont="1" applyFill="1" applyBorder="1" applyAlignment="1">
      <alignment horizontal="center"/>
    </xf>
    <xf numFmtId="9" fontId="54" fillId="11" borderId="1" xfId="11" applyFont="1" applyFill="1" applyBorder="1" applyAlignment="1">
      <alignment horizontal="center"/>
    </xf>
    <xf numFmtId="186" fontId="0" fillId="3" borderId="1" xfId="0" applyNumberFormat="1" applyFill="1" applyBorder="1" applyAlignment="1">
      <alignment horizontal="center"/>
    </xf>
    <xf numFmtId="0" fontId="2" fillId="3" borderId="0" xfId="0" applyFont="1" applyFill="1" applyAlignment="1">
      <alignment vertical="center"/>
    </xf>
    <xf numFmtId="43" fontId="0" fillId="3" borderId="1" xfId="0" applyNumberFormat="1" applyFill="1" applyBorder="1" applyAlignment="1"/>
    <xf numFmtId="0" fontId="2" fillId="20" borderId="1" xfId="0" applyFont="1" applyFill="1" applyBorder="1" applyAlignment="1">
      <alignment horizontal="right"/>
    </xf>
    <xf numFmtId="43" fontId="2" fillId="20" borderId="1" xfId="0" applyNumberFormat="1" applyFont="1" applyFill="1" applyBorder="1"/>
    <xf numFmtId="0" fontId="2" fillId="20" borderId="1" xfId="0" applyFont="1" applyFill="1" applyBorder="1" applyAlignment="1">
      <alignment horizontal="center" vertical="center" wrapText="1"/>
    </xf>
    <xf numFmtId="0" fontId="1" fillId="20" borderId="1" xfId="0" applyFont="1" applyFill="1" applyBorder="1" applyAlignment="1">
      <alignment horizontal="right"/>
    </xf>
    <xf numFmtId="0" fontId="1" fillId="20" borderId="1" xfId="0" applyFont="1" applyFill="1" applyBorder="1" applyAlignment="1"/>
    <xf numFmtId="0" fontId="1" fillId="0" borderId="14" xfId="0" applyFont="1" applyBorder="1" applyAlignment="1">
      <alignment horizontal="center"/>
    </xf>
    <xf numFmtId="0" fontId="2" fillId="12" borderId="0" xfId="0" applyFont="1" applyFill="1" applyBorder="1" applyAlignment="1">
      <alignment horizontal="center"/>
    </xf>
    <xf numFmtId="0" fontId="2" fillId="12" borderId="52" xfId="0" applyFont="1" applyFill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13" xfId="0" applyFont="1" applyFill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2" borderId="5" xfId="0" quotePrefix="1" applyFont="1" applyFill="1" applyBorder="1" applyProtection="1">
      <protection locked="0"/>
    </xf>
    <xf numFmtId="0" fontId="1" fillId="3" borderId="1" xfId="0" applyFont="1" applyFill="1" applyBorder="1"/>
    <xf numFmtId="10" fontId="1" fillId="12" borderId="38" xfId="11" applyNumberFormat="1" applyFont="1" applyFill="1" applyBorder="1" applyAlignment="1">
      <alignment horizontal="center"/>
    </xf>
    <xf numFmtId="10" fontId="21" fillId="20" borderId="26" xfId="11" applyNumberFormat="1" applyFont="1" applyFill="1" applyBorder="1" applyAlignment="1">
      <alignment horizontal="center"/>
    </xf>
    <xf numFmtId="10" fontId="21" fillId="20" borderId="14" xfId="11" applyNumberFormat="1" applyFont="1" applyFill="1" applyBorder="1" applyAlignment="1">
      <alignment horizontal="center"/>
    </xf>
    <xf numFmtId="10" fontId="21" fillId="20" borderId="95" xfId="11" applyNumberFormat="1" applyFont="1" applyFill="1" applyBorder="1" applyAlignment="1">
      <alignment horizontal="center"/>
    </xf>
    <xf numFmtId="10" fontId="21" fillId="20" borderId="50" xfId="11" applyNumberFormat="1" applyFont="1" applyFill="1" applyBorder="1" applyAlignment="1">
      <alignment horizontal="center"/>
    </xf>
    <xf numFmtId="10" fontId="21" fillId="20" borderId="38" xfId="11" applyNumberFormat="1" applyFont="1" applyFill="1" applyBorder="1" applyAlignment="1">
      <alignment horizontal="center"/>
    </xf>
    <xf numFmtId="10" fontId="4" fillId="20" borderId="26" xfId="11" applyNumberFormat="1" applyFont="1" applyFill="1" applyBorder="1" applyAlignment="1">
      <alignment horizontal="center"/>
    </xf>
    <xf numFmtId="10" fontId="4" fillId="20" borderId="50" xfId="11" applyNumberFormat="1" applyFont="1" applyFill="1" applyBorder="1" applyAlignment="1">
      <alignment horizontal="center"/>
    </xf>
    <xf numFmtId="214" fontId="21" fillId="12" borderId="0" xfId="1" applyNumberFormat="1" applyFont="1" applyFill="1" applyBorder="1" applyAlignment="1">
      <alignment horizontal="center"/>
    </xf>
    <xf numFmtId="0" fontId="69" fillId="12" borderId="0" xfId="0" applyFont="1" applyFill="1" applyAlignment="1"/>
    <xf numFmtId="10" fontId="2" fillId="20" borderId="38" xfId="11" applyNumberFormat="1" applyFont="1" applyFill="1" applyBorder="1" applyAlignment="1">
      <alignment horizontal="center"/>
    </xf>
    <xf numFmtId="10" fontId="2" fillId="12" borderId="38" xfId="11" applyNumberFormat="1" applyFont="1" applyFill="1" applyBorder="1" applyAlignment="1">
      <alignment horizontal="center"/>
    </xf>
    <xf numFmtId="164" fontId="4" fillId="12" borderId="81" xfId="0" applyNumberFormat="1" applyFont="1" applyFill="1" applyBorder="1"/>
    <xf numFmtId="10" fontId="21" fillId="12" borderId="89" xfId="11" applyNumberFormat="1" applyFont="1" applyFill="1" applyBorder="1" applyAlignment="1">
      <alignment horizontal="center"/>
    </xf>
    <xf numFmtId="10" fontId="4" fillId="20" borderId="103" xfId="11" applyNumberFormat="1" applyFont="1" applyFill="1" applyBorder="1" applyAlignment="1">
      <alignment horizontal="center"/>
    </xf>
    <xf numFmtId="0" fontId="2" fillId="12" borderId="3" xfId="0" applyFont="1" applyFill="1" applyBorder="1" applyAlignment="1">
      <alignment horizontal="center"/>
    </xf>
    <xf numFmtId="214" fontId="21" fillId="12" borderId="110" xfId="1" applyNumberFormat="1" applyFont="1" applyFill="1" applyBorder="1" applyAlignment="1">
      <alignment horizontal="center"/>
    </xf>
    <xf numFmtId="214" fontId="21" fillId="12" borderId="25" xfId="1" applyNumberFormat="1" applyFont="1" applyFill="1" applyBorder="1" applyAlignment="1">
      <alignment horizontal="center"/>
    </xf>
    <xf numFmtId="214" fontId="21" fillId="12" borderId="88" xfId="1" applyNumberFormat="1" applyFont="1" applyFill="1" applyBorder="1" applyAlignment="1">
      <alignment horizontal="center"/>
    </xf>
    <xf numFmtId="164" fontId="21" fillId="12" borderId="2" xfId="1" applyFont="1" applyFill="1" applyBorder="1" applyAlignment="1">
      <alignment horizontal="center"/>
    </xf>
    <xf numFmtId="214" fontId="21" fillId="12" borderId="26" xfId="1" applyNumberFormat="1" applyFont="1" applyFill="1" applyBorder="1" applyAlignment="1">
      <alignment horizontal="center"/>
    </xf>
    <xf numFmtId="214" fontId="21" fillId="12" borderId="14" xfId="1" applyNumberFormat="1" applyFont="1" applyFill="1" applyBorder="1" applyAlignment="1">
      <alignment horizontal="center"/>
    </xf>
    <xf numFmtId="214" fontId="21" fillId="12" borderId="95" xfId="1" applyNumberFormat="1" applyFont="1" applyFill="1" applyBorder="1" applyAlignment="1">
      <alignment horizontal="center"/>
    </xf>
    <xf numFmtId="164" fontId="63" fillId="12" borderId="38" xfId="1" applyFont="1" applyFill="1" applyBorder="1"/>
    <xf numFmtId="214" fontId="21" fillId="12" borderId="9" xfId="1" applyNumberFormat="1" applyFont="1" applyFill="1" applyBorder="1" applyAlignment="1">
      <alignment horizontal="center"/>
    </xf>
    <xf numFmtId="214" fontId="21" fillId="12" borderId="49" xfId="1" applyNumberFormat="1" applyFont="1" applyFill="1" applyBorder="1" applyAlignment="1">
      <alignment horizontal="center"/>
    </xf>
    <xf numFmtId="214" fontId="21" fillId="12" borderId="2" xfId="1" applyNumberFormat="1" applyFont="1" applyFill="1" applyBorder="1" applyAlignment="1">
      <alignment horizontal="center"/>
    </xf>
    <xf numFmtId="214" fontId="21" fillId="12" borderId="50" xfId="1" applyNumberFormat="1" applyFont="1" applyFill="1" applyBorder="1" applyAlignment="1">
      <alignment horizontal="center"/>
    </xf>
    <xf numFmtId="214" fontId="21" fillId="12" borderId="84" xfId="1" applyNumberFormat="1" applyFont="1" applyFill="1" applyBorder="1" applyAlignment="1">
      <alignment horizontal="center"/>
    </xf>
    <xf numFmtId="214" fontId="21" fillId="12" borderId="38" xfId="1" applyNumberFormat="1" applyFont="1" applyFill="1" applyBorder="1" applyAlignment="1">
      <alignment horizontal="center"/>
    </xf>
    <xf numFmtId="214" fontId="21" fillId="12" borderId="114" xfId="1" applyNumberFormat="1" applyFont="1" applyFill="1" applyBorder="1" applyAlignment="1">
      <alignment horizontal="center"/>
    </xf>
    <xf numFmtId="214" fontId="21" fillId="12" borderId="36" xfId="1" applyNumberFormat="1" applyFont="1" applyFill="1" applyBorder="1" applyAlignment="1">
      <alignment horizontal="center"/>
    </xf>
    <xf numFmtId="214" fontId="21" fillId="12" borderId="126" xfId="1" applyNumberFormat="1" applyFont="1" applyFill="1" applyBorder="1" applyAlignment="1">
      <alignment horizontal="center"/>
    </xf>
    <xf numFmtId="10" fontId="1" fillId="12" borderId="2" xfId="11" applyNumberFormat="1" applyFont="1" applyFill="1" applyBorder="1" applyAlignment="1">
      <alignment horizontal="center"/>
    </xf>
    <xf numFmtId="4" fontId="11" fillId="12" borderId="0" xfId="0" applyNumberFormat="1" applyFont="1" applyFill="1" applyBorder="1" applyAlignment="1">
      <alignment horizontal="left"/>
    </xf>
    <xf numFmtId="244" fontId="11" fillId="12" borderId="0" xfId="1" applyNumberFormat="1" applyFont="1" applyFill="1" applyBorder="1" applyAlignment="1">
      <alignment horizontal="center" vertical="center"/>
    </xf>
    <xf numFmtId="0" fontId="1" fillId="12" borderId="0" xfId="0" applyFont="1" applyFill="1" applyBorder="1"/>
    <xf numFmtId="10" fontId="2" fillId="12" borderId="34" xfId="11" applyNumberFormat="1" applyFont="1" applyFill="1" applyBorder="1" applyAlignment="1">
      <alignment horizontal="center"/>
    </xf>
    <xf numFmtId="10" fontId="2" fillId="12" borderId="53" xfId="11" applyNumberFormat="1" applyFont="1" applyFill="1" applyBorder="1" applyAlignment="1" applyProtection="1">
      <alignment horizontal="center"/>
      <protection hidden="1"/>
    </xf>
    <xf numFmtId="164" fontId="2" fillId="12" borderId="11" xfId="0" applyNumberFormat="1" applyFont="1" applyFill="1" applyBorder="1" applyAlignment="1">
      <alignment horizontal="center"/>
    </xf>
    <xf numFmtId="164" fontId="2" fillId="12" borderId="6" xfId="0" applyNumberFormat="1" applyFont="1" applyFill="1" applyBorder="1" applyAlignment="1">
      <alignment horizontal="center"/>
    </xf>
    <xf numFmtId="164" fontId="2" fillId="12" borderId="7" xfId="0" applyNumberFormat="1" applyFont="1" applyFill="1" applyBorder="1" applyAlignment="1">
      <alignment horizontal="center"/>
    </xf>
    <xf numFmtId="164" fontId="14" fillId="12" borderId="0" xfId="1" applyFont="1" applyFill="1" applyBorder="1" applyAlignment="1">
      <alignment horizontal="center"/>
    </xf>
    <xf numFmtId="164" fontId="2" fillId="13" borderId="6" xfId="1" applyFont="1" applyFill="1" applyBorder="1" applyAlignment="1">
      <alignment horizontal="center"/>
    </xf>
    <xf numFmtId="0" fontId="8" fillId="12" borderId="31" xfId="0" applyFont="1" applyFill="1" applyBorder="1" applyAlignment="1">
      <alignment horizontal="left"/>
    </xf>
    <xf numFmtId="0" fontId="11" fillId="12" borderId="22" xfId="0" applyFont="1" applyFill="1" applyBorder="1" applyAlignment="1">
      <alignment horizontal="left"/>
    </xf>
    <xf numFmtId="0" fontId="1" fillId="0" borderId="4" xfId="0" applyFont="1" applyFill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2" fillId="14" borderId="8" xfId="0" applyNumberFormat="1" applyFont="1" applyFill="1" applyBorder="1" applyAlignment="1">
      <alignment horizontal="center" vertical="center" wrapText="1"/>
    </xf>
    <xf numFmtId="238" fontId="0" fillId="12" borderId="11" xfId="0" applyNumberFormat="1" applyFill="1" applyBorder="1" applyAlignment="1">
      <alignment horizontal="center"/>
    </xf>
    <xf numFmtId="164" fontId="0" fillId="12" borderId="4" xfId="0" applyNumberFormat="1" applyFill="1" applyBorder="1"/>
    <xf numFmtId="238" fontId="0" fillId="12" borderId="6" xfId="0" applyNumberFormat="1" applyFill="1" applyBorder="1" applyAlignment="1">
      <alignment horizontal="center"/>
    </xf>
    <xf numFmtId="238" fontId="0" fillId="12" borderId="23" xfId="0" applyNumberFormat="1" applyFill="1" applyBorder="1" applyAlignment="1">
      <alignment horizontal="center"/>
    </xf>
    <xf numFmtId="238" fontId="0" fillId="12" borderId="55" xfId="0" applyNumberFormat="1" applyFill="1" applyBorder="1" applyAlignment="1">
      <alignment horizontal="center"/>
    </xf>
    <xf numFmtId="238" fontId="2" fillId="12" borderId="19" xfId="0" applyNumberFormat="1" applyFont="1" applyFill="1" applyBorder="1" applyAlignment="1">
      <alignment horizontal="center"/>
    </xf>
    <xf numFmtId="0" fontId="1" fillId="12" borderId="106" xfId="0" applyFont="1" applyFill="1" applyBorder="1"/>
    <xf numFmtId="0" fontId="1" fillId="12" borderId="4" xfId="0" applyFont="1" applyFill="1" applyBorder="1"/>
    <xf numFmtId="0" fontId="2" fillId="12" borderId="112" xfId="0" applyFont="1" applyFill="1" applyBorder="1" applyAlignment="1">
      <alignment horizontal="center"/>
    </xf>
    <xf numFmtId="214" fontId="4" fillId="12" borderId="108" xfId="3" applyNumberFormat="1" applyFont="1" applyFill="1" applyBorder="1" applyAlignment="1">
      <alignment horizontal="center"/>
    </xf>
    <xf numFmtId="214" fontId="4" fillId="12" borderId="23" xfId="3" applyNumberFormat="1" applyFont="1" applyFill="1" applyBorder="1" applyAlignment="1">
      <alignment horizontal="center"/>
    </xf>
    <xf numFmtId="214" fontId="4" fillId="12" borderId="7" xfId="3" applyNumberFormat="1" applyFont="1" applyFill="1" applyBorder="1" applyAlignment="1">
      <alignment horizontal="center"/>
    </xf>
    <xf numFmtId="0" fontId="73" fillId="18" borderId="40" xfId="0" applyFont="1" applyFill="1" applyBorder="1"/>
    <xf numFmtId="0" fontId="2" fillId="12" borderId="90" xfId="0" applyFont="1" applyFill="1" applyBorder="1" applyAlignment="1">
      <alignment horizontal="center"/>
    </xf>
    <xf numFmtId="0" fontId="4" fillId="12" borderId="104" xfId="13" applyNumberFormat="1" applyFont="1" applyFill="1" applyBorder="1"/>
    <xf numFmtId="43" fontId="4" fillId="12" borderId="104" xfId="13" applyNumberFormat="1" applyFont="1" applyFill="1" applyBorder="1"/>
    <xf numFmtId="0" fontId="1" fillId="12" borderId="20" xfId="0" applyFont="1" applyFill="1" applyBorder="1"/>
    <xf numFmtId="0" fontId="2" fillId="12" borderId="0" xfId="0" applyFont="1" applyFill="1" applyAlignment="1">
      <alignment vertical="center" textRotation="90" wrapText="1"/>
    </xf>
    <xf numFmtId="43" fontId="4" fillId="12" borderId="108" xfId="13" applyNumberFormat="1" applyFont="1" applyFill="1" applyBorder="1"/>
    <xf numFmtId="9" fontId="1" fillId="0" borderId="1" xfId="11" applyFont="1" applyFill="1" applyBorder="1" applyAlignment="1" applyProtection="1">
      <alignment horizontal="center" vertical="center" wrapText="1"/>
      <protection hidden="1"/>
    </xf>
    <xf numFmtId="0" fontId="4" fillId="12" borderId="0" xfId="0" applyFont="1" applyFill="1" applyBorder="1" applyAlignment="1">
      <alignment horizontal="left"/>
    </xf>
    <xf numFmtId="4" fontId="2" fillId="12" borderId="86" xfId="0" applyNumberFormat="1" applyFont="1" applyFill="1" applyBorder="1" applyAlignment="1" applyProtection="1">
      <alignment horizontal="left" vertical="center"/>
      <protection hidden="1"/>
    </xf>
    <xf numFmtId="4" fontId="1" fillId="12" borderId="19" xfId="0" applyNumberFormat="1" applyFont="1" applyFill="1" applyBorder="1" applyAlignment="1" applyProtection="1">
      <alignment horizontal="left" vertical="center"/>
      <protection hidden="1"/>
    </xf>
    <xf numFmtId="0" fontId="1" fillId="12" borderId="1" xfId="0" applyFont="1" applyFill="1" applyBorder="1" applyAlignment="1" applyProtection="1">
      <alignment horizontal="left" vertical="center"/>
      <protection hidden="1"/>
    </xf>
    <xf numFmtId="164" fontId="0" fillId="11" borderId="1" xfId="1" applyFont="1" applyFill="1" applyBorder="1" applyAlignment="1" applyProtection="1">
      <alignment horizontal="center" vertical="center"/>
      <protection hidden="1"/>
    </xf>
    <xf numFmtId="0" fontId="1" fillId="12" borderId="1" xfId="0" applyFont="1" applyFill="1" applyBorder="1" applyAlignment="1" applyProtection="1">
      <alignment horizontal="left"/>
      <protection hidden="1"/>
    </xf>
    <xf numFmtId="0" fontId="1" fillId="12" borderId="1" xfId="0" applyFont="1" applyFill="1" applyBorder="1" applyProtection="1">
      <protection hidden="1"/>
    </xf>
    <xf numFmtId="4" fontId="1" fillId="12" borderId="1" xfId="0" applyNumberFormat="1" applyFont="1" applyFill="1" applyBorder="1" applyAlignment="1" applyProtection="1">
      <alignment horizontal="center" vertical="center"/>
      <protection hidden="1"/>
    </xf>
    <xf numFmtId="0" fontId="1" fillId="12" borderId="1" xfId="0" applyFont="1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185" fontId="0" fillId="11" borderId="81" xfId="0" applyNumberFormat="1" applyFill="1" applyBorder="1" applyAlignment="1" applyProtection="1">
      <alignment horizontal="center"/>
      <protection hidden="1"/>
    </xf>
    <xf numFmtId="0" fontId="1" fillId="12" borderId="19" xfId="0" applyFont="1" applyFill="1" applyBorder="1" applyAlignment="1" applyProtection="1">
      <alignment horizontal="center"/>
      <protection hidden="1"/>
    </xf>
    <xf numFmtId="2" fontId="0" fillId="12" borderId="19" xfId="0" applyNumberFormat="1" applyFill="1" applyBorder="1" applyAlignment="1" applyProtection="1">
      <alignment horizontal="center"/>
      <protection hidden="1"/>
    </xf>
    <xf numFmtId="0" fontId="1" fillId="12" borderId="0" xfId="0" applyFont="1" applyFill="1"/>
    <xf numFmtId="4" fontId="2" fillId="12" borderId="86" xfId="0" applyNumberFormat="1" applyFont="1" applyFill="1" applyBorder="1" applyAlignment="1" applyProtection="1">
      <alignment horizontal="center" vertical="center"/>
      <protection hidden="1"/>
    </xf>
    <xf numFmtId="0" fontId="1" fillId="12" borderId="0" xfId="0" applyFont="1" applyFill="1" applyBorder="1" applyAlignment="1"/>
    <xf numFmtId="0" fontId="1" fillId="12" borderId="0" xfId="0" applyFont="1" applyFill="1" applyBorder="1" applyAlignment="1">
      <alignment horizontal="left"/>
    </xf>
    <xf numFmtId="0" fontId="8" fillId="12" borderId="93" xfId="0" applyFont="1" applyFill="1" applyBorder="1"/>
    <xf numFmtId="0" fontId="8" fillId="12" borderId="106" xfId="0" applyFont="1" applyFill="1" applyBorder="1"/>
    <xf numFmtId="0" fontId="67" fillId="12" borderId="58" xfId="0" applyFont="1" applyFill="1" applyBorder="1"/>
    <xf numFmtId="164" fontId="67" fillId="12" borderId="55" xfId="0" applyNumberFormat="1" applyFont="1" applyFill="1" applyBorder="1"/>
    <xf numFmtId="168" fontId="67" fillId="12" borderId="33" xfId="11" applyNumberFormat="1" applyFont="1" applyFill="1" applyBorder="1" applyAlignment="1">
      <alignment horizontal="center"/>
    </xf>
    <xf numFmtId="168" fontId="67" fillId="12" borderId="59" xfId="11" applyNumberFormat="1" applyFont="1" applyFill="1" applyBorder="1" applyAlignment="1">
      <alignment horizontal="center"/>
    </xf>
    <xf numFmtId="168" fontId="67" fillId="12" borderId="34" xfId="11" applyNumberFormat="1" applyFont="1" applyFill="1" applyBorder="1" applyAlignment="1">
      <alignment horizontal="center"/>
    </xf>
    <xf numFmtId="168" fontId="67" fillId="20" borderId="33" xfId="11" applyNumberFormat="1" applyFont="1" applyFill="1" applyBorder="1" applyAlignment="1">
      <alignment horizontal="center"/>
    </xf>
    <xf numFmtId="168" fontId="67" fillId="20" borderId="59" xfId="11" applyNumberFormat="1" applyFont="1" applyFill="1" applyBorder="1" applyAlignment="1">
      <alignment horizontal="center"/>
    </xf>
    <xf numFmtId="0" fontId="63" fillId="12" borderId="58" xfId="0" applyFont="1" applyFill="1" applyBorder="1"/>
    <xf numFmtId="164" fontId="63" fillId="12" borderId="80" xfId="0" applyNumberFormat="1" applyFont="1" applyFill="1" applyBorder="1"/>
    <xf numFmtId="164" fontId="63" fillId="12" borderId="63" xfId="0" applyNumberFormat="1" applyFont="1" applyFill="1" applyBorder="1"/>
    <xf numFmtId="10" fontId="68" fillId="12" borderId="80" xfId="11" applyNumberFormat="1" applyFont="1" applyFill="1" applyBorder="1" applyAlignment="1">
      <alignment horizontal="center"/>
    </xf>
    <xf numFmtId="10" fontId="68" fillId="12" borderId="51" xfId="11" applyNumberFormat="1" applyFont="1" applyFill="1" applyBorder="1" applyAlignment="1">
      <alignment horizontal="center"/>
    </xf>
    <xf numFmtId="9" fontId="79" fillId="14" borderId="1" xfId="11" applyFont="1" applyFill="1" applyBorder="1" applyAlignment="1">
      <alignment horizontal="center"/>
    </xf>
    <xf numFmtId="186" fontId="68" fillId="14" borderId="1" xfId="0" applyNumberFormat="1" applyFont="1" applyFill="1" applyBorder="1" applyAlignment="1">
      <alignment horizontal="center"/>
    </xf>
    <xf numFmtId="164" fontId="79" fillId="14" borderId="1" xfId="1" applyFont="1" applyFill="1" applyBorder="1" applyAlignment="1" applyProtection="1">
      <alignment horizontal="center"/>
      <protection locked="0"/>
    </xf>
    <xf numFmtId="0" fontId="4" fillId="14" borderId="1" xfId="1" applyNumberFormat="1" applyFont="1" applyFill="1" applyBorder="1" applyAlignment="1" applyProtection="1">
      <alignment horizontal="center"/>
      <protection locked="0"/>
    </xf>
    <xf numFmtId="198" fontId="1" fillId="11" borderId="1" xfId="0" applyNumberFormat="1" applyFont="1" applyFill="1" applyBorder="1" applyProtection="1">
      <protection hidden="1"/>
    </xf>
    <xf numFmtId="249" fontId="1" fillId="2" borderId="1" xfId="1" applyNumberFormat="1" applyFont="1" applyFill="1" applyBorder="1" applyAlignment="1" applyProtection="1">
      <alignment horizontal="center" vertical="center"/>
      <protection locked="0"/>
    </xf>
    <xf numFmtId="249" fontId="1" fillId="2" borderId="19" xfId="1" applyNumberFormat="1" applyFont="1" applyFill="1" applyBorder="1" applyAlignment="1" applyProtection="1">
      <alignment horizontal="center" vertical="center"/>
      <protection locked="0"/>
    </xf>
    <xf numFmtId="249" fontId="1" fillId="0" borderId="19" xfId="1" applyNumberFormat="1" applyFont="1" applyFill="1" applyBorder="1" applyAlignment="1" applyProtection="1">
      <alignment horizontal="center" vertical="center"/>
      <protection locked="0"/>
    </xf>
    <xf numFmtId="249" fontId="1" fillId="0" borderId="1" xfId="1" applyNumberFormat="1" applyFont="1" applyFill="1" applyBorder="1" applyAlignment="1" applyProtection="1">
      <alignment horizontal="center" vertical="center"/>
      <protection locked="0"/>
    </xf>
    <xf numFmtId="168" fontId="58" fillId="3" borderId="5" xfId="11" applyNumberFormat="1" applyFont="1" applyFill="1" applyBorder="1" applyAlignment="1">
      <alignment horizontal="center"/>
    </xf>
    <xf numFmtId="164" fontId="61" fillId="12" borderId="11" xfId="1" applyFont="1" applyFill="1" applyBorder="1"/>
    <xf numFmtId="164" fontId="61" fillId="12" borderId="6" xfId="1" applyFont="1" applyFill="1" applyBorder="1"/>
    <xf numFmtId="164" fontId="61" fillId="12" borderId="7" xfId="1" applyFont="1" applyFill="1" applyBorder="1"/>
    <xf numFmtId="251" fontId="2" fillId="12" borderId="11" xfId="0" applyNumberFormat="1" applyFont="1" applyFill="1" applyBorder="1" applyAlignment="1">
      <alignment horizontal="center"/>
    </xf>
    <xf numFmtId="251" fontId="2" fillId="12" borderId="6" xfId="0" applyNumberFormat="1" applyFont="1" applyFill="1" applyBorder="1" applyAlignment="1">
      <alignment horizontal="center"/>
    </xf>
    <xf numFmtId="251" fontId="2" fillId="12" borderId="100" xfId="0" applyNumberFormat="1" applyFont="1" applyFill="1" applyBorder="1" applyAlignment="1">
      <alignment horizontal="center"/>
    </xf>
    <xf numFmtId="251" fontId="2" fillId="12" borderId="23" xfId="0" applyNumberFormat="1" applyFont="1" applyFill="1" applyBorder="1" applyAlignment="1">
      <alignment horizontal="center"/>
    </xf>
    <xf numFmtId="251" fontId="2" fillId="12" borderId="7" xfId="0" applyNumberFormat="1" applyFont="1" applyFill="1" applyBorder="1" applyAlignment="1">
      <alignment horizontal="center"/>
    </xf>
    <xf numFmtId="0" fontId="1" fillId="12" borderId="0" xfId="0" applyFont="1" applyFill="1" applyAlignment="1">
      <alignment horizontal="center"/>
    </xf>
    <xf numFmtId="251" fontId="8" fillId="12" borderId="34" xfId="0" applyNumberFormat="1" applyFont="1" applyFill="1" applyBorder="1" applyAlignment="1">
      <alignment horizontal="center"/>
    </xf>
    <xf numFmtId="252" fontId="8" fillId="12" borderId="34" xfId="1" applyNumberFormat="1" applyFont="1" applyFill="1" applyBorder="1" applyAlignment="1">
      <alignment horizontal="center"/>
    </xf>
    <xf numFmtId="252" fontId="2" fillId="12" borderId="11" xfId="1" applyNumberFormat="1" applyFont="1" applyFill="1" applyBorder="1" applyAlignment="1">
      <alignment horizontal="center"/>
    </xf>
    <xf numFmtId="252" fontId="2" fillId="12" borderId="23" xfId="1" applyNumberFormat="1" applyFont="1" applyFill="1" applyBorder="1" applyAlignment="1">
      <alignment horizontal="center"/>
    </xf>
    <xf numFmtId="252" fontId="2" fillId="12" borderId="6" xfId="1" applyNumberFormat="1" applyFont="1" applyFill="1" applyBorder="1" applyAlignment="1">
      <alignment horizontal="center"/>
    </xf>
    <xf numFmtId="252" fontId="2" fillId="12" borderId="55" xfId="1" applyNumberFormat="1" applyFont="1" applyFill="1" applyBorder="1" applyAlignment="1">
      <alignment horizontal="center"/>
    </xf>
    <xf numFmtId="4" fontId="1" fillId="3" borderId="0" xfId="0" applyNumberFormat="1" applyFont="1" applyFill="1" applyProtection="1">
      <protection hidden="1"/>
    </xf>
    <xf numFmtId="0" fontId="1" fillId="2" borderId="30" xfId="0" applyFont="1" applyFill="1" applyBorder="1"/>
    <xf numFmtId="0" fontId="0" fillId="2" borderId="30" xfId="0" applyFill="1" applyBorder="1"/>
    <xf numFmtId="164" fontId="1" fillId="2" borderId="30" xfId="1" applyFont="1" applyFill="1" applyBorder="1" applyAlignment="1">
      <alignment horizontal="right"/>
    </xf>
    <xf numFmtId="0" fontId="1" fillId="2" borderId="2" xfId="0" applyFont="1" applyFill="1" applyBorder="1"/>
    <xf numFmtId="164" fontId="1" fillId="2" borderId="2" xfId="1" applyFont="1" applyFill="1" applyBorder="1" applyAlignment="1">
      <alignment horizontal="right"/>
    </xf>
    <xf numFmtId="0" fontId="2" fillId="2" borderId="2" xfId="0" applyFont="1" applyFill="1" applyBorder="1"/>
    <xf numFmtId="164" fontId="67" fillId="2" borderId="2" xfId="1" applyFont="1" applyFill="1" applyBorder="1" applyAlignment="1">
      <alignment horizontal="right"/>
    </xf>
    <xf numFmtId="164" fontId="1" fillId="2" borderId="0" xfId="1" applyFont="1" applyFill="1" applyBorder="1" applyAlignment="1">
      <alignment horizontal="right"/>
    </xf>
    <xf numFmtId="0" fontId="1" fillId="2" borderId="0" xfId="0" applyFont="1" applyFill="1"/>
    <xf numFmtId="164" fontId="68" fillId="2" borderId="118" xfId="1" applyFont="1" applyFill="1" applyBorder="1" applyAlignment="1">
      <alignment horizontal="right"/>
    </xf>
    <xf numFmtId="9" fontId="0" fillId="15" borderId="10" xfId="11" applyFont="1" applyFill="1" applyBorder="1"/>
    <xf numFmtId="9" fontId="0" fillId="2" borderId="0" xfId="11" applyFont="1" applyFill="1"/>
    <xf numFmtId="0" fontId="1" fillId="2" borderId="0" xfId="0" applyFont="1" applyFill="1" applyBorder="1"/>
    <xf numFmtId="169" fontId="4" fillId="12" borderId="21" xfId="21" applyNumberFormat="1" applyFont="1" applyFill="1" applyBorder="1" applyAlignment="1" applyProtection="1">
      <alignment horizontal="center"/>
      <protection locked="0"/>
    </xf>
    <xf numFmtId="169" fontId="4" fillId="12" borderId="5" xfId="21" applyNumberFormat="1" applyFont="1" applyFill="1" applyBorder="1" applyAlignment="1" applyProtection="1">
      <alignment horizontal="center"/>
      <protection locked="0"/>
    </xf>
    <xf numFmtId="186" fontId="4" fillId="12" borderId="21" xfId="21" applyNumberFormat="1" applyFont="1" applyFill="1" applyBorder="1" applyAlignment="1" applyProtection="1">
      <alignment horizontal="center"/>
      <protection locked="0"/>
    </xf>
    <xf numFmtId="164" fontId="1" fillId="11" borderId="1" xfId="1" applyFont="1" applyFill="1" applyBorder="1" applyAlignment="1" applyProtection="1">
      <alignment horizontal="center"/>
      <protection hidden="1"/>
    </xf>
    <xf numFmtId="164" fontId="1" fillId="12" borderId="1" xfId="1" applyFont="1" applyFill="1" applyBorder="1" applyProtection="1">
      <protection hidden="1"/>
    </xf>
    <xf numFmtId="4" fontId="67" fillId="12" borderId="0" xfId="0" applyNumberFormat="1" applyFont="1" applyFill="1" applyProtection="1">
      <protection hidden="1"/>
    </xf>
    <xf numFmtId="251" fontId="1" fillId="2" borderId="81" xfId="1" applyNumberFormat="1" applyFont="1" applyFill="1" applyBorder="1" applyAlignment="1" applyProtection="1">
      <alignment horizontal="center" vertical="center"/>
      <protection locked="0"/>
    </xf>
    <xf numFmtId="251" fontId="1" fillId="2" borderId="86" xfId="1" applyNumberFormat="1" applyFont="1" applyFill="1" applyBorder="1" applyAlignment="1" applyProtection="1">
      <alignment horizontal="center" vertical="center"/>
      <protection locked="0"/>
    </xf>
    <xf numFmtId="251" fontId="1" fillId="2" borderId="1" xfId="1" applyNumberFormat="1" applyFont="1" applyFill="1" applyBorder="1" applyAlignment="1" applyProtection="1">
      <alignment horizontal="center" vertical="center"/>
      <protection locked="0"/>
    </xf>
    <xf numFmtId="251" fontId="1" fillId="2" borderId="42" xfId="1" applyNumberFormat="1" applyFont="1" applyFill="1" applyBorder="1" applyAlignment="1" applyProtection="1">
      <alignment horizontal="center" vertical="center"/>
      <protection locked="0"/>
    </xf>
    <xf numFmtId="0" fontId="2" fillId="3" borderId="0" xfId="0" applyFont="1" applyFill="1" applyBorder="1" applyAlignment="1">
      <alignment horizontal="center"/>
    </xf>
    <xf numFmtId="164" fontId="2" fillId="3" borderId="54" xfId="1" applyFont="1" applyFill="1" applyBorder="1" applyAlignment="1">
      <alignment horizontal="center"/>
    </xf>
    <xf numFmtId="164" fontId="2" fillId="3" borderId="60" xfId="1" applyFont="1" applyFill="1" applyBorder="1" applyAlignment="1">
      <alignment horizontal="center"/>
    </xf>
    <xf numFmtId="43" fontId="0" fillId="12" borderId="0" xfId="0" applyNumberFormat="1" applyFill="1" applyBorder="1" applyAlignment="1">
      <alignment horizontal="center"/>
    </xf>
    <xf numFmtId="186" fontId="0" fillId="12" borderId="0" xfId="0" applyNumberFormat="1" applyFill="1" applyBorder="1" applyAlignment="1">
      <alignment horizontal="center"/>
    </xf>
    <xf numFmtId="0" fontId="2" fillId="3" borderId="10" xfId="0" applyFont="1" applyFill="1" applyBorder="1" applyAlignment="1">
      <alignment horizontal="right"/>
    </xf>
    <xf numFmtId="0" fontId="0" fillId="11" borderId="10" xfId="0" applyFill="1" applyBorder="1"/>
    <xf numFmtId="43" fontId="0" fillId="3" borderId="11" xfId="0" applyNumberFormat="1" applyFill="1" applyBorder="1"/>
    <xf numFmtId="0" fontId="2" fillId="3" borderId="1" xfId="0" applyFont="1" applyFill="1" applyBorder="1" applyAlignment="1">
      <alignment horizontal="right"/>
    </xf>
    <xf numFmtId="0" fontId="0" fillId="11" borderId="1" xfId="0" applyFill="1" applyBorder="1"/>
    <xf numFmtId="43" fontId="0" fillId="3" borderId="6" xfId="0" applyNumberFormat="1" applyFill="1" applyBorder="1"/>
    <xf numFmtId="0" fontId="2" fillId="3" borderId="42" xfId="0" applyFont="1" applyFill="1" applyBorder="1" applyAlignment="1">
      <alignment horizontal="right"/>
    </xf>
    <xf numFmtId="0" fontId="0" fillId="11" borderId="42" xfId="0" applyFill="1" applyBorder="1"/>
    <xf numFmtId="43" fontId="0" fillId="3" borderId="7" xfId="0" applyNumberFormat="1" applyFill="1" applyBorder="1"/>
    <xf numFmtId="0" fontId="2" fillId="12" borderId="33" xfId="0" applyFont="1" applyFill="1" applyBorder="1" applyAlignment="1">
      <alignment horizontal="left"/>
    </xf>
    <xf numFmtId="164" fontId="0" fillId="12" borderId="34" xfId="1" applyFont="1" applyFill="1" applyBorder="1" applyAlignment="1">
      <alignment horizontal="center"/>
    </xf>
    <xf numFmtId="164" fontId="1" fillId="11" borderId="1" xfId="1" applyFont="1" applyFill="1" applyBorder="1"/>
    <xf numFmtId="164" fontId="1" fillId="12" borderId="1" xfId="1" applyFont="1" applyFill="1" applyBorder="1"/>
    <xf numFmtId="164" fontId="2" fillId="12" borderId="1" xfId="1" applyFont="1" applyFill="1" applyBorder="1"/>
    <xf numFmtId="0" fontId="2" fillId="3" borderId="15" xfId="0" applyFont="1" applyFill="1" applyBorder="1"/>
    <xf numFmtId="3" fontId="0" fillId="12" borderId="1" xfId="0" applyNumberFormat="1" applyFill="1" applyBorder="1" applyAlignment="1">
      <alignment horizontal="center"/>
    </xf>
    <xf numFmtId="232" fontId="0" fillId="12" borderId="1" xfId="0" applyNumberFormat="1" applyFill="1" applyBorder="1" applyAlignment="1">
      <alignment horizontal="center"/>
    </xf>
    <xf numFmtId="0" fontId="2" fillId="12" borderId="0" xfId="0" applyFont="1" applyFill="1" applyBorder="1" applyAlignment="1">
      <alignment horizontal="center"/>
    </xf>
    <xf numFmtId="215" fontId="2" fillId="3" borderId="45" xfId="0" applyNumberFormat="1" applyFont="1" applyFill="1" applyBorder="1" applyAlignment="1">
      <alignment horizontal="right"/>
    </xf>
    <xf numFmtId="3" fontId="2" fillId="3" borderId="84" xfId="0" applyNumberFormat="1" applyFont="1" applyFill="1" applyBorder="1" applyAlignment="1">
      <alignment horizontal="center"/>
    </xf>
    <xf numFmtId="229" fontId="2" fillId="3" borderId="0" xfId="0" applyNumberFormat="1" applyFont="1" applyFill="1" applyBorder="1" applyAlignment="1">
      <alignment horizontal="center"/>
    </xf>
    <xf numFmtId="229" fontId="2" fillId="3" borderId="16" xfId="0" applyNumberFormat="1" applyFont="1" applyFill="1" applyBorder="1" applyAlignment="1">
      <alignment horizontal="center"/>
    </xf>
    <xf numFmtId="244" fontId="55" fillId="12" borderId="41" xfId="1" applyNumberFormat="1" applyFont="1" applyFill="1" applyBorder="1" applyAlignment="1">
      <alignment vertical="center"/>
    </xf>
    <xf numFmtId="244" fontId="55" fillId="12" borderId="45" xfId="1" applyNumberFormat="1" applyFont="1" applyFill="1" applyBorder="1" applyAlignment="1">
      <alignment vertical="center"/>
    </xf>
    <xf numFmtId="244" fontId="2" fillId="12" borderId="36" xfId="1" applyNumberFormat="1" applyFont="1" applyFill="1" applyBorder="1" applyAlignment="1">
      <alignment vertical="center"/>
    </xf>
    <xf numFmtId="0" fontId="2" fillId="3" borderId="132" xfId="0" applyFont="1" applyFill="1" applyBorder="1" applyAlignment="1">
      <alignment horizontal="center"/>
    </xf>
    <xf numFmtId="229" fontId="2" fillId="3" borderId="132" xfId="0" applyNumberFormat="1" applyFont="1" applyFill="1" applyBorder="1" applyAlignment="1">
      <alignment horizontal="center"/>
    </xf>
    <xf numFmtId="164" fontId="2" fillId="3" borderId="132" xfId="1" applyFont="1" applyFill="1" applyBorder="1" applyAlignment="1">
      <alignment horizontal="center"/>
    </xf>
    <xf numFmtId="0" fontId="1" fillId="12" borderId="58" xfId="0" applyFont="1" applyFill="1" applyBorder="1"/>
    <xf numFmtId="186" fontId="1" fillId="12" borderId="19" xfId="21" applyNumberFormat="1" applyFont="1" applyFill="1" applyBorder="1" applyAlignment="1" applyProtection="1">
      <alignment horizontal="center"/>
      <protection locked="0"/>
    </xf>
    <xf numFmtId="0" fontId="1" fillId="12" borderId="63" xfId="0" applyFont="1" applyFill="1" applyBorder="1" applyAlignment="1">
      <alignment horizontal="center"/>
    </xf>
    <xf numFmtId="0" fontId="1" fillId="12" borderId="23" xfId="21" applyNumberFormat="1" applyFont="1" applyFill="1" applyBorder="1" applyAlignment="1" applyProtection="1">
      <alignment horizontal="center"/>
      <protection locked="0"/>
    </xf>
    <xf numFmtId="217" fontId="1" fillId="12" borderId="58" xfId="0" applyNumberFormat="1" applyFont="1" applyFill="1" applyBorder="1" applyAlignment="1">
      <alignment horizontal="center"/>
    </xf>
    <xf numFmtId="0" fontId="1" fillId="12" borderId="55" xfId="0" applyFont="1" applyFill="1" applyBorder="1"/>
    <xf numFmtId="186" fontId="4" fillId="12" borderId="5" xfId="21" applyNumberFormat="1" applyFont="1" applyFill="1" applyBorder="1" applyAlignment="1" applyProtection="1">
      <alignment horizontal="center"/>
      <protection locked="0"/>
    </xf>
    <xf numFmtId="0" fontId="0" fillId="22" borderId="9" xfId="0" applyFill="1" applyBorder="1"/>
    <xf numFmtId="0" fontId="0" fillId="17" borderId="0" xfId="0" applyFill="1" applyBorder="1"/>
    <xf numFmtId="0" fontId="0" fillId="17" borderId="9" xfId="0" applyFill="1" applyBorder="1"/>
    <xf numFmtId="0" fontId="0" fillId="0" borderId="9" xfId="0" applyFill="1" applyBorder="1"/>
    <xf numFmtId="0" fontId="0" fillId="0" borderId="9" xfId="0" applyBorder="1"/>
    <xf numFmtId="0" fontId="89" fillId="23" borderId="9" xfId="0" applyFont="1" applyFill="1" applyBorder="1" applyAlignment="1">
      <alignment horizontal="left"/>
    </xf>
    <xf numFmtId="0" fontId="87" fillId="23" borderId="9" xfId="0" applyFont="1" applyFill="1" applyBorder="1" applyAlignment="1">
      <alignment horizontal="center"/>
    </xf>
    <xf numFmtId="0" fontId="87" fillId="17" borderId="0" xfId="0" applyFont="1" applyFill="1" applyBorder="1" applyAlignment="1">
      <alignment horizontal="center"/>
    </xf>
    <xf numFmtId="0" fontId="87" fillId="17" borderId="9" xfId="0" applyFont="1" applyFill="1" applyBorder="1" applyAlignment="1">
      <alignment horizontal="center"/>
    </xf>
    <xf numFmtId="0" fontId="87" fillId="0" borderId="9" xfId="0" applyFont="1" applyFill="1" applyBorder="1" applyAlignment="1">
      <alignment horizontal="center"/>
    </xf>
    <xf numFmtId="0" fontId="89" fillId="20" borderId="85" xfId="0" applyFont="1" applyFill="1" applyBorder="1" applyAlignment="1">
      <alignment horizontal="left"/>
    </xf>
    <xf numFmtId="0" fontId="87" fillId="20" borderId="85" xfId="0" applyFont="1" applyFill="1" applyBorder="1" applyAlignment="1">
      <alignment horizontal="center"/>
    </xf>
    <xf numFmtId="164" fontId="87" fillId="20" borderId="85" xfId="3" applyFont="1" applyFill="1" applyBorder="1" applyAlignment="1">
      <alignment horizontal="center"/>
    </xf>
    <xf numFmtId="0" fontId="87" fillId="0" borderId="0" xfId="0" applyFont="1" applyFill="1" applyBorder="1" applyAlignment="1">
      <alignment horizontal="center"/>
    </xf>
    <xf numFmtId="0" fontId="87" fillId="23" borderId="0" xfId="0" applyFont="1" applyFill="1" applyBorder="1" applyAlignment="1">
      <alignment horizontal="center"/>
    </xf>
    <xf numFmtId="0" fontId="1" fillId="24" borderId="0" xfId="0" applyFont="1" applyFill="1" applyBorder="1" applyAlignment="1">
      <alignment horizontal="left"/>
    </xf>
    <xf numFmtId="0" fontId="1" fillId="24" borderId="0" xfId="0" applyFont="1" applyFill="1" applyBorder="1" applyAlignment="1">
      <alignment horizontal="center"/>
    </xf>
    <xf numFmtId="164" fontId="1" fillId="24" borderId="0" xfId="3" applyFont="1" applyFill="1" applyBorder="1" applyAlignment="1">
      <alignment horizontal="center"/>
    </xf>
    <xf numFmtId="0" fontId="1" fillId="25" borderId="0" xfId="0" applyFont="1" applyFill="1" applyBorder="1" applyAlignment="1">
      <alignment horizontal="left"/>
    </xf>
    <xf numFmtId="0" fontId="1" fillId="25" borderId="0" xfId="0" applyFont="1" applyFill="1" applyBorder="1" applyAlignment="1">
      <alignment horizontal="center"/>
    </xf>
    <xf numFmtId="164" fontId="1" fillId="25" borderId="0" xfId="3" applyFont="1" applyFill="1" applyBorder="1" applyAlignment="1">
      <alignment horizontal="center"/>
    </xf>
    <xf numFmtId="0" fontId="89" fillId="17" borderId="85" xfId="0" applyFont="1" applyFill="1" applyBorder="1" applyAlignment="1">
      <alignment horizontal="left"/>
    </xf>
    <xf numFmtId="0" fontId="87" fillId="17" borderId="85" xfId="0" applyFont="1" applyFill="1" applyBorder="1" applyAlignment="1">
      <alignment horizontal="center"/>
    </xf>
    <xf numFmtId="0" fontId="89" fillId="23" borderId="0" xfId="0" applyFont="1" applyFill="1" applyBorder="1" applyAlignment="1">
      <alignment horizontal="left"/>
    </xf>
    <xf numFmtId="44" fontId="87" fillId="23" borderId="0" xfId="0" applyNumberFormat="1" applyFont="1" applyFill="1" applyBorder="1" applyAlignment="1">
      <alignment horizontal="center"/>
    </xf>
    <xf numFmtId="0" fontId="90" fillId="23" borderId="85" xfId="0" applyFont="1" applyFill="1" applyBorder="1" applyAlignment="1">
      <alignment horizontal="left"/>
    </xf>
    <xf numFmtId="44" fontId="91" fillId="23" borderId="85" xfId="0" applyNumberFormat="1" applyFont="1" applyFill="1" applyBorder="1" applyAlignment="1">
      <alignment horizontal="center"/>
    </xf>
    <xf numFmtId="0" fontId="92" fillId="17" borderId="0" xfId="0" applyFont="1" applyFill="1" applyBorder="1" applyAlignment="1">
      <alignment horizontal="left"/>
    </xf>
    <xf numFmtId="44" fontId="93" fillId="17" borderId="0" xfId="0" applyNumberFormat="1" applyFont="1" applyFill="1" applyBorder="1" applyAlignment="1">
      <alignment horizontal="center"/>
    </xf>
    <xf numFmtId="44" fontId="94" fillId="17" borderId="0" xfId="0" applyNumberFormat="1" applyFont="1" applyFill="1" applyBorder="1" applyAlignment="1">
      <alignment horizontal="center"/>
    </xf>
    <xf numFmtId="0" fontId="94" fillId="17" borderId="0" xfId="0" applyFont="1" applyFill="1" applyBorder="1" applyAlignment="1">
      <alignment horizontal="center"/>
    </xf>
    <xf numFmtId="0" fontId="94" fillId="0" borderId="0" xfId="0" applyFont="1" applyFill="1" applyBorder="1" applyAlignment="1">
      <alignment horizontal="center"/>
    </xf>
    <xf numFmtId="0" fontId="90" fillId="23" borderId="0" xfId="0" applyFont="1" applyFill="1" applyBorder="1" applyAlignment="1">
      <alignment horizontal="left"/>
    </xf>
    <xf numFmtId="44" fontId="91" fillId="23" borderId="0" xfId="0" applyNumberFormat="1" applyFont="1" applyFill="1" applyBorder="1" applyAlignment="1">
      <alignment horizontal="center"/>
    </xf>
    <xf numFmtId="0" fontId="1" fillId="17" borderId="0" xfId="0" applyFont="1" applyFill="1"/>
    <xf numFmtId="44" fontId="1" fillId="17" borderId="0" xfId="3" applyNumberFormat="1" applyFont="1" applyFill="1"/>
    <xf numFmtId="164" fontId="1" fillId="17" borderId="0" xfId="3" applyFont="1" applyFill="1" applyBorder="1" applyAlignment="1">
      <alignment horizontal="center"/>
    </xf>
    <xf numFmtId="0" fontId="1" fillId="0" borderId="0" xfId="0" applyFont="1" applyFill="1"/>
    <xf numFmtId="0" fontId="1" fillId="0" borderId="0" xfId="0" applyFont="1"/>
    <xf numFmtId="0" fontId="0" fillId="17" borderId="0" xfId="0" applyFill="1"/>
    <xf numFmtId="0" fontId="0" fillId="0" borderId="0" xfId="0" applyFill="1"/>
    <xf numFmtId="44" fontId="1" fillId="17" borderId="0" xfId="1" applyNumberFormat="1" applyFont="1" applyFill="1"/>
    <xf numFmtId="44" fontId="0" fillId="17" borderId="0" xfId="0" applyNumberFormat="1" applyFill="1"/>
    <xf numFmtId="0" fontId="87" fillId="20" borderId="85" xfId="0" applyFont="1" applyFill="1" applyBorder="1"/>
    <xf numFmtId="0" fontId="0" fillId="20" borderId="2" xfId="0" applyFill="1" applyBorder="1"/>
    <xf numFmtId="0" fontId="0" fillId="23" borderId="0" xfId="0" applyFill="1"/>
    <xf numFmtId="0" fontId="87" fillId="23" borderId="52" xfId="0" applyFont="1" applyFill="1" applyBorder="1" applyAlignment="1">
      <alignment horizontal="left" indent="1"/>
    </xf>
    <xf numFmtId="44" fontId="87" fillId="23" borderId="2" xfId="3" applyNumberFormat="1" applyFont="1" applyFill="1" applyBorder="1"/>
    <xf numFmtId="0" fontId="1" fillId="17" borderId="0" xfId="0" applyFont="1" applyFill="1" applyBorder="1" applyAlignment="1">
      <alignment horizontal="left" indent="2"/>
    </xf>
    <xf numFmtId="0" fontId="1" fillId="17" borderId="0" xfId="0" applyFont="1" applyFill="1" applyBorder="1"/>
    <xf numFmtId="164" fontId="1" fillId="17" borderId="0" xfId="1" applyFont="1" applyFill="1" applyBorder="1"/>
    <xf numFmtId="44" fontId="1" fillId="17" borderId="0" xfId="3" applyNumberFormat="1" applyFont="1" applyFill="1" applyBorder="1"/>
    <xf numFmtId="0" fontId="1" fillId="17" borderId="2" xfId="0" applyFont="1" applyFill="1" applyBorder="1"/>
    <xf numFmtId="44" fontId="1" fillId="17" borderId="2" xfId="3" applyNumberFormat="1" applyFont="1" applyFill="1" applyBorder="1"/>
    <xf numFmtId="0" fontId="87" fillId="26" borderId="2" xfId="0" applyFont="1" applyFill="1" applyBorder="1" applyAlignment="1">
      <alignment horizontal="left" indent="1"/>
    </xf>
    <xf numFmtId="44" fontId="87" fillId="26" borderId="2" xfId="3" applyNumberFormat="1" applyFont="1" applyFill="1" applyBorder="1"/>
    <xf numFmtId="0" fontId="87" fillId="27" borderId="2" xfId="0" applyFont="1" applyFill="1" applyBorder="1" applyAlignment="1">
      <alignment horizontal="left" indent="1"/>
    </xf>
    <xf numFmtId="44" fontId="87" fillId="27" borderId="2" xfId="3" applyNumberFormat="1" applyFont="1" applyFill="1" applyBorder="1"/>
    <xf numFmtId="0" fontId="89" fillId="28" borderId="85" xfId="0" applyFont="1" applyFill="1" applyBorder="1" applyAlignment="1">
      <alignment horizontal="left"/>
    </xf>
    <xf numFmtId="0" fontId="87" fillId="28" borderId="85" xfId="0" applyFont="1" applyFill="1" applyBorder="1" applyAlignment="1">
      <alignment horizontal="center"/>
    </xf>
    <xf numFmtId="0" fontId="0" fillId="28" borderId="85" xfId="0" applyFill="1" applyBorder="1"/>
    <xf numFmtId="0" fontId="1" fillId="17" borderId="30" xfId="0" applyFont="1" applyFill="1" applyBorder="1"/>
    <xf numFmtId="254" fontId="1" fillId="17" borderId="30" xfId="3" applyNumberFormat="1" applyFont="1" applyFill="1" applyBorder="1"/>
    <xf numFmtId="254" fontId="1" fillId="17" borderId="0" xfId="3" applyNumberFormat="1" applyFont="1" applyFill="1" applyBorder="1"/>
    <xf numFmtId="0" fontId="1" fillId="17" borderId="9" xfId="0" applyFont="1" applyFill="1" applyBorder="1"/>
    <xf numFmtId="254" fontId="1" fillId="17" borderId="9" xfId="3" applyNumberFormat="1" applyFont="1" applyFill="1" applyBorder="1"/>
    <xf numFmtId="0" fontId="89" fillId="26" borderId="85" xfId="0" applyFont="1" applyFill="1" applyBorder="1" applyAlignment="1">
      <alignment horizontal="left"/>
    </xf>
    <xf numFmtId="0" fontId="87" fillId="26" borderId="85" xfId="0" applyFont="1" applyFill="1" applyBorder="1" applyAlignment="1">
      <alignment horizontal="center"/>
    </xf>
    <xf numFmtId="0" fontId="0" fillId="26" borderId="85" xfId="0" applyFill="1" applyBorder="1"/>
    <xf numFmtId="0" fontId="89" fillId="27" borderId="85" xfId="0" applyFont="1" applyFill="1" applyBorder="1" applyAlignment="1">
      <alignment horizontal="left"/>
    </xf>
    <xf numFmtId="0" fontId="87" fillId="27" borderId="85" xfId="0" applyFont="1" applyFill="1" applyBorder="1" applyAlignment="1">
      <alignment horizontal="center"/>
    </xf>
    <xf numFmtId="0" fontId="0" fillId="27" borderId="85" xfId="0" applyFill="1" applyBorder="1"/>
    <xf numFmtId="168" fontId="94" fillId="17" borderId="0" xfId="13" applyNumberFormat="1" applyFont="1" applyFill="1" applyBorder="1" applyAlignment="1">
      <alignment horizontal="center"/>
    </xf>
    <xf numFmtId="44" fontId="0" fillId="17" borderId="0" xfId="0" applyNumberFormat="1" applyFill="1" applyBorder="1"/>
    <xf numFmtId="0" fontId="1" fillId="17" borderId="43" xfId="0" applyFont="1" applyFill="1" applyBorder="1"/>
    <xf numFmtId="10" fontId="1" fillId="17" borderId="14" xfId="13" applyNumberFormat="1" applyFont="1" applyFill="1" applyBorder="1"/>
    <xf numFmtId="9" fontId="0" fillId="17" borderId="0" xfId="0" applyNumberFormat="1" applyFill="1" applyBorder="1"/>
    <xf numFmtId="0" fontId="1" fillId="17" borderId="98" xfId="0" applyFont="1" applyFill="1" applyBorder="1"/>
    <xf numFmtId="164" fontId="1" fillId="17" borderId="27" xfId="3" applyFont="1" applyFill="1" applyBorder="1"/>
    <xf numFmtId="8" fontId="0" fillId="17" borderId="0" xfId="0" applyNumberFormat="1" applyFill="1" applyBorder="1"/>
    <xf numFmtId="164" fontId="1" fillId="17" borderId="0" xfId="3" applyFont="1" applyFill="1" applyBorder="1"/>
    <xf numFmtId="168" fontId="1" fillId="17" borderId="0" xfId="13" applyNumberFormat="1" applyFont="1" applyFill="1" applyBorder="1"/>
    <xf numFmtId="0" fontId="0" fillId="17" borderId="0" xfId="0" applyNumberFormat="1" applyFill="1" applyBorder="1"/>
    <xf numFmtId="10" fontId="1" fillId="17" borderId="0" xfId="3" applyNumberFormat="1" applyFont="1" applyFill="1" applyBorder="1"/>
    <xf numFmtId="0" fontId="1" fillId="17" borderId="93" xfId="0" applyFont="1" applyFill="1" applyBorder="1"/>
    <xf numFmtId="164" fontId="1" fillId="17" borderId="50" xfId="3" applyFont="1" applyFill="1" applyBorder="1"/>
    <xf numFmtId="0" fontId="69" fillId="29" borderId="54" xfId="0" applyFont="1" applyFill="1" applyBorder="1"/>
    <xf numFmtId="0" fontId="0" fillId="29" borderId="53" xfId="0" applyFill="1" applyBorder="1"/>
    <xf numFmtId="0" fontId="87" fillId="22" borderId="54" xfId="0" applyFont="1" applyFill="1" applyBorder="1" applyAlignment="1">
      <alignment horizontal="center"/>
    </xf>
    <xf numFmtId="168" fontId="94" fillId="17" borderId="15" xfId="13" applyNumberFormat="1" applyFont="1" applyFill="1" applyBorder="1" applyAlignment="1">
      <alignment horizontal="center"/>
    </xf>
    <xf numFmtId="0" fontId="69" fillId="26" borderId="54" xfId="0" applyFont="1" applyFill="1" applyBorder="1"/>
    <xf numFmtId="8" fontId="73" fillId="26" borderId="53" xfId="0" applyNumberFormat="1" applyFont="1" applyFill="1" applyBorder="1"/>
    <xf numFmtId="0" fontId="69" fillId="27" borderId="54" xfId="0" applyFont="1" applyFill="1" applyBorder="1"/>
    <xf numFmtId="176" fontId="73" fillId="27" borderId="53" xfId="0" applyNumberFormat="1" applyFont="1" applyFill="1" applyBorder="1"/>
    <xf numFmtId="0" fontId="1" fillId="3" borderId="0" xfId="0" applyFont="1" applyFill="1" applyBorder="1" applyAlignment="1" applyProtection="1">
      <alignment horizontal="center" vertical="center"/>
      <protection hidden="1"/>
    </xf>
    <xf numFmtId="0" fontId="0" fillId="3" borderId="0" xfId="0" applyFill="1" applyBorder="1" applyAlignment="1" applyProtection="1">
      <alignment horizontal="center" vertical="center"/>
      <protection hidden="1"/>
    </xf>
    <xf numFmtId="0" fontId="2" fillId="14" borderId="56" xfId="0" applyNumberFormat="1" applyFont="1" applyFill="1" applyBorder="1" applyAlignment="1">
      <alignment horizontal="center" vertical="center" wrapText="1"/>
    </xf>
    <xf numFmtId="0" fontId="2" fillId="14" borderId="57" xfId="0" applyNumberFormat="1" applyFont="1" applyFill="1" applyBorder="1" applyAlignment="1">
      <alignment horizontal="center" vertical="center" wrapText="1"/>
    </xf>
    <xf numFmtId="169" fontId="3" fillId="3" borderId="5" xfId="0" applyNumberFormat="1" applyFont="1" applyFill="1" applyBorder="1" applyAlignment="1" applyProtection="1">
      <alignment horizontal="center"/>
      <protection locked="0"/>
    </xf>
    <xf numFmtId="164" fontId="0" fillId="12" borderId="12" xfId="0" applyNumberFormat="1" applyFill="1" applyBorder="1"/>
    <xf numFmtId="0" fontId="0" fillId="2" borderId="22" xfId="0" applyFill="1" applyBorder="1" applyAlignment="1" applyProtection="1">
      <alignment horizontal="center"/>
      <protection locked="0"/>
    </xf>
    <xf numFmtId="0" fontId="0" fillId="0" borderId="45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2" borderId="0" xfId="0" applyFill="1" applyBorder="1" applyAlignment="1" applyProtection="1">
      <alignment horizontal="center"/>
      <protection locked="0"/>
    </xf>
    <xf numFmtId="168" fontId="79" fillId="14" borderId="1" xfId="11" applyNumberFormat="1" applyFont="1" applyFill="1" applyBorder="1" applyAlignment="1">
      <alignment horizontal="center"/>
    </xf>
    <xf numFmtId="0" fontId="1" fillId="12" borderId="81" xfId="0" applyFont="1" applyFill="1" applyBorder="1" applyAlignment="1" applyProtection="1">
      <alignment horizontal="right"/>
      <protection hidden="1"/>
    </xf>
    <xf numFmtId="1" fontId="1" fillId="2" borderId="5" xfId="16" applyNumberFormat="1" applyFont="1" applyFill="1" applyBorder="1" applyAlignment="1" applyProtection="1">
      <alignment horizontal="center"/>
      <protection locked="0"/>
    </xf>
    <xf numFmtId="1" fontId="1" fillId="2" borderId="5" xfId="20" applyNumberFormat="1" applyFont="1" applyFill="1" applyBorder="1" applyProtection="1">
      <protection locked="0"/>
    </xf>
    <xf numFmtId="0" fontId="0" fillId="3" borderId="0" xfId="0" applyFill="1" applyBorder="1" applyAlignment="1" applyProtection="1">
      <alignment vertical="center"/>
      <protection hidden="1"/>
    </xf>
    <xf numFmtId="4" fontId="18" fillId="3" borderId="0" xfId="0" applyNumberFormat="1" applyFont="1" applyFill="1" applyAlignment="1" applyProtection="1">
      <alignment vertical="center"/>
      <protection hidden="1"/>
    </xf>
    <xf numFmtId="4" fontId="7" fillId="3" borderId="0" xfId="0" applyNumberFormat="1" applyFont="1" applyFill="1" applyAlignment="1" applyProtection="1">
      <alignment vertical="center"/>
      <protection hidden="1"/>
    </xf>
    <xf numFmtId="2" fontId="4" fillId="12" borderId="0" xfId="11" applyNumberFormat="1" applyFont="1" applyFill="1" applyBorder="1" applyAlignment="1" applyProtection="1">
      <alignment horizontal="center" vertical="center"/>
      <protection hidden="1"/>
    </xf>
    <xf numFmtId="4" fontId="6" fillId="3" borderId="0" xfId="0" applyNumberFormat="1" applyFont="1" applyFill="1" applyBorder="1" applyAlignment="1" applyProtection="1">
      <alignment vertical="center"/>
      <protection hidden="1"/>
    </xf>
    <xf numFmtId="4" fontId="0" fillId="3" borderId="0" xfId="0" applyNumberFormat="1" applyFill="1" applyAlignment="1" applyProtection="1">
      <alignment vertical="center"/>
      <protection hidden="1"/>
    </xf>
    <xf numFmtId="0" fontId="0" fillId="3" borderId="0" xfId="0" applyFill="1" applyAlignment="1" applyProtection="1">
      <alignment vertical="center"/>
      <protection hidden="1"/>
    </xf>
    <xf numFmtId="4" fontId="19" fillId="3" borderId="0" xfId="0" applyNumberFormat="1" applyFont="1" applyFill="1" applyBorder="1" applyAlignment="1" applyProtection="1">
      <alignment horizontal="right" vertical="center"/>
      <protection hidden="1"/>
    </xf>
    <xf numFmtId="197" fontId="4" fillId="0" borderId="0" xfId="11" applyNumberFormat="1" applyFont="1" applyFill="1" applyBorder="1" applyAlignment="1" applyProtection="1">
      <alignment horizontal="center" vertical="center"/>
      <protection hidden="1"/>
    </xf>
    <xf numFmtId="4" fontId="7" fillId="3" borderId="0" xfId="0" applyNumberFormat="1" applyFont="1" applyFill="1" applyBorder="1" applyAlignment="1" applyProtection="1">
      <alignment vertical="center"/>
      <protection hidden="1"/>
    </xf>
    <xf numFmtId="4" fontId="6" fillId="3" borderId="0" xfId="0" applyNumberFormat="1" applyFont="1" applyFill="1" applyBorder="1" applyAlignment="1" applyProtection="1">
      <alignment horizontal="center" vertical="center"/>
      <protection hidden="1"/>
    </xf>
    <xf numFmtId="4" fontId="0" fillId="3" borderId="0" xfId="0" applyNumberFormat="1" applyFill="1" applyBorder="1" applyAlignment="1" applyProtection="1">
      <alignment vertical="center"/>
      <protection hidden="1"/>
    </xf>
    <xf numFmtId="0" fontId="30" fillId="3" borderId="2" xfId="0" applyFont="1" applyFill="1" applyBorder="1" applyAlignment="1" applyProtection="1">
      <alignment vertical="center"/>
      <protection hidden="1"/>
    </xf>
    <xf numFmtId="4" fontId="80" fillId="3" borderId="2" xfId="0" applyNumberFormat="1" applyFont="1" applyFill="1" applyBorder="1" applyAlignment="1" applyProtection="1">
      <alignment vertical="center"/>
      <protection hidden="1"/>
    </xf>
    <xf numFmtId="4" fontId="29" fillId="3" borderId="2" xfId="0" applyNumberFormat="1" applyFont="1" applyFill="1" applyBorder="1" applyAlignment="1" applyProtection="1">
      <alignment vertical="center"/>
      <protection hidden="1"/>
    </xf>
    <xf numFmtId="4" fontId="30" fillId="3" borderId="2" xfId="0" applyNumberFormat="1" applyFont="1" applyFill="1" applyBorder="1" applyAlignment="1" applyProtection="1">
      <alignment vertical="center"/>
      <protection hidden="1"/>
    </xf>
    <xf numFmtId="4" fontId="19" fillId="3" borderId="2" xfId="0" applyNumberFormat="1" applyFont="1" applyFill="1" applyBorder="1" applyAlignment="1" applyProtection="1">
      <alignment horizontal="center" vertical="center"/>
      <protection hidden="1"/>
    </xf>
    <xf numFmtId="4" fontId="7" fillId="12" borderId="0" xfId="0" applyNumberFormat="1" applyFont="1" applyFill="1" applyBorder="1" applyAlignment="1" applyProtection="1">
      <alignment vertical="center"/>
      <protection hidden="1"/>
    </xf>
    <xf numFmtId="4" fontId="1" fillId="3" borderId="22" xfId="0" applyNumberFormat="1" applyFont="1" applyFill="1" applyBorder="1" applyAlignment="1" applyProtection="1">
      <alignment horizontal="left" vertical="center"/>
      <protection hidden="1"/>
    </xf>
    <xf numFmtId="4" fontId="1" fillId="3" borderId="10" xfId="0" applyNumberFormat="1" applyFont="1" applyFill="1" applyBorder="1" applyAlignment="1" applyProtection="1">
      <alignment horizontal="left" vertical="center"/>
      <protection hidden="1"/>
    </xf>
    <xf numFmtId="10" fontId="1" fillId="0" borderId="11" xfId="15" applyNumberFormat="1" applyFont="1" applyFill="1" applyBorder="1" applyAlignment="1" applyProtection="1">
      <alignment horizontal="center" vertical="center"/>
      <protection hidden="1"/>
    </xf>
    <xf numFmtId="4" fontId="4" fillId="3" borderId="0" xfId="0" applyNumberFormat="1" applyFont="1" applyFill="1" applyBorder="1" applyAlignment="1" applyProtection="1">
      <alignment horizontal="right" vertical="center"/>
      <protection hidden="1"/>
    </xf>
    <xf numFmtId="197" fontId="4" fillId="12" borderId="1" xfId="11" applyNumberFormat="1" applyFont="1" applyFill="1" applyBorder="1" applyAlignment="1" applyProtection="1">
      <alignment horizontal="center" vertical="center"/>
      <protection hidden="1"/>
    </xf>
    <xf numFmtId="4" fontId="0" fillId="12" borderId="0" xfId="0" applyNumberFormat="1" applyFill="1" applyBorder="1" applyAlignment="1" applyProtection="1">
      <alignment vertical="center"/>
      <protection hidden="1"/>
    </xf>
    <xf numFmtId="0" fontId="0" fillId="12" borderId="0" xfId="0" applyFill="1" applyBorder="1" applyAlignment="1" applyProtection="1">
      <alignment vertical="center"/>
      <protection hidden="1"/>
    </xf>
    <xf numFmtId="0" fontId="2" fillId="3" borderId="0" xfId="0" applyFont="1" applyFill="1" applyBorder="1" applyAlignment="1" applyProtection="1">
      <alignment horizontal="center" vertical="center"/>
      <protection hidden="1"/>
    </xf>
    <xf numFmtId="4" fontId="1" fillId="3" borderId="56" xfId="0" applyNumberFormat="1" applyFont="1" applyFill="1" applyBorder="1" applyAlignment="1" applyProtection="1">
      <alignment horizontal="left" vertical="center"/>
      <protection hidden="1"/>
    </xf>
    <xf numFmtId="4" fontId="1" fillId="3" borderId="8" xfId="0" applyNumberFormat="1" applyFont="1" applyFill="1" applyBorder="1" applyAlignment="1" applyProtection="1">
      <alignment horizontal="left" vertical="center"/>
      <protection hidden="1"/>
    </xf>
    <xf numFmtId="10" fontId="1" fillId="2" borderId="6" xfId="15" applyNumberFormat="1" applyFont="1" applyFill="1" applyBorder="1" applyAlignment="1" applyProtection="1">
      <alignment horizontal="center" vertical="center"/>
      <protection hidden="1"/>
    </xf>
    <xf numFmtId="0" fontId="2" fillId="3" borderId="15" xfId="0" applyFont="1" applyFill="1" applyBorder="1" applyAlignment="1" applyProtection="1">
      <alignment horizontal="center" vertical="center"/>
      <protection hidden="1"/>
    </xf>
    <xf numFmtId="0" fontId="2" fillId="3" borderId="22" xfId="0" applyFont="1" applyFill="1" applyBorder="1" applyAlignment="1" applyProtection="1">
      <alignment horizontal="center" vertical="center"/>
      <protection hidden="1"/>
    </xf>
    <xf numFmtId="0" fontId="2" fillId="3" borderId="66" xfId="0" applyFont="1" applyFill="1" applyBorder="1" applyAlignment="1" applyProtection="1">
      <alignment horizontal="center" vertical="center"/>
      <protection hidden="1"/>
    </xf>
    <xf numFmtId="2" fontId="1" fillId="0" borderId="64" xfId="15" applyNumberFormat="1" applyFont="1" applyFill="1" applyBorder="1" applyAlignment="1" applyProtection="1">
      <alignment horizontal="center" vertical="center"/>
      <protection hidden="1"/>
    </xf>
    <xf numFmtId="0" fontId="2" fillId="3" borderId="41" xfId="0" applyFont="1" applyFill="1" applyBorder="1" applyAlignment="1" applyProtection="1">
      <alignment horizontal="center" vertical="center"/>
      <protection hidden="1"/>
    </xf>
    <xf numFmtId="0" fontId="2" fillId="3" borderId="37" xfId="0" applyFont="1" applyFill="1" applyBorder="1" applyAlignment="1" applyProtection="1">
      <alignment horizontal="center" vertical="center"/>
      <protection hidden="1"/>
    </xf>
    <xf numFmtId="2" fontId="1" fillId="12" borderId="6" xfId="15" applyNumberFormat="1" applyFont="1" applyFill="1" applyBorder="1" applyAlignment="1" applyProtection="1">
      <alignment horizontal="center" vertical="center"/>
      <protection hidden="1"/>
    </xf>
    <xf numFmtId="0" fontId="0" fillId="12" borderId="0" xfId="0" applyFill="1" applyBorder="1" applyAlignment="1">
      <alignment horizontal="center" vertical="center"/>
    </xf>
    <xf numFmtId="0" fontId="2" fillId="3" borderId="39" xfId="0" applyFont="1" applyFill="1" applyBorder="1" applyAlignment="1" applyProtection="1">
      <alignment horizontal="center" vertical="center"/>
      <protection hidden="1"/>
    </xf>
    <xf numFmtId="0" fontId="2" fillId="3" borderId="68" xfId="0" applyFont="1" applyFill="1" applyBorder="1" applyAlignment="1" applyProtection="1">
      <alignment horizontal="center" vertical="center"/>
      <protection hidden="1"/>
    </xf>
    <xf numFmtId="2" fontId="1" fillId="2" borderId="6" xfId="15" applyNumberFormat="1" applyFont="1" applyFill="1" applyBorder="1" applyAlignment="1" applyProtection="1">
      <alignment horizontal="center" vertical="center"/>
      <protection hidden="1"/>
    </xf>
    <xf numFmtId="179" fontId="4" fillId="12" borderId="0" xfId="0" applyNumberFormat="1" applyFont="1" applyFill="1" applyBorder="1" applyAlignment="1" applyProtection="1">
      <alignment horizontal="center" vertical="center"/>
      <protection hidden="1"/>
    </xf>
    <xf numFmtId="195" fontId="0" fillId="12" borderId="0" xfId="0" applyNumberFormat="1" applyFill="1" applyBorder="1" applyAlignment="1">
      <alignment horizontal="center" vertical="center"/>
    </xf>
    <xf numFmtId="49" fontId="4" fillId="12" borderId="0" xfId="0" applyNumberFormat="1" applyFont="1" applyFill="1" applyBorder="1" applyAlignment="1">
      <alignment horizontal="center" vertical="center"/>
    </xf>
    <xf numFmtId="185" fontId="0" fillId="3" borderId="0" xfId="0" applyNumberFormat="1" applyFill="1" applyBorder="1" applyAlignment="1" applyProtection="1">
      <alignment vertical="center"/>
      <protection hidden="1"/>
    </xf>
    <xf numFmtId="220" fontId="4" fillId="12" borderId="1" xfId="11" applyNumberFormat="1" applyFont="1" applyFill="1" applyBorder="1" applyAlignment="1" applyProtection="1">
      <alignment horizontal="center" vertical="center"/>
      <protection hidden="1"/>
    </xf>
    <xf numFmtId="9" fontId="2" fillId="3" borderId="0" xfId="11" applyFont="1" applyFill="1" applyBorder="1" applyAlignment="1" applyProtection="1">
      <alignment horizontal="center" vertical="center"/>
      <protection hidden="1"/>
    </xf>
    <xf numFmtId="207" fontId="4" fillId="12" borderId="0" xfId="11" applyNumberFormat="1" applyFont="1" applyFill="1" applyBorder="1" applyAlignment="1" applyProtection="1">
      <alignment horizontal="center" vertical="center"/>
      <protection hidden="1"/>
    </xf>
    <xf numFmtId="168" fontId="2" fillId="3" borderId="0" xfId="0" applyNumberFormat="1" applyFont="1" applyFill="1" applyBorder="1" applyAlignment="1" applyProtection="1">
      <alignment horizontal="center" vertical="center"/>
      <protection hidden="1"/>
    </xf>
    <xf numFmtId="10" fontId="1" fillId="12" borderId="6" xfId="15" applyNumberFormat="1" applyFont="1" applyFill="1" applyBorder="1" applyAlignment="1" applyProtection="1">
      <alignment horizontal="center" vertical="center"/>
      <protection hidden="1"/>
    </xf>
    <xf numFmtId="169" fontId="1" fillId="3" borderId="0" xfId="0" applyNumberFormat="1" applyFont="1" applyFill="1" applyBorder="1" applyAlignment="1" applyProtection="1">
      <alignment vertical="center"/>
      <protection hidden="1"/>
    </xf>
    <xf numFmtId="0" fontId="4" fillId="12" borderId="0" xfId="0" applyFont="1" applyFill="1" applyAlignment="1">
      <alignment vertical="center"/>
    </xf>
    <xf numFmtId="10" fontId="1" fillId="12" borderId="100" xfId="11" applyNumberFormat="1" applyFont="1" applyFill="1" applyBorder="1" applyAlignment="1" applyProtection="1">
      <alignment horizontal="center" vertical="center"/>
      <protection hidden="1"/>
    </xf>
    <xf numFmtId="0" fontId="56" fillId="12" borderId="0" xfId="0" applyFont="1" applyFill="1" applyBorder="1" applyAlignment="1">
      <alignment horizontal="left" vertical="center"/>
    </xf>
    <xf numFmtId="0" fontId="56" fillId="3" borderId="0" xfId="0" applyFont="1" applyFill="1" applyBorder="1" applyAlignment="1" applyProtection="1">
      <alignment vertical="center"/>
      <protection hidden="1"/>
    </xf>
    <xf numFmtId="186" fontId="56" fillId="12" borderId="0" xfId="0" applyNumberFormat="1" applyFont="1" applyFill="1" applyBorder="1" applyAlignment="1">
      <alignment horizontal="center" vertical="center"/>
    </xf>
    <xf numFmtId="10" fontId="1" fillId="11" borderId="102" xfId="15" applyNumberFormat="1" applyFont="1" applyFill="1" applyBorder="1" applyAlignment="1" applyProtection="1">
      <alignment horizontal="center" vertical="center"/>
      <protection hidden="1"/>
    </xf>
    <xf numFmtId="4" fontId="0" fillId="3" borderId="0" xfId="0" applyNumberFormat="1" applyFill="1" applyBorder="1" applyAlignment="1" applyProtection="1">
      <alignment horizontal="center" vertical="center"/>
      <protection hidden="1"/>
    </xf>
    <xf numFmtId="4" fontId="7" fillId="3" borderId="5" xfId="0" applyNumberFormat="1" applyFont="1" applyFill="1" applyBorder="1" applyAlignment="1" applyProtection="1">
      <alignment horizontal="center" vertical="center"/>
      <protection hidden="1"/>
    </xf>
    <xf numFmtId="4" fontId="7" fillId="3" borderId="25" xfId="0" applyNumberFormat="1" applyFont="1" applyFill="1" applyBorder="1" applyAlignment="1" applyProtection="1">
      <alignment horizontal="center" vertical="center"/>
      <protection hidden="1"/>
    </xf>
    <xf numFmtId="4" fontId="7" fillId="3" borderId="13" xfId="0" applyNumberFormat="1" applyFont="1" applyFill="1" applyBorder="1" applyAlignment="1" applyProtection="1">
      <alignment horizontal="center" vertical="center"/>
      <protection hidden="1"/>
    </xf>
    <xf numFmtId="10" fontId="1" fillId="12" borderId="108" xfId="15" applyNumberFormat="1" applyFont="1" applyFill="1" applyBorder="1" applyAlignment="1" applyProtection="1">
      <alignment horizontal="center" vertical="center"/>
      <protection hidden="1"/>
    </xf>
    <xf numFmtId="4" fontId="7" fillId="3" borderId="21" xfId="0" applyNumberFormat="1" applyFont="1" applyFill="1" applyBorder="1" applyAlignment="1" applyProtection="1">
      <alignment horizontal="center" vertical="center"/>
      <protection hidden="1"/>
    </xf>
    <xf numFmtId="4" fontId="7" fillId="3" borderId="9" xfId="0" applyNumberFormat="1" applyFont="1" applyFill="1" applyBorder="1" applyAlignment="1" applyProtection="1">
      <alignment horizontal="center" vertical="center"/>
      <protection hidden="1"/>
    </xf>
    <xf numFmtId="4" fontId="0" fillId="3" borderId="9" xfId="0" applyNumberFormat="1" applyFill="1" applyBorder="1" applyAlignment="1" applyProtection="1">
      <alignment horizontal="center" vertical="center"/>
      <protection hidden="1"/>
    </xf>
    <xf numFmtId="4" fontId="0" fillId="3" borderId="47" xfId="0" applyNumberFormat="1" applyFill="1" applyBorder="1" applyAlignment="1" applyProtection="1">
      <alignment horizontal="center" vertical="center"/>
      <protection hidden="1"/>
    </xf>
    <xf numFmtId="10" fontId="1" fillId="12" borderId="6" xfId="11" applyNumberFormat="1" applyFont="1" applyFill="1" applyBorder="1" applyAlignment="1" applyProtection="1">
      <alignment horizontal="center" vertical="center"/>
      <protection hidden="1"/>
    </xf>
    <xf numFmtId="2" fontId="0" fillId="12" borderId="0" xfId="0" applyNumberFormat="1" applyFill="1" applyBorder="1" applyAlignment="1" applyProtection="1">
      <alignment vertical="center"/>
      <protection hidden="1"/>
    </xf>
    <xf numFmtId="3" fontId="7" fillId="3" borderId="48" xfId="0" applyNumberFormat="1" applyFont="1" applyFill="1" applyBorder="1" applyAlignment="1" applyProtection="1">
      <alignment horizontal="center" vertical="center"/>
      <protection hidden="1"/>
    </xf>
    <xf numFmtId="4" fontId="7" fillId="3" borderId="48" xfId="0" applyNumberFormat="1" applyFont="1" applyFill="1" applyBorder="1" applyAlignment="1" applyProtection="1">
      <alignment horizontal="center" vertical="center"/>
      <protection hidden="1"/>
    </xf>
    <xf numFmtId="4" fontId="7" fillId="3" borderId="49" xfId="0" applyNumberFormat="1" applyFont="1" applyFill="1" applyBorder="1" applyAlignment="1" applyProtection="1">
      <alignment horizontal="center" vertical="center"/>
      <protection hidden="1"/>
    </xf>
    <xf numFmtId="4" fontId="7" fillId="3" borderId="28" xfId="0" applyNumberFormat="1" applyFont="1" applyFill="1" applyBorder="1" applyAlignment="1" applyProtection="1">
      <alignment horizontal="center" vertical="center"/>
      <protection hidden="1"/>
    </xf>
    <xf numFmtId="177" fontId="0" fillId="12" borderId="37" xfId="0" applyNumberFormat="1" applyFill="1" applyBorder="1" applyAlignment="1" applyProtection="1">
      <alignment horizontal="center" vertical="center"/>
      <protection hidden="1"/>
    </xf>
    <xf numFmtId="9" fontId="0" fillId="3" borderId="0" xfId="11" applyFont="1" applyFill="1" applyBorder="1" applyAlignment="1" applyProtection="1">
      <alignment vertical="center"/>
      <protection hidden="1"/>
    </xf>
    <xf numFmtId="3" fontId="7" fillId="3" borderId="69" xfId="0" applyNumberFormat="1" applyFont="1" applyFill="1" applyBorder="1" applyAlignment="1" applyProtection="1">
      <alignment horizontal="center" vertical="center"/>
      <protection hidden="1"/>
    </xf>
    <xf numFmtId="0" fontId="0" fillId="3" borderId="45" xfId="0" applyFill="1" applyBorder="1" applyAlignment="1" applyProtection="1">
      <alignment vertical="center"/>
      <protection hidden="1"/>
    </xf>
    <xf numFmtId="177" fontId="1" fillId="12" borderId="6" xfId="0" applyNumberFormat="1" applyFont="1" applyFill="1" applyBorder="1" applyAlignment="1" applyProtection="1">
      <alignment horizontal="center" vertical="center"/>
      <protection hidden="1"/>
    </xf>
    <xf numFmtId="0" fontId="57" fillId="12" borderId="0" xfId="0" applyFont="1" applyFill="1" applyBorder="1" applyAlignment="1">
      <alignment horizontal="left" vertical="center"/>
    </xf>
    <xf numFmtId="0" fontId="57" fillId="3" borderId="0" xfId="0" applyFont="1" applyFill="1" applyBorder="1" applyAlignment="1" applyProtection="1">
      <alignment vertical="center"/>
      <protection hidden="1"/>
    </xf>
    <xf numFmtId="186" fontId="57" fillId="12" borderId="0" xfId="0" applyNumberFormat="1" applyFont="1" applyFill="1" applyBorder="1" applyAlignment="1">
      <alignment horizontal="center" vertical="center"/>
    </xf>
    <xf numFmtId="206" fontId="1" fillId="12" borderId="6" xfId="0" applyNumberFormat="1" applyFont="1" applyFill="1" applyBorder="1" applyAlignment="1" applyProtection="1">
      <alignment horizontal="center" vertical="center"/>
      <protection hidden="1"/>
    </xf>
    <xf numFmtId="206" fontId="1" fillId="12" borderId="55" xfId="0" applyNumberFormat="1" applyFont="1" applyFill="1" applyBorder="1" applyAlignment="1" applyProtection="1">
      <alignment horizontal="center" vertical="center"/>
      <protection hidden="1"/>
    </xf>
    <xf numFmtId="4" fontId="6" fillId="7" borderId="1" xfId="0" applyNumberFormat="1" applyFont="1" applyFill="1" applyBorder="1" applyAlignment="1" applyProtection="1">
      <alignment horizontal="center" vertical="center"/>
      <protection hidden="1"/>
    </xf>
    <xf numFmtId="4" fontId="2" fillId="7" borderId="1" xfId="0" applyNumberFormat="1" applyFont="1" applyFill="1" applyBorder="1" applyAlignment="1" applyProtection="1">
      <alignment horizontal="center" vertical="center"/>
      <protection hidden="1"/>
    </xf>
    <xf numFmtId="4" fontId="2" fillId="7" borderId="8" xfId="0" applyNumberFormat="1" applyFont="1" applyFill="1" applyBorder="1" applyAlignment="1" applyProtection="1">
      <alignment horizontal="center" vertical="center"/>
      <protection hidden="1"/>
    </xf>
    <xf numFmtId="0" fontId="0" fillId="3" borderId="0" xfId="0" applyFill="1" applyBorder="1" applyAlignment="1" applyProtection="1">
      <alignment horizontal="right" vertical="center"/>
      <protection hidden="1"/>
    </xf>
    <xf numFmtId="177" fontId="4" fillId="2" borderId="1" xfId="0" applyNumberFormat="1" applyFont="1" applyFill="1" applyBorder="1" applyAlignment="1" applyProtection="1">
      <alignment horizontal="center" vertical="center"/>
      <protection hidden="1"/>
    </xf>
    <xf numFmtId="225" fontId="4" fillId="2" borderId="1" xfId="0" applyNumberFormat="1" applyFont="1" applyFill="1" applyBorder="1" applyAlignment="1" applyProtection="1">
      <alignment horizontal="center" vertical="center"/>
      <protection hidden="1"/>
    </xf>
    <xf numFmtId="226" fontId="4" fillId="3" borderId="1" xfId="0" applyNumberFormat="1" applyFont="1" applyFill="1" applyBorder="1" applyAlignment="1" applyProtection="1">
      <alignment horizontal="center" vertical="center"/>
      <protection hidden="1"/>
    </xf>
    <xf numFmtId="215" fontId="4" fillId="3" borderId="1" xfId="0" applyNumberFormat="1" applyFont="1" applyFill="1" applyBorder="1" applyAlignment="1" applyProtection="1">
      <alignment horizontal="center" vertical="center"/>
      <protection hidden="1"/>
    </xf>
    <xf numFmtId="215" fontId="4" fillId="3" borderId="5" xfId="0" applyNumberFormat="1" applyFont="1" applyFill="1" applyBorder="1" applyAlignment="1" applyProtection="1">
      <alignment horizontal="center" vertical="center"/>
      <protection hidden="1"/>
    </xf>
    <xf numFmtId="14" fontId="6" fillId="14" borderId="1" xfId="0" applyNumberFormat="1" applyFont="1" applyFill="1" applyBorder="1" applyAlignment="1" applyProtection="1">
      <alignment horizontal="center" vertical="center"/>
      <protection hidden="1"/>
    </xf>
    <xf numFmtId="225" fontId="4" fillId="3" borderId="1" xfId="0" applyNumberFormat="1" applyFont="1" applyFill="1" applyBorder="1" applyAlignment="1" applyProtection="1">
      <alignment horizontal="center" vertical="center"/>
      <protection hidden="1"/>
    </xf>
    <xf numFmtId="0" fontId="0" fillId="12" borderId="69" xfId="0" applyFill="1" applyBorder="1" applyAlignment="1" applyProtection="1">
      <alignment vertical="center"/>
      <protection hidden="1"/>
    </xf>
    <xf numFmtId="4" fontId="7" fillId="12" borderId="69" xfId="0" applyNumberFormat="1" applyFont="1" applyFill="1" applyBorder="1" applyAlignment="1" applyProtection="1">
      <alignment horizontal="center" vertical="center"/>
      <protection hidden="1"/>
    </xf>
    <xf numFmtId="177" fontId="4" fillId="2" borderId="81" xfId="0" applyNumberFormat="1" applyFont="1" applyFill="1" applyBorder="1" applyAlignment="1" applyProtection="1">
      <alignment horizontal="center" vertical="center"/>
      <protection hidden="1"/>
    </xf>
    <xf numFmtId="225" fontId="4" fillId="3" borderId="81" xfId="0" applyNumberFormat="1" applyFont="1" applyFill="1" applyBorder="1" applyAlignment="1" applyProtection="1">
      <alignment horizontal="center" vertical="center"/>
      <protection hidden="1"/>
    </xf>
    <xf numFmtId="225" fontId="4" fillId="2" borderId="81" xfId="0" applyNumberFormat="1" applyFont="1" applyFill="1" applyBorder="1" applyAlignment="1" applyProtection="1">
      <alignment horizontal="center" vertical="center"/>
      <protection hidden="1"/>
    </xf>
    <xf numFmtId="226" fontId="4" fillId="3" borderId="81" xfId="0" applyNumberFormat="1" applyFont="1" applyFill="1" applyBorder="1" applyAlignment="1" applyProtection="1">
      <alignment horizontal="center" vertical="center"/>
      <protection hidden="1"/>
    </xf>
    <xf numFmtId="215" fontId="4" fillId="3" borderId="81" xfId="0" applyNumberFormat="1" applyFont="1" applyFill="1" applyBorder="1" applyAlignment="1" applyProtection="1">
      <alignment horizontal="center" vertical="center"/>
      <protection hidden="1"/>
    </xf>
    <xf numFmtId="215" fontId="4" fillId="3" borderId="89" xfId="0" applyNumberFormat="1" applyFont="1" applyFill="1" applyBorder="1" applyAlignment="1" applyProtection="1">
      <alignment horizontal="center" vertical="center"/>
      <protection hidden="1"/>
    </xf>
    <xf numFmtId="4" fontId="2" fillId="12" borderId="69" xfId="0" applyNumberFormat="1" applyFont="1" applyFill="1" applyBorder="1" applyAlignment="1" applyProtection="1">
      <alignment vertical="center"/>
      <protection hidden="1"/>
    </xf>
    <xf numFmtId="4" fontId="2" fillId="12" borderId="0" xfId="0" applyNumberFormat="1" applyFont="1" applyFill="1" applyBorder="1" applyAlignment="1" applyProtection="1">
      <alignment vertical="center"/>
      <protection hidden="1"/>
    </xf>
    <xf numFmtId="0" fontId="58" fillId="3" borderId="0" xfId="0" applyFont="1" applyFill="1" applyBorder="1" applyAlignment="1" applyProtection="1">
      <alignment vertical="center"/>
      <protection hidden="1"/>
    </xf>
    <xf numFmtId="3" fontId="7" fillId="3" borderId="21" xfId="0" applyNumberFormat="1" applyFont="1" applyFill="1" applyBorder="1" applyAlignment="1" applyProtection="1">
      <alignment horizontal="center" vertical="center"/>
      <protection hidden="1"/>
    </xf>
    <xf numFmtId="177" fontId="4" fillId="2" borderId="86" xfId="0" applyNumberFormat="1" applyFont="1" applyFill="1" applyBorder="1" applyAlignment="1" applyProtection="1">
      <alignment horizontal="center" vertical="center"/>
      <protection hidden="1"/>
    </xf>
    <xf numFmtId="225" fontId="4" fillId="2" borderId="86" xfId="0" applyNumberFormat="1" applyFont="1" applyFill="1" applyBorder="1" applyAlignment="1" applyProtection="1">
      <alignment horizontal="center" vertical="center"/>
      <protection hidden="1"/>
    </xf>
    <xf numFmtId="226" fontId="4" fillId="3" borderId="86" xfId="0" applyNumberFormat="1" applyFont="1" applyFill="1" applyBorder="1" applyAlignment="1" applyProtection="1">
      <alignment horizontal="center" vertical="center"/>
      <protection hidden="1"/>
    </xf>
    <xf numFmtId="215" fontId="4" fillId="3" borderId="86" xfId="0" applyNumberFormat="1" applyFont="1" applyFill="1" applyBorder="1" applyAlignment="1" applyProtection="1">
      <alignment horizontal="center" vertical="center"/>
      <protection hidden="1"/>
    </xf>
    <xf numFmtId="215" fontId="4" fillId="3" borderId="99" xfId="0" applyNumberFormat="1" applyFont="1" applyFill="1" applyBorder="1" applyAlignment="1" applyProtection="1">
      <alignment horizontal="center" vertical="center"/>
      <protection hidden="1"/>
    </xf>
    <xf numFmtId="4" fontId="2" fillId="12" borderId="69" xfId="0" applyNumberFormat="1" applyFont="1" applyFill="1" applyBorder="1" applyAlignment="1" applyProtection="1">
      <alignment horizontal="center" vertical="center"/>
      <protection hidden="1"/>
    </xf>
    <xf numFmtId="4" fontId="62" fillId="3" borderId="0" xfId="0" applyNumberFormat="1" applyFont="1" applyFill="1" applyBorder="1" applyAlignment="1" applyProtection="1">
      <alignment horizontal="center" vertical="center"/>
      <protection hidden="1"/>
    </xf>
    <xf numFmtId="177" fontId="4" fillId="0" borderId="19" xfId="0" applyNumberFormat="1" applyFont="1" applyFill="1" applyBorder="1" applyAlignment="1" applyProtection="1">
      <alignment horizontal="center" vertical="center"/>
      <protection hidden="1"/>
    </xf>
    <xf numFmtId="225" fontId="4" fillId="2" borderId="19" xfId="0" applyNumberFormat="1" applyFont="1" applyFill="1" applyBorder="1" applyAlignment="1" applyProtection="1">
      <alignment horizontal="center" vertical="center"/>
      <protection hidden="1"/>
    </xf>
    <xf numFmtId="226" fontId="4" fillId="3" borderId="19" xfId="0" applyNumberFormat="1" applyFont="1" applyFill="1" applyBorder="1" applyAlignment="1" applyProtection="1">
      <alignment horizontal="center" vertical="center"/>
      <protection hidden="1"/>
    </xf>
    <xf numFmtId="215" fontId="4" fillId="3" borderId="19" xfId="0" applyNumberFormat="1" applyFont="1" applyFill="1" applyBorder="1" applyAlignment="1" applyProtection="1">
      <alignment horizontal="center" vertical="center"/>
      <protection hidden="1"/>
    </xf>
    <xf numFmtId="215" fontId="4" fillId="3" borderId="21" xfId="0" applyNumberFormat="1" applyFont="1" applyFill="1" applyBorder="1" applyAlignment="1" applyProtection="1">
      <alignment horizontal="center" vertical="center"/>
      <protection hidden="1"/>
    </xf>
    <xf numFmtId="177" fontId="4" fillId="12" borderId="1" xfId="0" applyNumberFormat="1" applyFont="1" applyFill="1" applyBorder="1" applyAlignment="1" applyProtection="1">
      <alignment horizontal="center" vertical="center"/>
      <protection hidden="1"/>
    </xf>
    <xf numFmtId="0" fontId="0" fillId="3" borderId="5" xfId="0" applyFill="1" applyBorder="1" applyAlignment="1" applyProtection="1">
      <alignment vertical="center"/>
      <protection hidden="1"/>
    </xf>
    <xf numFmtId="4" fontId="7" fillId="3" borderId="47" xfId="0" applyNumberFormat="1" applyFont="1" applyFill="1" applyBorder="1" applyAlignment="1" applyProtection="1">
      <alignment horizontal="center" vertical="center"/>
      <protection hidden="1"/>
    </xf>
    <xf numFmtId="4" fontId="7" fillId="12" borderId="48" xfId="0" applyNumberFormat="1" applyFont="1" applyFill="1" applyBorder="1" applyAlignment="1" applyProtection="1">
      <alignment vertical="center"/>
      <protection hidden="1"/>
    </xf>
    <xf numFmtId="4" fontId="7" fillId="12" borderId="69" xfId="0" applyNumberFormat="1" applyFont="1" applyFill="1" applyBorder="1" applyAlignment="1" applyProtection="1">
      <alignment vertical="center"/>
      <protection hidden="1"/>
    </xf>
    <xf numFmtId="4" fontId="7" fillId="12" borderId="21" xfId="0" applyNumberFormat="1" applyFont="1" applyFill="1" applyBorder="1" applyAlignment="1" applyProtection="1">
      <alignment vertical="center"/>
      <protection hidden="1"/>
    </xf>
    <xf numFmtId="177" fontId="4" fillId="12" borderId="81" xfId="0" applyNumberFormat="1" applyFont="1" applyFill="1" applyBorder="1" applyAlignment="1" applyProtection="1">
      <alignment horizontal="center" vertical="center"/>
      <protection hidden="1"/>
    </xf>
    <xf numFmtId="0" fontId="0" fillId="12" borderId="18" xfId="0" applyFill="1" applyBorder="1" applyAlignment="1" applyProtection="1">
      <alignment vertical="center"/>
      <protection hidden="1"/>
    </xf>
    <xf numFmtId="177" fontId="4" fillId="2" borderId="19" xfId="0" applyNumberFormat="1" applyFont="1" applyFill="1" applyBorder="1" applyAlignment="1" applyProtection="1">
      <alignment horizontal="center" vertical="center"/>
      <protection hidden="1"/>
    </xf>
    <xf numFmtId="4" fontId="29" fillId="3" borderId="0" xfId="0" applyNumberFormat="1" applyFont="1" applyFill="1" applyBorder="1" applyAlignment="1" applyProtection="1">
      <alignment vertical="center"/>
      <protection hidden="1"/>
    </xf>
    <xf numFmtId="177" fontId="7" fillId="3" borderId="0" xfId="0" applyNumberFormat="1" applyFont="1" applyFill="1" applyBorder="1" applyAlignment="1" applyProtection="1">
      <alignment horizontal="center" vertical="center"/>
      <protection hidden="1"/>
    </xf>
    <xf numFmtId="179" fontId="7" fillId="3" borderId="0" xfId="0" applyNumberFormat="1" applyFont="1" applyFill="1" applyBorder="1" applyAlignment="1" applyProtection="1">
      <alignment horizontal="center" vertical="center"/>
      <protection hidden="1"/>
    </xf>
    <xf numFmtId="4" fontId="7" fillId="3" borderId="2" xfId="0" applyNumberFormat="1" applyFont="1" applyFill="1" applyBorder="1" applyAlignment="1" applyProtection="1">
      <alignment horizontal="center" vertical="center"/>
      <protection hidden="1"/>
    </xf>
    <xf numFmtId="0" fontId="0" fillId="3" borderId="2" xfId="0" applyFill="1" applyBorder="1" applyAlignment="1" applyProtection="1">
      <alignment horizontal="center" vertical="center"/>
      <protection hidden="1"/>
    </xf>
    <xf numFmtId="4" fontId="0" fillId="3" borderId="2" xfId="0" applyNumberFormat="1" applyFill="1" applyBorder="1" applyAlignment="1" applyProtection="1">
      <alignment horizontal="center" vertical="center"/>
      <protection hidden="1"/>
    </xf>
    <xf numFmtId="178" fontId="7" fillId="3" borderId="2" xfId="0" applyNumberFormat="1" applyFont="1" applyFill="1" applyBorder="1" applyAlignment="1" applyProtection="1">
      <alignment horizontal="center" vertical="center"/>
      <protection hidden="1"/>
    </xf>
    <xf numFmtId="179" fontId="7" fillId="3" borderId="2" xfId="0" applyNumberFormat="1" applyFont="1" applyFill="1" applyBorder="1" applyAlignment="1" applyProtection="1">
      <alignment horizontal="center" vertical="center"/>
      <protection hidden="1"/>
    </xf>
    <xf numFmtId="0" fontId="4" fillId="3" borderId="52" xfId="0" applyFont="1" applyFill="1" applyBorder="1" applyAlignment="1" applyProtection="1">
      <alignment horizontal="center" vertical="center"/>
      <protection hidden="1"/>
    </xf>
    <xf numFmtId="0" fontId="4" fillId="12" borderId="52" xfId="0" applyFont="1" applyFill="1" applyBorder="1" applyAlignment="1" applyProtection="1">
      <alignment horizontal="center" vertical="center"/>
      <protection hidden="1"/>
    </xf>
    <xf numFmtId="0" fontId="0" fillId="3" borderId="1" xfId="0" applyFill="1" applyBorder="1" applyAlignment="1" applyProtection="1">
      <alignment horizontal="center" vertical="center"/>
      <protection hidden="1"/>
    </xf>
    <xf numFmtId="0" fontId="4" fillId="3" borderId="10" xfId="0" applyFont="1" applyFill="1" applyBorder="1" applyAlignment="1" applyProtection="1">
      <alignment horizontal="left" vertical="center"/>
      <protection hidden="1"/>
    </xf>
    <xf numFmtId="0" fontId="4" fillId="3" borderId="17" xfId="0" applyFont="1" applyFill="1" applyBorder="1" applyAlignment="1" applyProtection="1">
      <alignment horizontal="center" vertical="center"/>
      <protection hidden="1"/>
    </xf>
    <xf numFmtId="222" fontId="4" fillId="3" borderId="10" xfId="0" applyNumberFormat="1" applyFont="1" applyFill="1" applyBorder="1" applyAlignment="1" applyProtection="1">
      <alignment horizontal="center" vertical="center"/>
      <protection hidden="1"/>
    </xf>
    <xf numFmtId="223" fontId="4" fillId="3" borderId="10" xfId="0" applyNumberFormat="1" applyFont="1" applyFill="1" applyBorder="1" applyAlignment="1" applyProtection="1">
      <alignment horizontal="center" vertical="center"/>
      <protection hidden="1"/>
    </xf>
    <xf numFmtId="221" fontId="4" fillId="3" borderId="17" xfId="0" applyNumberFormat="1" applyFont="1" applyFill="1" applyBorder="1" applyAlignment="1" applyProtection="1">
      <alignment horizontal="center" vertical="center"/>
      <protection hidden="1"/>
    </xf>
    <xf numFmtId="227" fontId="4" fillId="3" borderId="26" xfId="0" applyNumberFormat="1" applyFont="1" applyFill="1" applyBorder="1" applyAlignment="1" applyProtection="1">
      <alignment horizontal="center" vertical="center"/>
      <protection hidden="1"/>
    </xf>
    <xf numFmtId="177" fontId="4" fillId="3" borderId="26" xfId="0" applyNumberFormat="1" applyFont="1" applyFill="1" applyBorder="1" applyAlignment="1" applyProtection="1">
      <alignment horizontal="center" vertical="center"/>
      <protection hidden="1"/>
    </xf>
    <xf numFmtId="0" fontId="0" fillId="3" borderId="5" xfId="0" applyFill="1" applyBorder="1" applyAlignment="1" applyProtection="1">
      <alignment horizontal="center" vertical="center"/>
      <protection hidden="1"/>
    </xf>
    <xf numFmtId="4" fontId="6" fillId="12" borderId="54" xfId="0" applyNumberFormat="1" applyFont="1" applyFill="1" applyBorder="1" applyAlignment="1" applyProtection="1">
      <alignment horizontal="center" vertical="center"/>
      <protection hidden="1"/>
    </xf>
    <xf numFmtId="0" fontId="6" fillId="3" borderId="15" xfId="0" applyFont="1" applyFill="1" applyBorder="1" applyAlignment="1" applyProtection="1">
      <alignment horizontal="center" vertical="center"/>
      <protection hidden="1"/>
    </xf>
    <xf numFmtId="0" fontId="7" fillId="3" borderId="52" xfId="0" applyFont="1" applyFill="1" applyBorder="1" applyAlignment="1" applyProtection="1">
      <alignment horizontal="center" vertical="center"/>
      <protection hidden="1"/>
    </xf>
    <xf numFmtId="0" fontId="7" fillId="3" borderId="15" xfId="0" applyFont="1" applyFill="1" applyBorder="1" applyAlignment="1" applyProtection="1">
      <alignment horizontal="center" vertical="center"/>
      <protection hidden="1"/>
    </xf>
    <xf numFmtId="4" fontId="1" fillId="12" borderId="52" xfId="0" applyNumberFormat="1" applyFont="1" applyFill="1" applyBorder="1" applyAlignment="1" applyProtection="1">
      <alignment horizontal="center" vertical="center"/>
      <protection hidden="1"/>
    </xf>
    <xf numFmtId="4" fontId="83" fillId="12" borderId="15" xfId="0" applyNumberFormat="1" applyFont="1" applyFill="1" applyBorder="1" applyAlignment="1" applyProtection="1">
      <alignment horizontal="center" vertical="center"/>
      <protection hidden="1"/>
    </xf>
    <xf numFmtId="0" fontId="4" fillId="12" borderId="15" xfId="0" applyFont="1" applyFill="1" applyBorder="1" applyAlignment="1" applyProtection="1">
      <alignment horizontal="center" vertical="center"/>
      <protection hidden="1"/>
    </xf>
    <xf numFmtId="4" fontId="74" fillId="12" borderId="15" xfId="0" applyNumberFormat="1" applyFont="1" applyFill="1" applyBorder="1" applyAlignment="1" applyProtection="1">
      <alignment horizontal="center" vertical="center"/>
      <protection hidden="1"/>
    </xf>
    <xf numFmtId="0" fontId="6" fillId="12" borderId="54" xfId="0" applyFont="1" applyFill="1" applyBorder="1" applyAlignment="1" applyProtection="1">
      <alignment horizontal="center" vertical="center" wrapText="1"/>
      <protection hidden="1"/>
    </xf>
    <xf numFmtId="0" fontId="2" fillId="3" borderId="3" xfId="0" applyFont="1" applyFill="1" applyBorder="1" applyAlignment="1" applyProtection="1">
      <alignment horizontal="center" vertical="center"/>
      <protection hidden="1"/>
    </xf>
    <xf numFmtId="0" fontId="6" fillId="3" borderId="60" xfId="0" applyFont="1" applyFill="1" applyBorder="1" applyAlignment="1" applyProtection="1">
      <alignment horizontal="center" vertical="center" wrapText="1"/>
      <protection hidden="1"/>
    </xf>
    <xf numFmtId="176" fontId="6" fillId="3" borderId="53" xfId="1" applyNumberFormat="1" applyFont="1" applyFill="1" applyBorder="1" applyAlignment="1" applyProtection="1">
      <alignment horizontal="center" vertical="center"/>
      <protection locked="0"/>
    </xf>
    <xf numFmtId="4" fontId="7" fillId="3" borderId="1" xfId="0" applyNumberFormat="1" applyFont="1" applyFill="1" applyBorder="1" applyAlignment="1" applyProtection="1">
      <alignment vertical="center" wrapText="1"/>
      <protection hidden="1"/>
    </xf>
    <xf numFmtId="17" fontId="0" fillId="3" borderId="1" xfId="0" applyNumberFormat="1" applyFill="1" applyBorder="1" applyAlignment="1" applyProtection="1">
      <alignment horizontal="left" vertical="center"/>
      <protection hidden="1"/>
    </xf>
    <xf numFmtId="0" fontId="4" fillId="3" borderId="1" xfId="0" applyFont="1" applyFill="1" applyBorder="1" applyAlignment="1" applyProtection="1">
      <alignment horizontal="left" vertical="center"/>
      <protection hidden="1"/>
    </xf>
    <xf numFmtId="176" fontId="4" fillId="3" borderId="25" xfId="1" applyNumberFormat="1" applyFont="1" applyFill="1" applyBorder="1" applyAlignment="1" applyProtection="1">
      <alignment horizontal="center" vertical="center"/>
      <protection locked="0"/>
    </xf>
    <xf numFmtId="222" fontId="4" fillId="3" borderId="1" xfId="0" applyNumberFormat="1" applyFont="1" applyFill="1" applyBorder="1" applyAlignment="1" applyProtection="1">
      <alignment horizontal="center" vertical="center"/>
      <protection hidden="1"/>
    </xf>
    <xf numFmtId="222" fontId="4" fillId="3" borderId="25" xfId="0" applyNumberFormat="1" applyFont="1" applyFill="1" applyBorder="1" applyAlignment="1" applyProtection="1">
      <alignment horizontal="center" vertical="center"/>
      <protection hidden="1"/>
    </xf>
    <xf numFmtId="221" fontId="4" fillId="3" borderId="5" xfId="0" applyNumberFormat="1" applyFont="1" applyFill="1" applyBorder="1" applyAlignment="1" applyProtection="1">
      <alignment horizontal="center" vertical="center"/>
      <protection hidden="1"/>
    </xf>
    <xf numFmtId="177" fontId="4" fillId="3" borderId="14" xfId="0" applyNumberFormat="1" applyFont="1" applyFill="1" applyBorder="1" applyAlignment="1" applyProtection="1">
      <alignment horizontal="center" vertical="center"/>
      <protection hidden="1"/>
    </xf>
    <xf numFmtId="0" fontId="0" fillId="3" borderId="30" xfId="0" applyFill="1" applyBorder="1" applyAlignment="1" applyProtection="1">
      <alignment horizontal="center" vertical="center"/>
      <protection hidden="1"/>
    </xf>
    <xf numFmtId="0" fontId="0" fillId="12" borderId="9" xfId="0" applyFill="1" applyBorder="1" applyAlignment="1" applyProtection="1">
      <alignment vertical="center"/>
      <protection hidden="1"/>
    </xf>
    <xf numFmtId="0" fontId="7" fillId="3" borderId="50" xfId="0" applyFont="1" applyFill="1" applyBorder="1" applyAlignment="1" applyProtection="1">
      <alignment horizontal="center" vertical="center"/>
      <protection hidden="1"/>
    </xf>
    <xf numFmtId="0" fontId="7" fillId="3" borderId="9" xfId="0" applyFont="1" applyFill="1" applyBorder="1" applyAlignment="1" applyProtection="1">
      <alignment horizontal="center" vertical="center"/>
      <protection hidden="1"/>
    </xf>
    <xf numFmtId="4" fontId="0" fillId="12" borderId="9" xfId="0" applyNumberFormat="1" applyFill="1" applyBorder="1" applyAlignment="1" applyProtection="1">
      <alignment horizontal="center" vertical="center"/>
      <protection hidden="1"/>
    </xf>
    <xf numFmtId="4" fontId="83" fillId="12" borderId="50" xfId="0" applyNumberFormat="1" applyFont="1" applyFill="1" applyBorder="1" applyAlignment="1" applyProtection="1">
      <alignment horizontal="center" vertical="center"/>
      <protection hidden="1"/>
    </xf>
    <xf numFmtId="0" fontId="0" fillId="12" borderId="50" xfId="0" applyFill="1" applyBorder="1" applyAlignment="1" applyProtection="1">
      <alignment horizontal="center" vertical="center"/>
      <protection hidden="1"/>
    </xf>
    <xf numFmtId="4" fontId="74" fillId="12" borderId="50" xfId="0" applyNumberFormat="1" applyFont="1" applyFill="1" applyBorder="1" applyAlignment="1" applyProtection="1">
      <alignment horizontal="center" vertical="center"/>
      <protection hidden="1"/>
    </xf>
    <xf numFmtId="0" fontId="7" fillId="12" borderId="9" xfId="0" applyFont="1" applyFill="1" applyBorder="1" applyAlignment="1" applyProtection="1">
      <alignment horizontal="center" vertical="center" wrapText="1"/>
      <protection hidden="1"/>
    </xf>
    <xf numFmtId="0" fontId="0" fillId="3" borderId="3" xfId="0" applyFill="1" applyBorder="1" applyAlignment="1" applyProtection="1">
      <alignment horizontal="center" vertical="center"/>
      <protection hidden="1"/>
    </xf>
    <xf numFmtId="0" fontId="0" fillId="3" borderId="47" xfId="0" applyFill="1" applyBorder="1" applyAlignment="1" applyProtection="1">
      <alignment horizontal="center" vertical="center" wrapText="1"/>
      <protection hidden="1"/>
    </xf>
    <xf numFmtId="0" fontId="0" fillId="3" borderId="19" xfId="0" applyFill="1" applyBorder="1" applyAlignment="1" applyProtection="1">
      <alignment vertical="center"/>
      <protection hidden="1"/>
    </xf>
    <xf numFmtId="0" fontId="4" fillId="3" borderId="22" xfId="0" applyFont="1" applyFill="1" applyBorder="1" applyAlignment="1" applyProtection="1">
      <alignment horizontal="center" vertical="center"/>
      <protection hidden="1"/>
    </xf>
    <xf numFmtId="0" fontId="4" fillId="3" borderId="10" xfId="0" applyFont="1" applyFill="1" applyBorder="1" applyAlignment="1" applyProtection="1">
      <alignment horizontal="center" vertical="center"/>
      <protection hidden="1"/>
    </xf>
    <xf numFmtId="0" fontId="0" fillId="3" borderId="32" xfId="0" applyFill="1" applyBorder="1" applyAlignment="1" applyProtection="1">
      <alignment horizontal="center" vertical="center"/>
      <protection hidden="1"/>
    </xf>
    <xf numFmtId="1" fontId="0" fillId="3" borderId="1" xfId="0" applyNumberFormat="1" applyFill="1" applyBorder="1" applyAlignment="1" applyProtection="1">
      <alignment horizontal="left" vertical="center"/>
      <protection hidden="1"/>
    </xf>
    <xf numFmtId="176" fontId="7" fillId="12" borderId="5" xfId="1" applyNumberFormat="1" applyFont="1" applyFill="1" applyBorder="1" applyAlignment="1" applyProtection="1">
      <alignment horizontal="center" vertical="center"/>
      <protection locked="0"/>
    </xf>
    <xf numFmtId="231" fontId="7" fillId="3" borderId="14" xfId="0" applyNumberFormat="1" applyFont="1" applyFill="1" applyBorder="1" applyAlignment="1" applyProtection="1">
      <alignment horizontal="center" vertical="center"/>
      <protection hidden="1"/>
    </xf>
    <xf numFmtId="222" fontId="7" fillId="3" borderId="25" xfId="0" applyNumberFormat="1" applyFont="1" applyFill="1" applyBorder="1" applyAlignment="1" applyProtection="1">
      <alignment horizontal="center" vertical="center"/>
      <protection hidden="1"/>
    </xf>
    <xf numFmtId="221" fontId="7" fillId="3" borderId="14" xfId="0" applyNumberFormat="1" applyFont="1" applyFill="1" applyBorder="1" applyAlignment="1" applyProtection="1">
      <alignment horizontal="center" vertical="center"/>
      <protection hidden="1"/>
    </xf>
    <xf numFmtId="221" fontId="7" fillId="12" borderId="25" xfId="0" applyNumberFormat="1" applyFont="1" applyFill="1" applyBorder="1" applyAlignment="1" applyProtection="1">
      <alignment horizontal="center" vertical="center"/>
      <protection hidden="1"/>
    </xf>
    <xf numFmtId="221" fontId="84" fillId="12" borderId="14" xfId="0" applyNumberFormat="1" applyFont="1" applyFill="1" applyBorder="1" applyAlignment="1" applyProtection="1">
      <alignment horizontal="center" vertical="center"/>
      <protection hidden="1"/>
    </xf>
    <xf numFmtId="9" fontId="0" fillId="12" borderId="14" xfId="0" applyNumberFormat="1" applyFill="1" applyBorder="1" applyAlignment="1" applyProtection="1">
      <alignment horizontal="center" vertical="center"/>
      <protection hidden="1"/>
    </xf>
    <xf numFmtId="221" fontId="82" fillId="12" borderId="14" xfId="0" applyNumberFormat="1" applyFont="1" applyFill="1" applyBorder="1" applyAlignment="1" applyProtection="1">
      <alignment horizontal="center" vertical="center"/>
      <protection hidden="1"/>
    </xf>
    <xf numFmtId="222" fontId="7" fillId="12" borderId="25" xfId="0" applyNumberFormat="1" applyFont="1" applyFill="1" applyBorder="1" applyAlignment="1" applyProtection="1">
      <alignment horizontal="center" vertical="center"/>
      <protection hidden="1"/>
    </xf>
    <xf numFmtId="164" fontId="0" fillId="3" borderId="26" xfId="0" applyNumberFormat="1" applyFill="1" applyBorder="1" applyAlignment="1" applyProtection="1">
      <alignment horizontal="center" vertical="center"/>
      <protection hidden="1"/>
    </xf>
    <xf numFmtId="10" fontId="7" fillId="3" borderId="13" xfId="11" applyNumberFormat="1" applyFont="1" applyFill="1" applyBorder="1" applyAlignment="1" applyProtection="1">
      <alignment horizontal="center" vertical="center"/>
      <protection locked="0"/>
    </xf>
    <xf numFmtId="4" fontId="0" fillId="3" borderId="4" xfId="0" applyNumberFormat="1" applyFill="1" applyBorder="1" applyAlignment="1" applyProtection="1">
      <alignment horizontal="center" vertical="center"/>
      <protection hidden="1"/>
    </xf>
    <xf numFmtId="170" fontId="0" fillId="3" borderId="1" xfId="0" applyNumberFormat="1" applyFill="1" applyBorder="1" applyAlignment="1" applyProtection="1">
      <alignment horizontal="center" vertical="center"/>
      <protection hidden="1"/>
    </xf>
    <xf numFmtId="164" fontId="0" fillId="3" borderId="5" xfId="0" applyNumberFormat="1" applyFill="1" applyBorder="1" applyAlignment="1" applyProtection="1">
      <alignment horizontal="center" vertical="center"/>
      <protection hidden="1"/>
    </xf>
    <xf numFmtId="0" fontId="0" fillId="3" borderId="16" xfId="0" applyFill="1" applyBorder="1" applyAlignment="1" applyProtection="1">
      <alignment horizontal="center" vertical="center"/>
      <protection hidden="1"/>
    </xf>
    <xf numFmtId="164" fontId="7" fillId="3" borderId="14" xfId="0" applyNumberFormat="1" applyFont="1" applyFill="1" applyBorder="1" applyAlignment="1" applyProtection="1">
      <alignment horizontal="center" vertical="center"/>
      <protection hidden="1"/>
    </xf>
    <xf numFmtId="0" fontId="0" fillId="3" borderId="16" xfId="0" applyFill="1" applyBorder="1" applyAlignment="1" applyProtection="1">
      <alignment vertical="center"/>
      <protection hidden="1"/>
    </xf>
    <xf numFmtId="221" fontId="4" fillId="3" borderId="6" xfId="0" applyNumberFormat="1" applyFont="1" applyFill="1" applyBorder="1" applyAlignment="1" applyProtection="1">
      <alignment horizontal="center" vertical="center"/>
      <protection hidden="1"/>
    </xf>
    <xf numFmtId="9" fontId="1" fillId="0" borderId="1" xfId="11" applyFont="1" applyFill="1" applyBorder="1" applyAlignment="1" applyProtection="1">
      <alignment horizontal="center" vertical="center"/>
      <protection hidden="1"/>
    </xf>
    <xf numFmtId="0" fontId="4" fillId="3" borderId="81" xfId="0" applyFont="1" applyFill="1" applyBorder="1" applyAlignment="1" applyProtection="1">
      <alignment horizontal="left" vertical="center"/>
      <protection hidden="1"/>
    </xf>
    <xf numFmtId="176" fontId="4" fillId="3" borderId="88" xfId="1" applyNumberFormat="1" applyFont="1" applyFill="1" applyBorder="1" applyAlignment="1" applyProtection="1">
      <alignment horizontal="center" vertical="center"/>
      <protection locked="0"/>
    </xf>
    <xf numFmtId="222" fontId="4" fillId="3" borderId="81" xfId="0" applyNumberFormat="1" applyFont="1" applyFill="1" applyBorder="1" applyAlignment="1" applyProtection="1">
      <alignment horizontal="center" vertical="center"/>
      <protection hidden="1"/>
    </xf>
    <xf numFmtId="222" fontId="4" fillId="3" borderId="88" xfId="0" applyNumberFormat="1" applyFont="1" applyFill="1" applyBorder="1" applyAlignment="1" applyProtection="1">
      <alignment horizontal="center" vertical="center"/>
      <protection hidden="1"/>
    </xf>
    <xf numFmtId="221" fontId="4" fillId="3" borderId="100" xfId="0" applyNumberFormat="1" applyFont="1" applyFill="1" applyBorder="1" applyAlignment="1" applyProtection="1">
      <alignment horizontal="center" vertical="center"/>
      <protection hidden="1"/>
    </xf>
    <xf numFmtId="177" fontId="4" fillId="3" borderId="95" xfId="0" applyNumberFormat="1" applyFont="1" applyFill="1" applyBorder="1" applyAlignment="1" applyProtection="1">
      <alignment horizontal="center" vertical="center"/>
      <protection hidden="1"/>
    </xf>
    <xf numFmtId="0" fontId="4" fillId="3" borderId="87" xfId="0" applyFont="1" applyFill="1" applyBorder="1" applyAlignment="1" applyProtection="1">
      <alignment horizontal="left" vertical="center"/>
      <protection hidden="1"/>
    </xf>
    <xf numFmtId="176" fontId="4" fillId="3" borderId="99" xfId="1" applyNumberFormat="1" applyFont="1" applyFill="1" applyBorder="1" applyAlignment="1" applyProtection="1">
      <alignment horizontal="center" vertical="center"/>
      <protection locked="0"/>
    </xf>
    <xf numFmtId="222" fontId="4" fillId="3" borderId="86" xfId="0" applyNumberFormat="1" applyFont="1" applyFill="1" applyBorder="1" applyAlignment="1" applyProtection="1">
      <alignment horizontal="center" vertical="center"/>
      <protection hidden="1"/>
    </xf>
    <xf numFmtId="222" fontId="4" fillId="3" borderId="101" xfId="0" applyNumberFormat="1" applyFont="1" applyFill="1" applyBorder="1" applyAlignment="1" applyProtection="1">
      <alignment horizontal="center" vertical="center"/>
      <protection hidden="1"/>
    </xf>
    <xf numFmtId="221" fontId="4" fillId="3" borderId="102" xfId="0" applyNumberFormat="1" applyFont="1" applyFill="1" applyBorder="1" applyAlignment="1" applyProtection="1">
      <alignment horizontal="center" vertical="center"/>
      <protection hidden="1"/>
    </xf>
    <xf numFmtId="177" fontId="4" fillId="3" borderId="103" xfId="0" applyNumberFormat="1" applyFont="1" applyFill="1" applyBorder="1" applyAlignment="1" applyProtection="1">
      <alignment horizontal="center" vertical="center"/>
      <protection hidden="1"/>
    </xf>
    <xf numFmtId="1" fontId="0" fillId="3" borderId="81" xfId="0" applyNumberFormat="1" applyFill="1" applyBorder="1" applyAlignment="1" applyProtection="1">
      <alignment horizontal="left" vertical="center"/>
      <protection hidden="1"/>
    </xf>
    <xf numFmtId="176" fontId="7" fillId="12" borderId="89" xfId="1" applyNumberFormat="1" applyFont="1" applyFill="1" applyBorder="1" applyAlignment="1" applyProtection="1">
      <alignment horizontal="center" vertical="center"/>
      <protection locked="0"/>
    </xf>
    <xf numFmtId="231" fontId="7" fillId="3" borderId="95" xfId="0" applyNumberFormat="1" applyFont="1" applyFill="1" applyBorder="1" applyAlignment="1" applyProtection="1">
      <alignment horizontal="center" vertical="center"/>
      <protection hidden="1"/>
    </xf>
    <xf numFmtId="222" fontId="7" fillId="3" borderId="88" xfId="0" applyNumberFormat="1" applyFont="1" applyFill="1" applyBorder="1" applyAlignment="1" applyProtection="1">
      <alignment horizontal="center" vertical="center"/>
      <protection hidden="1"/>
    </xf>
    <xf numFmtId="221" fontId="7" fillId="3" borderId="95" xfId="0" applyNumberFormat="1" applyFont="1" applyFill="1" applyBorder="1" applyAlignment="1" applyProtection="1">
      <alignment horizontal="center" vertical="center"/>
      <protection hidden="1"/>
    </xf>
    <xf numFmtId="221" fontId="7" fillId="12" borderId="88" xfId="0" applyNumberFormat="1" applyFont="1" applyFill="1" applyBorder="1" applyAlignment="1" applyProtection="1">
      <alignment horizontal="center" vertical="center"/>
      <protection hidden="1"/>
    </xf>
    <xf numFmtId="221" fontId="84" fillId="12" borderId="95" xfId="0" applyNumberFormat="1" applyFont="1" applyFill="1" applyBorder="1" applyAlignment="1" applyProtection="1">
      <alignment horizontal="center" vertical="center"/>
      <protection hidden="1"/>
    </xf>
    <xf numFmtId="9" fontId="0" fillId="12" borderId="95" xfId="0" applyNumberFormat="1" applyFill="1" applyBorder="1" applyAlignment="1" applyProtection="1">
      <alignment horizontal="center" vertical="center"/>
      <protection hidden="1"/>
    </xf>
    <xf numFmtId="221" fontId="82" fillId="12" borderId="95" xfId="0" applyNumberFormat="1" applyFont="1" applyFill="1" applyBorder="1" applyAlignment="1" applyProtection="1">
      <alignment horizontal="center" vertical="center"/>
      <protection hidden="1"/>
    </xf>
    <xf numFmtId="222" fontId="7" fillId="12" borderId="88" xfId="0" applyNumberFormat="1" applyFont="1" applyFill="1" applyBorder="1" applyAlignment="1" applyProtection="1">
      <alignment horizontal="center" vertical="center"/>
      <protection hidden="1"/>
    </xf>
    <xf numFmtId="164" fontId="7" fillId="12" borderId="14" xfId="0" applyNumberFormat="1" applyFont="1" applyFill="1" applyBorder="1" applyAlignment="1" applyProtection="1">
      <alignment horizontal="center" vertical="center"/>
      <protection hidden="1"/>
    </xf>
    <xf numFmtId="10" fontId="7" fillId="3" borderId="91" xfId="11" applyNumberFormat="1" applyFont="1" applyFill="1" applyBorder="1" applyAlignment="1" applyProtection="1">
      <alignment horizontal="center" vertical="center"/>
      <protection locked="0"/>
    </xf>
    <xf numFmtId="4" fontId="7" fillId="3" borderId="81" xfId="0" applyNumberFormat="1" applyFont="1" applyFill="1" applyBorder="1" applyAlignment="1" applyProtection="1">
      <alignment vertical="center" wrapText="1"/>
      <protection hidden="1"/>
    </xf>
    <xf numFmtId="0" fontId="4" fillId="3" borderId="19" xfId="0" applyFont="1" applyFill="1" applyBorder="1" applyAlignment="1" applyProtection="1">
      <alignment horizontal="left" vertical="center"/>
      <protection hidden="1"/>
    </xf>
    <xf numFmtId="176" fontId="4" fillId="3" borderId="9" xfId="1" applyNumberFormat="1" applyFont="1" applyFill="1" applyBorder="1" applyAlignment="1" applyProtection="1">
      <alignment horizontal="center" vertical="center"/>
      <protection locked="0"/>
    </xf>
    <xf numFmtId="222" fontId="4" fillId="3" borderId="19" xfId="0" applyNumberFormat="1" applyFont="1" applyFill="1" applyBorder="1" applyAlignment="1" applyProtection="1">
      <alignment horizontal="center" vertical="center"/>
      <protection hidden="1"/>
    </xf>
    <xf numFmtId="222" fontId="4" fillId="3" borderId="9" xfId="0" applyNumberFormat="1" applyFont="1" applyFill="1" applyBorder="1" applyAlignment="1" applyProtection="1">
      <alignment horizontal="center" vertical="center"/>
      <protection hidden="1"/>
    </xf>
    <xf numFmtId="221" fontId="4" fillId="3" borderId="21" xfId="0" applyNumberFormat="1" applyFont="1" applyFill="1" applyBorder="1" applyAlignment="1" applyProtection="1">
      <alignment horizontal="center" vertical="center"/>
      <protection hidden="1"/>
    </xf>
    <xf numFmtId="177" fontId="4" fillId="3" borderId="50" xfId="0" applyNumberFormat="1" applyFont="1" applyFill="1" applyBorder="1" applyAlignment="1" applyProtection="1">
      <alignment horizontal="center" vertical="center"/>
      <protection hidden="1"/>
    </xf>
    <xf numFmtId="9" fontId="1" fillId="0" borderId="81" xfId="11" applyFont="1" applyFill="1" applyBorder="1" applyAlignment="1" applyProtection="1">
      <alignment horizontal="center" vertical="center"/>
      <protection hidden="1"/>
    </xf>
    <xf numFmtId="1" fontId="0" fillId="3" borderId="86" xfId="0" applyNumberFormat="1" applyFill="1" applyBorder="1" applyAlignment="1" applyProtection="1">
      <alignment horizontal="left" vertical="center"/>
      <protection hidden="1"/>
    </xf>
    <xf numFmtId="176" fontId="7" fillId="12" borderId="99" xfId="1" applyNumberFormat="1" applyFont="1" applyFill="1" applyBorder="1" applyAlignment="1" applyProtection="1">
      <alignment horizontal="center" vertical="center"/>
      <protection locked="0"/>
    </xf>
    <xf numFmtId="231" fontId="7" fillId="3" borderId="97" xfId="0" applyNumberFormat="1" applyFont="1" applyFill="1" applyBorder="1" applyAlignment="1" applyProtection="1">
      <alignment horizontal="center" vertical="center"/>
      <protection hidden="1"/>
    </xf>
    <xf numFmtId="222" fontId="7" fillId="3" borderId="90" xfId="0" applyNumberFormat="1" applyFont="1" applyFill="1" applyBorder="1" applyAlignment="1" applyProtection="1">
      <alignment horizontal="center" vertical="center"/>
      <protection hidden="1"/>
    </xf>
    <xf numFmtId="221" fontId="7" fillId="3" borderId="97" xfId="0" applyNumberFormat="1" applyFont="1" applyFill="1" applyBorder="1" applyAlignment="1" applyProtection="1">
      <alignment horizontal="center" vertical="center"/>
      <protection hidden="1"/>
    </xf>
    <xf numFmtId="221" fontId="7" fillId="12" borderId="101" xfId="0" applyNumberFormat="1" applyFont="1" applyFill="1" applyBorder="1" applyAlignment="1" applyProtection="1">
      <alignment horizontal="center" vertical="center"/>
      <protection hidden="1"/>
    </xf>
    <xf numFmtId="221" fontId="84" fillId="12" borderId="103" xfId="0" applyNumberFormat="1" applyFont="1" applyFill="1" applyBorder="1" applyAlignment="1" applyProtection="1">
      <alignment horizontal="center" vertical="center"/>
      <protection hidden="1"/>
    </xf>
    <xf numFmtId="9" fontId="0" fillId="12" borderId="103" xfId="0" applyNumberFormat="1" applyFill="1" applyBorder="1" applyAlignment="1" applyProtection="1">
      <alignment horizontal="center" vertical="center"/>
      <protection hidden="1"/>
    </xf>
    <xf numFmtId="221" fontId="82" fillId="12" borderId="103" xfId="0" applyNumberFormat="1" applyFont="1" applyFill="1" applyBorder="1" applyAlignment="1" applyProtection="1">
      <alignment horizontal="center" vertical="center"/>
      <protection hidden="1"/>
    </xf>
    <xf numFmtId="222" fontId="7" fillId="12" borderId="101" xfId="0" applyNumberFormat="1" applyFont="1" applyFill="1" applyBorder="1" applyAlignment="1" applyProtection="1">
      <alignment horizontal="center" vertical="center"/>
      <protection hidden="1"/>
    </xf>
    <xf numFmtId="164" fontId="7" fillId="3" borderId="97" xfId="0" applyNumberFormat="1" applyFont="1" applyFill="1" applyBorder="1" applyAlignment="1" applyProtection="1">
      <alignment horizontal="center" vertical="center"/>
      <protection hidden="1"/>
    </xf>
    <xf numFmtId="10" fontId="7" fillId="3" borderId="92" xfId="11" applyNumberFormat="1" applyFont="1" applyFill="1" applyBorder="1" applyAlignment="1" applyProtection="1">
      <alignment horizontal="center" vertical="center"/>
      <protection locked="0"/>
    </xf>
    <xf numFmtId="4" fontId="7" fillId="3" borderId="87" xfId="0" applyNumberFormat="1" applyFont="1" applyFill="1" applyBorder="1" applyAlignment="1" applyProtection="1">
      <alignment vertical="center" wrapText="1"/>
      <protection hidden="1"/>
    </xf>
    <xf numFmtId="9" fontId="1" fillId="0" borderId="87" xfId="11" applyFont="1" applyFill="1" applyBorder="1" applyAlignment="1" applyProtection="1">
      <alignment horizontal="center" vertical="center"/>
      <protection hidden="1"/>
    </xf>
    <xf numFmtId="4" fontId="72" fillId="13" borderId="0" xfId="0" applyNumberFormat="1" applyFont="1" applyFill="1" applyBorder="1" applyAlignment="1" applyProtection="1">
      <alignment horizontal="center" vertical="center"/>
      <protection hidden="1"/>
    </xf>
    <xf numFmtId="4" fontId="71" fillId="13" borderId="0" xfId="0" applyNumberFormat="1" applyFont="1" applyFill="1" applyBorder="1" applyAlignment="1" applyProtection="1">
      <alignment horizontal="center" vertical="center"/>
      <protection hidden="1"/>
    </xf>
    <xf numFmtId="1" fontId="0" fillId="3" borderId="19" xfId="0" applyNumberFormat="1" applyFill="1" applyBorder="1" applyAlignment="1" applyProtection="1">
      <alignment horizontal="left" vertical="center"/>
      <protection hidden="1"/>
    </xf>
    <xf numFmtId="176" fontId="7" fillId="12" borderId="9" xfId="1" applyNumberFormat="1" applyFont="1" applyFill="1" applyBorder="1" applyAlignment="1" applyProtection="1">
      <alignment horizontal="center" vertical="center"/>
      <protection locked="0"/>
    </xf>
    <xf numFmtId="231" fontId="7" fillId="3" borderId="50" xfId="0" applyNumberFormat="1" applyFont="1" applyFill="1" applyBorder="1" applyAlignment="1" applyProtection="1">
      <alignment horizontal="center" vertical="center"/>
      <protection hidden="1"/>
    </xf>
    <xf numFmtId="222" fontId="7" fillId="3" borderId="9" xfId="0" applyNumberFormat="1" applyFont="1" applyFill="1" applyBorder="1" applyAlignment="1" applyProtection="1">
      <alignment horizontal="center" vertical="center"/>
      <protection hidden="1"/>
    </xf>
    <xf numFmtId="221" fontId="7" fillId="3" borderId="50" xfId="0" applyNumberFormat="1" applyFont="1" applyFill="1" applyBorder="1" applyAlignment="1" applyProtection="1">
      <alignment horizontal="center" vertical="center"/>
      <protection hidden="1"/>
    </xf>
    <xf numFmtId="221" fontId="7" fillId="12" borderId="9" xfId="0" applyNumberFormat="1" applyFont="1" applyFill="1" applyBorder="1" applyAlignment="1" applyProtection="1">
      <alignment horizontal="center" vertical="center"/>
      <protection hidden="1"/>
    </xf>
    <xf numFmtId="221" fontId="84" fillId="12" borderId="50" xfId="0" applyNumberFormat="1" applyFont="1" applyFill="1" applyBorder="1" applyAlignment="1" applyProtection="1">
      <alignment horizontal="center" vertical="center"/>
      <protection hidden="1"/>
    </xf>
    <xf numFmtId="9" fontId="0" fillId="12" borderId="50" xfId="0" applyNumberFormat="1" applyFill="1" applyBorder="1" applyAlignment="1" applyProtection="1">
      <alignment horizontal="center" vertical="center"/>
      <protection hidden="1"/>
    </xf>
    <xf numFmtId="221" fontId="82" fillId="12" borderId="50" xfId="0" applyNumberFormat="1" applyFont="1" applyFill="1" applyBorder="1" applyAlignment="1" applyProtection="1">
      <alignment horizontal="center" vertical="center"/>
      <protection hidden="1"/>
    </xf>
    <xf numFmtId="222" fontId="7" fillId="12" borderId="9" xfId="0" applyNumberFormat="1" applyFont="1" applyFill="1" applyBorder="1" applyAlignment="1" applyProtection="1">
      <alignment horizontal="center" vertical="center"/>
      <protection hidden="1"/>
    </xf>
    <xf numFmtId="164" fontId="7" fillId="3" borderId="50" xfId="0" applyNumberFormat="1" applyFont="1" applyFill="1" applyBorder="1" applyAlignment="1" applyProtection="1">
      <alignment horizontal="center" vertical="center"/>
      <protection hidden="1"/>
    </xf>
    <xf numFmtId="10" fontId="7" fillId="3" borderId="47" xfId="11" applyNumberFormat="1" applyFont="1" applyFill="1" applyBorder="1" applyAlignment="1" applyProtection="1">
      <alignment horizontal="center" vertical="center"/>
      <protection locked="0"/>
    </xf>
    <xf numFmtId="4" fontId="7" fillId="3" borderId="19" xfId="0" applyNumberFormat="1" applyFont="1" applyFill="1" applyBorder="1" applyAlignment="1" applyProtection="1">
      <alignment vertical="center" wrapText="1"/>
      <protection hidden="1"/>
    </xf>
    <xf numFmtId="4" fontId="23" fillId="12" borderId="0" xfId="0" applyNumberFormat="1" applyFont="1" applyFill="1" applyBorder="1" applyAlignment="1" applyProtection="1">
      <alignment vertical="center"/>
      <protection hidden="1"/>
    </xf>
    <xf numFmtId="9" fontId="1" fillId="0" borderId="19" xfId="11" applyFont="1" applyFill="1" applyBorder="1" applyAlignment="1" applyProtection="1">
      <alignment horizontal="center" vertical="center"/>
      <protection hidden="1"/>
    </xf>
    <xf numFmtId="218" fontId="70" fillId="13" borderId="0" xfId="11" applyNumberFormat="1" applyFont="1" applyFill="1" applyBorder="1" applyAlignment="1" applyProtection="1">
      <alignment horizontal="center" vertical="center"/>
      <protection hidden="1"/>
    </xf>
    <xf numFmtId="176" fontId="7" fillId="12" borderId="25" xfId="1" applyNumberFormat="1" applyFont="1" applyFill="1" applyBorder="1" applyAlignment="1" applyProtection="1">
      <alignment horizontal="center" vertical="center"/>
      <protection locked="0"/>
    </xf>
    <xf numFmtId="170" fontId="70" fillId="13" borderId="0" xfId="21" applyNumberFormat="1" applyFont="1" applyFill="1" applyBorder="1" applyAlignment="1" applyProtection="1">
      <alignment horizontal="center" vertical="center"/>
      <protection hidden="1"/>
    </xf>
    <xf numFmtId="9" fontId="70" fillId="13" borderId="0" xfId="11" applyFont="1" applyFill="1" applyBorder="1" applyAlignment="1" applyProtection="1">
      <alignment horizontal="center" vertical="center"/>
      <protection hidden="1"/>
    </xf>
    <xf numFmtId="165" fontId="70" fillId="13" borderId="0" xfId="21" applyFont="1" applyFill="1" applyBorder="1" applyAlignment="1" applyProtection="1">
      <alignment vertical="center"/>
      <protection hidden="1"/>
    </xf>
    <xf numFmtId="9" fontId="70" fillId="13" borderId="0" xfId="11" applyFont="1" applyFill="1" applyBorder="1" applyAlignment="1" applyProtection="1">
      <alignment vertical="center"/>
      <protection hidden="1"/>
    </xf>
    <xf numFmtId="164" fontId="7" fillId="3" borderId="95" xfId="0" applyNumberFormat="1" applyFont="1" applyFill="1" applyBorder="1" applyAlignment="1" applyProtection="1">
      <alignment horizontal="center" vertical="center"/>
      <protection hidden="1"/>
    </xf>
    <xf numFmtId="222" fontId="4" fillId="3" borderId="5" xfId="0" applyNumberFormat="1" applyFont="1" applyFill="1" applyBorder="1" applyAlignment="1" applyProtection="1">
      <alignment horizontal="center" vertical="center"/>
      <protection hidden="1"/>
    </xf>
    <xf numFmtId="0" fontId="4" fillId="3" borderId="42" xfId="0" applyFont="1" applyFill="1" applyBorder="1" applyAlignment="1" applyProtection="1">
      <alignment horizontal="left" vertical="center"/>
      <protection hidden="1"/>
    </xf>
    <xf numFmtId="176" fontId="4" fillId="3" borderId="85" xfId="1" applyNumberFormat="1" applyFont="1" applyFill="1" applyBorder="1" applyAlignment="1" applyProtection="1">
      <alignment horizontal="center" vertical="center"/>
      <protection locked="0"/>
    </xf>
    <xf numFmtId="222" fontId="4" fillId="3" borderId="42" xfId="0" applyNumberFormat="1" applyFont="1" applyFill="1" applyBorder="1" applyAlignment="1" applyProtection="1">
      <alignment horizontal="center" vertical="center"/>
      <protection hidden="1"/>
    </xf>
    <xf numFmtId="222" fontId="4" fillId="3" borderId="18" xfId="0" applyNumberFormat="1" applyFont="1" applyFill="1" applyBorder="1" applyAlignment="1" applyProtection="1">
      <alignment horizontal="center" vertical="center"/>
      <protection hidden="1"/>
    </xf>
    <xf numFmtId="221" fontId="4" fillId="3" borderId="7" xfId="0" applyNumberFormat="1" applyFont="1" applyFill="1" applyBorder="1" applyAlignment="1" applyProtection="1">
      <alignment horizontal="center" vertical="center"/>
      <protection hidden="1"/>
    </xf>
    <xf numFmtId="177" fontId="4" fillId="3" borderId="27" xfId="0" applyNumberFormat="1" applyFont="1" applyFill="1" applyBorder="1" applyAlignment="1" applyProtection="1">
      <alignment horizontal="center" vertical="center"/>
      <protection hidden="1"/>
    </xf>
    <xf numFmtId="164" fontId="0" fillId="3" borderId="14" xfId="0" applyNumberFormat="1" applyFill="1" applyBorder="1" applyAlignment="1" applyProtection="1">
      <alignment horizontal="center" vertical="center"/>
      <protection hidden="1"/>
    </xf>
    <xf numFmtId="0" fontId="7" fillId="3" borderId="1" xfId="0" applyFont="1" applyFill="1" applyBorder="1" applyAlignment="1" applyProtection="1">
      <alignment vertical="center"/>
      <protection hidden="1"/>
    </xf>
    <xf numFmtId="49" fontId="7" fillId="12" borderId="1" xfId="0" applyNumberFormat="1" applyFont="1" applyFill="1" applyBorder="1" applyAlignment="1" applyProtection="1">
      <alignment vertical="center" wrapText="1"/>
      <protection hidden="1"/>
    </xf>
    <xf numFmtId="0" fontId="2" fillId="3" borderId="67" xfId="0" applyFont="1" applyFill="1" applyBorder="1" applyAlignment="1" applyProtection="1">
      <alignment horizontal="left" vertical="center"/>
      <protection hidden="1"/>
    </xf>
    <xf numFmtId="176" fontId="2" fillId="3" borderId="0" xfId="1" applyNumberFormat="1" applyFont="1" applyFill="1" applyBorder="1" applyAlignment="1" applyProtection="1">
      <alignment horizontal="center" vertical="center"/>
      <protection locked="0"/>
    </xf>
    <xf numFmtId="222" fontId="2" fillId="15" borderId="69" xfId="0" applyNumberFormat="1" applyFont="1" applyFill="1" applyBorder="1" applyAlignment="1" applyProtection="1">
      <alignment horizontal="center" vertical="center"/>
      <protection hidden="1"/>
    </xf>
    <xf numFmtId="223" fontId="2" fillId="3" borderId="61" xfId="0" applyNumberFormat="1" applyFont="1" applyFill="1" applyBorder="1" applyAlignment="1" applyProtection="1">
      <alignment horizontal="center" vertical="center"/>
      <protection hidden="1"/>
    </xf>
    <xf numFmtId="222" fontId="2" fillId="3" borderId="69" xfId="0" applyNumberFormat="1" applyFont="1" applyFill="1" applyBorder="1" applyAlignment="1" applyProtection="1">
      <alignment horizontal="center" vertical="center"/>
      <protection hidden="1"/>
    </xf>
    <xf numFmtId="225" fontId="2" fillId="3" borderId="3" xfId="0" applyNumberFormat="1" applyFont="1" applyFill="1" applyBorder="1" applyAlignment="1" applyProtection="1">
      <alignment horizontal="center" vertical="center"/>
      <protection hidden="1"/>
    </xf>
    <xf numFmtId="177" fontId="2" fillId="3" borderId="36" xfId="0" applyNumberFormat="1" applyFont="1" applyFill="1" applyBorder="1" applyAlignment="1" applyProtection="1">
      <alignment horizontal="center" vertical="center"/>
      <protection hidden="1"/>
    </xf>
    <xf numFmtId="222" fontId="7" fillId="3" borderId="49" xfId="0" applyNumberFormat="1" applyFont="1" applyFill="1" applyBorder="1" applyAlignment="1" applyProtection="1">
      <alignment horizontal="center" vertical="center"/>
      <protection hidden="1"/>
    </xf>
    <xf numFmtId="221" fontId="7" fillId="3" borderId="84" xfId="0" applyNumberFormat="1" applyFont="1" applyFill="1" applyBorder="1" applyAlignment="1" applyProtection="1">
      <alignment horizontal="center" vertical="center"/>
      <protection hidden="1"/>
    </xf>
    <xf numFmtId="9" fontId="0" fillId="12" borderId="27" xfId="0" applyNumberFormat="1" applyFill="1" applyBorder="1" applyAlignment="1" applyProtection="1">
      <alignment horizontal="center" vertical="center"/>
      <protection hidden="1"/>
    </xf>
    <xf numFmtId="164" fontId="0" fillId="3" borderId="27" xfId="0" applyNumberFormat="1" applyFill="1" applyBorder="1" applyAlignment="1" applyProtection="1">
      <alignment horizontal="center" vertical="center"/>
      <protection hidden="1"/>
    </xf>
    <xf numFmtId="10" fontId="7" fillId="3" borderId="28" xfId="11" applyNumberFormat="1" applyFont="1" applyFill="1" applyBorder="1" applyAlignment="1" applyProtection="1">
      <alignment horizontal="center" vertical="center"/>
      <protection locked="0"/>
    </xf>
    <xf numFmtId="4" fontId="7" fillId="3" borderId="8" xfId="0" applyNumberFormat="1" applyFont="1" applyFill="1" applyBorder="1" applyAlignment="1" applyProtection="1">
      <alignment vertical="center" wrapText="1"/>
      <protection hidden="1"/>
    </xf>
    <xf numFmtId="4" fontId="0" fillId="3" borderId="39" xfId="0" applyNumberFormat="1" applyFill="1" applyBorder="1" applyAlignment="1" applyProtection="1">
      <alignment horizontal="center" vertical="center"/>
      <protection hidden="1"/>
    </xf>
    <xf numFmtId="170" fontId="0" fillId="3" borderId="42" xfId="0" applyNumberFormat="1" applyFill="1" applyBorder="1" applyAlignment="1" applyProtection="1">
      <alignment horizontal="center" vertical="center"/>
      <protection hidden="1"/>
    </xf>
    <xf numFmtId="164" fontId="0" fillId="3" borderId="18" xfId="0" applyNumberFormat="1" applyFill="1" applyBorder="1" applyAlignment="1" applyProtection="1">
      <alignment horizontal="center" vertical="center"/>
      <protection hidden="1"/>
    </xf>
    <xf numFmtId="0" fontId="0" fillId="12" borderId="0" xfId="0" applyFill="1" applyBorder="1" applyAlignment="1" applyProtection="1">
      <alignment horizontal="right" vertical="center"/>
      <protection hidden="1"/>
    </xf>
    <xf numFmtId="0" fontId="59" fillId="12" borderId="49" xfId="0" applyFont="1" applyFill="1" applyBorder="1" applyAlignment="1" applyProtection="1">
      <alignment horizontal="left" vertical="center"/>
      <protection hidden="1"/>
    </xf>
    <xf numFmtId="176" fontId="59" fillId="12" borderId="49" xfId="1" applyNumberFormat="1" applyFont="1" applyFill="1" applyBorder="1" applyAlignment="1" applyProtection="1">
      <alignment horizontal="center" vertical="center"/>
      <protection locked="0"/>
    </xf>
    <xf numFmtId="218" fontId="78" fillId="12" borderId="49" xfId="0" applyNumberFormat="1" applyFont="1" applyFill="1" applyBorder="1" applyAlignment="1" applyProtection="1">
      <alignment horizontal="center" vertical="center"/>
      <protection hidden="1"/>
    </xf>
    <xf numFmtId="223" fontId="59" fillId="12" borderId="49" xfId="0" applyNumberFormat="1" applyFont="1" applyFill="1" applyBorder="1" applyAlignment="1" applyProtection="1">
      <alignment horizontal="center" vertical="center"/>
      <protection hidden="1"/>
    </xf>
    <xf numFmtId="222" fontId="59" fillId="12" borderId="49" xfId="0" applyNumberFormat="1" applyFont="1" applyFill="1" applyBorder="1" applyAlignment="1" applyProtection="1">
      <alignment horizontal="center" vertical="center"/>
      <protection hidden="1"/>
    </xf>
    <xf numFmtId="221" fontId="78" fillId="12" borderId="49" xfId="0" applyNumberFormat="1" applyFont="1" applyFill="1" applyBorder="1" applyAlignment="1" applyProtection="1">
      <alignment horizontal="center" vertical="center"/>
      <protection hidden="1"/>
    </xf>
    <xf numFmtId="177" fontId="59" fillId="12" borderId="49" xfId="0" applyNumberFormat="1" applyFont="1" applyFill="1" applyBorder="1" applyAlignment="1" applyProtection="1">
      <alignment horizontal="center" vertical="center"/>
      <protection hidden="1"/>
    </xf>
    <xf numFmtId="221" fontId="59" fillId="12" borderId="49" xfId="0" applyNumberFormat="1" applyFont="1" applyFill="1" applyBorder="1" applyAlignment="1" applyProtection="1">
      <alignment horizontal="center" vertical="center"/>
      <protection hidden="1"/>
    </xf>
    <xf numFmtId="9" fontId="1" fillId="0" borderId="42" xfId="11" applyFont="1" applyFill="1" applyBorder="1" applyAlignment="1" applyProtection="1">
      <alignment horizontal="center" vertical="center"/>
      <protection hidden="1"/>
    </xf>
    <xf numFmtId="164" fontId="6" fillId="3" borderId="29" xfId="1" applyFont="1" applyFill="1" applyBorder="1" applyAlignment="1" applyProtection="1">
      <alignment horizontal="center" vertical="center"/>
      <protection locked="0"/>
    </xf>
    <xf numFmtId="0" fontId="0" fillId="3" borderId="3" xfId="0" applyFill="1" applyBorder="1" applyAlignment="1" applyProtection="1">
      <alignment vertical="center"/>
      <protection hidden="1"/>
    </xf>
    <xf numFmtId="0" fontId="0" fillId="3" borderId="30" xfId="0" applyFill="1" applyBorder="1" applyAlignment="1" applyProtection="1">
      <alignment vertical="center"/>
      <protection hidden="1"/>
    </xf>
    <xf numFmtId="0" fontId="0" fillId="12" borderId="30" xfId="0" applyFill="1" applyBorder="1" applyAlignment="1" applyProtection="1">
      <alignment vertical="center"/>
      <protection hidden="1"/>
    </xf>
    <xf numFmtId="0" fontId="83" fillId="12" borderId="3" xfId="0" applyFont="1" applyFill="1" applyBorder="1" applyAlignment="1" applyProtection="1">
      <alignment vertical="center"/>
      <protection hidden="1"/>
    </xf>
    <xf numFmtId="0" fontId="0" fillId="3" borderId="36" xfId="0" applyFill="1" applyBorder="1" applyAlignment="1" applyProtection="1">
      <alignment vertical="center"/>
      <protection hidden="1"/>
    </xf>
    <xf numFmtId="0" fontId="74" fillId="12" borderId="3" xfId="0" applyFont="1" applyFill="1" applyBorder="1" applyAlignment="1" applyProtection="1">
      <alignment vertical="center"/>
      <protection hidden="1"/>
    </xf>
    <xf numFmtId="10" fontId="6" fillId="3" borderId="53" xfId="11" applyNumberFormat="1" applyFont="1" applyFill="1" applyBorder="1" applyAlignment="1" applyProtection="1">
      <alignment horizontal="center" vertical="center"/>
      <protection locked="0"/>
    </xf>
    <xf numFmtId="49" fontId="2" fillId="12" borderId="53" xfId="0" applyNumberFormat="1" applyFont="1" applyFill="1" applyBorder="1" applyAlignment="1" applyProtection="1">
      <alignment vertical="center" wrapText="1"/>
      <protection hidden="1"/>
    </xf>
    <xf numFmtId="0" fontId="0" fillId="3" borderId="1" xfId="0" applyFill="1" applyBorder="1" applyAlignment="1" applyProtection="1">
      <alignment vertical="center"/>
      <protection hidden="1"/>
    </xf>
    <xf numFmtId="4" fontId="0" fillId="3" borderId="20" xfId="0" applyNumberFormat="1" applyFill="1" applyBorder="1" applyAlignment="1" applyProtection="1">
      <alignment vertical="center"/>
      <protection hidden="1"/>
    </xf>
    <xf numFmtId="218" fontId="0" fillId="3" borderId="19" xfId="0" applyNumberFormat="1" applyFill="1" applyBorder="1" applyAlignment="1" applyProtection="1">
      <alignment horizontal="center" vertical="center"/>
      <protection hidden="1"/>
    </xf>
    <xf numFmtId="164" fontId="0" fillId="3" borderId="19" xfId="0" applyNumberFormat="1" applyFill="1" applyBorder="1" applyAlignment="1" applyProtection="1">
      <alignment vertical="center"/>
      <protection hidden="1"/>
    </xf>
    <xf numFmtId="164" fontId="0" fillId="3" borderId="23" xfId="0" applyNumberFormat="1" applyFill="1" applyBorder="1" applyAlignment="1" applyProtection="1">
      <alignment vertical="center"/>
      <protection hidden="1"/>
    </xf>
    <xf numFmtId="0" fontId="59" fillId="12" borderId="0" xfId="0" applyFont="1" applyFill="1" applyBorder="1" applyAlignment="1" applyProtection="1">
      <alignment horizontal="left" vertical="center"/>
      <protection hidden="1"/>
    </xf>
    <xf numFmtId="176" fontId="59" fillId="12" borderId="0" xfId="1" applyNumberFormat="1" applyFont="1" applyFill="1" applyBorder="1" applyAlignment="1" applyProtection="1">
      <alignment horizontal="center" vertical="center"/>
      <protection locked="0"/>
    </xf>
    <xf numFmtId="218" fontId="78" fillId="12" borderId="0" xfId="0" applyNumberFormat="1" applyFont="1" applyFill="1" applyBorder="1" applyAlignment="1" applyProtection="1">
      <alignment horizontal="center" vertical="center"/>
      <protection hidden="1"/>
    </xf>
    <xf numFmtId="223" fontId="59" fillId="12" borderId="0" xfId="0" applyNumberFormat="1" applyFont="1" applyFill="1" applyBorder="1" applyAlignment="1" applyProtection="1">
      <alignment horizontal="center" vertical="center"/>
      <protection hidden="1"/>
    </xf>
    <xf numFmtId="222" fontId="59" fillId="12" borderId="0" xfId="0" applyNumberFormat="1" applyFont="1" applyFill="1" applyBorder="1" applyAlignment="1" applyProtection="1">
      <alignment horizontal="center" vertical="center"/>
      <protection hidden="1"/>
    </xf>
    <xf numFmtId="221" fontId="78" fillId="12" borderId="0" xfId="0" applyNumberFormat="1" applyFont="1" applyFill="1" applyBorder="1" applyAlignment="1" applyProtection="1">
      <alignment horizontal="center" vertical="center"/>
      <protection hidden="1"/>
    </xf>
    <xf numFmtId="177" fontId="59" fillId="12" borderId="0" xfId="0" applyNumberFormat="1" applyFont="1" applyFill="1" applyBorder="1" applyAlignment="1" applyProtection="1">
      <alignment horizontal="center" vertical="center"/>
      <protection hidden="1"/>
    </xf>
    <xf numFmtId="221" fontId="59" fillId="12" borderId="0" xfId="0" applyNumberFormat="1" applyFont="1" applyFill="1" applyBorder="1" applyAlignment="1" applyProtection="1">
      <alignment horizontal="center" vertical="center"/>
      <protection hidden="1"/>
    </xf>
    <xf numFmtId="4" fontId="7" fillId="3" borderId="45" xfId="0" applyNumberFormat="1" applyFont="1" applyFill="1" applyBorder="1" applyAlignment="1" applyProtection="1">
      <alignment vertical="center"/>
      <protection hidden="1"/>
    </xf>
    <xf numFmtId="4" fontId="7" fillId="3" borderId="36" xfId="0" applyNumberFormat="1" applyFont="1" applyFill="1" applyBorder="1" applyAlignment="1" applyProtection="1">
      <alignment vertical="center"/>
      <protection hidden="1"/>
    </xf>
    <xf numFmtId="222" fontId="7" fillId="3" borderId="0" xfId="0" applyNumberFormat="1" applyFont="1" applyFill="1" applyBorder="1" applyAlignment="1" applyProtection="1">
      <alignment vertical="center"/>
      <protection hidden="1"/>
    </xf>
    <xf numFmtId="221" fontId="2" fillId="3" borderId="36" xfId="0" applyNumberFormat="1" applyFont="1" applyFill="1" applyBorder="1" applyAlignment="1" applyProtection="1">
      <alignment horizontal="center" vertical="center"/>
      <protection hidden="1"/>
    </xf>
    <xf numFmtId="221" fontId="2" fillId="12" borderId="0" xfId="0" applyNumberFormat="1" applyFont="1" applyFill="1" applyBorder="1" applyAlignment="1" applyProtection="1">
      <alignment horizontal="center" vertical="center"/>
      <protection hidden="1"/>
    </xf>
    <xf numFmtId="221" fontId="85" fillId="12" borderId="36" xfId="0" applyNumberFormat="1" applyFont="1" applyFill="1" applyBorder="1" applyAlignment="1" applyProtection="1">
      <alignment horizontal="center" vertical="center"/>
      <protection hidden="1"/>
    </xf>
    <xf numFmtId="0" fontId="4" fillId="12" borderId="36" xfId="0" applyFont="1" applyFill="1" applyBorder="1" applyAlignment="1" applyProtection="1">
      <alignment vertical="center"/>
      <protection hidden="1"/>
    </xf>
    <xf numFmtId="221" fontId="76" fillId="12" borderId="36" xfId="0" applyNumberFormat="1" applyFont="1" applyFill="1" applyBorder="1" applyAlignment="1" applyProtection="1">
      <alignment horizontal="center" vertical="center"/>
      <protection hidden="1"/>
    </xf>
    <xf numFmtId="222" fontId="0" fillId="3" borderId="0" xfId="0" applyNumberFormat="1" applyFill="1" applyBorder="1" applyAlignment="1" applyProtection="1">
      <alignment vertical="center"/>
      <protection hidden="1"/>
    </xf>
    <xf numFmtId="164" fontId="6" fillId="3" borderId="36" xfId="1" applyFont="1" applyFill="1" applyBorder="1" applyAlignment="1" applyProtection="1">
      <alignment horizontal="center" vertical="center"/>
      <protection locked="0"/>
    </xf>
    <xf numFmtId="164" fontId="6" fillId="3" borderId="0" xfId="1" applyFont="1" applyFill="1" applyBorder="1" applyAlignment="1" applyProtection="1">
      <alignment horizontal="center" vertical="center"/>
      <protection locked="0"/>
    </xf>
    <xf numFmtId="4" fontId="0" fillId="3" borderId="39" xfId="0" applyNumberFormat="1" applyFill="1" applyBorder="1" applyAlignment="1" applyProtection="1">
      <alignment vertical="center"/>
      <protection hidden="1"/>
    </xf>
    <xf numFmtId="218" fontId="0" fillId="3" borderId="42" xfId="0" applyNumberFormat="1" applyFill="1" applyBorder="1" applyAlignment="1" applyProtection="1">
      <alignment horizontal="center" vertical="center"/>
      <protection hidden="1"/>
    </xf>
    <xf numFmtId="164" fontId="0" fillId="3" borderId="42" xfId="0" applyNumberFormat="1" applyFill="1" applyBorder="1" applyAlignment="1" applyProtection="1">
      <alignment vertical="center"/>
      <protection hidden="1"/>
    </xf>
    <xf numFmtId="164" fontId="0" fillId="3" borderId="55" xfId="0" applyNumberFormat="1" applyFill="1" applyBorder="1" applyAlignment="1" applyProtection="1">
      <alignment vertical="center"/>
      <protection hidden="1"/>
    </xf>
    <xf numFmtId="221" fontId="0" fillId="3" borderId="36" xfId="0" applyNumberFormat="1" applyFill="1" applyBorder="1" applyAlignment="1" applyProtection="1">
      <alignment vertical="center"/>
      <protection hidden="1"/>
    </xf>
    <xf numFmtId="221" fontId="0" fillId="12" borderId="0" xfId="0" applyNumberFormat="1" applyFill="1" applyBorder="1" applyAlignment="1" applyProtection="1">
      <alignment vertical="center"/>
      <protection hidden="1"/>
    </xf>
    <xf numFmtId="221" fontId="83" fillId="12" borderId="36" xfId="0" applyNumberFormat="1" applyFont="1" applyFill="1" applyBorder="1" applyAlignment="1" applyProtection="1">
      <alignment vertical="center"/>
      <protection hidden="1"/>
    </xf>
    <xf numFmtId="221" fontId="74" fillId="12" borderId="36" xfId="0" applyNumberFormat="1" applyFont="1" applyFill="1" applyBorder="1" applyAlignment="1" applyProtection="1">
      <alignment vertical="center"/>
      <protection hidden="1"/>
    </xf>
    <xf numFmtId="0" fontId="8" fillId="3" borderId="54" xfId="0" applyFont="1" applyFill="1" applyBorder="1" applyAlignment="1" applyProtection="1">
      <alignment vertical="center"/>
      <protection hidden="1"/>
    </xf>
    <xf numFmtId="0" fontId="2" fillId="3" borderId="53" xfId="0" applyFont="1" applyFill="1" applyBorder="1" applyAlignment="1" applyProtection="1">
      <alignment vertical="center"/>
      <protection hidden="1"/>
    </xf>
    <xf numFmtId="164" fontId="2" fillId="3" borderId="52" xfId="0" applyNumberFormat="1" applyFont="1" applyFill="1" applyBorder="1" applyAlignment="1" applyProtection="1">
      <alignment vertical="center"/>
      <protection hidden="1"/>
    </xf>
    <xf numFmtId="164" fontId="2" fillId="3" borderId="15" xfId="0" applyNumberFormat="1" applyFont="1" applyFill="1" applyBorder="1" applyAlignment="1" applyProtection="1">
      <alignment vertical="center"/>
      <protection hidden="1"/>
    </xf>
    <xf numFmtId="10" fontId="6" fillId="3" borderId="0" xfId="11" applyNumberFormat="1" applyFont="1" applyFill="1" applyBorder="1" applyAlignment="1" applyProtection="1">
      <alignment horizontal="center" vertical="center"/>
      <protection hidden="1"/>
    </xf>
    <xf numFmtId="4" fontId="7" fillId="3" borderId="0" xfId="21" applyNumberFormat="1" applyFont="1" applyFill="1" applyBorder="1" applyAlignment="1" applyProtection="1">
      <alignment vertical="center"/>
      <protection locked="0"/>
    </xf>
    <xf numFmtId="4" fontId="6" fillId="3" borderId="0" xfId="21" applyNumberFormat="1" applyFont="1" applyFill="1" applyBorder="1" applyAlignment="1" applyProtection="1">
      <alignment vertical="center"/>
      <protection locked="0"/>
    </xf>
    <xf numFmtId="0" fontId="0" fillId="3" borderId="1" xfId="0" applyFill="1" applyBorder="1" applyAlignment="1" applyProtection="1">
      <alignment horizontal="right" vertical="center"/>
      <protection hidden="1"/>
    </xf>
    <xf numFmtId="0" fontId="0" fillId="3" borderId="48" xfId="0" applyFill="1" applyBorder="1" applyAlignment="1" applyProtection="1">
      <alignment vertical="center"/>
      <protection hidden="1"/>
    </xf>
    <xf numFmtId="0" fontId="0" fillId="3" borderId="51" xfId="0" applyFill="1" applyBorder="1" applyAlignment="1" applyProtection="1">
      <alignment vertical="center"/>
      <protection hidden="1"/>
    </xf>
    <xf numFmtId="0" fontId="0" fillId="3" borderId="38" xfId="0" applyFill="1" applyBorder="1" applyAlignment="1" applyProtection="1">
      <alignment vertical="center"/>
      <protection hidden="1"/>
    </xf>
    <xf numFmtId="222" fontId="0" fillId="3" borderId="2" xfId="0" applyNumberFormat="1" applyFill="1" applyBorder="1" applyAlignment="1" applyProtection="1">
      <alignment vertical="center"/>
      <protection hidden="1"/>
    </xf>
    <xf numFmtId="221" fontId="0" fillId="3" borderId="38" xfId="0" applyNumberFormat="1" applyFill="1" applyBorder="1" applyAlignment="1" applyProtection="1">
      <alignment vertical="center"/>
      <protection hidden="1"/>
    </xf>
    <xf numFmtId="221" fontId="0" fillId="12" borderId="2" xfId="0" applyNumberFormat="1" applyFill="1" applyBorder="1" applyAlignment="1" applyProtection="1">
      <alignment vertical="center"/>
      <protection hidden="1"/>
    </xf>
    <xf numFmtId="221" fontId="83" fillId="12" borderId="38" xfId="0" applyNumberFormat="1" applyFont="1" applyFill="1" applyBorder="1" applyAlignment="1" applyProtection="1">
      <alignment vertical="center"/>
      <protection hidden="1"/>
    </xf>
    <xf numFmtId="221" fontId="74" fillId="12" borderId="38" xfId="0" applyNumberFormat="1" applyFont="1" applyFill="1" applyBorder="1" applyAlignment="1" applyProtection="1">
      <alignment vertical="center"/>
      <protection hidden="1"/>
    </xf>
    <xf numFmtId="0" fontId="59" fillId="12" borderId="0" xfId="0" applyFont="1" applyFill="1" applyBorder="1" applyAlignment="1">
      <alignment horizontal="left" vertical="center"/>
    </xf>
    <xf numFmtId="170" fontId="4" fillId="2" borderId="1" xfId="0" applyNumberFormat="1" applyFont="1" applyFill="1" applyBorder="1" applyAlignment="1" applyProtection="1">
      <alignment horizontal="center" vertical="center"/>
      <protection hidden="1"/>
    </xf>
    <xf numFmtId="184" fontId="4" fillId="2" borderId="1" xfId="0" applyNumberFormat="1" applyFont="1" applyFill="1" applyBorder="1" applyAlignment="1" applyProtection="1">
      <alignment horizontal="center" vertical="center"/>
      <protection hidden="1"/>
    </xf>
    <xf numFmtId="180" fontId="4" fillId="2" borderId="1" xfId="1" applyNumberFormat="1" applyFont="1" applyFill="1" applyBorder="1" applyAlignment="1" applyProtection="1">
      <alignment horizontal="center" vertical="center"/>
      <protection locked="0"/>
    </xf>
    <xf numFmtId="4" fontId="4" fillId="3" borderId="1" xfId="0" applyNumberFormat="1" applyFont="1" applyFill="1" applyBorder="1" applyAlignment="1" applyProtection="1">
      <alignment horizontal="center" vertical="center"/>
      <protection hidden="1"/>
    </xf>
    <xf numFmtId="3" fontId="4" fillId="2" borderId="1" xfId="21" applyNumberFormat="1" applyFont="1" applyFill="1" applyBorder="1" applyAlignment="1" applyProtection="1">
      <alignment horizontal="center" vertical="center"/>
      <protection hidden="1"/>
    </xf>
    <xf numFmtId="43" fontId="0" fillId="3" borderId="0" xfId="0" applyNumberFormat="1" applyFill="1" applyBorder="1" applyAlignment="1" applyProtection="1">
      <alignment vertical="center"/>
      <protection hidden="1"/>
    </xf>
    <xf numFmtId="164" fontId="7" fillId="3" borderId="0" xfId="1" applyFont="1" applyFill="1" applyBorder="1" applyAlignment="1" applyProtection="1">
      <alignment horizontal="center" vertical="center"/>
      <protection locked="0"/>
    </xf>
    <xf numFmtId="0" fontId="2" fillId="3" borderId="33" xfId="0" applyFont="1" applyFill="1" applyBorder="1" applyAlignment="1" applyProtection="1">
      <alignment horizontal="center" vertical="center"/>
      <protection hidden="1"/>
    </xf>
    <xf numFmtId="0" fontId="2" fillId="3" borderId="2" xfId="0" applyFont="1" applyFill="1" applyBorder="1" applyAlignment="1">
      <alignment horizontal="center" vertical="center"/>
    </xf>
    <xf numFmtId="231" fontId="6" fillId="3" borderId="38" xfId="0" applyNumberFormat="1" applyFont="1" applyFill="1" applyBorder="1" applyAlignment="1" applyProtection="1">
      <alignment horizontal="center" vertical="center"/>
      <protection hidden="1"/>
    </xf>
    <xf numFmtId="222" fontId="6" fillId="3" borderId="2" xfId="0" applyNumberFormat="1" applyFont="1" applyFill="1" applyBorder="1" applyAlignment="1" applyProtection="1">
      <alignment horizontal="center" vertical="center"/>
      <protection hidden="1"/>
    </xf>
    <xf numFmtId="221" fontId="6" fillId="3" borderId="38" xfId="0" applyNumberFormat="1" applyFont="1" applyFill="1" applyBorder="1" applyAlignment="1" applyProtection="1">
      <alignment horizontal="center" vertical="center"/>
      <protection hidden="1"/>
    </xf>
    <xf numFmtId="221" fontId="6" fillId="12" borderId="2" xfId="0" applyNumberFormat="1" applyFont="1" applyFill="1" applyBorder="1" applyAlignment="1" applyProtection="1">
      <alignment horizontal="center" vertical="center"/>
      <protection hidden="1"/>
    </xf>
    <xf numFmtId="221" fontId="86" fillId="12" borderId="38" xfId="0" applyNumberFormat="1" applyFont="1" applyFill="1" applyBorder="1" applyAlignment="1" applyProtection="1">
      <alignment horizontal="center" vertical="center"/>
      <protection hidden="1"/>
    </xf>
    <xf numFmtId="0" fontId="0" fillId="3" borderId="15" xfId="0" applyFill="1" applyBorder="1" applyAlignment="1" applyProtection="1">
      <alignment vertical="center"/>
      <protection hidden="1"/>
    </xf>
    <xf numFmtId="253" fontId="6" fillId="12" borderId="40" xfId="21" applyNumberFormat="1" applyFont="1" applyFill="1" applyBorder="1" applyAlignment="1" applyProtection="1">
      <alignment horizontal="center" vertical="center"/>
      <protection hidden="1"/>
    </xf>
    <xf numFmtId="164" fontId="6" fillId="3" borderId="15" xfId="0" applyNumberFormat="1" applyFont="1" applyFill="1" applyBorder="1" applyAlignment="1" applyProtection="1">
      <alignment vertical="center"/>
      <protection hidden="1"/>
    </xf>
    <xf numFmtId="4" fontId="6" fillId="14" borderId="15" xfId="0" applyNumberFormat="1" applyFont="1" applyFill="1" applyBorder="1" applyAlignment="1" applyProtection="1">
      <alignment horizontal="center" vertical="center"/>
      <protection hidden="1"/>
    </xf>
    <xf numFmtId="4" fontId="6" fillId="14" borderId="60" xfId="0" applyNumberFormat="1" applyFont="1" applyFill="1" applyBorder="1" applyAlignment="1" applyProtection="1">
      <alignment horizontal="center" vertical="center"/>
      <protection hidden="1"/>
    </xf>
    <xf numFmtId="0" fontId="6" fillId="14" borderId="59" xfId="0" applyFont="1" applyFill="1" applyBorder="1" applyAlignment="1" applyProtection="1">
      <alignment horizontal="center" vertical="center"/>
      <protection hidden="1"/>
    </xf>
    <xf numFmtId="4" fontId="6" fillId="14" borderId="34" xfId="0" applyNumberFormat="1" applyFont="1" applyFill="1" applyBorder="1" applyAlignment="1" applyProtection="1">
      <alignment horizontal="center" vertical="center"/>
      <protection hidden="1"/>
    </xf>
    <xf numFmtId="0" fontId="0" fillId="3" borderId="0" xfId="0" applyFill="1" applyAlignment="1">
      <alignment vertical="center"/>
    </xf>
    <xf numFmtId="17" fontId="0" fillId="3" borderId="0" xfId="0" applyNumberFormat="1" applyFill="1" applyBorder="1" applyAlignment="1" applyProtection="1">
      <alignment horizontal="left" vertical="center"/>
      <protection hidden="1"/>
    </xf>
    <xf numFmtId="164" fontId="7" fillId="3" borderId="20" xfId="1" applyFont="1" applyFill="1" applyBorder="1" applyAlignment="1" applyProtection="1">
      <alignment vertical="center"/>
      <protection locked="0"/>
    </xf>
    <xf numFmtId="164" fontId="7" fillId="3" borderId="19" xfId="1" applyFont="1" applyFill="1" applyBorder="1" applyAlignment="1" applyProtection="1">
      <alignment vertical="center"/>
      <protection locked="0"/>
    </xf>
    <xf numFmtId="3" fontId="7" fillId="3" borderId="19" xfId="21" applyNumberFormat="1" applyFont="1" applyFill="1" applyBorder="1" applyAlignment="1" applyProtection="1">
      <alignment horizontal="center" vertical="center"/>
      <protection locked="0"/>
    </xf>
    <xf numFmtId="204" fontId="7" fillId="3" borderId="23" xfId="1" applyNumberFormat="1" applyFont="1" applyFill="1" applyBorder="1" applyAlignment="1" applyProtection="1">
      <alignment horizontal="center" vertical="center"/>
      <protection locked="0"/>
    </xf>
    <xf numFmtId="4" fontId="7" fillId="3" borderId="0" xfId="11" applyNumberFormat="1" applyFont="1" applyFill="1" applyBorder="1" applyAlignment="1" applyProtection="1">
      <alignment vertical="center"/>
      <protection hidden="1"/>
    </xf>
    <xf numFmtId="0" fontId="0" fillId="3" borderId="0" xfId="0" applyFill="1" applyBorder="1" applyAlignment="1" applyProtection="1">
      <alignment vertical="center"/>
      <protection locked="0"/>
    </xf>
    <xf numFmtId="164" fontId="7" fillId="3" borderId="39" xfId="1" applyFont="1" applyFill="1" applyBorder="1" applyAlignment="1" applyProtection="1">
      <alignment vertical="center"/>
      <protection locked="0"/>
    </xf>
    <xf numFmtId="164" fontId="7" fillId="3" borderId="42" xfId="1" applyFont="1" applyFill="1" applyBorder="1" applyAlignment="1" applyProtection="1">
      <alignment vertical="center"/>
      <protection locked="0"/>
    </xf>
    <xf numFmtId="3" fontId="7" fillId="3" borderId="42" xfId="21" applyNumberFormat="1" applyFont="1" applyFill="1" applyBorder="1" applyAlignment="1" applyProtection="1">
      <alignment horizontal="center" vertical="center"/>
      <protection locked="0"/>
    </xf>
    <xf numFmtId="204" fontId="7" fillId="3" borderId="7" xfId="1" applyNumberFormat="1" applyFont="1" applyFill="1" applyBorder="1" applyAlignment="1" applyProtection="1">
      <alignment horizontal="center" vertical="center"/>
      <protection locked="0"/>
    </xf>
    <xf numFmtId="0" fontId="0" fillId="3" borderId="2" xfId="0" applyFill="1" applyBorder="1" applyAlignment="1">
      <alignment vertical="center"/>
    </xf>
    <xf numFmtId="0" fontId="0" fillId="3" borderId="2" xfId="0" applyFill="1" applyBorder="1" applyAlignment="1" applyProtection="1">
      <alignment vertical="center"/>
      <protection hidden="1"/>
    </xf>
    <xf numFmtId="0" fontId="2" fillId="3" borderId="2" xfId="0" applyFont="1" applyFill="1" applyBorder="1" applyAlignment="1" applyProtection="1">
      <alignment horizontal="right" vertical="center"/>
      <protection hidden="1"/>
    </xf>
    <xf numFmtId="17" fontId="0" fillId="3" borderId="2" xfId="0" applyNumberFormat="1" applyFill="1" applyBorder="1" applyAlignment="1" applyProtection="1">
      <alignment horizontal="left" vertical="center"/>
      <protection hidden="1"/>
    </xf>
    <xf numFmtId="0" fontId="2" fillId="3" borderId="2" xfId="0" applyFont="1" applyFill="1" applyBorder="1" applyAlignment="1">
      <alignment horizontal="right" vertical="center"/>
    </xf>
    <xf numFmtId="164" fontId="6" fillId="3" borderId="33" xfId="0" applyNumberFormat="1" applyFont="1" applyFill="1" applyBorder="1" applyAlignment="1" applyProtection="1">
      <alignment vertical="center"/>
      <protection hidden="1"/>
    </xf>
    <xf numFmtId="164" fontId="6" fillId="3" borderId="59" xfId="0" applyNumberFormat="1" applyFont="1" applyFill="1" applyBorder="1" applyAlignment="1" applyProtection="1">
      <alignment vertical="center"/>
      <protection hidden="1"/>
    </xf>
    <xf numFmtId="0" fontId="6" fillId="3" borderId="59" xfId="0" applyFont="1" applyFill="1" applyBorder="1" applyAlignment="1" applyProtection="1">
      <alignment vertical="center"/>
      <protection hidden="1"/>
    </xf>
    <xf numFmtId="0" fontId="6" fillId="3" borderId="34" xfId="0" applyFont="1" applyFill="1" applyBorder="1" applyAlignment="1" applyProtection="1">
      <alignment vertical="center"/>
      <protection hidden="1"/>
    </xf>
    <xf numFmtId="0" fontId="80" fillId="3" borderId="2" xfId="0" applyFont="1" applyFill="1" applyBorder="1" applyAlignment="1">
      <alignment vertical="center"/>
    </xf>
    <xf numFmtId="0" fontId="29" fillId="3" borderId="2" xfId="0" applyFont="1" applyFill="1" applyBorder="1" applyAlignment="1">
      <alignment vertical="center"/>
    </xf>
    <xf numFmtId="43" fontId="0" fillId="3" borderId="2" xfId="0" applyNumberFormat="1" applyFill="1" applyBorder="1" applyAlignment="1">
      <alignment vertical="center"/>
    </xf>
    <xf numFmtId="0" fontId="6" fillId="12" borderId="0" xfId="0" applyFont="1" applyFill="1" applyBorder="1" applyAlignment="1">
      <alignment horizontal="center" vertical="center"/>
    </xf>
    <xf numFmtId="0" fontId="0" fillId="3" borderId="0" xfId="0" applyFill="1" applyBorder="1" applyAlignment="1">
      <alignment vertical="center"/>
    </xf>
    <xf numFmtId="0" fontId="0" fillId="12" borderId="0" xfId="0" applyFill="1" applyBorder="1" applyAlignment="1">
      <alignment vertical="center"/>
    </xf>
    <xf numFmtId="0" fontId="6" fillId="7" borderId="1" xfId="0" applyFont="1" applyFill="1" applyBorder="1" applyAlignment="1">
      <alignment horizontal="center" vertical="center"/>
    </xf>
    <xf numFmtId="0" fontId="0" fillId="3" borderId="42" xfId="0" applyFill="1" applyBorder="1" applyAlignment="1">
      <alignment vertical="center"/>
    </xf>
    <xf numFmtId="0" fontId="61" fillId="12" borderId="42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vertical="center"/>
    </xf>
    <xf numFmtId="0" fontId="2" fillId="7" borderId="1" xfId="0" applyFont="1" applyFill="1" applyBorder="1" applyAlignment="1">
      <alignment horizontal="center" vertical="center"/>
    </xf>
    <xf numFmtId="164" fontId="4" fillId="12" borderId="19" xfId="1" applyFont="1" applyFill="1" applyBorder="1" applyAlignment="1">
      <alignment horizontal="center" vertical="center"/>
    </xf>
    <xf numFmtId="221" fontId="4" fillId="12" borderId="19" xfId="11" applyNumberFormat="1" applyFont="1" applyFill="1" applyBorder="1" applyAlignment="1">
      <alignment horizontal="center" vertical="center"/>
    </xf>
    <xf numFmtId="9" fontId="60" fillId="3" borderId="19" xfId="11" applyFont="1" applyFill="1" applyBorder="1" applyAlignment="1">
      <alignment horizontal="center" vertical="center"/>
    </xf>
    <xf numFmtId="205" fontId="4" fillId="12" borderId="19" xfId="11" applyNumberFormat="1" applyFont="1" applyFill="1" applyBorder="1" applyAlignment="1">
      <alignment horizontal="center" vertical="center"/>
    </xf>
    <xf numFmtId="0" fontId="0" fillId="3" borderId="1" xfId="0" applyFill="1" applyBorder="1" applyAlignment="1">
      <alignment vertical="center"/>
    </xf>
    <xf numFmtId="222" fontId="0" fillId="3" borderId="1" xfId="0" applyNumberFormat="1" applyFill="1" applyBorder="1" applyAlignment="1">
      <alignment horizontal="center" vertical="center"/>
    </xf>
    <xf numFmtId="222" fontId="0" fillId="3" borderId="19" xfId="0" applyNumberFormat="1" applyFill="1" applyBorder="1" applyAlignment="1">
      <alignment horizontal="center" vertical="center"/>
    </xf>
    <xf numFmtId="250" fontId="0" fillId="3" borderId="1" xfId="0" applyNumberFormat="1" applyFill="1" applyBorder="1" applyAlignment="1">
      <alignment horizontal="center" vertical="center"/>
    </xf>
    <xf numFmtId="233" fontId="4" fillId="12" borderId="1" xfId="0" applyNumberFormat="1" applyFont="1" applyFill="1" applyBorder="1" applyAlignment="1" applyProtection="1">
      <alignment horizontal="center" vertical="center"/>
      <protection hidden="1"/>
    </xf>
    <xf numFmtId="164" fontId="58" fillId="12" borderId="1" xfId="1" applyFont="1" applyFill="1" applyBorder="1" applyAlignment="1" applyProtection="1">
      <alignment horizontal="center" vertical="center"/>
      <protection locked="0"/>
    </xf>
    <xf numFmtId="219" fontId="58" fillId="12" borderId="1" xfId="11" applyNumberFormat="1" applyFont="1" applyFill="1" applyBorder="1" applyAlignment="1">
      <alignment horizontal="center" vertical="center"/>
    </xf>
    <xf numFmtId="168" fontId="58" fillId="12" borderId="1" xfId="13" applyNumberFormat="1" applyFont="1" applyFill="1" applyBorder="1" applyAlignment="1">
      <alignment horizontal="center" vertical="center"/>
    </xf>
    <xf numFmtId="164" fontId="58" fillId="12" borderId="1" xfId="1" applyFont="1" applyFill="1" applyBorder="1" applyAlignment="1">
      <alignment vertical="center"/>
    </xf>
    <xf numFmtId="0" fontId="0" fillId="3" borderId="5" xfId="0" applyFill="1" applyBorder="1" applyAlignment="1">
      <alignment vertical="center"/>
    </xf>
    <xf numFmtId="164" fontId="4" fillId="12" borderId="1" xfId="1" applyFont="1" applyFill="1" applyBorder="1" applyAlignment="1">
      <alignment horizontal="center" vertical="center"/>
    </xf>
    <xf numFmtId="221" fontId="4" fillId="12" borderId="1" xfId="11" applyNumberFormat="1" applyFont="1" applyFill="1" applyBorder="1" applyAlignment="1">
      <alignment horizontal="center" vertical="center"/>
    </xf>
    <xf numFmtId="9" fontId="60" fillId="3" borderId="1" xfId="11" applyFont="1" applyFill="1" applyBorder="1" applyAlignment="1">
      <alignment horizontal="center" vertical="center"/>
    </xf>
    <xf numFmtId="205" fontId="4" fillId="12" borderId="1" xfId="11" applyNumberFormat="1" applyFont="1" applyFill="1" applyBorder="1" applyAlignment="1">
      <alignment horizontal="center" vertical="center"/>
    </xf>
    <xf numFmtId="218" fontId="4" fillId="2" borderId="1" xfId="0" applyNumberFormat="1" applyFont="1" applyFill="1" applyBorder="1" applyAlignment="1" applyProtection="1">
      <alignment horizontal="center" vertical="center"/>
      <protection hidden="1"/>
    </xf>
    <xf numFmtId="0" fontId="0" fillId="12" borderId="0" xfId="0" applyFill="1" applyAlignment="1">
      <alignment vertical="center"/>
    </xf>
    <xf numFmtId="0" fontId="4" fillId="3" borderId="0" xfId="0" applyFont="1" applyFill="1" applyAlignment="1">
      <alignment vertical="center"/>
    </xf>
    <xf numFmtId="164" fontId="4" fillId="12" borderId="81" xfId="1" applyFont="1" applyFill="1" applyBorder="1" applyAlignment="1">
      <alignment horizontal="center" vertical="center"/>
    </xf>
    <xf numFmtId="221" fontId="4" fillId="12" borderId="81" xfId="11" applyNumberFormat="1" applyFont="1" applyFill="1" applyBorder="1" applyAlignment="1">
      <alignment horizontal="center" vertical="center"/>
    </xf>
    <xf numFmtId="9" fontId="60" fillId="3" borderId="81" xfId="11" applyFont="1" applyFill="1" applyBorder="1" applyAlignment="1">
      <alignment horizontal="center" vertical="center"/>
    </xf>
    <xf numFmtId="205" fontId="4" fillId="12" borderId="81" xfId="11" applyNumberFormat="1" applyFont="1" applyFill="1" applyBorder="1" applyAlignment="1">
      <alignment horizontal="center" vertical="center"/>
    </xf>
    <xf numFmtId="4" fontId="7" fillId="3" borderId="42" xfId="0" applyNumberFormat="1" applyFont="1" applyFill="1" applyBorder="1" applyAlignment="1" applyProtection="1">
      <alignment vertical="center" wrapText="1"/>
      <protection hidden="1"/>
    </xf>
    <xf numFmtId="218" fontId="4" fillId="2" borderId="42" xfId="0" applyNumberFormat="1" applyFont="1" applyFill="1" applyBorder="1" applyAlignment="1" applyProtection="1">
      <alignment horizontal="center" vertical="center"/>
      <protection hidden="1"/>
    </xf>
    <xf numFmtId="233" fontId="4" fillId="12" borderId="42" xfId="0" applyNumberFormat="1" applyFont="1" applyFill="1" applyBorder="1" applyAlignment="1" applyProtection="1">
      <alignment horizontal="center" vertical="center"/>
      <protection hidden="1"/>
    </xf>
    <xf numFmtId="164" fontId="58" fillId="12" borderId="42" xfId="1" applyFont="1" applyFill="1" applyBorder="1" applyAlignment="1" applyProtection="1">
      <alignment horizontal="center" vertical="center"/>
      <protection locked="0"/>
    </xf>
    <xf numFmtId="219" fontId="58" fillId="12" borderId="42" xfId="11" applyNumberFormat="1" applyFont="1" applyFill="1" applyBorder="1" applyAlignment="1">
      <alignment horizontal="center" vertical="center"/>
    </xf>
    <xf numFmtId="168" fontId="58" fillId="12" borderId="42" xfId="13" applyNumberFormat="1" applyFont="1" applyFill="1" applyBorder="1" applyAlignment="1">
      <alignment horizontal="center" vertical="center"/>
    </xf>
    <xf numFmtId="164" fontId="58" fillId="12" borderId="42" xfId="1" applyFont="1" applyFill="1" applyBorder="1" applyAlignment="1">
      <alignment vertical="center"/>
    </xf>
    <xf numFmtId="164" fontId="4" fillId="12" borderId="19" xfId="1" applyFont="1" applyFill="1" applyBorder="1" applyAlignment="1">
      <alignment horizontal="right" vertical="center"/>
    </xf>
    <xf numFmtId="164" fontId="4" fillId="12" borderId="81" xfId="1" applyFont="1" applyFill="1" applyBorder="1" applyAlignment="1">
      <alignment horizontal="right" vertical="center"/>
    </xf>
    <xf numFmtId="222" fontId="0" fillId="3" borderId="42" xfId="0" applyNumberFormat="1" applyFill="1" applyBorder="1" applyAlignment="1">
      <alignment horizontal="center" vertical="center"/>
    </xf>
    <xf numFmtId="250" fontId="0" fillId="3" borderId="42" xfId="0" applyNumberFormat="1" applyFill="1" applyBorder="1" applyAlignment="1">
      <alignment horizontal="center" vertical="center"/>
    </xf>
    <xf numFmtId="222" fontId="60" fillId="12" borderId="42" xfId="0" applyNumberFormat="1" applyFont="1" applyFill="1" applyBorder="1" applyAlignment="1" applyProtection="1">
      <alignment horizontal="center" vertical="center"/>
      <protection hidden="1"/>
    </xf>
    <xf numFmtId="221" fontId="58" fillId="12" borderId="42" xfId="11" applyNumberFormat="1" applyFont="1" applyFill="1" applyBorder="1" applyAlignment="1">
      <alignment horizontal="center" vertical="center"/>
    </xf>
    <xf numFmtId="164" fontId="2" fillId="12" borderId="19" xfId="0" applyNumberFormat="1" applyFont="1" applyFill="1" applyBorder="1" applyAlignment="1">
      <alignment vertical="center"/>
    </xf>
    <xf numFmtId="221" fontId="2" fillId="12" borderId="19" xfId="11" applyNumberFormat="1" applyFont="1" applyFill="1" applyBorder="1" applyAlignment="1">
      <alignment horizontal="center" vertical="center"/>
    </xf>
    <xf numFmtId="9" fontId="2" fillId="12" borderId="19" xfId="11" applyFont="1" applyFill="1" applyBorder="1" applyAlignment="1">
      <alignment horizontal="center" vertical="center"/>
    </xf>
    <xf numFmtId="205" fontId="2" fillId="12" borderId="19" xfId="11" applyNumberFormat="1" applyFont="1" applyFill="1" applyBorder="1" applyAlignment="1">
      <alignment horizontal="center" vertical="center"/>
    </xf>
    <xf numFmtId="0" fontId="67" fillId="3" borderId="19" xfId="0" applyFont="1" applyFill="1" applyBorder="1" applyAlignment="1">
      <alignment vertical="center"/>
    </xf>
    <xf numFmtId="222" fontId="67" fillId="3" borderId="19" xfId="0" applyNumberFormat="1" applyFont="1" applyFill="1" applyBorder="1" applyAlignment="1">
      <alignment horizontal="center" vertical="center"/>
    </xf>
    <xf numFmtId="250" fontId="67" fillId="3" borderId="19" xfId="0" applyNumberFormat="1" applyFont="1" applyFill="1" applyBorder="1" applyAlignment="1">
      <alignment horizontal="center" vertical="center"/>
    </xf>
    <xf numFmtId="4" fontId="2" fillId="3" borderId="19" xfId="0" applyNumberFormat="1" applyFont="1" applyFill="1" applyBorder="1" applyAlignment="1" applyProtection="1">
      <alignment vertical="center"/>
      <protection hidden="1"/>
    </xf>
    <xf numFmtId="194" fontId="2" fillId="3" borderId="19" xfId="0" applyNumberFormat="1" applyFont="1" applyFill="1" applyBorder="1" applyAlignment="1" applyProtection="1">
      <alignment horizontal="center" vertical="center"/>
      <protection hidden="1"/>
    </xf>
    <xf numFmtId="170" fontId="2" fillId="3" borderId="19" xfId="0" applyNumberFormat="1" applyFont="1" applyFill="1" applyBorder="1" applyAlignment="1" applyProtection="1">
      <alignment horizontal="center" vertical="center"/>
      <protection hidden="1"/>
    </xf>
    <xf numFmtId="0" fontId="2" fillId="3" borderId="19" xfId="0" applyFont="1" applyFill="1" applyBorder="1" applyAlignment="1">
      <alignment vertical="center"/>
    </xf>
    <xf numFmtId="191" fontId="23" fillId="3" borderId="19" xfId="0" applyNumberFormat="1" applyFont="1" applyFill="1" applyBorder="1" applyAlignment="1" applyProtection="1">
      <alignment horizontal="center" vertical="center"/>
      <protection hidden="1"/>
    </xf>
    <xf numFmtId="2" fontId="2" fillId="3" borderId="19" xfId="0" applyNumberFormat="1" applyFont="1" applyFill="1" applyBorder="1" applyAlignment="1">
      <alignment vertical="center"/>
    </xf>
    <xf numFmtId="164" fontId="23" fillId="3" borderId="19" xfId="0" applyNumberFormat="1" applyFont="1" applyFill="1" applyBorder="1" applyAlignment="1">
      <alignment vertical="center"/>
    </xf>
    <xf numFmtId="0" fontId="64" fillId="3" borderId="0" xfId="0" applyFont="1" applyFill="1" applyAlignment="1">
      <alignment vertical="center"/>
    </xf>
    <xf numFmtId="0" fontId="0" fillId="3" borderId="9" xfId="0" applyFill="1" applyBorder="1" applyAlignment="1">
      <alignment vertical="center"/>
    </xf>
    <xf numFmtId="0" fontId="2" fillId="3" borderId="0" xfId="0" applyFont="1" applyFill="1" applyBorder="1" applyAlignment="1">
      <alignment vertical="center"/>
    </xf>
    <xf numFmtId="4" fontId="7" fillId="12" borderId="0" xfId="0" applyNumberFormat="1" applyFont="1" applyFill="1" applyBorder="1" applyAlignment="1" applyProtection="1">
      <alignment vertical="center" wrapText="1"/>
      <protection hidden="1"/>
    </xf>
    <xf numFmtId="0" fontId="19" fillId="3" borderId="0" xfId="0" applyFont="1" applyFill="1" applyAlignment="1">
      <alignment vertical="center"/>
    </xf>
    <xf numFmtId="0" fontId="4" fillId="3" borderId="33" xfId="0" applyFont="1" applyFill="1" applyBorder="1" applyAlignment="1">
      <alignment horizontal="center" vertical="center"/>
    </xf>
    <xf numFmtId="0" fontId="4" fillId="3" borderId="34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4" fontId="0" fillId="12" borderId="0" xfId="0" applyNumberFormat="1" applyFill="1" applyBorder="1" applyAlignment="1">
      <alignment horizontal="left" vertical="center"/>
    </xf>
    <xf numFmtId="170" fontId="0" fillId="12" borderId="0" xfId="0" applyNumberFormat="1" applyFill="1" applyBorder="1" applyAlignment="1">
      <alignment vertical="center"/>
    </xf>
    <xf numFmtId="0" fontId="0" fillId="3" borderId="20" xfId="0" applyFill="1" applyBorder="1" applyAlignment="1">
      <alignment horizontal="left" vertical="center"/>
    </xf>
    <xf numFmtId="43" fontId="0" fillId="3" borderId="0" xfId="0" applyNumberFormat="1" applyFill="1" applyBorder="1" applyAlignment="1">
      <alignment vertical="center"/>
    </xf>
    <xf numFmtId="0" fontId="0" fillId="12" borderId="0" xfId="0" applyFill="1" applyBorder="1" applyAlignment="1">
      <alignment horizontal="left" vertical="center"/>
    </xf>
    <xf numFmtId="0" fontId="58" fillId="12" borderId="1" xfId="11" applyNumberFormat="1" applyFont="1" applyFill="1" applyBorder="1" applyAlignment="1">
      <alignment horizontal="center" vertical="center"/>
    </xf>
    <xf numFmtId="169" fontId="58" fillId="12" borderId="1" xfId="1" applyNumberFormat="1" applyFont="1" applyFill="1" applyBorder="1" applyAlignment="1">
      <alignment horizontal="center" vertical="center"/>
    </xf>
    <xf numFmtId="164" fontId="43" fillId="12" borderId="1" xfId="1" applyFont="1" applyFill="1" applyBorder="1" applyAlignment="1">
      <alignment vertical="center"/>
    </xf>
    <xf numFmtId="43" fontId="4" fillId="3" borderId="0" xfId="0" applyNumberFormat="1" applyFont="1" applyFill="1" applyAlignment="1">
      <alignment vertical="center"/>
    </xf>
    <xf numFmtId="0" fontId="59" fillId="12" borderId="0" xfId="0" applyFont="1" applyFill="1" applyBorder="1" applyAlignment="1">
      <alignment vertical="center"/>
    </xf>
    <xf numFmtId="0" fontId="75" fillId="12" borderId="0" xfId="0" applyFont="1" applyFill="1" applyBorder="1" applyAlignment="1">
      <alignment horizontal="center" vertical="center"/>
    </xf>
    <xf numFmtId="168" fontId="75" fillId="12" borderId="0" xfId="11" applyNumberFormat="1" applyFont="1" applyFill="1" applyBorder="1" applyAlignment="1">
      <alignment horizontal="center" vertical="center"/>
    </xf>
    <xf numFmtId="164" fontId="0" fillId="3" borderId="0" xfId="0" applyNumberFormat="1" applyFill="1" applyAlignment="1">
      <alignment vertical="center"/>
    </xf>
    <xf numFmtId="0" fontId="4" fillId="12" borderId="0" xfId="0" applyFont="1" applyFill="1" applyBorder="1" applyAlignment="1">
      <alignment horizontal="center" vertical="center"/>
    </xf>
    <xf numFmtId="0" fontId="1" fillId="3" borderId="0" xfId="0" applyFont="1" applyFill="1" applyAlignment="1">
      <alignment vertical="center"/>
    </xf>
    <xf numFmtId="0" fontId="4" fillId="12" borderId="0" xfId="0" applyFont="1" applyFill="1" applyBorder="1" applyAlignment="1">
      <alignment horizontal="left" vertical="center"/>
    </xf>
    <xf numFmtId="0" fontId="0" fillId="3" borderId="49" xfId="0" applyFill="1" applyBorder="1" applyAlignment="1">
      <alignment vertical="center"/>
    </xf>
    <xf numFmtId="0" fontId="0" fillId="3" borderId="58" xfId="0" applyFill="1" applyBorder="1" applyAlignment="1">
      <alignment horizontal="left" vertical="center"/>
    </xf>
    <xf numFmtId="0" fontId="58" fillId="12" borderId="8" xfId="11" applyNumberFormat="1" applyFont="1" applyFill="1" applyBorder="1" applyAlignment="1">
      <alignment horizontal="center" vertical="center"/>
    </xf>
    <xf numFmtId="169" fontId="58" fillId="12" borderId="8" xfId="1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vertical="center"/>
    </xf>
    <xf numFmtId="0" fontId="2" fillId="3" borderId="5" xfId="0" applyFont="1" applyFill="1" applyBorder="1" applyAlignment="1">
      <alignment vertical="center"/>
    </xf>
    <xf numFmtId="0" fontId="2" fillId="3" borderId="25" xfId="0" applyFont="1" applyFill="1" applyBorder="1" applyAlignment="1">
      <alignment vertical="center"/>
    </xf>
    <xf numFmtId="0" fontId="2" fillId="3" borderId="13" xfId="0" applyFont="1" applyFill="1" applyBorder="1" applyAlignment="1">
      <alignment vertical="center"/>
    </xf>
    <xf numFmtId="164" fontId="2" fillId="3" borderId="47" xfId="0" applyNumberFormat="1" applyFont="1" applyFill="1" applyBorder="1" applyAlignment="1">
      <alignment vertical="center"/>
    </xf>
    <xf numFmtId="164" fontId="0" fillId="12" borderId="0" xfId="0" applyNumberFormat="1" applyFill="1" applyAlignment="1">
      <alignment vertical="center"/>
    </xf>
    <xf numFmtId="0" fontId="0" fillId="12" borderId="2" xfId="0" applyFill="1" applyBorder="1" applyAlignment="1">
      <alignment vertical="center"/>
    </xf>
    <xf numFmtId="4" fontId="4" fillId="3" borderId="2" xfId="0" applyNumberFormat="1" applyFont="1" applyFill="1" applyBorder="1" applyAlignment="1" applyProtection="1">
      <alignment vertical="center"/>
      <protection hidden="1"/>
    </xf>
    <xf numFmtId="4" fontId="4" fillId="12" borderId="2" xfId="0" applyNumberFormat="1" applyFont="1" applyFill="1" applyBorder="1" applyAlignment="1" applyProtection="1">
      <alignment vertical="center"/>
      <protection hidden="1"/>
    </xf>
    <xf numFmtId="1" fontId="0" fillId="3" borderId="0" xfId="0" applyNumberFormat="1" applyFill="1" applyBorder="1" applyAlignment="1">
      <alignment horizontal="center" vertical="center"/>
    </xf>
    <xf numFmtId="1" fontId="4" fillId="12" borderId="30" xfId="0" applyNumberFormat="1" applyFont="1" applyFill="1" applyBorder="1" applyAlignment="1" applyProtection="1">
      <alignment horizontal="center" vertical="center"/>
      <protection hidden="1"/>
    </xf>
    <xf numFmtId="206" fontId="0" fillId="3" borderId="0" xfId="0" applyNumberFormat="1" applyFill="1" applyAlignment="1">
      <alignment vertical="center"/>
    </xf>
    <xf numFmtId="0" fontId="2" fillId="12" borderId="0" xfId="0" applyFont="1" applyFill="1" applyBorder="1" applyAlignment="1">
      <alignment horizontal="left" vertical="center"/>
    </xf>
    <xf numFmtId="0" fontId="2" fillId="12" borderId="0" xfId="0" applyFont="1" applyFill="1" applyBorder="1" applyAlignment="1">
      <alignment horizontal="center" vertical="center"/>
    </xf>
    <xf numFmtId="0" fontId="6" fillId="12" borderId="0" xfId="0" applyFont="1" applyFill="1" applyBorder="1" applyAlignment="1">
      <alignment horizontal="right" vertical="center"/>
    </xf>
    <xf numFmtId="0" fontId="2" fillId="3" borderId="42" xfId="0" applyFont="1" applyFill="1" applyBorder="1" applyAlignment="1">
      <alignment vertical="center"/>
    </xf>
    <xf numFmtId="179" fontId="2" fillId="12" borderId="42" xfId="11" applyNumberFormat="1" applyFont="1" applyFill="1" applyBorder="1" applyAlignment="1">
      <alignment horizontal="center" vertical="center"/>
    </xf>
    <xf numFmtId="4" fontId="7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0" fillId="3" borderId="19" xfId="0" applyFill="1" applyBorder="1" applyAlignment="1">
      <alignment vertical="center"/>
    </xf>
    <xf numFmtId="164" fontId="32" fillId="12" borderId="19" xfId="1" applyFont="1" applyFill="1" applyBorder="1" applyAlignment="1">
      <alignment horizontal="center" vertical="center"/>
    </xf>
    <xf numFmtId="222" fontId="58" fillId="12" borderId="1" xfId="0" applyNumberFormat="1" applyFont="1" applyFill="1" applyBorder="1" applyAlignment="1" applyProtection="1">
      <alignment horizontal="center" vertical="center"/>
      <protection hidden="1"/>
    </xf>
    <xf numFmtId="184" fontId="4" fillId="12" borderId="1" xfId="0" applyNumberFormat="1" applyFont="1" applyFill="1" applyBorder="1" applyAlignment="1" applyProtection="1">
      <alignment horizontal="center" vertical="center"/>
      <protection hidden="1"/>
    </xf>
    <xf numFmtId="164" fontId="58" fillId="12" borderId="1" xfId="0" applyNumberFormat="1" applyFont="1" applyFill="1" applyBorder="1" applyAlignment="1" applyProtection="1">
      <alignment horizontal="center" vertical="center"/>
      <protection hidden="1"/>
    </xf>
    <xf numFmtId="164" fontId="4" fillId="3" borderId="1" xfId="1" applyFont="1" applyFill="1" applyBorder="1" applyAlignment="1">
      <alignment horizontal="center" vertical="center"/>
    </xf>
    <xf numFmtId="164" fontId="32" fillId="12" borderId="1" xfId="1" applyFont="1" applyFill="1" applyBorder="1" applyAlignment="1">
      <alignment horizontal="center" vertical="center"/>
    </xf>
    <xf numFmtId="165" fontId="0" fillId="3" borderId="19" xfId="21" applyFont="1" applyFill="1" applyBorder="1" applyAlignment="1">
      <alignment vertical="center"/>
    </xf>
    <xf numFmtId="165" fontId="0" fillId="3" borderId="1" xfId="21" applyFont="1" applyFill="1" applyBorder="1" applyAlignment="1">
      <alignment vertical="center"/>
    </xf>
    <xf numFmtId="170" fontId="2" fillId="12" borderId="0" xfId="0" applyNumberFormat="1" applyFont="1" applyFill="1" applyBorder="1" applyAlignment="1">
      <alignment horizontal="center" vertical="center"/>
    </xf>
    <xf numFmtId="206" fontId="2" fillId="12" borderId="0" xfId="0" applyNumberFormat="1" applyFont="1" applyFill="1" applyBorder="1" applyAlignment="1">
      <alignment horizontal="center" vertical="center"/>
    </xf>
    <xf numFmtId="0" fontId="0" fillId="3" borderId="81" xfId="0" applyFill="1" applyBorder="1" applyAlignment="1">
      <alignment vertical="center"/>
    </xf>
    <xf numFmtId="164" fontId="32" fillId="12" borderId="81" xfId="1" applyFont="1" applyFill="1" applyBorder="1" applyAlignment="1">
      <alignment horizontal="center" vertical="center"/>
    </xf>
    <xf numFmtId="164" fontId="32" fillId="12" borderId="86" xfId="1" applyFont="1" applyFill="1" applyBorder="1" applyAlignment="1">
      <alignment horizontal="center" vertical="center"/>
    </xf>
    <xf numFmtId="222" fontId="58" fillId="12" borderId="42" xfId="0" applyNumberFormat="1" applyFont="1" applyFill="1" applyBorder="1" applyAlignment="1" applyProtection="1">
      <alignment horizontal="center" vertical="center"/>
      <protection hidden="1"/>
    </xf>
    <xf numFmtId="184" fontId="4" fillId="12" borderId="42" xfId="0" applyNumberFormat="1" applyFont="1" applyFill="1" applyBorder="1" applyAlignment="1" applyProtection="1">
      <alignment horizontal="center" vertical="center"/>
      <protection hidden="1"/>
    </xf>
    <xf numFmtId="164" fontId="58" fillId="12" borderId="42" xfId="0" applyNumberFormat="1" applyFont="1" applyFill="1" applyBorder="1" applyAlignment="1" applyProtection="1">
      <alignment horizontal="center" vertical="center"/>
      <protection hidden="1"/>
    </xf>
    <xf numFmtId="164" fontId="4" fillId="3" borderId="42" xfId="1" applyFont="1" applyFill="1" applyBorder="1" applyAlignment="1">
      <alignment horizontal="center" vertical="center"/>
    </xf>
    <xf numFmtId="164" fontId="36" fillId="12" borderId="19" xfId="1" applyFont="1" applyFill="1" applyBorder="1" applyAlignment="1">
      <alignment horizontal="center" vertical="center"/>
    </xf>
    <xf numFmtId="224" fontId="2" fillId="12" borderId="19" xfId="11" applyNumberFormat="1" applyFont="1" applyFill="1" applyBorder="1" applyAlignment="1">
      <alignment horizontal="center" vertical="center"/>
    </xf>
    <xf numFmtId="170" fontId="67" fillId="3" borderId="19" xfId="0" applyNumberFormat="1" applyFont="1" applyFill="1" applyBorder="1" applyAlignment="1">
      <alignment horizontal="center" vertical="center"/>
    </xf>
    <xf numFmtId="222" fontId="2" fillId="3" borderId="19" xfId="0" applyNumberFormat="1" applyFont="1" applyFill="1" applyBorder="1" applyAlignment="1" applyProtection="1">
      <alignment horizontal="center" vertical="center"/>
      <protection hidden="1"/>
    </xf>
    <xf numFmtId="170" fontId="6" fillId="3" borderId="19" xfId="0" applyNumberFormat="1" applyFont="1" applyFill="1" applyBorder="1" applyAlignment="1" applyProtection="1">
      <alignment horizontal="center" vertical="center"/>
      <protection hidden="1"/>
    </xf>
    <xf numFmtId="164" fontId="2" fillId="3" borderId="19" xfId="0" applyNumberFormat="1" applyFont="1" applyFill="1" applyBorder="1" applyAlignment="1">
      <alignment vertical="center"/>
    </xf>
    <xf numFmtId="164" fontId="2" fillId="3" borderId="0" xfId="0" applyNumberFormat="1" applyFont="1" applyFill="1" applyBorder="1" applyAlignment="1">
      <alignment vertical="center"/>
    </xf>
    <xf numFmtId="164" fontId="32" fillId="12" borderId="0" xfId="1" applyFont="1" applyFill="1" applyBorder="1" applyAlignment="1">
      <alignment horizontal="center" vertical="center"/>
    </xf>
    <xf numFmtId="179" fontId="4" fillId="12" borderId="0" xfId="11" applyNumberFormat="1" applyFont="1" applyFill="1" applyBorder="1" applyAlignment="1">
      <alignment horizontal="center" vertical="center"/>
    </xf>
    <xf numFmtId="205" fontId="4" fillId="12" borderId="0" xfId="11" applyNumberFormat="1" applyFont="1" applyFill="1" applyBorder="1" applyAlignment="1">
      <alignment horizontal="center" vertical="center"/>
    </xf>
    <xf numFmtId="4" fontId="4" fillId="12" borderId="0" xfId="0" applyNumberFormat="1" applyFont="1" applyFill="1" applyBorder="1" applyAlignment="1" applyProtection="1">
      <alignment horizontal="left" vertical="center"/>
      <protection hidden="1"/>
    </xf>
    <xf numFmtId="4" fontId="4" fillId="3" borderId="0" xfId="0" applyNumberFormat="1" applyFont="1" applyFill="1" applyBorder="1" applyAlignment="1" applyProtection="1">
      <alignment horizontal="left" vertical="center"/>
      <protection hidden="1"/>
    </xf>
    <xf numFmtId="49" fontId="4" fillId="12" borderId="0" xfId="0" applyNumberFormat="1" applyFont="1" applyFill="1" applyBorder="1" applyAlignment="1" applyProtection="1">
      <alignment horizontal="left" vertical="center" wrapText="1"/>
      <protection hidden="1"/>
    </xf>
    <xf numFmtId="0" fontId="2" fillId="8" borderId="1" xfId="0" applyFont="1" applyFill="1" applyBorder="1" applyAlignment="1">
      <alignment horizontal="center" vertical="center"/>
    </xf>
    <xf numFmtId="0" fontId="2" fillId="12" borderId="54" xfId="0" applyFont="1" applyFill="1" applyBorder="1" applyAlignment="1">
      <alignment horizontal="center" vertical="center"/>
    </xf>
    <xf numFmtId="170" fontId="2" fillId="12" borderId="5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vertical="center"/>
    </xf>
    <xf numFmtId="169" fontId="75" fillId="12" borderId="0" xfId="1" applyNumberFormat="1" applyFont="1" applyFill="1" applyBorder="1" applyAlignment="1">
      <alignment horizontal="center" vertical="center"/>
    </xf>
    <xf numFmtId="0" fontId="1" fillId="12" borderId="0" xfId="0" applyFont="1" applyFill="1" applyBorder="1" applyAlignment="1">
      <alignment vertical="center"/>
    </xf>
    <xf numFmtId="0" fontId="2" fillId="12" borderId="0" xfId="0" applyFont="1" applyFill="1" applyAlignment="1">
      <alignment vertical="center"/>
    </xf>
    <xf numFmtId="0" fontId="27" fillId="12" borderId="0" xfId="0" applyFont="1" applyFill="1" applyBorder="1" applyAlignment="1">
      <alignment horizontal="center" vertical="center"/>
    </xf>
    <xf numFmtId="0" fontId="0" fillId="3" borderId="51" xfId="0" applyFill="1" applyBorder="1" applyAlignment="1">
      <alignment vertical="center"/>
    </xf>
    <xf numFmtId="244" fontId="2" fillId="3" borderId="0" xfId="0" applyNumberFormat="1" applyFont="1" applyFill="1" applyBorder="1" applyAlignment="1">
      <alignment horizontal="center" vertical="center"/>
    </xf>
    <xf numFmtId="244" fontId="2" fillId="3" borderId="36" xfId="0" applyNumberFormat="1" applyFont="1" applyFill="1" applyBorder="1" applyAlignment="1">
      <alignment horizontal="center" vertical="center"/>
    </xf>
    <xf numFmtId="0" fontId="2" fillId="3" borderId="109" xfId="0" applyFont="1" applyFill="1" applyBorder="1" applyAlignment="1">
      <alignment vertical="center"/>
    </xf>
    <xf numFmtId="164" fontId="2" fillId="3" borderId="101" xfId="1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164" fontId="2" fillId="3" borderId="129" xfId="1" applyFont="1" applyFill="1" applyBorder="1" applyAlignment="1">
      <alignment horizontal="center" vertical="center"/>
    </xf>
    <xf numFmtId="0" fontId="2" fillId="3" borderId="127" xfId="0" applyFont="1" applyFill="1" applyBorder="1" applyAlignment="1">
      <alignment horizontal="center" vertical="center"/>
    </xf>
    <xf numFmtId="244" fontId="2" fillId="3" borderId="129" xfId="0" applyNumberFormat="1" applyFont="1" applyFill="1" applyBorder="1" applyAlignment="1">
      <alignment horizontal="center" vertical="center"/>
    </xf>
    <xf numFmtId="244" fontId="2" fillId="3" borderId="118" xfId="0" applyNumberFormat="1" applyFont="1" applyFill="1" applyBorder="1" applyAlignment="1">
      <alignment horizontal="center" vertical="center"/>
    </xf>
    <xf numFmtId="244" fontId="2" fillId="12" borderId="113" xfId="0" applyNumberFormat="1" applyFont="1" applyFill="1" applyBorder="1" applyAlignment="1">
      <alignment horizontal="center" vertical="center"/>
    </xf>
    <xf numFmtId="244" fontId="2" fillId="12" borderId="0" xfId="0" applyNumberFormat="1" applyFont="1" applyFill="1" applyBorder="1" applyAlignment="1">
      <alignment horizontal="center" vertical="center"/>
    </xf>
    <xf numFmtId="4" fontId="0" fillId="12" borderId="124" xfId="0" applyNumberFormat="1" applyFill="1" applyBorder="1" applyAlignment="1">
      <alignment horizontal="right" vertical="center"/>
    </xf>
    <xf numFmtId="222" fontId="1" fillId="12" borderId="104" xfId="1" applyNumberFormat="1" applyFont="1" applyFill="1" applyBorder="1" applyAlignment="1">
      <alignment horizontal="center" vertical="center"/>
    </xf>
    <xf numFmtId="222" fontId="1" fillId="12" borderId="105" xfId="1" applyNumberFormat="1" applyFont="1" applyFill="1" applyBorder="1" applyAlignment="1">
      <alignment horizontal="center" vertical="center"/>
    </xf>
    <xf numFmtId="164" fontId="1" fillId="12" borderId="124" xfId="1" applyFont="1" applyFill="1" applyBorder="1" applyAlignment="1">
      <alignment vertical="center"/>
    </xf>
    <xf numFmtId="164" fontId="0" fillId="3" borderId="107" xfId="1" applyFont="1" applyFill="1" applyBorder="1" applyAlignment="1">
      <alignment vertical="center"/>
    </xf>
    <xf numFmtId="164" fontId="1" fillId="12" borderId="108" xfId="1" applyFont="1" applyFill="1" applyBorder="1" applyAlignment="1">
      <alignment vertical="center"/>
    </xf>
    <xf numFmtId="244" fontId="1" fillId="12" borderId="107" xfId="1" applyNumberFormat="1" applyFont="1" applyFill="1" applyBorder="1" applyAlignment="1">
      <alignment horizontal="center" vertical="center"/>
    </xf>
    <xf numFmtId="244" fontId="1" fillId="12" borderId="114" xfId="1" applyNumberFormat="1" applyFont="1" applyFill="1" applyBorder="1" applyAlignment="1">
      <alignment horizontal="center" vertical="center"/>
    </xf>
    <xf numFmtId="244" fontId="1" fillId="12" borderId="126" xfId="1" applyNumberFormat="1" applyFont="1" applyFill="1" applyBorder="1" applyAlignment="1">
      <alignment horizontal="center" vertical="center"/>
    </xf>
    <xf numFmtId="244" fontId="1" fillId="12" borderId="0" xfId="1" applyNumberFormat="1" applyFont="1" applyFill="1" applyBorder="1" applyAlignment="1">
      <alignment horizontal="center" vertical="center"/>
    </xf>
    <xf numFmtId="4" fontId="0" fillId="12" borderId="43" xfId="0" applyNumberFormat="1" applyFill="1" applyBorder="1" applyAlignment="1">
      <alignment horizontal="right" vertical="center"/>
    </xf>
    <xf numFmtId="222" fontId="1" fillId="12" borderId="1" xfId="1" applyNumberFormat="1" applyFont="1" applyFill="1" applyBorder="1" applyAlignment="1">
      <alignment horizontal="center" vertical="center"/>
    </xf>
    <xf numFmtId="222" fontId="1" fillId="12" borderId="5" xfId="1" applyNumberFormat="1" applyFont="1" applyFill="1" applyBorder="1" applyAlignment="1">
      <alignment horizontal="center" vertical="center"/>
    </xf>
    <xf numFmtId="164" fontId="1" fillId="12" borderId="43" xfId="1" applyFont="1" applyFill="1" applyBorder="1" applyAlignment="1">
      <alignment vertical="center"/>
    </xf>
    <xf numFmtId="164" fontId="0" fillId="3" borderId="4" xfId="1" applyFont="1" applyFill="1" applyBorder="1" applyAlignment="1">
      <alignment vertical="center"/>
    </xf>
    <xf numFmtId="164" fontId="1" fillId="12" borderId="6" xfId="1" applyFont="1" applyFill="1" applyBorder="1" applyAlignment="1">
      <alignment vertical="center"/>
    </xf>
    <xf numFmtId="244" fontId="1" fillId="12" borderId="4" xfId="1" applyNumberFormat="1" applyFont="1" applyFill="1" applyBorder="1" applyAlignment="1">
      <alignment horizontal="center" vertical="center"/>
    </xf>
    <xf numFmtId="244" fontId="1" fillId="12" borderId="25" xfId="1" applyNumberFormat="1" applyFont="1" applyFill="1" applyBorder="1" applyAlignment="1">
      <alignment horizontal="center" vertical="center"/>
    </xf>
    <xf numFmtId="244" fontId="1" fillId="12" borderId="14" xfId="1" applyNumberFormat="1" applyFont="1" applyFill="1" applyBorder="1" applyAlignment="1">
      <alignment horizontal="center" vertical="center"/>
    </xf>
    <xf numFmtId="4" fontId="0" fillId="12" borderId="94" xfId="0" applyNumberFormat="1" applyFill="1" applyBorder="1" applyAlignment="1">
      <alignment horizontal="right" vertical="center"/>
    </xf>
    <xf numFmtId="222" fontId="1" fillId="12" borderId="81" xfId="1" applyNumberFormat="1" applyFont="1" applyFill="1" applyBorder="1" applyAlignment="1">
      <alignment horizontal="center" vertical="center"/>
    </xf>
    <xf numFmtId="222" fontId="1" fillId="12" borderId="89" xfId="1" applyNumberFormat="1" applyFont="1" applyFill="1" applyBorder="1" applyAlignment="1">
      <alignment horizontal="center" vertical="center"/>
    </xf>
    <xf numFmtId="164" fontId="1" fillId="12" borderId="94" xfId="1" applyFont="1" applyFill="1" applyBorder="1" applyAlignment="1">
      <alignment vertical="center"/>
    </xf>
    <xf numFmtId="164" fontId="0" fillId="3" borderId="106" xfId="1" applyFont="1" applyFill="1" applyBorder="1" applyAlignment="1">
      <alignment vertical="center"/>
    </xf>
    <xf numFmtId="164" fontId="1" fillId="12" borderId="100" xfId="1" applyFont="1" applyFill="1" applyBorder="1" applyAlignment="1">
      <alignment vertical="center"/>
    </xf>
    <xf numFmtId="244" fontId="1" fillId="12" borderId="106" xfId="1" applyNumberFormat="1" applyFont="1" applyFill="1" applyBorder="1" applyAlignment="1">
      <alignment horizontal="center" vertical="center"/>
    </xf>
    <xf numFmtId="244" fontId="1" fillId="12" borderId="88" xfId="1" applyNumberFormat="1" applyFont="1" applyFill="1" applyBorder="1" applyAlignment="1">
      <alignment horizontal="center" vertical="center"/>
    </xf>
    <xf numFmtId="244" fontId="1" fillId="12" borderId="95" xfId="1" applyNumberFormat="1" applyFont="1" applyFill="1" applyBorder="1" applyAlignment="1">
      <alignment horizontal="center" vertical="center"/>
    </xf>
    <xf numFmtId="4" fontId="0" fillId="12" borderId="96" xfId="0" applyNumberFormat="1" applyFill="1" applyBorder="1" applyAlignment="1">
      <alignment horizontal="right" vertical="center"/>
    </xf>
    <xf numFmtId="222" fontId="1" fillId="12" borderId="87" xfId="1" applyNumberFormat="1" applyFont="1" applyFill="1" applyBorder="1" applyAlignment="1">
      <alignment horizontal="center" vertical="center"/>
    </xf>
    <xf numFmtId="222" fontId="1" fillId="12" borderId="99" xfId="1" applyNumberFormat="1" applyFont="1" applyFill="1" applyBorder="1" applyAlignment="1">
      <alignment horizontal="center" vertical="center"/>
    </xf>
    <xf numFmtId="164" fontId="1" fillId="12" borderId="96" xfId="1" applyFont="1" applyFill="1" applyBorder="1" applyAlignment="1">
      <alignment vertical="center"/>
    </xf>
    <xf numFmtId="164" fontId="0" fillId="3" borderId="130" xfId="1" applyFont="1" applyFill="1" applyBorder="1" applyAlignment="1">
      <alignment vertical="center"/>
    </xf>
    <xf numFmtId="164" fontId="1" fillId="12" borderId="131" xfId="1" applyFont="1" applyFill="1" applyBorder="1" applyAlignment="1">
      <alignment vertical="center"/>
    </xf>
    <xf numFmtId="244" fontId="1" fillId="12" borderId="130" xfId="1" applyNumberFormat="1" applyFont="1" applyFill="1" applyBorder="1" applyAlignment="1">
      <alignment horizontal="center" vertical="center"/>
    </xf>
    <xf numFmtId="244" fontId="1" fillId="12" borderId="90" xfId="1" applyNumberFormat="1" applyFont="1" applyFill="1" applyBorder="1" applyAlignment="1">
      <alignment horizontal="center" vertical="center"/>
    </xf>
    <xf numFmtId="244" fontId="1" fillId="12" borderId="97" xfId="1" applyNumberFormat="1" applyFont="1" applyFill="1" applyBorder="1" applyAlignment="1">
      <alignment horizontal="center" vertical="center"/>
    </xf>
    <xf numFmtId="4" fontId="0" fillId="12" borderId="93" xfId="0" applyNumberFormat="1" applyFill="1" applyBorder="1" applyAlignment="1">
      <alignment horizontal="right" vertical="center"/>
    </xf>
    <xf numFmtId="222" fontId="1" fillId="12" borderId="19" xfId="1" applyNumberFormat="1" applyFont="1" applyFill="1" applyBorder="1" applyAlignment="1">
      <alignment horizontal="center" vertical="center"/>
    </xf>
    <xf numFmtId="222" fontId="1" fillId="12" borderId="21" xfId="1" applyNumberFormat="1" applyFont="1" applyFill="1" applyBorder="1" applyAlignment="1">
      <alignment horizontal="center" vertical="center"/>
    </xf>
    <xf numFmtId="164" fontId="1" fillId="12" borderId="93" xfId="1" applyFont="1" applyFill="1" applyBorder="1" applyAlignment="1">
      <alignment vertical="center"/>
    </xf>
    <xf numFmtId="164" fontId="0" fillId="3" borderId="20" xfId="1" applyFont="1" applyFill="1" applyBorder="1" applyAlignment="1">
      <alignment vertical="center"/>
    </xf>
    <xf numFmtId="164" fontId="1" fillId="12" borderId="23" xfId="1" applyFont="1" applyFill="1" applyBorder="1" applyAlignment="1">
      <alignment vertical="center"/>
    </xf>
    <xf numFmtId="244" fontId="1" fillId="12" borderId="9" xfId="1" applyNumberFormat="1" applyFont="1" applyFill="1" applyBorder="1" applyAlignment="1">
      <alignment horizontal="center" vertical="center"/>
    </xf>
    <xf numFmtId="4" fontId="0" fillId="12" borderId="98" xfId="0" applyNumberFormat="1" applyFill="1" applyBorder="1" applyAlignment="1">
      <alignment horizontal="right" vertical="center"/>
    </xf>
    <xf numFmtId="222" fontId="1" fillId="12" borderId="42" xfId="1" applyNumberFormat="1" applyFont="1" applyFill="1" applyBorder="1" applyAlignment="1">
      <alignment horizontal="center" vertical="center"/>
    </xf>
    <xf numFmtId="222" fontId="1" fillId="12" borderId="18" xfId="1" applyNumberFormat="1" applyFont="1" applyFill="1" applyBorder="1" applyAlignment="1">
      <alignment horizontal="center" vertical="center"/>
    </xf>
    <xf numFmtId="164" fontId="1" fillId="12" borderId="98" xfId="1" applyFont="1" applyFill="1" applyBorder="1" applyAlignment="1">
      <alignment vertical="center"/>
    </xf>
    <xf numFmtId="164" fontId="0" fillId="3" borderId="39" xfId="1" applyFont="1" applyFill="1" applyBorder="1" applyAlignment="1">
      <alignment vertical="center"/>
    </xf>
    <xf numFmtId="164" fontId="1" fillId="12" borderId="7" xfId="1" applyFont="1" applyFill="1" applyBorder="1" applyAlignment="1">
      <alignment vertical="center"/>
    </xf>
    <xf numFmtId="244" fontId="1" fillId="12" borderId="39" xfId="1" applyNumberFormat="1" applyFont="1" applyFill="1" applyBorder="1" applyAlignment="1">
      <alignment horizontal="center" vertical="center"/>
    </xf>
    <xf numFmtId="244" fontId="1" fillId="12" borderId="85" xfId="1" applyNumberFormat="1" applyFont="1" applyFill="1" applyBorder="1" applyAlignment="1">
      <alignment horizontal="center" vertical="center"/>
    </xf>
    <xf numFmtId="244" fontId="1" fillId="12" borderId="27" xfId="1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169" fontId="0" fillId="3" borderId="0" xfId="0" applyNumberFormat="1" applyFill="1" applyAlignment="1" applyProtection="1">
      <alignment horizontal="center" vertical="center"/>
      <protection hidden="1"/>
    </xf>
    <xf numFmtId="229" fontId="58" fillId="12" borderId="1" xfId="0" applyNumberFormat="1" applyFont="1" applyFill="1" applyBorder="1" applyAlignment="1" applyProtection="1">
      <alignment horizontal="center" vertical="center"/>
      <protection hidden="1"/>
    </xf>
    <xf numFmtId="164" fontId="58" fillId="12" borderId="1" xfId="1" applyFont="1" applyFill="1" applyBorder="1" applyAlignment="1">
      <alignment horizontal="center" vertical="center"/>
    </xf>
    <xf numFmtId="0" fontId="1" fillId="2" borderId="1" xfId="0" applyFont="1" applyFill="1" applyBorder="1"/>
    <xf numFmtId="164" fontId="1" fillId="2" borderId="1" xfId="1" applyFont="1" applyFill="1" applyBorder="1" applyAlignment="1">
      <alignment horizontal="center"/>
    </xf>
    <xf numFmtId="215" fontId="0" fillId="12" borderId="0" xfId="0" applyNumberFormat="1" applyFill="1" applyAlignment="1">
      <alignment horizontal="center"/>
    </xf>
    <xf numFmtId="169" fontId="0" fillId="3" borderId="0" xfId="0" applyNumberFormat="1" applyFill="1" applyAlignment="1">
      <alignment horizontal="center"/>
    </xf>
    <xf numFmtId="43" fontId="0" fillId="3" borderId="0" xfId="0" applyNumberFormat="1" applyFill="1"/>
    <xf numFmtId="0" fontId="1" fillId="0" borderId="10" xfId="0" applyFont="1" applyFill="1" applyBorder="1" applyAlignment="1">
      <alignment horizontal="center"/>
    </xf>
    <xf numFmtId="49" fontId="1" fillId="0" borderId="10" xfId="0" applyNumberFormat="1" applyFont="1" applyFill="1" applyBorder="1" applyAlignment="1">
      <alignment horizontal="center"/>
    </xf>
    <xf numFmtId="49" fontId="1" fillId="0" borderId="19" xfId="0" applyNumberFormat="1" applyFont="1" applyFill="1" applyBorder="1" applyAlignment="1">
      <alignment horizontal="center"/>
    </xf>
    <xf numFmtId="4" fontId="0" fillId="11" borderId="1" xfId="0" applyNumberFormat="1" applyFill="1" applyBorder="1" applyAlignment="1" applyProtection="1">
      <alignment horizontal="center" vertical="center"/>
      <protection hidden="1"/>
    </xf>
    <xf numFmtId="0" fontId="1" fillId="3" borderId="0" xfId="0" applyFont="1" applyFill="1" applyAlignment="1">
      <alignment horizontal="right"/>
    </xf>
    <xf numFmtId="1" fontId="1" fillId="2" borderId="21" xfId="20" applyNumberFormat="1" applyFont="1" applyFill="1" applyBorder="1" applyProtection="1">
      <protection locked="0"/>
    </xf>
    <xf numFmtId="1" fontId="1" fillId="2" borderId="5" xfId="13" applyNumberFormat="1" applyFont="1" applyFill="1" applyBorder="1" applyProtection="1">
      <protection locked="0"/>
    </xf>
    <xf numFmtId="4" fontId="1" fillId="3" borderId="1" xfId="0" applyNumberFormat="1" applyFont="1" applyFill="1" applyBorder="1" applyAlignment="1" applyProtection="1">
      <alignment horizontal="center"/>
      <protection hidden="1"/>
    </xf>
    <xf numFmtId="2" fontId="4" fillId="3" borderId="0" xfId="0" applyNumberFormat="1" applyFont="1" applyFill="1" applyBorder="1" applyAlignment="1" applyProtection="1">
      <alignment horizontal="left" vertical="center"/>
      <protection hidden="1"/>
    </xf>
    <xf numFmtId="9" fontId="1" fillId="2" borderId="1" xfId="0" applyNumberFormat="1" applyFont="1" applyFill="1" applyBorder="1" applyAlignment="1">
      <alignment horizontal="center"/>
    </xf>
    <xf numFmtId="170" fontId="1" fillId="3" borderId="0" xfId="0" applyNumberFormat="1" applyFont="1" applyFill="1" applyAlignment="1">
      <alignment vertical="center"/>
    </xf>
    <xf numFmtId="168" fontId="58" fillId="12" borderId="1" xfId="11" applyNumberFormat="1" applyFont="1" applyFill="1" applyBorder="1" applyAlignment="1">
      <alignment horizontal="center" vertical="center"/>
    </xf>
    <xf numFmtId="4" fontId="1" fillId="3" borderId="0" xfId="0" applyNumberFormat="1" applyFont="1" applyFill="1" applyBorder="1" applyAlignment="1" applyProtection="1">
      <alignment horizontal="right"/>
      <protection hidden="1"/>
    </xf>
    <xf numFmtId="197" fontId="1" fillId="12" borderId="1" xfId="11" applyNumberFormat="1" applyFont="1" applyFill="1" applyBorder="1" applyAlignment="1" applyProtection="1">
      <alignment horizontal="center"/>
      <protection hidden="1"/>
    </xf>
    <xf numFmtId="1" fontId="1" fillId="0" borderId="1" xfId="11" applyNumberFormat="1" applyFont="1" applyFill="1" applyBorder="1" applyAlignment="1" applyProtection="1">
      <alignment horizontal="center"/>
      <protection hidden="1"/>
    </xf>
    <xf numFmtId="1" fontId="1" fillId="12" borderId="1" xfId="11" applyNumberFormat="1" applyFont="1" applyFill="1" applyBorder="1" applyAlignment="1" applyProtection="1">
      <alignment horizontal="center"/>
      <protection hidden="1"/>
    </xf>
    <xf numFmtId="9" fontId="1" fillId="0" borderId="1" xfId="11" applyFont="1" applyFill="1" applyBorder="1" applyAlignment="1" applyProtection="1">
      <alignment horizontal="center"/>
      <protection hidden="1"/>
    </xf>
    <xf numFmtId="9" fontId="1" fillId="0" borderId="8" xfId="11" applyFont="1" applyFill="1" applyBorder="1" applyAlignment="1" applyProtection="1">
      <alignment horizontal="center"/>
      <protection hidden="1"/>
    </xf>
    <xf numFmtId="4" fontId="2" fillId="3" borderId="0" xfId="0" applyNumberFormat="1" applyFont="1" applyFill="1" applyBorder="1" applyAlignment="1" applyProtection="1">
      <alignment horizontal="right"/>
      <protection hidden="1"/>
    </xf>
    <xf numFmtId="10" fontId="1" fillId="12" borderId="42" xfId="11" applyNumberFormat="1" applyFont="1" applyFill="1" applyBorder="1" applyAlignment="1" applyProtection="1">
      <alignment horizontal="center"/>
      <protection hidden="1"/>
    </xf>
    <xf numFmtId="9" fontId="1" fillId="0" borderId="19" xfId="11" applyFont="1" applyFill="1" applyBorder="1" applyAlignment="1" applyProtection="1">
      <alignment horizontal="center"/>
      <protection hidden="1"/>
    </xf>
    <xf numFmtId="168" fontId="58" fillId="12" borderId="9" xfId="11" applyNumberFormat="1" applyFont="1" applyFill="1" applyBorder="1" applyAlignment="1" applyProtection="1">
      <alignment horizontal="center"/>
      <protection hidden="1"/>
    </xf>
    <xf numFmtId="10" fontId="1" fillId="12" borderId="1" xfId="11" applyNumberFormat="1" applyFont="1" applyFill="1" applyBorder="1" applyAlignment="1" applyProtection="1">
      <alignment horizontal="center"/>
      <protection hidden="1"/>
    </xf>
    <xf numFmtId="10" fontId="1" fillId="11" borderId="1" xfId="11" applyNumberFormat="1" applyFont="1" applyFill="1" applyBorder="1" applyAlignment="1" applyProtection="1">
      <alignment horizontal="center"/>
      <protection hidden="1"/>
    </xf>
    <xf numFmtId="0" fontId="0" fillId="3" borderId="0" xfId="0" applyFill="1" applyBorder="1" applyAlignment="1">
      <alignment horizontal="center"/>
    </xf>
    <xf numFmtId="0" fontId="0" fillId="3" borderId="13" xfId="0" applyFill="1" applyBorder="1" applyAlignment="1">
      <alignment vertical="center"/>
    </xf>
    <xf numFmtId="4" fontId="7" fillId="3" borderId="22" xfId="0" applyNumberFormat="1" applyFont="1" applyFill="1" applyBorder="1" applyAlignment="1" applyProtection="1">
      <alignment vertical="center" wrapText="1"/>
      <protection hidden="1"/>
    </xf>
    <xf numFmtId="229" fontId="60" fillId="12" borderId="10" xfId="0" applyNumberFormat="1" applyFont="1" applyFill="1" applyBorder="1" applyAlignment="1" applyProtection="1">
      <alignment horizontal="center" vertical="center"/>
      <protection hidden="1"/>
    </xf>
    <xf numFmtId="221" fontId="58" fillId="12" borderId="10" xfId="11" applyNumberFormat="1" applyFont="1" applyFill="1" applyBorder="1" applyAlignment="1">
      <alignment horizontal="center" vertical="center"/>
    </xf>
    <xf numFmtId="164" fontId="58" fillId="12" borderId="10" xfId="1" applyFont="1" applyFill="1" applyBorder="1" applyAlignment="1" applyProtection="1">
      <alignment horizontal="center" vertical="center"/>
      <protection locked="0"/>
    </xf>
    <xf numFmtId="219" fontId="58" fillId="12" borderId="10" xfId="11" applyNumberFormat="1" applyFont="1" applyFill="1" applyBorder="1" applyAlignment="1">
      <alignment horizontal="center" vertical="center"/>
    </xf>
    <xf numFmtId="168" fontId="58" fillId="12" borderId="10" xfId="13" applyNumberFormat="1" applyFont="1" applyFill="1" applyBorder="1" applyAlignment="1">
      <alignment horizontal="center" vertical="center"/>
    </xf>
    <xf numFmtId="164" fontId="58" fillId="12" borderId="11" xfId="1" applyFont="1" applyFill="1" applyBorder="1" applyAlignment="1">
      <alignment vertical="center"/>
    </xf>
    <xf numFmtId="4" fontId="7" fillId="3" borderId="39" xfId="0" applyNumberFormat="1" applyFont="1" applyFill="1" applyBorder="1" applyAlignment="1" applyProtection="1">
      <alignment vertical="center" wrapText="1"/>
      <protection hidden="1"/>
    </xf>
    <xf numFmtId="164" fontId="58" fillId="12" borderId="63" xfId="1" applyFont="1" applyFill="1" applyBorder="1" applyAlignment="1" applyProtection="1">
      <alignment horizontal="center" vertical="center"/>
      <protection locked="0"/>
    </xf>
    <xf numFmtId="168" fontId="58" fillId="12" borderId="63" xfId="13" applyNumberFormat="1" applyFont="1" applyFill="1" applyBorder="1" applyAlignment="1">
      <alignment horizontal="center" vertical="center"/>
    </xf>
    <xf numFmtId="164" fontId="58" fillId="12" borderId="7" xfId="1" applyFont="1" applyFill="1" applyBorder="1" applyAlignment="1">
      <alignment vertical="center"/>
    </xf>
    <xf numFmtId="164" fontId="4" fillId="0" borderId="1" xfId="1" applyFont="1" applyFill="1" applyBorder="1" applyAlignment="1">
      <alignment horizontal="center"/>
    </xf>
    <xf numFmtId="1" fontId="1" fillId="2" borderId="5" xfId="20" applyNumberFormat="1" applyFont="1" applyFill="1" applyBorder="1" applyAlignment="1" applyProtection="1">
      <alignment horizontal="center"/>
      <protection locked="0"/>
    </xf>
    <xf numFmtId="169" fontId="0" fillId="12" borderId="0" xfId="0" applyNumberFormat="1" applyFill="1"/>
    <xf numFmtId="10" fontId="0" fillId="12" borderId="0" xfId="11" applyNumberFormat="1" applyFont="1" applyFill="1"/>
    <xf numFmtId="0" fontId="92" fillId="12" borderId="0" xfId="0" applyFont="1" applyFill="1"/>
    <xf numFmtId="164" fontId="92" fillId="12" borderId="0" xfId="1" applyFont="1" applyFill="1"/>
    <xf numFmtId="244" fontId="92" fillId="12" borderId="0" xfId="0" applyNumberFormat="1" applyFont="1" applyFill="1"/>
    <xf numFmtId="0" fontId="92" fillId="12" borderId="0" xfId="0" applyFont="1" applyFill="1" applyAlignment="1">
      <alignment horizontal="center" vertical="center"/>
    </xf>
    <xf numFmtId="186" fontId="92" fillId="0" borderId="0" xfId="0" applyNumberFormat="1" applyFont="1" applyFill="1" applyBorder="1" applyAlignment="1">
      <alignment horizontal="center"/>
    </xf>
    <xf numFmtId="14" fontId="92" fillId="0" borderId="0" xfId="0" applyNumberFormat="1" applyFont="1" applyFill="1"/>
    <xf numFmtId="0" fontId="92" fillId="0" borderId="0" xfId="0" applyFont="1" applyFill="1" applyAlignment="1">
      <alignment horizontal="center" vertical="center"/>
    </xf>
    <xf numFmtId="49" fontId="92" fillId="0" borderId="0" xfId="0" applyNumberFormat="1" applyFont="1" applyFill="1" applyAlignment="1">
      <alignment horizontal="center" vertical="center"/>
    </xf>
    <xf numFmtId="9" fontId="92" fillId="0" borderId="0" xfId="11" applyFont="1" applyFill="1" applyAlignment="1">
      <alignment horizontal="center" vertical="center"/>
    </xf>
    <xf numFmtId="9" fontId="92" fillId="0" borderId="0" xfId="0" applyNumberFormat="1" applyFont="1" applyFill="1" applyAlignment="1">
      <alignment horizontal="center" vertical="center"/>
    </xf>
    <xf numFmtId="169" fontId="92" fillId="12" borderId="0" xfId="0" applyNumberFormat="1" applyFont="1" applyFill="1" applyAlignment="1">
      <alignment horizontal="center" vertical="center"/>
    </xf>
    <xf numFmtId="2" fontId="92" fillId="12" borderId="0" xfId="0" applyNumberFormat="1" applyFont="1" applyFill="1"/>
    <xf numFmtId="4" fontId="92" fillId="0" borderId="0" xfId="0" applyNumberFormat="1" applyFont="1" applyFill="1" applyBorder="1"/>
    <xf numFmtId="10" fontId="92" fillId="0" borderId="0" xfId="0" applyNumberFormat="1" applyFont="1" applyFill="1" applyBorder="1"/>
    <xf numFmtId="255" fontId="92" fillId="0" borderId="0" xfId="0" applyNumberFormat="1" applyFont="1" applyFill="1" applyBorder="1"/>
    <xf numFmtId="225" fontId="92" fillId="0" borderId="0" xfId="0" applyNumberFormat="1" applyFont="1" applyFill="1" applyBorder="1" applyAlignment="1" applyProtection="1">
      <alignment horizontal="center" vertical="center"/>
      <protection hidden="1"/>
    </xf>
    <xf numFmtId="177" fontId="92" fillId="0" borderId="0" xfId="0" applyNumberFormat="1" applyFont="1" applyFill="1" applyBorder="1" applyAlignment="1" applyProtection="1">
      <alignment horizontal="center" vertical="center"/>
      <protection hidden="1"/>
    </xf>
    <xf numFmtId="4" fontId="95" fillId="12" borderId="0" xfId="0" applyNumberFormat="1" applyFont="1" applyFill="1"/>
    <xf numFmtId="2" fontId="92" fillId="0" borderId="0" xfId="0" applyNumberFormat="1" applyFont="1" applyFill="1"/>
    <xf numFmtId="0" fontId="92" fillId="0" borderId="0" xfId="0" applyFont="1" applyFill="1"/>
    <xf numFmtId="9" fontId="92" fillId="12" borderId="0" xfId="11" applyFont="1" applyFill="1" applyBorder="1" applyAlignment="1">
      <alignment horizontal="center"/>
    </xf>
    <xf numFmtId="0" fontId="92" fillId="12" borderId="0" xfId="0" applyFont="1" applyFill="1" applyBorder="1"/>
    <xf numFmtId="0" fontId="92" fillId="15" borderId="0" xfId="0" applyFont="1" applyFill="1"/>
    <xf numFmtId="234" fontId="92" fillId="12" borderId="0" xfId="0" applyNumberFormat="1" applyFont="1" applyFill="1"/>
    <xf numFmtId="2" fontId="92" fillId="12" borderId="14" xfId="11" applyNumberFormat="1" applyFont="1" applyFill="1" applyBorder="1" applyAlignment="1" applyProtection="1">
      <alignment horizontal="center"/>
      <protection hidden="1"/>
    </xf>
    <xf numFmtId="10" fontId="92" fillId="12" borderId="14" xfId="11" applyNumberFormat="1" applyFont="1" applyFill="1" applyBorder="1" applyAlignment="1" applyProtection="1">
      <alignment horizontal="center"/>
      <protection hidden="1"/>
    </xf>
    <xf numFmtId="177" fontId="92" fillId="3" borderId="14" xfId="0" applyNumberFormat="1" applyFont="1" applyFill="1" applyBorder="1" applyAlignment="1" applyProtection="1">
      <alignment horizontal="center"/>
      <protection hidden="1"/>
    </xf>
    <xf numFmtId="206" fontId="92" fillId="3" borderId="14" xfId="0" applyNumberFormat="1" applyFont="1" applyFill="1" applyBorder="1" applyAlignment="1" applyProtection="1">
      <alignment horizontal="center"/>
      <protection hidden="1"/>
    </xf>
    <xf numFmtId="206" fontId="92" fillId="12" borderId="27" xfId="0" applyNumberFormat="1" applyFont="1" applyFill="1" applyBorder="1" applyAlignment="1" applyProtection="1">
      <alignment horizontal="center"/>
      <protection hidden="1"/>
    </xf>
    <xf numFmtId="165" fontId="92" fillId="12" borderId="34" xfId="21" applyFont="1" applyFill="1" applyBorder="1" applyAlignment="1">
      <alignment horizontal="center"/>
    </xf>
    <xf numFmtId="0" fontId="92" fillId="12" borderId="0" xfId="0" applyFont="1" applyFill="1" applyAlignment="1">
      <alignment horizontal="center"/>
    </xf>
    <xf numFmtId="198" fontId="92" fillId="12" borderId="11" xfId="0" applyNumberFormat="1" applyFont="1" applyFill="1" applyBorder="1" applyAlignment="1">
      <alignment horizontal="center"/>
    </xf>
    <xf numFmtId="198" fontId="92" fillId="12" borderId="6" xfId="0" applyNumberFormat="1" applyFont="1" applyFill="1" applyBorder="1" applyAlignment="1">
      <alignment horizontal="center"/>
    </xf>
    <xf numFmtId="198" fontId="92" fillId="12" borderId="57" xfId="0" applyNumberFormat="1" applyFont="1" applyFill="1" applyBorder="1" applyAlignment="1">
      <alignment horizontal="center"/>
    </xf>
    <xf numFmtId="2" fontId="92" fillId="12" borderId="23" xfId="0" applyNumberFormat="1" applyFont="1" applyFill="1" applyBorder="1" applyAlignment="1">
      <alignment horizontal="center"/>
    </xf>
    <xf numFmtId="2" fontId="92" fillId="12" borderId="7" xfId="0" applyNumberFormat="1" applyFont="1" applyFill="1" applyBorder="1" applyAlignment="1">
      <alignment horizontal="center"/>
    </xf>
    <xf numFmtId="237" fontId="92" fillId="12" borderId="11" xfId="0" applyNumberFormat="1" applyFont="1" applyFill="1" applyBorder="1" applyAlignment="1">
      <alignment horizontal="center"/>
    </xf>
    <xf numFmtId="237" fontId="92" fillId="12" borderId="7" xfId="0" applyNumberFormat="1" applyFont="1" applyFill="1" applyBorder="1" applyAlignment="1">
      <alignment horizontal="center"/>
    </xf>
    <xf numFmtId="0" fontId="92" fillId="12" borderId="0" xfId="0" applyFont="1" applyFill="1" applyBorder="1" applyAlignment="1">
      <alignment horizontal="center"/>
    </xf>
    <xf numFmtId="0" fontId="92" fillId="12" borderId="32" xfId="0" applyNumberFormat="1" applyFont="1" applyFill="1" applyBorder="1" applyAlignment="1">
      <alignment horizontal="center"/>
    </xf>
    <xf numFmtId="234" fontId="92" fillId="12" borderId="11" xfId="0" applyNumberFormat="1" applyFont="1" applyFill="1" applyBorder="1" applyAlignment="1">
      <alignment horizontal="center"/>
    </xf>
    <xf numFmtId="234" fontId="92" fillId="12" borderId="6" xfId="0" applyNumberFormat="1" applyFont="1" applyFill="1" applyBorder="1" applyAlignment="1">
      <alignment horizontal="center"/>
    </xf>
    <xf numFmtId="234" fontId="92" fillId="12" borderId="7" xfId="0" applyNumberFormat="1" applyFont="1" applyFill="1" applyBorder="1" applyAlignment="1">
      <alignment horizontal="center"/>
    </xf>
    <xf numFmtId="205" fontId="92" fillId="12" borderId="0" xfId="0" applyNumberFormat="1" applyFont="1" applyFill="1" applyBorder="1" applyAlignment="1">
      <alignment horizontal="center"/>
    </xf>
    <xf numFmtId="235" fontId="92" fillId="12" borderId="11" xfId="0" applyNumberFormat="1" applyFont="1" applyFill="1" applyBorder="1" applyAlignment="1">
      <alignment horizontal="center"/>
    </xf>
    <xf numFmtId="235" fontId="92" fillId="12" borderId="7" xfId="0" applyNumberFormat="1" applyFont="1" applyFill="1" applyBorder="1" applyAlignment="1">
      <alignment horizontal="center"/>
    </xf>
    <xf numFmtId="203" fontId="92" fillId="12" borderId="0" xfId="0" applyNumberFormat="1" applyFont="1" applyFill="1" applyBorder="1" applyAlignment="1">
      <alignment horizontal="center"/>
    </xf>
    <xf numFmtId="211" fontId="92" fillId="12" borderId="11" xfId="0" applyNumberFormat="1" applyFont="1" applyFill="1" applyBorder="1" applyAlignment="1">
      <alignment horizontal="center"/>
    </xf>
    <xf numFmtId="236" fontId="92" fillId="12" borderId="6" xfId="0" applyNumberFormat="1" applyFont="1" applyFill="1" applyBorder="1" applyAlignment="1">
      <alignment horizontal="center"/>
    </xf>
    <xf numFmtId="236" fontId="92" fillId="12" borderId="57" xfId="0" applyNumberFormat="1" applyFont="1" applyFill="1" applyBorder="1" applyAlignment="1">
      <alignment horizontal="center"/>
    </xf>
    <xf numFmtId="164" fontId="92" fillId="12" borderId="34" xfId="1" applyFont="1" applyFill="1" applyBorder="1" applyProtection="1">
      <protection hidden="1"/>
    </xf>
    <xf numFmtId="164" fontId="92" fillId="12" borderId="0" xfId="1" applyFont="1" applyFill="1" applyBorder="1" applyProtection="1">
      <protection hidden="1"/>
    </xf>
    <xf numFmtId="10" fontId="92" fillId="12" borderId="26" xfId="11" applyNumberFormat="1" applyFont="1" applyFill="1" applyBorder="1" applyAlignment="1" applyProtection="1">
      <alignment horizontal="center"/>
      <protection hidden="1"/>
    </xf>
    <xf numFmtId="2" fontId="92" fillId="12" borderId="14" xfId="0" applyNumberFormat="1" applyFont="1" applyFill="1" applyBorder="1" applyAlignment="1">
      <alignment horizontal="center"/>
    </xf>
    <xf numFmtId="206" fontId="92" fillId="12" borderId="0" xfId="0" applyNumberFormat="1" applyFont="1" applyFill="1" applyBorder="1" applyAlignment="1" applyProtection="1">
      <alignment horizontal="center"/>
      <protection hidden="1"/>
    </xf>
    <xf numFmtId="1" fontId="92" fillId="12" borderId="26" xfId="0" applyNumberFormat="1" applyFont="1" applyFill="1" applyBorder="1" applyAlignment="1" applyProtection="1">
      <alignment horizontal="center"/>
      <protection hidden="1"/>
    </xf>
    <xf numFmtId="1" fontId="92" fillId="12" borderId="14" xfId="0" applyNumberFormat="1" applyFont="1" applyFill="1" applyBorder="1" applyAlignment="1" applyProtection="1">
      <alignment horizontal="center"/>
      <protection hidden="1"/>
    </xf>
    <xf numFmtId="1" fontId="92" fillId="12" borderId="95" xfId="0" applyNumberFormat="1" applyFont="1" applyFill="1" applyBorder="1" applyAlignment="1" applyProtection="1">
      <alignment horizontal="center"/>
      <protection hidden="1"/>
    </xf>
    <xf numFmtId="1" fontId="92" fillId="12" borderId="97" xfId="0" applyNumberFormat="1" applyFont="1" applyFill="1" applyBorder="1" applyAlignment="1" applyProtection="1">
      <alignment horizontal="center"/>
      <protection hidden="1"/>
    </xf>
    <xf numFmtId="1" fontId="92" fillId="12" borderId="50" xfId="0" applyNumberFormat="1" applyFont="1" applyFill="1" applyBorder="1" applyAlignment="1" applyProtection="1">
      <alignment horizontal="center"/>
      <protection hidden="1"/>
    </xf>
    <xf numFmtId="1" fontId="92" fillId="12" borderId="84" xfId="0" applyNumberFormat="1" applyFont="1" applyFill="1" applyBorder="1" applyAlignment="1" applyProtection="1">
      <alignment horizontal="center"/>
      <protection hidden="1"/>
    </xf>
    <xf numFmtId="212" fontId="92" fillId="12" borderId="26" xfId="0" applyNumberFormat="1" applyFont="1" applyFill="1" applyBorder="1" applyAlignment="1">
      <alignment horizontal="center"/>
    </xf>
    <xf numFmtId="212" fontId="92" fillId="12" borderId="14" xfId="0" applyNumberFormat="1" applyFont="1" applyFill="1" applyBorder="1" applyAlignment="1">
      <alignment horizontal="center"/>
    </xf>
    <xf numFmtId="212" fontId="92" fillId="12" borderId="95" xfId="0" applyNumberFormat="1" applyFont="1" applyFill="1" applyBorder="1" applyAlignment="1">
      <alignment horizontal="center"/>
    </xf>
    <xf numFmtId="212" fontId="92" fillId="12" borderId="103" xfId="0" applyNumberFormat="1" applyFont="1" applyFill="1" applyBorder="1" applyAlignment="1">
      <alignment horizontal="center"/>
    </xf>
    <xf numFmtId="212" fontId="92" fillId="12" borderId="50" xfId="0" applyNumberFormat="1" applyFont="1" applyFill="1" applyBorder="1" applyAlignment="1">
      <alignment horizontal="center"/>
    </xf>
    <xf numFmtId="212" fontId="92" fillId="12" borderId="27" xfId="0" applyNumberFormat="1" applyFont="1" applyFill="1" applyBorder="1" applyAlignment="1">
      <alignment horizontal="center"/>
    </xf>
    <xf numFmtId="0" fontId="92" fillId="15" borderId="0" xfId="0" applyFont="1" applyFill="1" applyBorder="1" applyAlignment="1">
      <alignment horizontal="center"/>
    </xf>
    <xf numFmtId="213" fontId="92" fillId="15" borderId="32" xfId="0" applyNumberFormat="1" applyFont="1" applyFill="1" applyBorder="1" applyAlignment="1">
      <alignment horizontal="center"/>
    </xf>
    <xf numFmtId="213" fontId="92" fillId="15" borderId="6" xfId="0" applyNumberFormat="1" applyFont="1" applyFill="1" applyBorder="1" applyAlignment="1">
      <alignment horizontal="center"/>
    </xf>
    <xf numFmtId="213" fontId="92" fillId="15" borderId="11" xfId="0" applyNumberFormat="1" applyFont="1" applyFill="1" applyBorder="1" applyAlignment="1">
      <alignment horizontal="center"/>
    </xf>
    <xf numFmtId="198" fontId="92" fillId="14" borderId="7" xfId="0" applyNumberFormat="1" applyFont="1" applyFill="1" applyBorder="1" applyAlignment="1">
      <alignment horizontal="center"/>
    </xf>
    <xf numFmtId="1" fontId="92" fillId="12" borderId="15" xfId="0" applyNumberFormat="1" applyFont="1" applyFill="1" applyBorder="1" applyAlignment="1" applyProtection="1">
      <alignment horizontal="center"/>
      <protection hidden="1"/>
    </xf>
    <xf numFmtId="212" fontId="92" fillId="12" borderId="38" xfId="0" applyNumberFormat="1" applyFont="1" applyFill="1" applyBorder="1" applyAlignment="1">
      <alignment horizontal="center"/>
    </xf>
    <xf numFmtId="213" fontId="92" fillId="15" borderId="7" xfId="0" applyNumberFormat="1" applyFont="1" applyFill="1" applyBorder="1" applyAlignment="1">
      <alignment horizontal="center"/>
    </xf>
    <xf numFmtId="213" fontId="92" fillId="15" borderId="0" xfId="0" applyNumberFormat="1" applyFont="1" applyFill="1" applyBorder="1" applyAlignment="1">
      <alignment horizontal="center"/>
    </xf>
    <xf numFmtId="43" fontId="0" fillId="3" borderId="2" xfId="0" applyNumberFormat="1" applyFill="1" applyBorder="1"/>
    <xf numFmtId="164" fontId="0" fillId="0" borderId="1" xfId="1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96" fillId="30" borderId="133" xfId="31" applyFont="1" applyFill="1" applyBorder="1" applyAlignment="1">
      <alignment horizontal="center"/>
    </xf>
    <xf numFmtId="0" fontId="97" fillId="30" borderId="134" xfId="32" applyFont="1" applyFill="1" applyBorder="1" applyAlignment="1">
      <alignment horizontal="center"/>
    </xf>
    <xf numFmtId="4" fontId="0" fillId="0" borderId="0" xfId="0" applyNumberFormat="1" applyAlignment="1">
      <alignment horizontal="center"/>
    </xf>
    <xf numFmtId="0" fontId="1" fillId="0" borderId="0" xfId="0" applyFont="1" applyAlignment="1">
      <alignment horizontal="center" vertical="center"/>
    </xf>
    <xf numFmtId="0" fontId="96" fillId="30" borderId="134" xfId="33" applyFont="1" applyFill="1" applyBorder="1" applyAlignment="1">
      <alignment horizontal="center"/>
    </xf>
    <xf numFmtId="43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0" fontId="96" fillId="30" borderId="134" xfId="34" applyFont="1" applyFill="1" applyBorder="1" applyAlignment="1">
      <alignment horizontal="center"/>
    </xf>
    <xf numFmtId="1" fontId="0" fillId="31" borderId="0" xfId="0" applyNumberFormat="1" applyFill="1" applyAlignment="1">
      <alignment horizontal="center" vertical="center"/>
    </xf>
    <xf numFmtId="0" fontId="0" fillId="31" borderId="0" xfId="0" applyFill="1" applyAlignment="1">
      <alignment horizontal="center" vertical="center"/>
    </xf>
    <xf numFmtId="0" fontId="0" fillId="31" borderId="0" xfId="0" applyFill="1" applyAlignment="1">
      <alignment horizontal="center"/>
    </xf>
    <xf numFmtId="0" fontId="0" fillId="15" borderId="0" xfId="0" applyFill="1" applyAlignment="1">
      <alignment horizontal="center"/>
    </xf>
    <xf numFmtId="0" fontId="96" fillId="30" borderId="133" xfId="35" applyFont="1" applyFill="1" applyBorder="1" applyAlignment="1">
      <alignment horizontal="center"/>
    </xf>
    <xf numFmtId="0" fontId="96" fillId="30" borderId="134" xfId="36" applyFont="1" applyFill="1" applyBorder="1" applyAlignment="1">
      <alignment horizontal="center"/>
    </xf>
    <xf numFmtId="2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96" fillId="30" borderId="134" xfId="37" applyFont="1" applyFill="1" applyBorder="1" applyAlignment="1">
      <alignment horizontal="center"/>
    </xf>
    <xf numFmtId="169" fontId="96" fillId="30" borderId="134" xfId="37" applyNumberFormat="1" applyFont="1" applyFill="1" applyBorder="1" applyAlignment="1">
      <alignment horizontal="center"/>
    </xf>
    <xf numFmtId="1" fontId="0" fillId="0" borderId="0" xfId="0" applyNumberFormat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2" fontId="96" fillId="30" borderId="134" xfId="38" applyNumberFormat="1" applyFont="1" applyFill="1" applyBorder="1" applyAlignment="1">
      <alignment horizontal="center"/>
    </xf>
    <xf numFmtId="1" fontId="96" fillId="30" borderId="134" xfId="38" applyNumberFormat="1" applyFont="1" applyFill="1" applyBorder="1" applyAlignment="1">
      <alignment horizontal="center"/>
    </xf>
    <xf numFmtId="0" fontId="96" fillId="30" borderId="134" xfId="38" applyFont="1" applyFill="1" applyBorder="1" applyAlignment="1">
      <alignment horizontal="center"/>
    </xf>
    <xf numFmtId="0" fontId="0" fillId="0" borderId="0" xfId="0" applyFont="1" applyAlignment="1">
      <alignment horizontal="center" vertical="center"/>
    </xf>
    <xf numFmtId="0" fontId="96" fillId="30" borderId="0" xfId="39" applyFont="1" applyFill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96" fillId="0" borderId="0" xfId="40" applyFont="1" applyFill="1" applyBorder="1" applyAlignment="1">
      <alignment horizontal="center"/>
    </xf>
    <xf numFmtId="0" fontId="0" fillId="15" borderId="0" xfId="0" applyFill="1" applyBorder="1" applyAlignment="1">
      <alignment horizontal="center" vertical="center"/>
    </xf>
    <xf numFmtId="0" fontId="96" fillId="15" borderId="0" xfId="40" applyFont="1" applyFill="1" applyBorder="1" applyAlignment="1">
      <alignment horizontal="center"/>
    </xf>
    <xf numFmtId="0" fontId="0" fillId="0" borderId="47" xfId="0" applyBorder="1" applyAlignment="1">
      <alignment horizontal="center" vertical="center"/>
    </xf>
    <xf numFmtId="0" fontId="96" fillId="0" borderId="135" xfId="40" applyFont="1" applyFill="1" applyBorder="1" applyAlignment="1">
      <alignment horizontal="center"/>
    </xf>
    <xf numFmtId="0" fontId="0" fillId="0" borderId="21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215" fontId="0" fillId="0" borderId="0" xfId="0" applyNumberFormat="1" applyAlignment="1">
      <alignment horizontal="center" vertical="center"/>
    </xf>
    <xf numFmtId="0" fontId="1" fillId="0" borderId="0" xfId="0" applyFont="1" applyAlignment="1">
      <alignment horizontal="center"/>
    </xf>
    <xf numFmtId="0" fontId="96" fillId="30" borderId="133" xfId="41" applyFont="1" applyFill="1" applyBorder="1" applyAlignment="1">
      <alignment horizontal="center"/>
    </xf>
    <xf numFmtId="0" fontId="96" fillId="30" borderId="134" xfId="41" applyFont="1" applyFill="1" applyBorder="1" applyAlignment="1">
      <alignment horizontal="center"/>
    </xf>
    <xf numFmtId="0" fontId="0" fillId="0" borderId="0" xfId="0" applyFill="1" applyAlignment="1">
      <alignment horizontal="center" vertical="center"/>
    </xf>
    <xf numFmtId="0" fontId="96" fillId="30" borderId="134" xfId="42" applyFont="1" applyFill="1" applyBorder="1" applyAlignment="1">
      <alignment horizontal="center"/>
    </xf>
    <xf numFmtId="0" fontId="96" fillId="30" borderId="134" xfId="43" applyFont="1" applyFill="1" applyBorder="1" applyAlignment="1">
      <alignment horizontal="center"/>
    </xf>
    <xf numFmtId="0" fontId="96" fillId="30" borderId="134" xfId="44" applyFont="1" applyFill="1" applyBorder="1" applyAlignment="1">
      <alignment horizontal="center"/>
    </xf>
    <xf numFmtId="0" fontId="96" fillId="30" borderId="0" xfId="45" applyFont="1" applyFill="1" applyBorder="1" applyAlignment="1">
      <alignment horizontal="center"/>
    </xf>
    <xf numFmtId="0" fontId="0" fillId="0" borderId="0" xfId="21" applyNumberFormat="1" applyFont="1" applyAlignment="1">
      <alignment horizontal="center"/>
    </xf>
    <xf numFmtId="0" fontId="96" fillId="30" borderId="134" xfId="46" applyFont="1" applyFill="1" applyBorder="1" applyAlignment="1">
      <alignment horizontal="center"/>
    </xf>
    <xf numFmtId="9" fontId="0" fillId="0" borderId="0" xfId="0" applyNumberFormat="1" applyAlignment="1">
      <alignment horizontal="center" vertical="center"/>
    </xf>
    <xf numFmtId="0" fontId="96" fillId="30" borderId="134" xfId="47" applyFont="1" applyFill="1" applyBorder="1" applyAlignment="1">
      <alignment horizontal="center"/>
    </xf>
    <xf numFmtId="49" fontId="0" fillId="0" borderId="0" xfId="0" applyNumberFormat="1" applyAlignment="1">
      <alignment horizontal="center" vertical="center"/>
    </xf>
    <xf numFmtId="0" fontId="96" fillId="30" borderId="134" xfId="48" applyFont="1" applyFill="1" applyBorder="1" applyAlignment="1">
      <alignment horizontal="center"/>
    </xf>
    <xf numFmtId="14" fontId="0" fillId="0" borderId="0" xfId="0" applyNumberFormat="1" applyAlignment="1">
      <alignment horizontal="center" vertical="center"/>
    </xf>
    <xf numFmtId="0" fontId="96" fillId="30" borderId="133" xfId="49" applyFont="1" applyFill="1" applyBorder="1" applyAlignment="1">
      <alignment horizontal="center"/>
    </xf>
    <xf numFmtId="0" fontId="96" fillId="30" borderId="134" xfId="49" applyFont="1" applyFill="1" applyBorder="1" applyAlignment="1">
      <alignment horizontal="center"/>
    </xf>
    <xf numFmtId="0" fontId="0" fillId="0" borderId="0" xfId="0" applyAlignment="1">
      <alignment horizontal="left"/>
    </xf>
    <xf numFmtId="0" fontId="96" fillId="30" borderId="134" xfId="50" applyFont="1" applyFill="1" applyBorder="1" applyAlignment="1">
      <alignment horizontal="center"/>
    </xf>
    <xf numFmtId="0" fontId="1" fillId="2" borderId="4" xfId="0" applyFont="1" applyFill="1" applyBorder="1" applyAlignment="1" applyProtection="1">
      <alignment horizontal="center"/>
      <protection locked="0"/>
    </xf>
    <xf numFmtId="0" fontId="1" fillId="2" borderId="22" xfId="0" applyFont="1" applyFill="1" applyBorder="1" applyAlignment="1" applyProtection="1">
      <alignment horizontal="center"/>
      <protection locked="0"/>
    </xf>
    <xf numFmtId="0" fontId="1" fillId="0" borderId="0" xfId="0" applyFont="1" applyBorder="1" applyAlignment="1">
      <alignment horizontal="center"/>
    </xf>
    <xf numFmtId="0" fontId="97" fillId="0" borderId="0" xfId="51"/>
    <xf numFmtId="0" fontId="96" fillId="0" borderId="136" xfId="52" applyFont="1" applyFill="1" applyBorder="1" applyAlignment="1">
      <alignment horizontal="right"/>
    </xf>
    <xf numFmtId="0" fontId="96" fillId="0" borderId="136" xfId="52" applyFont="1" applyFill="1" applyBorder="1" applyAlignment="1"/>
    <xf numFmtId="0" fontId="96" fillId="15" borderId="136" xfId="52" applyFont="1" applyFill="1" applyBorder="1" applyAlignment="1">
      <alignment horizontal="right"/>
    </xf>
    <xf numFmtId="0" fontId="96" fillId="15" borderId="136" xfId="52" applyFont="1" applyFill="1" applyBorder="1" applyAlignment="1"/>
    <xf numFmtId="0" fontId="96" fillId="15" borderId="135" xfId="52" applyFont="1" applyFill="1" applyBorder="1" applyAlignment="1"/>
    <xf numFmtId="0" fontId="96" fillId="0" borderId="135" xfId="52" applyFont="1" applyFill="1" applyBorder="1" applyAlignment="1">
      <alignment horizontal="right"/>
    </xf>
    <xf numFmtId="0" fontId="96" fillId="0" borderId="135" xfId="52" applyFont="1" applyFill="1" applyBorder="1" applyAlignment="1"/>
    <xf numFmtId="0" fontId="0" fillId="0" borderId="14" xfId="0" applyBorder="1" applyAlignment="1">
      <alignment horizontal="center" vertical="center"/>
    </xf>
    <xf numFmtId="0" fontId="0" fillId="2" borderId="14" xfId="0" applyFill="1" applyBorder="1" applyAlignment="1" applyProtection="1">
      <alignment horizontal="center" vertical="center"/>
      <protection locked="0"/>
    </xf>
    <xf numFmtId="0" fontId="96" fillId="32" borderId="135" xfId="52" applyFont="1" applyFill="1" applyBorder="1" applyAlignment="1">
      <alignment horizontal="right"/>
    </xf>
    <xf numFmtId="0" fontId="96" fillId="32" borderId="135" xfId="52" applyFont="1" applyFill="1" applyBorder="1" applyAlignment="1"/>
    <xf numFmtId="0" fontId="0" fillId="0" borderId="4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0" borderId="26" xfId="0" applyFill="1" applyBorder="1" applyAlignment="1">
      <alignment horizontal="center" vertical="center"/>
    </xf>
    <xf numFmtId="0" fontId="0" fillId="2" borderId="0" xfId="0" applyFill="1" applyBorder="1" applyAlignment="1" applyProtection="1">
      <alignment horizontal="center" vertical="center"/>
      <protection locked="0"/>
    </xf>
    <xf numFmtId="0" fontId="0" fillId="2" borderId="4" xfId="0" applyFill="1" applyBorder="1" applyAlignment="1" applyProtection="1">
      <alignment horizontal="center" vertical="center"/>
      <protection locked="0"/>
    </xf>
    <xf numFmtId="0" fontId="0" fillId="0" borderId="45" xfId="0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2" borderId="22" xfId="0" applyFill="1" applyBorder="1" applyAlignment="1" applyProtection="1">
      <alignment horizontal="center" vertical="center"/>
      <protection locked="0"/>
    </xf>
    <xf numFmtId="182" fontId="0" fillId="0" borderId="1" xfId="0" applyNumberFormat="1" applyFill="1" applyBorder="1" applyAlignment="1">
      <alignment horizontal="center" vertical="center"/>
    </xf>
    <xf numFmtId="0" fontId="96" fillId="30" borderId="134" xfId="52" applyFont="1" applyFill="1" applyBorder="1" applyAlignment="1">
      <alignment horizontal="center"/>
    </xf>
    <xf numFmtId="9" fontId="0" fillId="31" borderId="0" xfId="0" applyNumberFormat="1" applyFill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" fillId="4" borderId="50" xfId="0" applyFont="1" applyFill="1" applyBorder="1" applyAlignment="1">
      <alignment horizontal="center" vertical="center"/>
    </xf>
    <xf numFmtId="0" fontId="2" fillId="4" borderId="32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/>
    </xf>
    <xf numFmtId="0" fontId="0" fillId="5" borderId="45" xfId="0" applyFill="1" applyBorder="1" applyAlignment="1">
      <alignment horizontal="center"/>
    </xf>
    <xf numFmtId="0" fontId="0" fillId="5" borderId="37" xfId="0" applyFill="1" applyBorder="1" applyAlignment="1">
      <alignment horizontal="center"/>
    </xf>
    <xf numFmtId="0" fontId="4" fillId="5" borderId="45" xfId="0" applyFont="1" applyFill="1" applyBorder="1" applyAlignment="1">
      <alignment horizontal="center"/>
    </xf>
    <xf numFmtId="0" fontId="4" fillId="5" borderId="51" xfId="0" applyFont="1" applyFill="1" applyBorder="1" applyAlignment="1">
      <alignment horizontal="center"/>
    </xf>
    <xf numFmtId="0" fontId="0" fillId="5" borderId="40" xfId="0" applyFill="1" applyBorder="1" applyAlignment="1">
      <alignment horizontal="center"/>
    </xf>
    <xf numFmtId="0" fontId="2" fillId="4" borderId="22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0" fontId="2" fillId="4" borderId="31" xfId="0" applyFont="1" applyFill="1" applyBorder="1" applyAlignment="1">
      <alignment horizontal="center"/>
    </xf>
    <xf numFmtId="0" fontId="2" fillId="4" borderId="32" xfId="0" applyFont="1" applyFill="1" applyBorder="1" applyAlignment="1">
      <alignment horizontal="center"/>
    </xf>
    <xf numFmtId="0" fontId="2" fillId="4" borderId="54" xfId="0" applyFont="1" applyFill="1" applyBorder="1" applyAlignment="1">
      <alignment horizontal="center"/>
    </xf>
    <xf numFmtId="0" fontId="2" fillId="4" borderId="53" xfId="0" applyFont="1" applyFill="1" applyBorder="1" applyAlignment="1">
      <alignment horizontal="center"/>
    </xf>
    <xf numFmtId="0" fontId="2" fillId="4" borderId="29" xfId="0" applyFont="1" applyFill="1" applyBorder="1" applyAlignment="1">
      <alignment horizontal="center"/>
    </xf>
    <xf numFmtId="0" fontId="2" fillId="4" borderId="35" xfId="0" applyFont="1" applyFill="1" applyBorder="1" applyAlignment="1">
      <alignment horizontal="center"/>
    </xf>
    <xf numFmtId="0" fontId="2" fillId="4" borderId="30" xfId="0" applyFont="1" applyFill="1" applyBorder="1" applyAlignment="1">
      <alignment horizontal="center"/>
    </xf>
    <xf numFmtId="0" fontId="2" fillId="4" borderId="22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2" fillId="4" borderId="29" xfId="0" applyFont="1" applyFill="1" applyBorder="1" applyAlignment="1">
      <alignment horizontal="center" vertical="center"/>
    </xf>
    <xf numFmtId="0" fontId="2" fillId="4" borderId="45" xfId="0" applyFont="1" applyFill="1" applyBorder="1" applyAlignment="1">
      <alignment horizontal="center" vertical="center"/>
    </xf>
    <xf numFmtId="0" fontId="2" fillId="4" borderId="36" xfId="0" applyFont="1" applyFill="1" applyBorder="1" applyAlignment="1">
      <alignment horizontal="center" vertical="center"/>
    </xf>
    <xf numFmtId="0" fontId="2" fillId="4" borderId="83" xfId="0" applyFont="1" applyFill="1" applyBorder="1" applyAlignment="1">
      <alignment horizontal="center"/>
    </xf>
    <xf numFmtId="0" fontId="2" fillId="4" borderId="66" xfId="0" applyFont="1" applyFill="1" applyBorder="1" applyAlignment="1">
      <alignment horizontal="center"/>
    </xf>
    <xf numFmtId="10" fontId="4" fillId="0" borderId="1" xfId="11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27" fillId="0" borderId="1" xfId="0" applyFont="1" applyFill="1" applyBorder="1" applyAlignment="1">
      <alignment horizontal="center"/>
    </xf>
    <xf numFmtId="14" fontId="27" fillId="0" borderId="1" xfId="0" applyNumberFormat="1" applyFont="1" applyFill="1" applyBorder="1" applyAlignment="1">
      <alignment horizontal="center"/>
    </xf>
    <xf numFmtId="0" fontId="4" fillId="12" borderId="5" xfId="0" applyFont="1" applyFill="1" applyBorder="1" applyAlignment="1">
      <alignment horizontal="center"/>
    </xf>
    <xf numFmtId="0" fontId="4" fillId="12" borderId="13" xfId="0" applyFont="1" applyFill="1" applyBorder="1" applyAlignment="1">
      <alignment horizontal="center"/>
    </xf>
    <xf numFmtId="4" fontId="2" fillId="12" borderId="18" xfId="0" applyNumberFormat="1" applyFont="1" applyFill="1" applyBorder="1" applyAlignment="1" applyProtection="1">
      <alignment horizontal="center" vertical="center"/>
      <protection hidden="1"/>
    </xf>
    <xf numFmtId="4" fontId="2" fillId="12" borderId="44" xfId="0" applyNumberFormat="1" applyFont="1" applyFill="1" applyBorder="1" applyAlignment="1" applyProtection="1">
      <alignment horizontal="center" vertical="center"/>
      <protection hidden="1"/>
    </xf>
    <xf numFmtId="4" fontId="2" fillId="12" borderId="1" xfId="0" applyNumberFormat="1" applyFont="1" applyFill="1" applyBorder="1" applyAlignment="1" applyProtection="1">
      <alignment horizontal="center" vertical="center"/>
      <protection hidden="1"/>
    </xf>
    <xf numFmtId="0" fontId="1" fillId="12" borderId="0" xfId="0" applyFont="1" applyFill="1" applyBorder="1" applyAlignment="1">
      <alignment horizontal="left"/>
    </xf>
    <xf numFmtId="0" fontId="4" fillId="12" borderId="0" xfId="0" applyFont="1" applyFill="1" applyBorder="1" applyAlignment="1">
      <alignment horizontal="left"/>
    </xf>
    <xf numFmtId="0" fontId="2" fillId="12" borderId="33" xfId="0" applyFont="1" applyFill="1" applyBorder="1" applyAlignment="1">
      <alignment horizontal="center"/>
    </xf>
    <xf numFmtId="0" fontId="2" fillId="12" borderId="34" xfId="0" applyFont="1" applyFill="1" applyBorder="1" applyAlignment="1">
      <alignment horizontal="center"/>
    </xf>
    <xf numFmtId="0" fontId="27" fillId="12" borderId="54" xfId="0" applyFont="1" applyFill="1" applyBorder="1" applyAlignment="1">
      <alignment horizontal="center"/>
    </xf>
    <xf numFmtId="0" fontId="27" fillId="12" borderId="52" xfId="0" applyFont="1" applyFill="1" applyBorder="1" applyAlignment="1">
      <alignment horizontal="center"/>
    </xf>
    <xf numFmtId="0" fontId="27" fillId="12" borderId="53" xfId="0" applyFont="1" applyFill="1" applyBorder="1" applyAlignment="1">
      <alignment horizontal="center"/>
    </xf>
    <xf numFmtId="0" fontId="2" fillId="12" borderId="0" xfId="0" applyFont="1" applyFill="1" applyBorder="1" applyAlignment="1">
      <alignment horizontal="center"/>
    </xf>
    <xf numFmtId="0" fontId="0" fillId="0" borderId="0" xfId="0" applyBorder="1"/>
    <xf numFmtId="0" fontId="76" fillId="12" borderId="0" xfId="0" applyFont="1" applyFill="1" applyBorder="1" applyAlignment="1">
      <alignment horizontal="center" vertical="center"/>
    </xf>
    <xf numFmtId="4" fontId="1" fillId="3" borderId="43" xfId="0" applyNumberFormat="1" applyFont="1" applyFill="1" applyBorder="1" applyAlignment="1" applyProtection="1">
      <alignment horizontal="left" vertical="center"/>
      <protection hidden="1"/>
    </xf>
    <xf numFmtId="4" fontId="1" fillId="3" borderId="13" xfId="0" applyNumberFormat="1" applyFont="1" applyFill="1" applyBorder="1" applyAlignment="1" applyProtection="1">
      <alignment horizontal="left" vertical="center"/>
      <protection hidden="1"/>
    </xf>
    <xf numFmtId="4" fontId="1" fillId="3" borderId="4" xfId="0" applyNumberFormat="1" applyFont="1" applyFill="1" applyBorder="1" applyAlignment="1" applyProtection="1">
      <alignment horizontal="left" vertical="center"/>
      <protection hidden="1"/>
    </xf>
    <xf numFmtId="4" fontId="1" fillId="3" borderId="1" xfId="0" applyNumberFormat="1" applyFont="1" applyFill="1" applyBorder="1" applyAlignment="1" applyProtection="1">
      <alignment horizontal="left" vertical="center"/>
      <protection hidden="1"/>
    </xf>
    <xf numFmtId="0" fontId="2" fillId="3" borderId="54" xfId="0" applyFont="1" applyFill="1" applyBorder="1" applyAlignment="1" applyProtection="1">
      <alignment horizontal="center" vertical="center"/>
      <protection hidden="1"/>
    </xf>
    <xf numFmtId="0" fontId="2" fillId="3" borderId="53" xfId="0" applyFont="1" applyFill="1" applyBorder="1" applyAlignment="1" applyProtection="1">
      <alignment horizontal="center" vertical="center"/>
      <protection hidden="1"/>
    </xf>
    <xf numFmtId="0" fontId="2" fillId="3" borderId="0" xfId="0" applyFont="1" applyFill="1" applyBorder="1" applyAlignment="1" applyProtection="1">
      <alignment horizontal="center" vertical="center"/>
      <protection hidden="1"/>
    </xf>
    <xf numFmtId="4" fontId="7" fillId="3" borderId="5" xfId="0" applyNumberFormat="1" applyFont="1" applyFill="1" applyBorder="1" applyAlignment="1" applyProtection="1">
      <alignment horizontal="center" vertical="center"/>
      <protection hidden="1"/>
    </xf>
    <xf numFmtId="4" fontId="7" fillId="3" borderId="13" xfId="0" applyNumberFormat="1" applyFont="1" applyFill="1" applyBorder="1" applyAlignment="1" applyProtection="1">
      <alignment horizontal="center" vertical="center"/>
      <protection hidden="1"/>
    </xf>
    <xf numFmtId="0" fontId="6" fillId="7" borderId="21" xfId="0" applyFont="1" applyFill="1" applyBorder="1" applyAlignment="1">
      <alignment horizontal="center" vertical="center"/>
    </xf>
    <xf numFmtId="0" fontId="6" fillId="7" borderId="47" xfId="0" applyFont="1" applyFill="1" applyBorder="1" applyAlignment="1">
      <alignment horizontal="center" vertical="center"/>
    </xf>
    <xf numFmtId="4" fontId="6" fillId="7" borderId="1" xfId="0" applyNumberFormat="1" applyFont="1" applyFill="1" applyBorder="1" applyAlignment="1" applyProtection="1">
      <alignment horizontal="center" vertical="center" wrapText="1"/>
      <protection hidden="1"/>
    </xf>
    <xf numFmtId="0" fontId="2" fillId="3" borderId="54" xfId="0" applyFont="1" applyFill="1" applyBorder="1" applyAlignment="1">
      <alignment horizontal="center" vertical="center"/>
    </xf>
    <xf numFmtId="0" fontId="2" fillId="3" borderId="53" xfId="0" applyFont="1" applyFill="1" applyBorder="1" applyAlignment="1">
      <alignment horizontal="center" vertical="center"/>
    </xf>
    <xf numFmtId="4" fontId="4" fillId="12" borderId="81" xfId="0" applyNumberFormat="1" applyFont="1" applyFill="1" applyBorder="1" applyAlignment="1" applyProtection="1">
      <alignment horizontal="left" vertical="center"/>
      <protection hidden="1"/>
    </xf>
    <xf numFmtId="4" fontId="1" fillId="12" borderId="43" xfId="0" applyNumberFormat="1" applyFont="1" applyFill="1" applyBorder="1" applyAlignment="1" applyProtection="1">
      <alignment vertical="center"/>
      <protection hidden="1"/>
    </xf>
    <xf numFmtId="4" fontId="1" fillId="12" borderId="13" xfId="0" applyNumberFormat="1" applyFont="1" applyFill="1" applyBorder="1" applyAlignment="1" applyProtection="1">
      <alignment vertical="center"/>
      <protection hidden="1"/>
    </xf>
    <xf numFmtId="206" fontId="2" fillId="12" borderId="54" xfId="0" applyNumberFormat="1" applyFont="1" applyFill="1" applyBorder="1" applyAlignment="1">
      <alignment horizontal="center" vertical="center"/>
    </xf>
    <xf numFmtId="206" fontId="2" fillId="12" borderId="53" xfId="0" applyNumberFormat="1" applyFont="1" applyFill="1" applyBorder="1" applyAlignment="1">
      <alignment horizontal="center" vertical="center"/>
    </xf>
    <xf numFmtId="0" fontId="27" fillId="12" borderId="54" xfId="0" applyFont="1" applyFill="1" applyBorder="1" applyAlignment="1">
      <alignment horizontal="center" vertical="center"/>
    </xf>
    <xf numFmtId="0" fontId="27" fillId="12" borderId="52" xfId="0" applyFont="1" applyFill="1" applyBorder="1" applyAlignment="1">
      <alignment horizontal="center" vertical="center"/>
    </xf>
    <xf numFmtId="0" fontId="27" fillId="12" borderId="53" xfId="0" applyFont="1" applyFill="1" applyBorder="1" applyAlignment="1">
      <alignment horizontal="center" vertical="center"/>
    </xf>
    <xf numFmtId="164" fontId="2" fillId="3" borderId="45" xfId="1" applyFont="1" applyFill="1" applyBorder="1" applyAlignment="1">
      <alignment horizontal="center" vertical="center"/>
    </xf>
    <xf numFmtId="164" fontId="2" fillId="3" borderId="109" xfId="1" applyFont="1" applyFill="1" applyBorder="1" applyAlignment="1">
      <alignment horizontal="center" vertical="center"/>
    </xf>
    <xf numFmtId="4" fontId="1" fillId="12" borderId="98" xfId="0" applyNumberFormat="1" applyFont="1" applyFill="1" applyBorder="1" applyAlignment="1" applyProtection="1">
      <alignment horizontal="left" vertical="center"/>
      <protection hidden="1"/>
    </xf>
    <xf numFmtId="4" fontId="1" fillId="12" borderId="44" xfId="0" applyNumberFormat="1" applyFont="1" applyFill="1" applyBorder="1" applyAlignment="1" applyProtection="1">
      <alignment horizontal="left" vertical="center"/>
      <protection hidden="1"/>
    </xf>
    <xf numFmtId="4" fontId="4" fillId="3" borderId="1" xfId="0" applyNumberFormat="1" applyFont="1" applyFill="1" applyBorder="1" applyAlignment="1" applyProtection="1">
      <alignment horizontal="left" vertical="center"/>
      <protection hidden="1"/>
    </xf>
    <xf numFmtId="4" fontId="4" fillId="12" borderId="1" xfId="0" applyNumberFormat="1" applyFont="1" applyFill="1" applyBorder="1" applyAlignment="1" applyProtection="1">
      <alignment horizontal="left" vertical="center"/>
      <protection hidden="1"/>
    </xf>
    <xf numFmtId="4" fontId="19" fillId="2" borderId="5" xfId="0" applyNumberFormat="1" applyFont="1" applyFill="1" applyBorder="1" applyAlignment="1" applyProtection="1">
      <alignment horizontal="center" vertical="center"/>
      <protection hidden="1"/>
    </xf>
    <xf numFmtId="4" fontId="19" fillId="2" borderId="13" xfId="0" applyNumberFormat="1" applyFont="1" applyFill="1" applyBorder="1" applyAlignment="1" applyProtection="1">
      <alignment horizontal="center" vertical="center"/>
      <protection hidden="1"/>
    </xf>
    <xf numFmtId="4" fontId="1" fillId="3" borderId="124" xfId="0" applyNumberFormat="1" applyFont="1" applyFill="1" applyBorder="1" applyAlignment="1" applyProtection="1">
      <alignment horizontal="left" vertical="center"/>
      <protection hidden="1"/>
    </xf>
    <xf numFmtId="4" fontId="1" fillId="3" borderId="123" xfId="0" applyNumberFormat="1" applyFont="1" applyFill="1" applyBorder="1" applyAlignment="1" applyProtection="1">
      <alignment horizontal="left" vertical="center"/>
      <protection hidden="1"/>
    </xf>
    <xf numFmtId="4" fontId="1" fillId="3" borderId="20" xfId="0" applyNumberFormat="1" applyFont="1" applyFill="1" applyBorder="1" applyAlignment="1" applyProtection="1">
      <alignment horizontal="left" vertical="center"/>
      <protection hidden="1"/>
    </xf>
    <xf numFmtId="4" fontId="1" fillId="3" borderId="19" xfId="0" applyNumberFormat="1" applyFont="1" applyFill="1" applyBorder="1" applyAlignment="1" applyProtection="1">
      <alignment horizontal="left" vertical="center"/>
      <protection hidden="1"/>
    </xf>
    <xf numFmtId="4" fontId="1" fillId="3" borderId="115" xfId="0" applyNumberFormat="1" applyFont="1" applyFill="1" applyBorder="1" applyAlignment="1" applyProtection="1">
      <alignment horizontal="left" vertical="center"/>
      <protection hidden="1"/>
    </xf>
    <xf numFmtId="4" fontId="1" fillId="3" borderId="86" xfId="0" applyNumberFormat="1" applyFont="1" applyFill="1" applyBorder="1" applyAlignment="1" applyProtection="1">
      <alignment horizontal="left" vertical="center"/>
      <protection hidden="1"/>
    </xf>
    <xf numFmtId="4" fontId="1" fillId="3" borderId="106" xfId="0" applyNumberFormat="1" applyFont="1" applyFill="1" applyBorder="1" applyAlignment="1" applyProtection="1">
      <alignment horizontal="left" vertical="center"/>
      <protection hidden="1"/>
    </xf>
    <xf numFmtId="4" fontId="1" fillId="3" borderId="81" xfId="0" applyNumberFormat="1" applyFont="1" applyFill="1" applyBorder="1" applyAlignment="1" applyProtection="1">
      <alignment horizontal="left" vertical="center"/>
      <protection hidden="1"/>
    </xf>
    <xf numFmtId="4" fontId="2" fillId="7" borderId="5" xfId="0" applyNumberFormat="1" applyFont="1" applyFill="1" applyBorder="1" applyAlignment="1" applyProtection="1">
      <alignment horizontal="center" vertical="center"/>
      <protection hidden="1"/>
    </xf>
    <xf numFmtId="4" fontId="2" fillId="7" borderId="13" xfId="0" applyNumberFormat="1" applyFont="1" applyFill="1" applyBorder="1" applyAlignment="1" applyProtection="1">
      <alignment horizontal="center" vertical="center"/>
      <protection hidden="1"/>
    </xf>
    <xf numFmtId="4" fontId="4" fillId="12" borderId="5" xfId="0" applyNumberFormat="1" applyFont="1" applyFill="1" applyBorder="1" applyAlignment="1" applyProtection="1">
      <alignment horizontal="left" vertical="center"/>
      <protection hidden="1"/>
    </xf>
    <xf numFmtId="4" fontId="4" fillId="12" borderId="13" xfId="0" applyNumberFormat="1" applyFont="1" applyFill="1" applyBorder="1" applyAlignment="1" applyProtection="1">
      <alignment horizontal="left" vertical="center"/>
      <protection hidden="1"/>
    </xf>
    <xf numFmtId="49" fontId="4" fillId="12" borderId="5" xfId="0" applyNumberFormat="1" applyFont="1" applyFill="1" applyBorder="1" applyAlignment="1" applyProtection="1">
      <alignment horizontal="left" vertical="center" wrapText="1"/>
      <protection hidden="1"/>
    </xf>
    <xf numFmtId="49" fontId="4" fillId="12" borderId="13" xfId="0" applyNumberFormat="1" applyFont="1" applyFill="1" applyBorder="1" applyAlignment="1" applyProtection="1">
      <alignment horizontal="left" vertical="center" wrapText="1"/>
      <protection hidden="1"/>
    </xf>
    <xf numFmtId="49" fontId="4" fillId="12" borderId="21" xfId="0" applyNumberFormat="1" applyFont="1" applyFill="1" applyBorder="1" applyAlignment="1" applyProtection="1">
      <alignment horizontal="left" vertical="center" wrapText="1"/>
      <protection hidden="1"/>
    </xf>
    <xf numFmtId="49" fontId="4" fillId="12" borderId="47" xfId="0" applyNumberFormat="1" applyFont="1" applyFill="1" applyBorder="1" applyAlignment="1" applyProtection="1">
      <alignment horizontal="left" vertical="center" wrapText="1"/>
      <protection hidden="1"/>
    </xf>
    <xf numFmtId="4" fontId="4" fillId="3" borderId="89" xfId="0" applyNumberFormat="1" applyFont="1" applyFill="1" applyBorder="1" applyAlignment="1" applyProtection="1">
      <alignment horizontal="left" vertical="center"/>
      <protection hidden="1"/>
    </xf>
    <xf numFmtId="4" fontId="4" fillId="3" borderId="91" xfId="0" applyNumberFormat="1" applyFont="1" applyFill="1" applyBorder="1" applyAlignment="1" applyProtection="1">
      <alignment horizontal="left" vertical="center"/>
      <protection hidden="1"/>
    </xf>
    <xf numFmtId="4" fontId="4" fillId="12" borderId="86" xfId="0" applyNumberFormat="1" applyFont="1" applyFill="1" applyBorder="1" applyAlignment="1" applyProtection="1">
      <alignment horizontal="left" vertical="center"/>
      <protection hidden="1"/>
    </xf>
    <xf numFmtId="4" fontId="4" fillId="12" borderId="19" xfId="0" applyNumberFormat="1" applyFont="1" applyFill="1" applyBorder="1" applyAlignment="1" applyProtection="1">
      <alignment horizontal="left" vertical="center"/>
      <protection hidden="1"/>
    </xf>
    <xf numFmtId="4" fontId="6" fillId="7" borderId="48" xfId="0" applyNumberFormat="1" applyFont="1" applyFill="1" applyBorder="1" applyAlignment="1" applyProtection="1">
      <alignment horizontal="center" vertical="center" wrapText="1"/>
      <protection hidden="1"/>
    </xf>
    <xf numFmtId="4" fontId="6" fillId="7" borderId="28" xfId="0" applyNumberFormat="1" applyFont="1" applyFill="1" applyBorder="1" applyAlignment="1" applyProtection="1">
      <alignment horizontal="center" vertical="center" wrapText="1"/>
      <protection hidden="1"/>
    </xf>
    <xf numFmtId="4" fontId="6" fillId="7" borderId="21" xfId="0" applyNumberFormat="1" applyFont="1" applyFill="1" applyBorder="1" applyAlignment="1" applyProtection="1">
      <alignment horizontal="center" vertical="center" wrapText="1"/>
      <protection hidden="1"/>
    </xf>
    <xf numFmtId="4" fontId="6" fillId="7" borderId="47" xfId="0" applyNumberFormat="1" applyFont="1" applyFill="1" applyBorder="1" applyAlignment="1" applyProtection="1">
      <alignment horizontal="center" vertical="center" wrapText="1"/>
      <protection hidden="1"/>
    </xf>
    <xf numFmtId="4" fontId="2" fillId="3" borderId="21" xfId="0" applyNumberFormat="1" applyFont="1" applyFill="1" applyBorder="1" applyAlignment="1" applyProtection="1">
      <alignment horizontal="left" vertical="center"/>
      <protection hidden="1"/>
    </xf>
    <xf numFmtId="4" fontId="2" fillId="3" borderId="47" xfId="0" applyNumberFormat="1" applyFont="1" applyFill="1" applyBorder="1" applyAlignment="1" applyProtection="1">
      <alignment horizontal="left" vertical="center"/>
      <protection hidden="1"/>
    </xf>
    <xf numFmtId="49" fontId="4" fillId="12" borderId="18" xfId="0" applyNumberFormat="1" applyFont="1" applyFill="1" applyBorder="1" applyAlignment="1" applyProtection="1">
      <alignment horizontal="left" vertical="center" wrapText="1"/>
      <protection hidden="1"/>
    </xf>
    <xf numFmtId="49" fontId="4" fillId="12" borderId="44" xfId="0" applyNumberFormat="1" applyFont="1" applyFill="1" applyBorder="1" applyAlignment="1" applyProtection="1">
      <alignment horizontal="left" vertical="center" wrapText="1"/>
      <protection hidden="1"/>
    </xf>
    <xf numFmtId="0" fontId="2" fillId="3" borderId="29" xfId="0" applyFont="1" applyFill="1" applyBorder="1" applyAlignment="1" applyProtection="1">
      <alignment horizontal="center" vertical="center"/>
      <protection hidden="1"/>
    </xf>
    <xf numFmtId="0" fontId="2" fillId="3" borderId="30" xfId="0" applyFont="1" applyFill="1" applyBorder="1" applyAlignment="1" applyProtection="1">
      <alignment horizontal="center" vertical="center"/>
      <protection hidden="1"/>
    </xf>
    <xf numFmtId="0" fontId="2" fillId="3" borderId="35" xfId="0" applyFont="1" applyFill="1" applyBorder="1" applyAlignment="1" applyProtection="1">
      <alignment horizontal="center" vertical="center"/>
      <protection hidden="1"/>
    </xf>
    <xf numFmtId="0" fontId="2" fillId="3" borderId="51" xfId="0" applyFont="1" applyFill="1" applyBorder="1" applyAlignment="1" applyProtection="1">
      <alignment horizontal="center" vertical="center"/>
      <protection hidden="1"/>
    </xf>
    <xf numFmtId="0" fontId="2" fillId="3" borderId="2" xfId="0" applyFont="1" applyFill="1" applyBorder="1" applyAlignment="1" applyProtection="1">
      <alignment horizontal="center" vertical="center"/>
      <protection hidden="1"/>
    </xf>
    <xf numFmtId="0" fontId="2" fillId="3" borderId="40" xfId="0" applyFont="1" applyFill="1" applyBorder="1" applyAlignment="1" applyProtection="1">
      <alignment horizontal="center" vertical="center"/>
      <protection hidden="1"/>
    </xf>
    <xf numFmtId="0" fontId="6" fillId="7" borderId="5" xfId="0" applyFont="1" applyFill="1" applyBorder="1" applyAlignment="1">
      <alignment horizontal="center" vertical="center"/>
    </xf>
    <xf numFmtId="0" fontId="6" fillId="7" borderId="13" xfId="0" applyFont="1" applyFill="1" applyBorder="1" applyAlignment="1">
      <alignment horizontal="center" vertical="center"/>
    </xf>
    <xf numFmtId="4" fontId="72" fillId="13" borderId="0" xfId="0" applyNumberFormat="1" applyFont="1" applyFill="1" applyBorder="1" applyAlignment="1" applyProtection="1">
      <alignment horizontal="center" vertical="center"/>
      <protection hidden="1"/>
    </xf>
    <xf numFmtId="4" fontId="4" fillId="12" borderId="99" xfId="0" applyNumberFormat="1" applyFont="1" applyFill="1" applyBorder="1" applyAlignment="1" applyProtection="1">
      <alignment horizontal="left" vertical="center"/>
      <protection hidden="1"/>
    </xf>
    <xf numFmtId="4" fontId="4" fillId="12" borderId="92" xfId="0" applyNumberFormat="1" applyFont="1" applyFill="1" applyBorder="1" applyAlignment="1" applyProtection="1">
      <alignment horizontal="left" vertical="center"/>
      <protection hidden="1"/>
    </xf>
    <xf numFmtId="4" fontId="4" fillId="3" borderId="5" xfId="0" applyNumberFormat="1" applyFont="1" applyFill="1" applyBorder="1" applyAlignment="1" applyProtection="1">
      <alignment horizontal="left" vertical="center"/>
      <protection hidden="1"/>
    </xf>
    <xf numFmtId="4" fontId="4" fillId="3" borderId="13" xfId="0" applyNumberFormat="1" applyFont="1" applyFill="1" applyBorder="1" applyAlignment="1" applyProtection="1">
      <alignment horizontal="left" vertical="center"/>
      <protection hidden="1"/>
    </xf>
    <xf numFmtId="4" fontId="6" fillId="7" borderId="8" xfId="0" applyNumberFormat="1" applyFont="1" applyFill="1" applyBorder="1" applyAlignment="1" applyProtection="1">
      <alignment horizontal="center" vertical="center" wrapText="1"/>
      <protection hidden="1"/>
    </xf>
    <xf numFmtId="4" fontId="6" fillId="7" borderId="19" xfId="0" applyNumberFormat="1" applyFont="1" applyFill="1" applyBorder="1" applyAlignment="1" applyProtection="1">
      <alignment horizontal="center" vertical="center" wrapText="1"/>
      <protection hidden="1"/>
    </xf>
    <xf numFmtId="0" fontId="2" fillId="3" borderId="52" xfId="0" applyFont="1" applyFill="1" applyBorder="1" applyAlignment="1" applyProtection="1">
      <alignment horizontal="center" vertical="center"/>
      <protection hidden="1"/>
    </xf>
    <xf numFmtId="0" fontId="6" fillId="7" borderId="1" xfId="0" applyFont="1" applyFill="1" applyBorder="1" applyAlignment="1">
      <alignment horizontal="center" vertical="center" wrapText="1"/>
    </xf>
    <xf numFmtId="0" fontId="2" fillId="7" borderId="5" xfId="0" applyFont="1" applyFill="1" applyBorder="1" applyAlignment="1" applyProtection="1">
      <alignment horizontal="left" vertical="center"/>
      <protection hidden="1"/>
    </xf>
    <xf numFmtId="0" fontId="2" fillId="7" borderId="13" xfId="0" applyFont="1" applyFill="1" applyBorder="1" applyAlignment="1" applyProtection="1">
      <alignment horizontal="left" vertical="center"/>
      <protection hidden="1"/>
    </xf>
    <xf numFmtId="0" fontId="4" fillId="3" borderId="0" xfId="0" applyFont="1" applyFill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/>
    </xf>
    <xf numFmtId="0" fontId="2" fillId="3" borderId="44" xfId="0" applyFont="1" applyFill="1" applyBorder="1" applyAlignment="1">
      <alignment horizontal="center" vertical="center"/>
    </xf>
    <xf numFmtId="0" fontId="40" fillId="3" borderId="8" xfId="0" applyFont="1" applyFill="1" applyBorder="1" applyAlignment="1">
      <alignment horizontal="center" vertical="center"/>
    </xf>
    <xf numFmtId="0" fontId="40" fillId="3" borderId="67" xfId="0" applyFont="1" applyFill="1" applyBorder="1" applyAlignment="1">
      <alignment horizontal="center" vertical="center"/>
    </xf>
    <xf numFmtId="0" fontId="40" fillId="3" borderId="19" xfId="0" applyFont="1" applyFill="1" applyBorder="1" applyAlignment="1">
      <alignment horizontal="center" vertical="center"/>
    </xf>
    <xf numFmtId="164" fontId="4" fillId="3" borderId="5" xfId="3" applyFont="1" applyFill="1" applyBorder="1" applyAlignment="1">
      <alignment horizontal="center"/>
    </xf>
    <xf numFmtId="164" fontId="4" fillId="3" borderId="13" xfId="3" applyFont="1" applyFill="1" applyBorder="1" applyAlignment="1">
      <alignment horizontal="center"/>
    </xf>
    <xf numFmtId="0" fontId="2" fillId="12" borderId="1" xfId="0" applyFont="1" applyFill="1" applyBorder="1" applyAlignment="1">
      <alignment horizontal="center"/>
    </xf>
    <xf numFmtId="164" fontId="39" fillId="3" borderId="5" xfId="1" applyFont="1" applyFill="1" applyBorder="1" applyAlignment="1">
      <alignment horizontal="center"/>
    </xf>
    <xf numFmtId="164" fontId="39" fillId="3" borderId="13" xfId="1" applyFont="1" applyFill="1" applyBorder="1" applyAlignment="1">
      <alignment horizontal="center"/>
    </xf>
    <xf numFmtId="164" fontId="2" fillId="3" borderId="5" xfId="1" applyFont="1" applyFill="1" applyBorder="1" applyAlignment="1">
      <alignment horizontal="center"/>
    </xf>
    <xf numFmtId="164" fontId="2" fillId="3" borderId="13" xfId="1" applyFont="1" applyFill="1" applyBorder="1" applyAlignment="1">
      <alignment horizontal="center"/>
    </xf>
    <xf numFmtId="0" fontId="2" fillId="12" borderId="5" xfId="0" applyFont="1" applyFill="1" applyBorder="1" applyAlignment="1">
      <alignment horizontal="center"/>
    </xf>
    <xf numFmtId="0" fontId="2" fillId="12" borderId="13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3" borderId="54" xfId="0" applyFill="1" applyBorder="1" applyAlignment="1">
      <alignment horizontal="center"/>
    </xf>
    <xf numFmtId="0" fontId="0" fillId="3" borderId="53" xfId="0" applyFill="1" applyBorder="1" applyAlignment="1">
      <alignment horizontal="center"/>
    </xf>
    <xf numFmtId="0" fontId="42" fillId="12" borderId="0" xfId="0" applyFont="1" applyFill="1" applyBorder="1" applyAlignment="1">
      <alignment horizontal="center" vertical="center"/>
    </xf>
    <xf numFmtId="43" fontId="2" fillId="3" borderId="31" xfId="0" applyNumberFormat="1" applyFont="1" applyFill="1" applyBorder="1" applyAlignment="1">
      <alignment horizontal="center" vertical="center" wrapText="1"/>
    </xf>
    <xf numFmtId="43" fontId="2" fillId="3" borderId="41" xfId="0" applyNumberFormat="1" applyFont="1" applyFill="1" applyBorder="1" applyAlignment="1">
      <alignment horizontal="center" vertical="center" wrapText="1"/>
    </xf>
    <xf numFmtId="43" fontId="2" fillId="3" borderId="58" xfId="0" applyNumberFormat="1" applyFont="1" applyFill="1" applyBorder="1" applyAlignment="1">
      <alignment horizontal="center" vertical="center" wrapText="1"/>
    </xf>
    <xf numFmtId="0" fontId="4" fillId="12" borderId="0" xfId="0" applyFont="1" applyFill="1" applyBorder="1" applyAlignment="1">
      <alignment horizontal="center"/>
    </xf>
    <xf numFmtId="0" fontId="0" fillId="12" borderId="0" xfId="0" applyFill="1" applyBorder="1" applyAlignment="1">
      <alignment horizontal="center"/>
    </xf>
    <xf numFmtId="164" fontId="4" fillId="3" borderId="5" xfId="1" applyFont="1" applyFill="1" applyBorder="1" applyAlignment="1">
      <alignment horizontal="center"/>
    </xf>
    <xf numFmtId="164" fontId="4" fillId="3" borderId="13" xfId="1" applyFont="1" applyFill="1" applyBorder="1" applyAlignment="1">
      <alignment horizontal="center"/>
    </xf>
    <xf numFmtId="0" fontId="4" fillId="3" borderId="3" xfId="0" applyFont="1" applyFill="1" applyBorder="1" applyAlignment="1">
      <alignment horizontal="center" vertical="center" wrapText="1"/>
    </xf>
    <xf numFmtId="0" fontId="4" fillId="3" borderId="36" xfId="0" applyFont="1" applyFill="1" applyBorder="1" applyAlignment="1">
      <alignment horizontal="center" vertical="center" wrapText="1"/>
    </xf>
    <xf numFmtId="0" fontId="4" fillId="3" borderId="38" xfId="0" applyFont="1" applyFill="1" applyBorder="1" applyAlignment="1">
      <alignment horizontal="center" vertical="center" wrapText="1"/>
    </xf>
    <xf numFmtId="0" fontId="2" fillId="7" borderId="3" xfId="0" applyFont="1" applyFill="1" applyBorder="1" applyAlignment="1">
      <alignment horizontal="center" vertical="center"/>
    </xf>
    <xf numFmtId="0" fontId="2" fillId="7" borderId="50" xfId="0" applyFont="1" applyFill="1" applyBorder="1" applyAlignment="1">
      <alignment horizontal="center" vertical="center"/>
    </xf>
    <xf numFmtId="0" fontId="2" fillId="14" borderId="32" xfId="0" applyNumberFormat="1" applyFont="1" applyFill="1" applyBorder="1" applyAlignment="1">
      <alignment horizontal="center" vertical="center" wrapText="1"/>
    </xf>
    <xf numFmtId="0" fontId="2" fillId="14" borderId="55" xfId="0" applyNumberFormat="1" applyFont="1" applyFill="1" applyBorder="1" applyAlignment="1">
      <alignment horizontal="center" vertical="center" wrapText="1"/>
    </xf>
    <xf numFmtId="0" fontId="2" fillId="14" borderId="28" xfId="0" applyNumberFormat="1" applyFont="1" applyFill="1" applyBorder="1" applyAlignment="1">
      <alignment horizontal="center" vertical="center" wrapText="1"/>
    </xf>
    <xf numFmtId="0" fontId="2" fillId="14" borderId="47" xfId="0" applyNumberFormat="1" applyFont="1" applyFill="1" applyBorder="1" applyAlignment="1">
      <alignment horizontal="center" vertical="center" wrapText="1"/>
    </xf>
    <xf numFmtId="0" fontId="2" fillId="14" borderId="8" xfId="0" applyFont="1" applyFill="1" applyBorder="1" applyAlignment="1">
      <alignment horizontal="center" vertical="center" wrapText="1"/>
    </xf>
    <xf numFmtId="0" fontId="2" fillId="14" borderId="19" xfId="0" applyFont="1" applyFill="1" applyBorder="1" applyAlignment="1">
      <alignment horizontal="center" vertical="center" wrapText="1"/>
    </xf>
    <xf numFmtId="0" fontId="2" fillId="14" borderId="3" xfId="0" applyNumberFormat="1" applyFont="1" applyFill="1" applyBorder="1" applyAlignment="1">
      <alignment horizontal="center" vertical="center" wrapText="1"/>
    </xf>
    <xf numFmtId="0" fontId="2" fillId="14" borderId="36" xfId="0" applyNumberFormat="1" applyFont="1" applyFill="1" applyBorder="1" applyAlignment="1">
      <alignment horizontal="center" vertical="center" wrapText="1"/>
    </xf>
    <xf numFmtId="0" fontId="2" fillId="14" borderId="116" xfId="0" applyNumberFormat="1" applyFont="1" applyFill="1" applyBorder="1" applyAlignment="1">
      <alignment horizontal="center" vertical="center" wrapText="1"/>
    </xf>
    <xf numFmtId="0" fontId="2" fillId="14" borderId="61" xfId="0" applyNumberFormat="1" applyFont="1" applyFill="1" applyBorder="1" applyAlignment="1">
      <alignment horizontal="center" vertical="center" wrapText="1"/>
    </xf>
    <xf numFmtId="0" fontId="2" fillId="14" borderId="22" xfId="0" applyNumberFormat="1" applyFont="1" applyFill="1" applyBorder="1" applyAlignment="1">
      <alignment horizontal="center" vertical="center" wrapText="1"/>
    </xf>
    <xf numFmtId="0" fontId="2" fillId="14" borderId="56" xfId="0" applyNumberFormat="1" applyFont="1" applyFill="1" applyBorder="1" applyAlignment="1">
      <alignment horizontal="center" vertical="center" wrapText="1"/>
    </xf>
    <xf numFmtId="0" fontId="2" fillId="14" borderId="117" xfId="0" applyNumberFormat="1" applyFont="1" applyFill="1" applyBorder="1" applyAlignment="1">
      <alignment horizontal="center" vertical="center" wrapText="1"/>
    </xf>
    <xf numFmtId="0" fontId="2" fillId="14" borderId="63" xfId="0" applyNumberFormat="1" applyFont="1" applyFill="1" applyBorder="1" applyAlignment="1">
      <alignment horizontal="center" vertical="center" wrapText="1"/>
    </xf>
    <xf numFmtId="0" fontId="2" fillId="14" borderId="11" xfId="0" applyNumberFormat="1" applyFont="1" applyFill="1" applyBorder="1" applyAlignment="1">
      <alignment horizontal="center" vertical="center" wrapText="1"/>
    </xf>
    <xf numFmtId="0" fontId="2" fillId="14" borderId="57" xfId="0" applyNumberFormat="1" applyFont="1" applyFill="1" applyBorder="1" applyAlignment="1">
      <alignment horizontal="center" vertical="center" wrapText="1"/>
    </xf>
    <xf numFmtId="0" fontId="2" fillId="14" borderId="110" xfId="0" applyNumberFormat="1" applyFont="1" applyFill="1" applyBorder="1" applyAlignment="1">
      <alignment horizontal="center" vertical="center" wrapText="1"/>
    </xf>
    <xf numFmtId="0" fontId="2" fillId="14" borderId="49" xfId="0" applyNumberFormat="1" applyFont="1" applyFill="1" applyBorder="1" applyAlignment="1">
      <alignment horizontal="center" vertical="center" wrapText="1"/>
    </xf>
    <xf numFmtId="0" fontId="2" fillId="14" borderId="24" xfId="0" applyNumberFormat="1" applyFont="1" applyFill="1" applyBorder="1" applyAlignment="1">
      <alignment horizontal="center" vertical="center" wrapText="1"/>
    </xf>
    <xf numFmtId="0" fontId="2" fillId="14" borderId="69" xfId="0" applyNumberFormat="1" applyFont="1" applyFill="1" applyBorder="1" applyAlignment="1">
      <alignment horizontal="center" vertical="center" wrapText="1"/>
    </xf>
    <xf numFmtId="0" fontId="2" fillId="14" borderId="10" xfId="0" applyNumberFormat="1" applyFont="1" applyFill="1" applyBorder="1" applyAlignment="1">
      <alignment horizontal="center" vertical="center" wrapText="1"/>
    </xf>
    <xf numFmtId="0" fontId="27" fillId="14" borderId="54" xfId="0" applyFont="1" applyFill="1" applyBorder="1" applyAlignment="1">
      <alignment horizontal="center" vertical="center"/>
    </xf>
    <xf numFmtId="0" fontId="27" fillId="14" borderId="52" xfId="0" applyFont="1" applyFill="1" applyBorder="1" applyAlignment="1">
      <alignment horizontal="center" vertical="center"/>
    </xf>
    <xf numFmtId="0" fontId="27" fillId="14" borderId="53" xfId="0" applyFont="1" applyFill="1" applyBorder="1" applyAlignment="1">
      <alignment horizontal="center" vertical="center"/>
    </xf>
    <xf numFmtId="0" fontId="2" fillId="14" borderId="1" xfId="0" applyFont="1" applyFill="1" applyBorder="1" applyAlignment="1">
      <alignment horizontal="center" vertical="center"/>
    </xf>
    <xf numFmtId="0" fontId="2" fillId="14" borderId="57" xfId="0" applyFont="1" applyFill="1" applyBorder="1" applyAlignment="1">
      <alignment horizontal="center" vertical="center" wrapText="1"/>
    </xf>
    <xf numFmtId="0" fontId="2" fillId="14" borderId="23" xfId="0" applyFont="1" applyFill="1" applyBorder="1" applyAlignment="1">
      <alignment horizontal="center" vertical="center" wrapText="1"/>
    </xf>
    <xf numFmtId="0" fontId="2" fillId="14" borderId="67" xfId="0" applyNumberFormat="1" applyFont="1" applyFill="1" applyBorder="1" applyAlignment="1">
      <alignment horizontal="center" vertical="center" wrapText="1"/>
    </xf>
    <xf numFmtId="0" fontId="2" fillId="14" borderId="29" xfId="0" applyNumberFormat="1" applyFont="1" applyFill="1" applyBorder="1" applyAlignment="1">
      <alignment horizontal="center" vertical="center" wrapText="1"/>
    </xf>
    <xf numFmtId="0" fontId="2" fillId="14" borderId="45" xfId="0" applyNumberFormat="1" applyFont="1" applyFill="1" applyBorder="1" applyAlignment="1">
      <alignment horizontal="center" vertical="center" wrapText="1"/>
    </xf>
    <xf numFmtId="0" fontId="2" fillId="14" borderId="83" xfId="0" applyNumberFormat="1" applyFont="1" applyFill="1" applyBorder="1" applyAlignment="1">
      <alignment horizontal="center" vertical="center" wrapText="1"/>
    </xf>
    <xf numFmtId="0" fontId="2" fillId="14" borderId="66" xfId="0" applyNumberFormat="1" applyFont="1" applyFill="1" applyBorder="1" applyAlignment="1">
      <alignment horizontal="center" vertical="center" wrapText="1"/>
    </xf>
    <xf numFmtId="0" fontId="2" fillId="20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 wrapText="1"/>
    </xf>
    <xf numFmtId="0" fontId="0" fillId="3" borderId="3" xfId="0" applyFill="1" applyBorder="1" applyAlignment="1">
      <alignment horizontal="center"/>
    </xf>
    <xf numFmtId="0" fontId="0" fillId="3" borderId="38" xfId="0" applyFill="1" applyBorder="1" applyAlignment="1">
      <alignment horizontal="center"/>
    </xf>
    <xf numFmtId="0" fontId="2" fillId="3" borderId="22" xfId="0" applyFont="1" applyFill="1" applyBorder="1" applyAlignment="1">
      <alignment horizontal="center"/>
    </xf>
    <xf numFmtId="0" fontId="2" fillId="3" borderId="11" xfId="0" applyFont="1" applyFill="1" applyBorder="1" applyAlignment="1">
      <alignment horizontal="center"/>
    </xf>
    <xf numFmtId="0" fontId="2" fillId="3" borderId="26" xfId="0" applyFont="1" applyFill="1" applyBorder="1" applyAlignment="1">
      <alignment horizontal="center" vertical="center"/>
    </xf>
    <xf numFmtId="0" fontId="2" fillId="3" borderId="84" xfId="0" applyFont="1" applyFill="1" applyBorder="1" applyAlignment="1">
      <alignment horizontal="center" vertical="center"/>
    </xf>
    <xf numFmtId="0" fontId="2" fillId="14" borderId="1" xfId="0" applyFont="1" applyFill="1" applyBorder="1" applyAlignment="1">
      <alignment horizontal="center" vertical="center" wrapText="1"/>
    </xf>
    <xf numFmtId="0" fontId="2" fillId="12" borderId="1" xfId="0" applyFont="1" applyFill="1" applyBorder="1" applyAlignment="1">
      <alignment horizontal="center" vertical="center" wrapText="1"/>
    </xf>
    <xf numFmtId="0" fontId="2" fillId="3" borderId="83" xfId="0" applyFont="1" applyFill="1" applyBorder="1" applyAlignment="1">
      <alignment horizontal="center"/>
    </xf>
    <xf numFmtId="0" fontId="2" fillId="3" borderId="110" xfId="0" applyFont="1" applyFill="1" applyBorder="1" applyAlignment="1">
      <alignment horizontal="center"/>
    </xf>
    <xf numFmtId="0" fontId="2" fillId="3" borderId="66" xfId="0" applyFont="1" applyFill="1" applyBorder="1" applyAlignment="1">
      <alignment horizontal="center"/>
    </xf>
    <xf numFmtId="0" fontId="4" fillId="3" borderId="30" xfId="0" applyFont="1" applyFill="1" applyBorder="1" applyAlignment="1">
      <alignment horizontal="center"/>
    </xf>
    <xf numFmtId="0" fontId="7" fillId="3" borderId="3" xfId="0" applyFont="1" applyFill="1" applyBorder="1" applyAlignment="1">
      <alignment horizontal="center" wrapText="1"/>
    </xf>
    <xf numFmtId="0" fontId="7" fillId="3" borderId="38" xfId="0" applyFont="1" applyFill="1" applyBorder="1" applyAlignment="1">
      <alignment horizontal="center" wrapText="1"/>
    </xf>
    <xf numFmtId="0" fontId="0" fillId="3" borderId="0" xfId="0" applyFill="1" applyBorder="1" applyAlignment="1">
      <alignment horizontal="center"/>
    </xf>
    <xf numFmtId="0" fontId="2" fillId="3" borderId="0" xfId="0" applyFont="1" applyFill="1" applyBorder="1" applyAlignment="1">
      <alignment horizontal="center"/>
    </xf>
    <xf numFmtId="0" fontId="2" fillId="3" borderId="52" xfId="0" applyFont="1" applyFill="1" applyBorder="1" applyAlignment="1">
      <alignment horizontal="center" vertical="center"/>
    </xf>
    <xf numFmtId="0" fontId="0" fillId="2" borderId="18" xfId="0" applyFill="1" applyBorder="1" applyAlignment="1">
      <alignment horizontal="center"/>
    </xf>
    <xf numFmtId="0" fontId="0" fillId="2" borderId="44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2" fillId="20" borderId="5" xfId="0" applyFont="1" applyFill="1" applyBorder="1" applyAlignment="1">
      <alignment horizontal="center" vertical="center"/>
    </xf>
    <xf numFmtId="0" fontId="2" fillId="20" borderId="25" xfId="0" applyFont="1" applyFill="1" applyBorder="1" applyAlignment="1">
      <alignment horizontal="center" vertical="center"/>
    </xf>
    <xf numFmtId="0" fontId="2" fillId="20" borderId="13" xfId="0" applyFont="1" applyFill="1" applyBorder="1" applyAlignment="1">
      <alignment horizontal="center" vertical="center"/>
    </xf>
    <xf numFmtId="0" fontId="2" fillId="3" borderId="54" xfId="0" applyFont="1" applyFill="1" applyBorder="1" applyAlignment="1">
      <alignment horizontal="center"/>
    </xf>
    <xf numFmtId="0" fontId="2" fillId="3" borderId="52" xfId="0" applyFont="1" applyFill="1" applyBorder="1" applyAlignment="1">
      <alignment horizontal="center"/>
    </xf>
    <xf numFmtId="0" fontId="2" fillId="3" borderId="53" xfId="0" applyFont="1" applyFill="1" applyBorder="1" applyAlignment="1">
      <alignment horizontal="center"/>
    </xf>
    <xf numFmtId="0" fontId="0" fillId="3" borderId="29" xfId="0" applyFill="1" applyBorder="1" applyAlignment="1">
      <alignment horizontal="center"/>
    </xf>
    <xf numFmtId="0" fontId="0" fillId="3" borderId="51" xfId="0" applyFill="1" applyBorder="1" applyAlignment="1">
      <alignment horizontal="center"/>
    </xf>
    <xf numFmtId="0" fontId="0" fillId="2" borderId="42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2" fillId="14" borderId="3" xfId="0" applyFont="1" applyFill="1" applyBorder="1" applyAlignment="1">
      <alignment horizontal="center" vertical="center"/>
    </xf>
    <xf numFmtId="0" fontId="2" fillId="14" borderId="38" xfId="0" applyFont="1" applyFill="1" applyBorder="1" applyAlignment="1">
      <alignment horizontal="center" vertical="center"/>
    </xf>
    <xf numFmtId="0" fontId="2" fillId="14" borderId="3" xfId="0" applyFont="1" applyFill="1" applyBorder="1" applyAlignment="1">
      <alignment horizontal="center" vertical="center" wrapText="1"/>
    </xf>
    <xf numFmtId="0" fontId="2" fillId="14" borderId="38" xfId="0" applyFont="1" applyFill="1" applyBorder="1" applyAlignment="1">
      <alignment horizontal="center" vertical="center" wrapText="1"/>
    </xf>
    <xf numFmtId="0" fontId="0" fillId="3" borderId="25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13" fillId="2" borderId="8" xfId="0" applyFont="1" applyFill="1" applyBorder="1" applyAlignment="1">
      <alignment horizontal="center" vertical="center" wrapText="1"/>
    </xf>
    <xf numFmtId="0" fontId="11" fillId="2" borderId="67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19" fillId="7" borderId="54" xfId="0" applyFont="1" applyFill="1" applyBorder="1" applyAlignment="1">
      <alignment horizontal="center"/>
    </xf>
    <xf numFmtId="0" fontId="19" fillId="7" borderId="52" xfId="0" applyFont="1" applyFill="1" applyBorder="1" applyAlignment="1">
      <alignment horizontal="center"/>
    </xf>
    <xf numFmtId="0" fontId="19" fillId="7" borderId="53" xfId="0" applyFont="1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11" fillId="2" borderId="8" xfId="0" applyFont="1" applyFill="1" applyBorder="1" applyAlignment="1">
      <alignment horizontal="center" vertical="center" wrapText="1"/>
    </xf>
    <xf numFmtId="0" fontId="2" fillId="3" borderId="36" xfId="0" applyFont="1" applyFill="1" applyBorder="1" applyAlignment="1">
      <alignment horizontal="center" vertical="center" textRotation="90" wrapText="1"/>
    </xf>
    <xf numFmtId="0" fontId="2" fillId="3" borderId="38" xfId="0" applyFont="1" applyFill="1" applyBorder="1" applyAlignment="1">
      <alignment horizontal="center" vertical="center" textRotation="90" wrapText="1"/>
    </xf>
    <xf numFmtId="0" fontId="11" fillId="2" borderId="1" xfId="0" applyFont="1" applyFill="1" applyBorder="1" applyAlignment="1">
      <alignment horizontal="center" vertical="center" wrapText="1"/>
    </xf>
    <xf numFmtId="0" fontId="0" fillId="3" borderId="48" xfId="0" applyFill="1" applyBorder="1" applyAlignment="1">
      <alignment horizontal="center"/>
    </xf>
    <xf numFmtId="0" fontId="0" fillId="3" borderId="49" xfId="0" applyFill="1" applyBorder="1" applyAlignment="1">
      <alignment horizontal="center"/>
    </xf>
    <xf numFmtId="0" fontId="0" fillId="3" borderId="69" xfId="0" applyFill="1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164" fontId="11" fillId="12" borderId="0" xfId="0" applyNumberFormat="1" applyFont="1" applyFill="1" applyBorder="1" applyAlignment="1" applyProtection="1">
      <alignment horizontal="center" wrapText="1"/>
      <protection hidden="1"/>
    </xf>
    <xf numFmtId="0" fontId="2" fillId="12" borderId="54" xfId="0" applyFont="1" applyFill="1" applyBorder="1" applyAlignment="1" applyProtection="1">
      <alignment horizontal="center"/>
      <protection hidden="1"/>
    </xf>
    <xf numFmtId="0" fontId="2" fillId="12" borderId="53" xfId="0" applyFont="1" applyFill="1" applyBorder="1" applyAlignment="1" applyProtection="1">
      <alignment horizontal="center"/>
      <protection hidden="1"/>
    </xf>
    <xf numFmtId="0" fontId="4" fillId="12" borderId="0" xfId="0" applyFont="1" applyFill="1" applyAlignment="1">
      <alignment horizontal="center" vertical="center" wrapText="1"/>
    </xf>
    <xf numFmtId="0" fontId="2" fillId="12" borderId="54" xfId="0" applyFont="1" applyFill="1" applyBorder="1" applyAlignment="1">
      <alignment horizontal="center"/>
    </xf>
    <xf numFmtId="0" fontId="2" fillId="12" borderId="52" xfId="0" applyFont="1" applyFill="1" applyBorder="1" applyAlignment="1">
      <alignment horizontal="center"/>
    </xf>
    <xf numFmtId="0" fontId="2" fillId="12" borderId="53" xfId="0" applyFont="1" applyFill="1" applyBorder="1" applyAlignment="1">
      <alignment horizontal="center"/>
    </xf>
    <xf numFmtId="0" fontId="2" fillId="12" borderId="96" xfId="0" applyFont="1" applyFill="1" applyBorder="1" applyAlignment="1">
      <alignment horizontal="center"/>
    </xf>
    <xf numFmtId="0" fontId="2" fillId="12" borderId="90" xfId="0" applyFont="1" applyFill="1" applyBorder="1" applyAlignment="1">
      <alignment horizontal="center"/>
    </xf>
    <xf numFmtId="0" fontId="4" fillId="12" borderId="4" xfId="0" applyFont="1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9" fontId="11" fillId="12" borderId="0" xfId="11" applyFont="1" applyFill="1" applyBorder="1" applyAlignment="1">
      <alignment horizontal="center" vertical="center"/>
    </xf>
    <xf numFmtId="0" fontId="0" fillId="12" borderId="4" xfId="0" applyFill="1" applyBorder="1" applyAlignment="1">
      <alignment horizontal="left"/>
    </xf>
    <xf numFmtId="0" fontId="0" fillId="12" borderId="1" xfId="0" applyFill="1" applyBorder="1" applyAlignment="1">
      <alignment horizontal="left"/>
    </xf>
    <xf numFmtId="0" fontId="1" fillId="12" borderId="4" xfId="0" applyFont="1" applyFill="1" applyBorder="1" applyAlignment="1">
      <alignment horizontal="left"/>
    </xf>
    <xf numFmtId="0" fontId="1" fillId="12" borderId="1" xfId="0" applyFont="1" applyFill="1" applyBorder="1" applyAlignment="1">
      <alignment horizontal="left"/>
    </xf>
    <xf numFmtId="0" fontId="27" fillId="18" borderId="128" xfId="0" applyFont="1" applyFill="1" applyBorder="1" applyAlignment="1">
      <alignment horizontal="center"/>
    </xf>
    <xf numFmtId="0" fontId="27" fillId="18" borderId="118" xfId="0" applyFont="1" applyFill="1" applyBorder="1" applyAlignment="1">
      <alignment horizontal="center"/>
    </xf>
    <xf numFmtId="0" fontId="27" fillId="18" borderId="127" xfId="0" applyFont="1" applyFill="1" applyBorder="1" applyAlignment="1">
      <alignment horizontal="center"/>
    </xf>
    <xf numFmtId="0" fontId="0" fillId="12" borderId="39" xfId="0" applyFill="1" applyBorder="1" applyAlignment="1">
      <alignment horizontal="left"/>
    </xf>
    <xf numFmtId="0" fontId="0" fillId="12" borderId="42" xfId="0" applyFill="1" applyBorder="1" applyAlignment="1">
      <alignment horizontal="left"/>
    </xf>
    <xf numFmtId="0" fontId="4" fillId="12" borderId="20" xfId="0" applyFont="1" applyFill="1" applyBorder="1" applyAlignment="1">
      <alignment horizontal="center"/>
    </xf>
    <xf numFmtId="0" fontId="4" fillId="12" borderId="19" xfId="0" applyFont="1" applyFill="1" applyBorder="1" applyAlignment="1">
      <alignment horizontal="center"/>
    </xf>
    <xf numFmtId="0" fontId="1" fillId="12" borderId="20" xfId="0" applyFont="1" applyFill="1" applyBorder="1" applyAlignment="1">
      <alignment horizontal="left"/>
    </xf>
    <xf numFmtId="0" fontId="1" fillId="12" borderId="19" xfId="0" applyFont="1" applyFill="1" applyBorder="1" applyAlignment="1">
      <alignment horizontal="left"/>
    </xf>
    <xf numFmtId="0" fontId="2" fillId="12" borderId="109" xfId="0" applyFont="1" applyFill="1" applyBorder="1" applyAlignment="1">
      <alignment horizontal="left"/>
    </xf>
    <xf numFmtId="0" fontId="2" fillId="12" borderId="101" xfId="0" applyFont="1" applyFill="1" applyBorder="1" applyAlignment="1">
      <alignment horizontal="left"/>
    </xf>
    <xf numFmtId="0" fontId="69" fillId="18" borderId="51" xfId="0" applyFont="1" applyFill="1" applyBorder="1" applyAlignment="1">
      <alignment horizontal="left"/>
    </xf>
    <xf numFmtId="0" fontId="69" fillId="18" borderId="2" xfId="0" applyFont="1" applyFill="1" applyBorder="1" applyAlignment="1">
      <alignment horizontal="left"/>
    </xf>
    <xf numFmtId="0" fontId="24" fillId="12" borderId="0" xfId="0" applyFont="1" applyFill="1" applyBorder="1" applyAlignment="1">
      <alignment horizontal="center" vertical="center" textRotation="90"/>
    </xf>
    <xf numFmtId="0" fontId="69" fillId="18" borderId="54" xfId="0" applyFont="1" applyFill="1" applyBorder="1" applyAlignment="1">
      <alignment horizontal="left"/>
    </xf>
    <xf numFmtId="0" fontId="69" fillId="18" borderId="52" xfId="0" applyFont="1" applyFill="1" applyBorder="1" applyAlignment="1">
      <alignment horizontal="left"/>
    </xf>
    <xf numFmtId="0" fontId="92" fillId="12" borderId="0" xfId="0" applyFont="1" applyFill="1" applyAlignment="1">
      <alignment horizontal="center"/>
    </xf>
    <xf numFmtId="4" fontId="92" fillId="12" borderId="0" xfId="0" applyNumberFormat="1" applyFont="1" applyFill="1" applyAlignment="1">
      <alignment horizontal="center"/>
    </xf>
    <xf numFmtId="0" fontId="8" fillId="15" borderId="3" xfId="0" applyFont="1" applyFill="1" applyBorder="1" applyAlignment="1">
      <alignment horizontal="center" vertical="center" textRotation="90"/>
    </xf>
    <xf numFmtId="0" fontId="8" fillId="15" borderId="36" xfId="0" applyFont="1" applyFill="1" applyBorder="1" applyAlignment="1">
      <alignment horizontal="center" vertical="center" textRotation="90"/>
    </xf>
    <xf numFmtId="0" fontId="8" fillId="15" borderId="38" xfId="0" applyFont="1" applyFill="1" applyBorder="1" applyAlignment="1">
      <alignment horizontal="center" vertical="center" textRotation="90"/>
    </xf>
    <xf numFmtId="0" fontId="8" fillId="12" borderId="3" xfId="0" applyFont="1" applyFill="1" applyBorder="1" applyAlignment="1">
      <alignment horizontal="center" vertical="center" textRotation="90"/>
    </xf>
    <xf numFmtId="0" fontId="8" fillId="12" borderId="36" xfId="0" applyFont="1" applyFill="1" applyBorder="1" applyAlignment="1">
      <alignment horizontal="center" vertical="center" textRotation="90"/>
    </xf>
    <xf numFmtId="0" fontId="8" fillId="12" borderId="38" xfId="0" applyFont="1" applyFill="1" applyBorder="1" applyAlignment="1">
      <alignment horizontal="center" vertical="center" textRotation="90"/>
    </xf>
    <xf numFmtId="0" fontId="2" fillId="10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 applyProtection="1">
      <alignment horizontal="left"/>
      <protection hidden="1"/>
    </xf>
    <xf numFmtId="0" fontId="2" fillId="3" borderId="30" xfId="0" applyFont="1" applyFill="1" applyBorder="1" applyAlignment="1">
      <alignment horizontal="center"/>
    </xf>
    <xf numFmtId="0" fontId="2" fillId="11" borderId="0" xfId="0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0" fontId="2" fillId="11" borderId="2" xfId="0" applyFont="1" applyFill="1" applyBorder="1" applyAlignment="1">
      <alignment horizontal="center"/>
    </xf>
    <xf numFmtId="0" fontId="69" fillId="21" borderId="29" xfId="0" applyFont="1" applyFill="1" applyBorder="1" applyAlignment="1">
      <alignment horizontal="center"/>
    </xf>
    <xf numFmtId="0" fontId="69" fillId="21" borderId="30" xfId="0" applyFont="1" applyFill="1" applyBorder="1" applyAlignment="1">
      <alignment horizontal="center"/>
    </xf>
    <xf numFmtId="0" fontId="69" fillId="21" borderId="35" xfId="0" applyFont="1" applyFill="1" applyBorder="1" applyAlignment="1">
      <alignment horizontal="center"/>
    </xf>
    <xf numFmtId="0" fontId="60" fillId="13" borderId="1" xfId="0" applyFont="1" applyFill="1" applyBorder="1" applyAlignment="1">
      <alignment horizontal="left" indent="2"/>
    </xf>
    <xf numFmtId="0" fontId="0" fillId="12" borderId="5" xfId="0" applyFill="1" applyBorder="1" applyAlignment="1"/>
    <xf numFmtId="0" fontId="0" fillId="12" borderId="13" xfId="0" applyFill="1" applyBorder="1" applyAlignment="1"/>
    <xf numFmtId="0" fontId="69" fillId="21" borderId="54" xfId="0" applyFont="1" applyFill="1" applyBorder="1" applyAlignment="1">
      <alignment horizontal="center"/>
    </xf>
    <xf numFmtId="0" fontId="69" fillId="21" borderId="52" xfId="0" applyFont="1" applyFill="1" applyBorder="1" applyAlignment="1">
      <alignment horizontal="center"/>
    </xf>
    <xf numFmtId="0" fontId="69" fillId="21" borderId="53" xfId="0" applyFont="1" applyFill="1" applyBorder="1" applyAlignment="1">
      <alignment horizontal="center"/>
    </xf>
    <xf numFmtId="0" fontId="69" fillId="21" borderId="83" xfId="0" applyFont="1" applyFill="1" applyBorder="1" applyAlignment="1">
      <alignment horizontal="center"/>
    </xf>
    <xf numFmtId="0" fontId="69" fillId="21" borderId="110" xfId="0" applyFont="1" applyFill="1" applyBorder="1" applyAlignment="1">
      <alignment horizontal="center"/>
    </xf>
    <xf numFmtId="0" fontId="69" fillId="21" borderId="66" xfId="0" applyFont="1" applyFill="1" applyBorder="1" applyAlignment="1">
      <alignment horizontal="center"/>
    </xf>
    <xf numFmtId="0" fontId="2" fillId="12" borderId="18" xfId="0" applyFont="1" applyFill="1" applyBorder="1" applyAlignment="1"/>
    <xf numFmtId="0" fontId="2" fillId="12" borderId="44" xfId="0" applyFont="1" applyFill="1" applyBorder="1" applyAlignment="1"/>
    <xf numFmtId="0" fontId="2" fillId="18" borderId="54" xfId="0" applyFont="1" applyFill="1" applyBorder="1" applyAlignment="1">
      <alignment horizontal="right"/>
    </xf>
    <xf numFmtId="0" fontId="2" fillId="18" borderId="53" xfId="0" applyFont="1" applyFill="1" applyBorder="1" applyAlignment="1">
      <alignment horizontal="right"/>
    </xf>
    <xf numFmtId="0" fontId="0" fillId="12" borderId="56" xfId="0" applyFill="1" applyBorder="1" applyAlignment="1">
      <alignment horizontal="left"/>
    </xf>
    <xf numFmtId="0" fontId="0" fillId="12" borderId="8" xfId="0" applyFill="1" applyBorder="1" applyAlignment="1">
      <alignment horizontal="left"/>
    </xf>
    <xf numFmtId="0" fontId="88" fillId="22" borderId="9" xfId="0" applyFont="1" applyFill="1" applyBorder="1" applyAlignment="1">
      <alignment horizontal="center"/>
    </xf>
    <xf numFmtId="0" fontId="2" fillId="11" borderId="54" xfId="0" applyFont="1" applyFill="1" applyBorder="1" applyAlignment="1">
      <alignment horizontal="center"/>
    </xf>
    <xf numFmtId="0" fontId="2" fillId="11" borderId="52" xfId="0" applyFont="1" applyFill="1" applyBorder="1" applyAlignment="1">
      <alignment horizontal="center"/>
    </xf>
    <xf numFmtId="0" fontId="2" fillId="11" borderId="53" xfId="0" applyFont="1" applyFill="1" applyBorder="1" applyAlignment="1">
      <alignment horizontal="center"/>
    </xf>
    <xf numFmtId="0" fontId="2" fillId="11" borderId="29" xfId="0" applyFont="1" applyFill="1" applyBorder="1" applyAlignment="1">
      <alignment horizontal="center"/>
    </xf>
    <xf numFmtId="0" fontId="2" fillId="11" borderId="30" xfId="0" applyFont="1" applyFill="1" applyBorder="1" applyAlignment="1">
      <alignment horizontal="center"/>
    </xf>
    <xf numFmtId="0" fontId="2" fillId="11" borderId="35" xfId="0" applyFont="1" applyFill="1" applyBorder="1" applyAlignment="1">
      <alignment horizontal="center"/>
    </xf>
    <xf numFmtId="0" fontId="6" fillId="11" borderId="29" xfId="0" applyFont="1" applyFill="1" applyBorder="1" applyAlignment="1">
      <alignment horizontal="center" vertical="center" wrapText="1"/>
    </xf>
    <xf numFmtId="0" fontId="6" fillId="11" borderId="30" xfId="0" applyFont="1" applyFill="1" applyBorder="1" applyAlignment="1">
      <alignment horizontal="center" vertical="center" wrapText="1"/>
    </xf>
    <xf numFmtId="0" fontId="6" fillId="11" borderId="35" xfId="0" applyFont="1" applyFill="1" applyBorder="1" applyAlignment="1">
      <alignment horizontal="center" vertical="center" wrapText="1"/>
    </xf>
    <xf numFmtId="0" fontId="6" fillId="11" borderId="51" xfId="0" applyFont="1" applyFill="1" applyBorder="1" applyAlignment="1">
      <alignment horizontal="center" vertical="center" wrapText="1"/>
    </xf>
    <xf numFmtId="0" fontId="6" fillId="11" borderId="2" xfId="0" applyFont="1" applyFill="1" applyBorder="1" applyAlignment="1">
      <alignment horizontal="center" vertical="center" wrapText="1"/>
    </xf>
    <xf numFmtId="0" fontId="6" fillId="11" borderId="40" xfId="0" applyFont="1" applyFill="1" applyBorder="1" applyAlignment="1">
      <alignment horizontal="center" vertical="center" wrapText="1"/>
    </xf>
    <xf numFmtId="0" fontId="6" fillId="11" borderId="25" xfId="0" applyFont="1" applyFill="1" applyBorder="1" applyAlignment="1">
      <alignment horizontal="center"/>
    </xf>
    <xf numFmtId="0" fontId="6" fillId="11" borderId="46" xfId="0" applyFont="1" applyFill="1" applyBorder="1" applyAlignment="1">
      <alignment horizontal="center"/>
    </xf>
    <xf numFmtId="0" fontId="6" fillId="11" borderId="43" xfId="0" applyFont="1" applyFill="1" applyBorder="1" applyAlignment="1">
      <alignment horizontal="center"/>
    </xf>
    <xf numFmtId="0" fontId="6" fillId="0" borderId="29" xfId="0" applyFont="1" applyBorder="1" applyAlignment="1">
      <alignment horizontal="center" vertical="center" wrapText="1"/>
    </xf>
    <xf numFmtId="0" fontId="6" fillId="0" borderId="45" xfId="0" applyFont="1" applyBorder="1" applyAlignment="1">
      <alignment horizontal="center" vertical="center" wrapText="1"/>
    </xf>
    <xf numFmtId="0" fontId="6" fillId="0" borderId="51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36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6" fillId="0" borderId="3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11" borderId="3" xfId="0" applyFont="1" applyFill="1" applyBorder="1" applyAlignment="1">
      <alignment horizontal="center" vertical="center" wrapText="1"/>
    </xf>
    <xf numFmtId="0" fontId="6" fillId="11" borderId="36" xfId="0" applyFont="1" applyFill="1" applyBorder="1" applyAlignment="1">
      <alignment horizontal="center" vertical="center" wrapText="1"/>
    </xf>
    <xf numFmtId="0" fontId="65" fillId="11" borderId="121" xfId="0" applyFont="1" applyFill="1" applyBorder="1" applyAlignment="1">
      <alignment horizontal="center" vertical="center" wrapText="1"/>
    </xf>
    <xf numFmtId="0" fontId="65" fillId="11" borderId="30" xfId="0" applyFont="1" applyFill="1" applyBorder="1" applyAlignment="1">
      <alignment horizontal="center" vertical="center" wrapText="1"/>
    </xf>
    <xf numFmtId="0" fontId="65" fillId="11" borderId="122" xfId="0" applyFont="1" applyFill="1" applyBorder="1" applyAlignment="1">
      <alignment horizontal="center" vertical="center" wrapText="1"/>
    </xf>
    <xf numFmtId="0" fontId="6" fillId="11" borderId="83" xfId="0" applyFont="1" applyFill="1" applyBorder="1" applyAlignment="1">
      <alignment horizontal="center"/>
    </xf>
    <xf numFmtId="0" fontId="6" fillId="11" borderId="110" xfId="0" applyFont="1" applyFill="1" applyBorder="1" applyAlignment="1">
      <alignment horizontal="center"/>
    </xf>
    <xf numFmtId="0" fontId="65" fillId="11" borderId="3" xfId="0" applyFont="1" applyFill="1" applyBorder="1" applyAlignment="1">
      <alignment horizontal="center" vertical="center" wrapText="1"/>
    </xf>
    <xf numFmtId="0" fontId="65" fillId="11" borderId="38" xfId="0" applyFont="1" applyFill="1" applyBorder="1" applyAlignment="1">
      <alignment horizontal="center" vertical="center" wrapText="1"/>
    </xf>
    <xf numFmtId="0" fontId="65" fillId="11" borderId="36" xfId="0" applyFont="1" applyFill="1" applyBorder="1" applyAlignment="1">
      <alignment horizontal="center" vertical="center" wrapText="1"/>
    </xf>
    <xf numFmtId="0" fontId="0" fillId="24" borderId="0" xfId="0" applyFill="1" applyAlignment="1">
      <alignment horizontal="center"/>
    </xf>
    <xf numFmtId="0" fontId="0" fillId="24" borderId="0" xfId="0" applyFill="1" applyAlignment="1">
      <alignment horizontal="center" vertical="center"/>
    </xf>
    <xf numFmtId="49" fontId="0" fillId="24" borderId="0" xfId="0" applyNumberFormat="1" applyFill="1" applyAlignment="1">
      <alignment horizontal="center"/>
    </xf>
    <xf numFmtId="2" fontId="0" fillId="24" borderId="0" xfId="0" applyNumberFormat="1" applyFill="1" applyAlignment="1">
      <alignment horizontal="center"/>
    </xf>
    <xf numFmtId="0" fontId="0" fillId="25" borderId="0" xfId="0" applyFill="1" applyAlignment="1">
      <alignment horizontal="center"/>
    </xf>
    <xf numFmtId="0" fontId="0" fillId="25" borderId="0" xfId="0" applyFill="1" applyAlignment="1">
      <alignment horizontal="center" vertical="center"/>
    </xf>
    <xf numFmtId="2" fontId="0" fillId="25" borderId="0" xfId="0" applyNumberFormat="1" applyFill="1" applyAlignment="1">
      <alignment horizontal="center"/>
    </xf>
    <xf numFmtId="0" fontId="0" fillId="32" borderId="0" xfId="0" applyFill="1" applyAlignment="1">
      <alignment horizontal="center"/>
    </xf>
    <xf numFmtId="0" fontId="0" fillId="32" borderId="0" xfId="0" applyFill="1" applyAlignment="1">
      <alignment horizontal="center" vertical="center"/>
    </xf>
    <xf numFmtId="0" fontId="96" fillId="0" borderId="135" xfId="53" applyFont="1" applyFill="1" applyBorder="1" applyAlignment="1">
      <alignment horizontal="right"/>
    </xf>
    <xf numFmtId="0" fontId="0" fillId="17" borderId="0" xfId="0" applyFill="1" applyAlignment="1">
      <alignment horizontal="center"/>
    </xf>
    <xf numFmtId="0" fontId="0" fillId="17" borderId="0" xfId="0" applyFill="1" applyAlignment="1">
      <alignment horizontal="center" vertical="center"/>
    </xf>
    <xf numFmtId="0" fontId="7" fillId="17" borderId="0" xfId="0" applyFont="1" applyFill="1"/>
    <xf numFmtId="10" fontId="0" fillId="31" borderId="0" xfId="0" applyNumberFormat="1" applyFill="1" applyAlignment="1">
      <alignment horizontal="center" vertical="center"/>
    </xf>
    <xf numFmtId="0" fontId="97" fillId="30" borderId="134" xfId="54" applyFont="1" applyFill="1" applyBorder="1" applyAlignment="1">
      <alignment horizontal="center"/>
    </xf>
  </cellXfs>
  <cellStyles count="55">
    <cellStyle name="Moeda" xfId="1" builtinId="4"/>
    <cellStyle name="Moeda 2" xfId="2"/>
    <cellStyle name="Moeda 2 2" xfId="3"/>
    <cellStyle name="Moeda 3" xfId="4"/>
    <cellStyle name="Moeda 3 2" xfId="5"/>
    <cellStyle name="Moeda 3 2 2" xfId="6"/>
    <cellStyle name="Moeda 3 3" xfId="7"/>
    <cellStyle name="Moeda 4" xfId="8"/>
    <cellStyle name="Moeda 4 2" xfId="9"/>
    <cellStyle name="Moeda 5" xfId="10"/>
    <cellStyle name="Normal" xfId="0" builtinId="0"/>
    <cellStyle name="Normal_Listas" xfId="51"/>
    <cellStyle name="Normal_pecuaria_INSPreco" xfId="36"/>
    <cellStyle name="Normal_pecuaria_MJAgricola" xfId="54"/>
    <cellStyle name="Normal_pecuaria_MJRebanho" xfId="32"/>
    <cellStyle name="Normal_pecuaria_REBVenda" xfId="33"/>
    <cellStyle name="Normal_Plan109" xfId="40"/>
    <cellStyle name="Normal_Plan27" xfId="35"/>
    <cellStyle name="Normal_Plan29" xfId="43"/>
    <cellStyle name="Normal_Plan30" xfId="44"/>
    <cellStyle name="Normal_Plan31" xfId="45"/>
    <cellStyle name="Normal_Plan32" xfId="39"/>
    <cellStyle name="Normal_Plan33" xfId="46"/>
    <cellStyle name="Normal_Plan34" xfId="42"/>
    <cellStyle name="Normal_Plan37" xfId="47"/>
    <cellStyle name="Normal_Plan42" xfId="37"/>
    <cellStyle name="Normal_Plan43" xfId="38"/>
    <cellStyle name="Normal_Plan44" xfId="34"/>
    <cellStyle name="Normal_Plan45" xfId="41"/>
    <cellStyle name="Normal_Plan46" xfId="49"/>
    <cellStyle name="Normal_Plan47" xfId="48"/>
    <cellStyle name="Normal_Plan48" xfId="50"/>
    <cellStyle name="Normal_Plan58" xfId="31"/>
    <cellStyle name="Normal_Plan69" xfId="52"/>
    <cellStyle name="Normal_Plan93" xfId="53"/>
    <cellStyle name="Porcentagem" xfId="11" builtinId="5"/>
    <cellStyle name="Porcentagem 2" xfId="12"/>
    <cellStyle name="Porcentagem 2 2" xfId="13"/>
    <cellStyle name="Porcentagem 3" xfId="14"/>
    <cellStyle name="Porcentagem 3 2" xfId="15"/>
    <cellStyle name="Porcentagem 3 2 2" xfId="16"/>
    <cellStyle name="Porcentagem 3 3" xfId="17"/>
    <cellStyle name="Porcentagem 4" xfId="18"/>
    <cellStyle name="Porcentagem 4 2" xfId="19"/>
    <cellStyle name="Porcentagem 5" xfId="20"/>
    <cellStyle name="Vírgula" xfId="21" builtinId="3"/>
    <cellStyle name="Vírgula 2" xfId="22"/>
    <cellStyle name="Vírgula 2 2" xfId="23"/>
    <cellStyle name="Vírgula 3" xfId="24"/>
    <cellStyle name="Vírgula 3 2" xfId="25"/>
    <cellStyle name="Vírgula 3 2 2" xfId="26"/>
    <cellStyle name="Vírgula 3 3" xfId="27"/>
    <cellStyle name="Vírgula 4" xfId="28"/>
    <cellStyle name="Vírgula 4 2" xfId="29"/>
    <cellStyle name="Vírgula 5" xfId="30"/>
  </cellStyles>
  <dxfs count="663"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lor indexed="55"/>
      </font>
      <fill>
        <patternFill>
          <bgColor indexed="55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b/>
        <i val="0"/>
        <color theme="4" tint="-0.499984740745262"/>
      </font>
    </dxf>
    <dxf>
      <font>
        <b/>
        <i val="0"/>
        <color rgb="FFC00000"/>
      </font>
    </dxf>
    <dxf>
      <font>
        <b/>
        <i val="0"/>
        <color theme="4" tint="-0.24994659260841701"/>
      </font>
    </dxf>
    <dxf>
      <font>
        <b/>
        <i val="0"/>
        <color rgb="FFC00000"/>
      </font>
    </dxf>
    <dxf>
      <font>
        <b/>
        <i val="0"/>
        <color theme="4" tint="-0.499984740745262"/>
      </font>
    </dxf>
    <dxf>
      <font>
        <b/>
        <i val="0"/>
        <color rgb="FFC00000"/>
      </font>
    </dxf>
    <dxf>
      <font>
        <color theme="1"/>
      </font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theme="1"/>
      </font>
    </dxf>
    <dxf>
      <font>
        <color theme="1"/>
      </font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lor auto="1"/>
        <name val="Cambria"/>
        <scheme val="none"/>
      </font>
      <numFmt numFmtId="256" formatCode="0\ &quot;ml/frasco&quot;"/>
      <fill>
        <patternFill patternType="none">
          <bgColor indexed="65"/>
        </patternFill>
      </fill>
    </dxf>
    <dxf>
      <font>
        <color auto="1"/>
        <name val="Cambria"/>
        <scheme val="none"/>
      </font>
      <numFmt numFmtId="256" formatCode="0\ &quot;ml/frasco&quot;"/>
      <fill>
        <patternFill>
          <bgColor theme="0"/>
        </patternFill>
      </fill>
    </dxf>
    <dxf>
      <font>
        <strike val="0"/>
        <color auto="1"/>
        <name val="Cambria"/>
        <scheme val="none"/>
      </font>
      <numFmt numFmtId="257" formatCode="&quot;dose&quot;"/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 patternType="none">
          <bgColor indexed="65"/>
        </patternFill>
      </fill>
    </dxf>
    <dxf>
      <fill>
        <patternFill>
          <bgColor indexed="22"/>
        </patternFill>
      </fill>
    </dxf>
    <dxf>
      <font>
        <color auto="1"/>
        <name val="Cambria"/>
        <scheme val="none"/>
      </font>
      <numFmt numFmtId="256" formatCode="0\ &quot;ml/frasco&quot;"/>
      <fill>
        <patternFill patternType="none">
          <bgColor indexed="65"/>
        </patternFill>
      </fill>
    </dxf>
    <dxf>
      <font>
        <color auto="1"/>
        <name val="Cambria"/>
        <scheme val="none"/>
      </font>
      <numFmt numFmtId="256" formatCode="0\ &quot;ml/frasco&quot;"/>
      <fill>
        <patternFill>
          <bgColor theme="0"/>
        </patternFill>
      </fill>
    </dxf>
    <dxf>
      <font>
        <strike val="0"/>
        <color auto="1"/>
        <name val="Cambria"/>
        <scheme val="none"/>
      </font>
      <numFmt numFmtId="257" formatCode="&quot;dose&quot;"/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 patternType="none">
          <bgColor indexed="65"/>
        </patternFill>
      </fill>
    </dxf>
    <dxf>
      <fill>
        <patternFill>
          <bgColor indexed="22"/>
        </patternFill>
      </fill>
    </dxf>
    <dxf>
      <font>
        <color auto="1"/>
        <name val="Cambria"/>
        <scheme val="none"/>
      </font>
      <numFmt numFmtId="256" formatCode="0\ &quot;ml/frasco&quot;"/>
      <fill>
        <patternFill patternType="none">
          <bgColor indexed="65"/>
        </patternFill>
      </fill>
    </dxf>
    <dxf>
      <font>
        <color auto="1"/>
        <name val="Cambria"/>
        <scheme val="none"/>
      </font>
      <numFmt numFmtId="256" formatCode="0\ &quot;ml/frasco&quot;"/>
      <fill>
        <patternFill>
          <bgColor theme="0"/>
        </patternFill>
      </fill>
    </dxf>
    <dxf>
      <font>
        <strike val="0"/>
        <color auto="1"/>
        <name val="Cambria"/>
        <scheme val="none"/>
      </font>
      <numFmt numFmtId="257" formatCode="&quot;dose&quot;"/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 patternType="none">
          <bgColor indexed="65"/>
        </patternFill>
      </fill>
    </dxf>
    <dxf>
      <fill>
        <patternFill>
          <bgColor indexed="22"/>
        </patternFill>
      </fill>
    </dxf>
    <dxf>
      <font>
        <color auto="1"/>
        <name val="Cambria"/>
        <scheme val="none"/>
      </font>
      <numFmt numFmtId="256" formatCode="0\ &quot;ml/frasco&quot;"/>
      <fill>
        <patternFill patternType="none">
          <bgColor indexed="65"/>
        </patternFill>
      </fill>
    </dxf>
    <dxf>
      <font>
        <color auto="1"/>
        <name val="Cambria"/>
        <scheme val="none"/>
      </font>
      <numFmt numFmtId="256" formatCode="0\ &quot;ml/frasco&quot;"/>
      <fill>
        <patternFill>
          <bgColor theme="0"/>
        </patternFill>
      </fill>
    </dxf>
    <dxf>
      <font>
        <strike val="0"/>
        <color auto="1"/>
        <name val="Cambria"/>
        <scheme val="none"/>
      </font>
      <numFmt numFmtId="257" formatCode="&quot;dose&quot;"/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 patternType="none">
          <bgColor indexed="65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6" formatCode="0\ &quot;ml/frasco&quot;"/>
      <fill>
        <patternFill patternType="none">
          <bgColor indexed="65"/>
        </patternFill>
      </fill>
    </dxf>
    <dxf>
      <font>
        <color auto="1"/>
        <name val="Cambria"/>
        <scheme val="none"/>
      </font>
      <numFmt numFmtId="256" formatCode="0\ &quot;ml/frasco&quot;"/>
      <fill>
        <patternFill>
          <bgColor theme="0"/>
        </patternFill>
      </fill>
    </dxf>
    <dxf>
      <font>
        <strike val="0"/>
        <color auto="1"/>
        <name val="Cambria"/>
        <scheme val="none"/>
      </font>
      <numFmt numFmtId="257" formatCode="&quot;dose&quot;"/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 patternType="none">
          <bgColor indexed="65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indexed="22"/>
        </patternFill>
      </fill>
    </dxf>
    <dxf>
      <font>
        <color auto="1"/>
        <name val="Cambria"/>
        <scheme val="none"/>
      </font>
      <numFmt numFmtId="256" formatCode="0\ &quot;ml/frasco&quot;"/>
      <fill>
        <patternFill patternType="none">
          <bgColor indexed="65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6" formatCode="0\ &quot;ml/frasco&quot;"/>
      <fill>
        <patternFill>
          <bgColor theme="0"/>
        </patternFill>
      </fill>
    </dxf>
    <dxf>
      <font>
        <strike val="0"/>
        <color auto="1"/>
        <name val="Cambria"/>
        <scheme val="none"/>
      </font>
      <numFmt numFmtId="257" formatCode="&quot;dose&quot;"/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 patternType="none">
          <bgColor indexed="65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indexed="22"/>
        </patternFill>
      </fill>
    </dxf>
    <dxf>
      <font>
        <color auto="1"/>
        <name val="Cambria"/>
        <scheme val="none"/>
      </font>
      <numFmt numFmtId="256" formatCode="0\ &quot;ml/frasco&quot;"/>
      <fill>
        <patternFill patternType="none">
          <bgColor indexed="65"/>
        </patternFill>
      </fill>
    </dxf>
    <dxf>
      <font>
        <color auto="1"/>
        <name val="Cambria"/>
        <scheme val="none"/>
      </font>
      <numFmt numFmtId="256" formatCode="0\ &quot;ml/frasco&quot;"/>
      <fill>
        <patternFill>
          <bgColor theme="0"/>
        </patternFill>
      </fill>
    </dxf>
    <dxf>
      <font>
        <strike val="0"/>
        <color auto="1"/>
        <name val="Cambria"/>
        <scheme val="none"/>
      </font>
      <numFmt numFmtId="257" formatCode="&quot;dose&quot;"/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 patternType="none">
          <bgColor indexed="65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lor auto="1"/>
        <name val="Cambria"/>
        <scheme val="none"/>
      </font>
      <numFmt numFmtId="256" formatCode="0\ &quot;ml/frasco&quot;"/>
      <fill>
        <patternFill patternType="none">
          <bgColor indexed="65"/>
        </patternFill>
      </fill>
    </dxf>
    <dxf>
      <font>
        <color auto="1"/>
        <name val="Cambria"/>
        <scheme val="none"/>
      </font>
      <numFmt numFmtId="256" formatCode="0\ &quot;ml/frasco&quot;"/>
      <fill>
        <patternFill patternType="none">
          <bgColor indexed="65"/>
        </patternFill>
      </fill>
    </dxf>
    <dxf>
      <font>
        <color auto="1"/>
        <name val="Cambria"/>
        <scheme val="none"/>
      </font>
      <numFmt numFmtId="256" formatCode="0\ &quot;ml/frasco&quot;"/>
      <fill>
        <patternFill patternType="none">
          <bgColor indexed="65"/>
        </patternFill>
      </fill>
    </dxf>
    <dxf>
      <font>
        <color auto="1"/>
        <name val="Cambria"/>
        <scheme val="none"/>
      </font>
      <numFmt numFmtId="256" formatCode="0\ &quot;ml/frasco&quot;"/>
      <fill>
        <patternFill patternType="none">
          <bgColor indexed="65"/>
        </patternFill>
      </fill>
    </dxf>
    <dxf>
      <font>
        <color auto="1"/>
        <name val="Cambria"/>
        <scheme val="none"/>
      </font>
      <numFmt numFmtId="256" formatCode="0\ &quot;ml/frasco&quot;"/>
      <fill>
        <patternFill patternType="none">
          <bgColor indexed="65"/>
        </patternFill>
      </fill>
    </dxf>
    <dxf>
      <font>
        <color auto="1"/>
        <name val="Cambria"/>
        <scheme val="none"/>
      </font>
      <numFmt numFmtId="256" formatCode="0\ &quot;ml/frasco&quot;"/>
      <fill>
        <patternFill patternType="none">
          <bgColor indexed="65"/>
        </patternFill>
      </fill>
    </dxf>
    <dxf>
      <font>
        <color auto="1"/>
        <name val="Cambria"/>
        <scheme val="none"/>
      </font>
      <numFmt numFmtId="256" formatCode="0\ &quot;ml/frasco&quot;"/>
      <fill>
        <patternFill patternType="none">
          <bgColor indexed="65"/>
        </patternFill>
      </fill>
    </dxf>
    <dxf>
      <font>
        <color auto="1"/>
        <name val="Cambria"/>
        <scheme val="none"/>
      </font>
      <numFmt numFmtId="256" formatCode="0\ &quot;ml/frasco&quot;"/>
      <fill>
        <patternFill patternType="none">
          <bgColor indexed="65"/>
        </patternFill>
      </fill>
    </dxf>
    <dxf>
      <font>
        <color auto="1"/>
        <name val="Cambria"/>
        <scheme val="none"/>
      </font>
      <numFmt numFmtId="256" formatCode="0\ &quot;ml/frasco&quot;"/>
      <fill>
        <patternFill patternType="none">
          <bgColor indexed="65"/>
        </patternFill>
      </fill>
    </dxf>
    <dxf>
      <font>
        <color auto="1"/>
        <name val="Cambria"/>
        <scheme val="none"/>
      </font>
      <numFmt numFmtId="256" formatCode="0\ &quot;ml/frasco&quot;"/>
      <fill>
        <patternFill patternType="none">
          <bgColor indexed="65"/>
        </patternFill>
      </fill>
    </dxf>
    <dxf>
      <font>
        <color auto="1"/>
        <name val="Cambria"/>
        <scheme val="none"/>
      </font>
      <numFmt numFmtId="256" formatCode="0\ &quot;ml/frasco&quot;"/>
      <fill>
        <patternFill patternType="none">
          <bgColor indexed="65"/>
        </patternFill>
      </fill>
    </dxf>
    <dxf>
      <font>
        <color auto="1"/>
        <name val="Cambria"/>
        <scheme val="none"/>
      </font>
      <numFmt numFmtId="261" formatCode="0\ &quot;unidade(s)&quot;"/>
      <fill>
        <patternFill patternType="none">
          <bgColor indexed="65"/>
        </patternFill>
      </fill>
    </dxf>
    <dxf>
      <font>
        <color auto="1"/>
        <name val="Cambria"/>
        <scheme val="none"/>
      </font>
      <numFmt numFmtId="261" formatCode="0\ &quot;unidade(s)&quot;"/>
      <fill>
        <patternFill patternType="none">
          <bgColor indexed="65"/>
        </patternFill>
      </fill>
    </dxf>
    <dxf>
      <font>
        <color auto="1"/>
        <name val="Cambria"/>
        <scheme val="none"/>
      </font>
      <numFmt numFmtId="256" formatCode="0\ &quot;ml/frasco&quot;"/>
      <fill>
        <patternFill patternType="none">
          <bgColor indexed="65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6" formatCode="0\ &quot;ml/frasco&quot;"/>
      <fill>
        <patternFill>
          <bgColor theme="0"/>
        </patternFill>
      </fill>
    </dxf>
    <dxf>
      <font>
        <strike val="0"/>
        <color auto="1"/>
        <name val="Cambria"/>
        <scheme val="none"/>
      </font>
      <numFmt numFmtId="257" formatCode="&quot;dose&quot;"/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6" formatCode="0\ &quot;ml/frasco&quot;"/>
      <fill>
        <patternFill>
          <bgColor theme="0"/>
        </patternFill>
      </fill>
    </dxf>
    <dxf>
      <font>
        <strike val="0"/>
        <color auto="1"/>
        <name val="Cambria"/>
        <scheme val="none"/>
      </font>
      <numFmt numFmtId="257" formatCode="&quot;dose&quot;"/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6" formatCode="0\ &quot;ml/frasco&quot;"/>
      <fill>
        <patternFill>
          <bgColor theme="0"/>
        </patternFill>
      </fill>
    </dxf>
    <dxf>
      <font>
        <strike val="0"/>
        <color auto="1"/>
        <name val="Cambria"/>
        <scheme val="none"/>
      </font>
      <numFmt numFmtId="257" formatCode="&quot;dose&quot;"/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6" formatCode="0\ &quot;ml/frasco&quot;"/>
      <fill>
        <patternFill>
          <bgColor theme="0"/>
        </patternFill>
      </fill>
    </dxf>
    <dxf>
      <font>
        <strike val="0"/>
        <color auto="1"/>
        <name val="Cambria"/>
        <scheme val="none"/>
      </font>
      <numFmt numFmtId="257" formatCode="&quot;dose&quot;"/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6" formatCode="0\ &quot;ml/frasco&quot;"/>
      <fill>
        <patternFill>
          <bgColor theme="0"/>
        </patternFill>
      </fill>
    </dxf>
    <dxf>
      <font>
        <strike val="0"/>
        <color auto="1"/>
        <name val="Cambria"/>
        <scheme val="none"/>
      </font>
      <numFmt numFmtId="257" formatCode="&quot;dose&quot;"/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6" formatCode="0\ &quot;ml/frasco&quot;"/>
      <fill>
        <patternFill>
          <bgColor theme="0"/>
        </patternFill>
      </fill>
    </dxf>
    <dxf>
      <font>
        <strike val="0"/>
        <color auto="1"/>
        <name val="Cambria"/>
        <scheme val="none"/>
      </font>
      <numFmt numFmtId="257" formatCode="&quot;dose&quot;"/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6" formatCode="0\ &quot;ml/frasco&quot;"/>
      <fill>
        <patternFill>
          <bgColor theme="0"/>
        </patternFill>
      </fill>
    </dxf>
    <dxf>
      <font>
        <strike val="0"/>
        <color auto="1"/>
        <name val="Cambria"/>
        <scheme val="none"/>
      </font>
      <numFmt numFmtId="257" formatCode="&quot;dose&quot;"/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6" formatCode="0\ &quot;ml/frasco&quot;"/>
      <fill>
        <patternFill>
          <bgColor theme="0"/>
        </patternFill>
      </fill>
    </dxf>
    <dxf>
      <font>
        <strike val="0"/>
        <color auto="1"/>
        <name val="Cambria"/>
        <scheme val="none"/>
      </font>
      <numFmt numFmtId="257" formatCode="&quot;dose&quot;"/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6" formatCode="0\ &quot;ml/frasco&quot;"/>
      <fill>
        <patternFill>
          <bgColor theme="0"/>
        </patternFill>
      </fill>
    </dxf>
    <dxf>
      <font>
        <strike val="0"/>
        <color auto="1"/>
        <name val="Cambria"/>
        <scheme val="none"/>
      </font>
      <numFmt numFmtId="257" formatCode="&quot;dose&quot;"/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6" formatCode="0\ &quot;ml/frasco&quot;"/>
      <fill>
        <patternFill>
          <bgColor theme="0"/>
        </patternFill>
      </fill>
    </dxf>
    <dxf>
      <font>
        <strike val="0"/>
        <color auto="1"/>
        <name val="Cambria"/>
        <scheme val="none"/>
      </font>
      <numFmt numFmtId="257" formatCode="&quot;dose&quot;"/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6" formatCode="0\ &quot;ml/frasco&quot;"/>
      <fill>
        <patternFill>
          <bgColor theme="0"/>
        </patternFill>
      </fill>
    </dxf>
    <dxf>
      <font>
        <strike val="0"/>
        <color auto="1"/>
        <name val="Cambria"/>
        <scheme val="none"/>
      </font>
      <numFmt numFmtId="257" formatCode="&quot;dose&quot;"/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6" formatCode="0\ &quot;ml/frasco&quot;"/>
      <fill>
        <patternFill>
          <bgColor theme="0"/>
        </patternFill>
      </fill>
    </dxf>
    <dxf>
      <font>
        <strike val="0"/>
        <color auto="1"/>
        <name val="Cambria"/>
        <scheme val="none"/>
      </font>
      <numFmt numFmtId="257" formatCode="&quot;dose&quot;"/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6" formatCode="0\ &quot;ml/frasco&quot;"/>
      <fill>
        <patternFill>
          <bgColor theme="0"/>
        </patternFill>
      </fill>
    </dxf>
    <dxf>
      <font>
        <strike val="0"/>
        <color auto="1"/>
        <name val="Cambria"/>
        <scheme val="none"/>
      </font>
      <numFmt numFmtId="257" formatCode="&quot;dose&quot;"/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6" formatCode="0\ &quot;ml/frasco&quot;"/>
      <fill>
        <patternFill>
          <bgColor theme="0"/>
        </patternFill>
      </fill>
    </dxf>
    <dxf>
      <font>
        <strike val="0"/>
        <color auto="1"/>
        <name val="Cambria"/>
        <scheme val="none"/>
      </font>
      <numFmt numFmtId="257" formatCode="&quot;dose&quot;"/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 patternType="none">
          <bgColor indexed="65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lor theme="1"/>
      </font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lor theme="1"/>
      </font>
      <fill>
        <patternFill patternType="solid">
          <bgColor theme="0" tint="-0.24994659260841701"/>
        </patternFill>
      </fill>
    </dxf>
    <dxf>
      <font>
        <color theme="1"/>
      </font>
      <fill>
        <patternFill patternType="solid">
          <bgColor theme="0" tint="-0.24994659260841701"/>
        </patternFill>
      </fill>
    </dxf>
    <dxf>
      <font>
        <color theme="1"/>
      </font>
      <fill>
        <patternFill patternType="solid">
          <bgColor theme="0" tint="-0.2499465926084170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lor theme="1"/>
      </font>
      <fill>
        <patternFill patternType="solid">
          <bgColor theme="0" tint="-0.24994659260841701"/>
        </patternFill>
      </fill>
    </dxf>
    <dxf>
      <font>
        <color theme="1"/>
      </font>
      <fill>
        <patternFill patternType="solid">
          <bgColor theme="0" tint="-0.24994659260841701"/>
        </patternFill>
      </fill>
    </dxf>
    <dxf>
      <font>
        <color theme="1"/>
      </font>
      <fill>
        <patternFill patternType="solid">
          <bgColor theme="0" tint="-0.24994659260841701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 patternType="solid">
          <bgColor theme="0" tint="-0.24994659260841701"/>
        </patternFill>
      </fill>
    </dxf>
    <dxf>
      <font>
        <color theme="1"/>
      </font>
      <fill>
        <patternFill patternType="solid">
          <bgColor theme="0" tint="-0.24994659260841701"/>
        </patternFill>
      </fill>
    </dxf>
    <dxf>
      <font>
        <color theme="1"/>
      </font>
      <fill>
        <patternFill patternType="solid">
          <bgColor theme="0" tint="-0.24994659260841701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 patternType="solid">
          <bgColor theme="0" tint="-0.24994659260841701"/>
        </patternFill>
      </fill>
    </dxf>
    <dxf>
      <font>
        <color theme="1"/>
      </font>
      <fill>
        <patternFill patternType="solid">
          <bgColor theme="0" tint="-0.2499465926084170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1"/>
      </font>
      <numFmt numFmtId="0" formatCode="General"/>
      <fill>
        <patternFill>
          <bgColor theme="0" tint="-0.24994659260841701"/>
        </patternFill>
      </fill>
    </dxf>
    <dxf>
      <font>
        <color theme="1"/>
      </font>
      <fill>
        <patternFill patternType="solid">
          <fgColor theme="0"/>
          <bgColor theme="0"/>
        </patternFill>
      </fill>
    </dxf>
    <dxf>
      <font>
        <color theme="1"/>
      </font>
      <numFmt numFmtId="0" formatCode="General"/>
      <fill>
        <patternFill>
          <bgColor theme="0" tint="-0.24994659260841701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b/>
        <i val="0"/>
        <color theme="0" tint="-0.24994659260841701"/>
        <name val="Cambria"/>
        <scheme val="none"/>
      </font>
      <fill>
        <patternFill>
          <bgColor theme="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theme="0" tint="-0.24994659260841701"/>
        <name val="Cambria"/>
        <scheme val="none"/>
      </font>
      <fill>
        <patternFill>
          <bgColor theme="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theme="0" tint="-0.24994659260841701"/>
      </font>
      <fill>
        <patternFill>
          <bgColor theme="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theme="1"/>
      </font>
      <fill>
        <patternFill>
          <bgColor theme="0" tint="-0.49998474074526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theme="1"/>
      </font>
      <fill>
        <patternFill>
          <bgColor theme="0" tint="-0.49998474074526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theme="1"/>
      </font>
      <fill>
        <patternFill>
          <bgColor theme="0" tint="-0.49998474074526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lor theme="0" tint="-0.24994659260841701"/>
        <name val="Cambria"/>
        <scheme val="none"/>
      </font>
      <fill>
        <patternFill>
          <bgColor theme="0" tint="-0.24994659260841701"/>
        </patternFill>
      </fill>
    </dxf>
    <dxf>
      <font>
        <color theme="0" tint="-0.24994659260841701"/>
        <name val="Cambria"/>
        <scheme val="none"/>
      </font>
      <fill>
        <patternFill>
          <bgColor theme="0" tint="-0.24994659260841701"/>
        </patternFill>
      </fill>
    </dxf>
    <dxf>
      <font>
        <color theme="0" tint="-0.24994659260841701"/>
        <name val="Cambria"/>
        <scheme val="none"/>
      </font>
      <fill>
        <patternFill>
          <bgColor theme="0" tint="-0.24994659260841701"/>
        </patternFill>
      </fill>
    </dxf>
    <dxf>
      <font>
        <color theme="0" tint="-0.24994659260841701"/>
        <name val="Cambria"/>
        <scheme val="none"/>
      </font>
      <fill>
        <patternFill patternType="solid"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0" tint="-0.2499465926084170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theme="0" tint="-0.2499465926084170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theme="0" tint="-0.2499465926084170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 patternType="solid"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lor theme="0" tint="-0.24994659260841701"/>
        <name val="Cambria"/>
        <scheme val="none"/>
      </font>
      <fill>
        <patternFill>
          <bgColor theme="0" tint="-0.24994659260841701"/>
        </patternFill>
      </fill>
    </dxf>
    <dxf>
      <font>
        <color theme="0" tint="-0.24994659260841701"/>
        <name val="Cambria"/>
        <scheme val="none"/>
      </font>
      <fill>
        <patternFill>
          <bgColor theme="0" tint="-0.24994659260841701"/>
        </patternFill>
      </fill>
    </dxf>
    <dxf>
      <font>
        <color theme="0" tint="-0.24994659260841701"/>
        <name val="Cambria"/>
        <scheme val="none"/>
      </font>
      <fill>
        <patternFill>
          <bgColor theme="0" tint="-0.24994659260841701"/>
        </patternFill>
      </fill>
    </dxf>
    <dxf>
      <font>
        <color theme="0" tint="-0.24994659260841701"/>
        <name val="Cambria"/>
        <scheme val="none"/>
      </font>
      <fill>
        <patternFill patternType="solid"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lor theme="0" tint="-0.24994659260841701"/>
        <name val="Cambria"/>
        <scheme val="none"/>
      </font>
      <fill>
        <patternFill>
          <bgColor theme="0" tint="-0.24994659260841701"/>
        </patternFill>
      </fill>
    </dxf>
    <dxf>
      <font>
        <color theme="0" tint="-0.24994659260841701"/>
        <name val="Cambria"/>
        <scheme val="none"/>
      </font>
      <fill>
        <patternFill>
          <bgColor theme="0" tint="-0.24994659260841701"/>
        </patternFill>
      </fill>
    </dxf>
    <dxf>
      <font>
        <color theme="0" tint="-0.24994659260841701"/>
        <name val="Cambria"/>
        <scheme val="none"/>
      </font>
      <fill>
        <patternFill>
          <bgColor theme="0" tint="-0.24994659260841701"/>
        </patternFill>
      </fill>
    </dxf>
    <dxf>
      <font>
        <color theme="0" tint="-0.24994659260841701"/>
        <name val="Cambria"/>
        <scheme val="none"/>
      </font>
      <fill>
        <patternFill patternType="solid"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 patternType="solid"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</dxf>
    <dxf>
      <font>
        <color theme="1"/>
      </font>
      <numFmt numFmtId="0" formatCode="General"/>
      <fill>
        <patternFill>
          <bgColor theme="0" tint="-0.24994659260841701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 patternType="solid">
          <fgColor theme="0"/>
          <bgColor theme="0"/>
        </patternFill>
      </fill>
    </dxf>
    <dxf>
      <font>
        <color theme="1"/>
      </font>
      <numFmt numFmtId="0" formatCode="General"/>
      <fill>
        <patternFill>
          <bgColor theme="0" tint="-0.2499465926084170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lor theme="0" tint="-0.24994659260841701"/>
        <name val="Cambria"/>
        <scheme val="none"/>
      </font>
      <fill>
        <patternFill>
          <bgColor theme="0" tint="-0.24994659260841701"/>
        </patternFill>
      </fill>
    </dxf>
    <dxf>
      <font>
        <color theme="0" tint="-0.24994659260841701"/>
        <name val="Cambria"/>
        <scheme val="none"/>
      </font>
      <fill>
        <patternFill>
          <bgColor theme="0" tint="-0.24994659260841701"/>
        </patternFill>
      </fill>
    </dxf>
    <dxf>
      <font>
        <color theme="0" tint="-0.24994659260841701"/>
        <name val="Cambria"/>
        <scheme val="none"/>
      </font>
      <fill>
        <patternFill>
          <bgColor theme="0" tint="-0.24994659260841701"/>
        </patternFill>
      </fill>
    </dxf>
    <dxf>
      <font>
        <color theme="0" tint="-0.24994659260841701"/>
        <name val="Cambria"/>
        <scheme val="none"/>
      </font>
      <fill>
        <patternFill patternType="solid"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lor theme="0" tint="-0.24994659260841701"/>
        <name val="Cambria"/>
        <scheme val="none"/>
      </font>
      <fill>
        <patternFill>
          <bgColor theme="0" tint="-0.24994659260841701"/>
        </patternFill>
      </fill>
    </dxf>
    <dxf>
      <font>
        <color theme="0" tint="-0.24994659260841701"/>
        <name val="Cambria"/>
        <scheme val="none"/>
      </font>
      <fill>
        <patternFill>
          <bgColor theme="0" tint="-0.24994659260841701"/>
        </patternFill>
      </fill>
    </dxf>
    <dxf>
      <font>
        <color theme="0" tint="-0.24994659260841701"/>
        <name val="Cambria"/>
        <scheme val="none"/>
      </font>
      <fill>
        <patternFill>
          <bgColor theme="0" tint="-0.24994659260841701"/>
        </patternFill>
      </fill>
    </dxf>
    <dxf>
      <font>
        <color theme="0" tint="-0.24994659260841701"/>
        <name val="Cambria"/>
        <scheme val="none"/>
      </font>
      <fill>
        <patternFill patternType="solid"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lor auto="1"/>
      </font>
    </dxf>
    <dxf>
      <font>
        <color auto="1"/>
      </font>
    </dxf>
    <dxf>
      <font>
        <condense val="0"/>
        <extend val="0"/>
        <color auto="1"/>
      </font>
      <fill>
        <patternFill>
          <bgColor indexed="9"/>
        </patternFill>
      </fill>
    </dxf>
    <dxf>
      <font>
        <b/>
        <i val="0"/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  <vertical/>
        <horizontal/>
      </border>
    </dxf>
    <dxf>
      <font>
        <color theme="1"/>
      </font>
    </dxf>
    <dxf>
      <font>
        <color theme="1"/>
      </font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b/>
        <i val="0"/>
        <color theme="5" tint="-0.499984740745262"/>
      </font>
    </dxf>
    <dxf>
      <font>
        <color theme="1"/>
      </font>
    </dxf>
    <dxf>
      <font>
        <color theme="1"/>
      </font>
    </dxf>
    <dxf>
      <font>
        <color theme="0" tint="-0.24994659260841701"/>
      </font>
      <fill>
        <patternFill>
          <bgColor theme="0" tint="-0.24994659260841701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3055555555558625E-2"/>
          <c:y val="0.2591283326426303"/>
          <c:w val="0.74722222222222223"/>
          <c:h val="0.64656803425889331"/>
        </c:manualLayout>
      </c:layout>
      <c:pie3DChart>
        <c:varyColors val="1"/>
        <c:ser>
          <c:idx val="0"/>
          <c:order val="0"/>
          <c:tx>
            <c:strRef>
              <c:f>'Mão-de-obra'!$W$9:$W$10</c:f>
              <c:strCache>
                <c:ptCount val="1"/>
                <c:pt idx="0">
                  <c:v>Total Anual por categotia</c:v>
                </c:pt>
              </c:strCache>
            </c:strRef>
          </c:tx>
          <c:dLbls>
            <c:dLbl>
              <c:idx val="0"/>
              <c:layout>
                <c:manualLayout>
                  <c:x val="0.24081321084864393"/>
                  <c:y val="-5.976350324630644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pt-B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30360936132984651"/>
                  <c:y val="2.883298798176608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pt-B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30986132983377657"/>
                  <c:y val="2.97101809642215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pt-B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0.27097244094489054"/>
                  <c:y val="-6.94126260533249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pt-B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3.2290573053368382E-2"/>
                  <c:y val="-8.78336786849011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pt-B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0.12673512685914259"/>
                  <c:y val="-9.4851222544551264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pt-B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'Mão-de-obra'!$AN$11:$AN$29</c:f>
              <c:strCache>
                <c:ptCount val="19"/>
                <c:pt idx="0">
                  <c:v>Vaqueiro (1)</c:v>
                </c:pt>
                <c:pt idx="1">
                  <c:v>Diarista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strCache>
            </c:strRef>
          </c:cat>
          <c:val>
            <c:numRef>
              <c:f>'Mão-de-obra'!$W$11:$W$29</c:f>
              <c:numCache>
                <c:formatCode>_("R$ "* #,##0.00_);_("R$ "* \(#,##0.00\);_("R$ "* "-"??_);_(@_)</c:formatCode>
                <c:ptCount val="19"/>
                <c:pt idx="0">
                  <c:v>23002.155733333333</c:v>
                </c:pt>
                <c:pt idx="1">
                  <c:v>6720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bg1">
        <a:lumMod val="95000"/>
      </a:schemeClr>
    </a:solidFill>
  </c:spPr>
  <c:printSettings>
    <c:headerFooter/>
    <c:pageMargins b="0.78740157499999996" l="0.511811024" r="0.511811024" t="0.78740157499999996" header="0.31496062000000635" footer="0.3149606200000063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Fluxo de Caixa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9079146541369239E-2"/>
          <c:y val="8.9559580412314127E-2"/>
          <c:w val="0.88199386126000234"/>
          <c:h val="0.760903229698951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Fluxo!$A$76</c:f>
              <c:strCache>
                <c:ptCount val="1"/>
                <c:pt idx="0">
                  <c:v>Margem Bruta Acumulada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</a:ln>
          </c:spPr>
          <c:invertIfNegative val="0"/>
          <c:cat>
            <c:numRef>
              <c:f>Fluxo!$B$2:$V$2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Fluxo!$B$76:$V$76</c:f>
              <c:numCache>
                <c:formatCode>"R$"\ #,##0.00;[Red]"R$"\ #,##0.00</c:formatCode>
                <c:ptCount val="21"/>
                <c:pt idx="0">
                  <c:v>-12738189.269097021</c:v>
                </c:pt>
                <c:pt idx="1">
                  <c:v>-12378307.481730681</c:v>
                </c:pt>
                <c:pt idx="2">
                  <c:v>-12017525.694364341</c:v>
                </c:pt>
                <c:pt idx="3">
                  <c:v>-11657643.906998001</c:v>
                </c:pt>
                <c:pt idx="4">
                  <c:v>-11296862.119631661</c:v>
                </c:pt>
                <c:pt idx="5">
                  <c:v>-10924980.332265321</c:v>
                </c:pt>
                <c:pt idx="6">
                  <c:v>-10564198.544898981</c:v>
                </c:pt>
                <c:pt idx="7">
                  <c:v>-10204316.757532641</c:v>
                </c:pt>
                <c:pt idx="8">
                  <c:v>-9837726.9701663014</c:v>
                </c:pt>
                <c:pt idx="9">
                  <c:v>-9477845.1827999614</c:v>
                </c:pt>
                <c:pt idx="10">
                  <c:v>-9098883.3954336215</c:v>
                </c:pt>
                <c:pt idx="11">
                  <c:v>-8739001.6080672815</c:v>
                </c:pt>
                <c:pt idx="12">
                  <c:v>-8253465.3876815373</c:v>
                </c:pt>
                <c:pt idx="13">
                  <c:v>-7893583.6003151974</c:v>
                </c:pt>
                <c:pt idx="14">
                  <c:v>-7532801.8129488574</c:v>
                </c:pt>
                <c:pt idx="15">
                  <c:v>-7060120.0255825175</c:v>
                </c:pt>
                <c:pt idx="16">
                  <c:v>-6688730.2382161776</c:v>
                </c:pt>
                <c:pt idx="17">
                  <c:v>-6328848.4508498376</c:v>
                </c:pt>
                <c:pt idx="18">
                  <c:v>-5968066.6634834977</c:v>
                </c:pt>
                <c:pt idx="19">
                  <c:v>-5608184.8761171577</c:v>
                </c:pt>
                <c:pt idx="20">
                  <c:v>4745357.5569022456</c:v>
                </c:pt>
              </c:numCache>
            </c:numRef>
          </c:val>
        </c:ser>
        <c:ser>
          <c:idx val="1"/>
          <c:order val="1"/>
          <c:tx>
            <c:strRef>
              <c:f>Fluxo!$A$81</c:f>
              <c:strCache>
                <c:ptCount val="1"/>
                <c:pt idx="0">
                  <c:v>Margem Líquida Acumulada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invertIfNegative val="0"/>
          <c:cat>
            <c:numRef>
              <c:f>Fluxo!$B$2:$V$2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Fluxo!$B$81:$V$81</c:f>
              <c:numCache>
                <c:formatCode>"R$"\ #,##0.00;[Red]"R$"\ #,##0.00</c:formatCode>
                <c:ptCount val="21"/>
                <c:pt idx="0">
                  <c:v>-12738189.269097021</c:v>
                </c:pt>
                <c:pt idx="1">
                  <c:v>-12651309.243175244</c:v>
                </c:pt>
                <c:pt idx="2">
                  <c:v>-12431243.956854567</c:v>
                </c:pt>
                <c:pt idx="3">
                  <c:v>-12212078.624688227</c:v>
                </c:pt>
                <c:pt idx="4">
                  <c:v>-11992013.33836755</c:v>
                </c:pt>
                <c:pt idx="5">
                  <c:v>-11760848.040017897</c:v>
                </c:pt>
                <c:pt idx="6">
                  <c:v>-11540790.161127491</c:v>
                </c:pt>
                <c:pt idx="7">
                  <c:v>-11321629.842527393</c:v>
                </c:pt>
                <c:pt idx="8">
                  <c:v>-11095756.510361053</c:v>
                </c:pt>
                <c:pt idx="9">
                  <c:v>-10876591.178194713</c:v>
                </c:pt>
                <c:pt idx="10">
                  <c:v>-10638345.846028373</c:v>
                </c:pt>
                <c:pt idx="11">
                  <c:v>-10419180.513862032</c:v>
                </c:pt>
                <c:pt idx="12">
                  <c:v>-10074360.748676289</c:v>
                </c:pt>
                <c:pt idx="13">
                  <c:v>-9855195.4165099487</c:v>
                </c:pt>
                <c:pt idx="14">
                  <c:v>-9635130.0843436085</c:v>
                </c:pt>
                <c:pt idx="15">
                  <c:v>-9303164.7521772683</c:v>
                </c:pt>
                <c:pt idx="16">
                  <c:v>-9072491.4200109281</c:v>
                </c:pt>
                <c:pt idx="17">
                  <c:v>-8853326.0878445879</c:v>
                </c:pt>
                <c:pt idx="18">
                  <c:v>-8633260.7556782477</c:v>
                </c:pt>
                <c:pt idx="19">
                  <c:v>-8414095.4235119075</c:v>
                </c:pt>
                <c:pt idx="20">
                  <c:v>1939447.0095074959</c:v>
                </c:pt>
              </c:numCache>
            </c:numRef>
          </c:val>
        </c:ser>
        <c:ser>
          <c:idx val="2"/>
          <c:order val="2"/>
          <c:tx>
            <c:strRef>
              <c:f>Fluxo!$A$86</c:f>
              <c:strCache>
                <c:ptCount val="1"/>
                <c:pt idx="0">
                  <c:v>Lucro Acumulado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invertIfNegative val="0"/>
          <c:cat>
            <c:numRef>
              <c:f>Fluxo!$B$2:$V$2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Fluxo!$B$86:$V$86</c:f>
              <c:numCache>
                <c:formatCode>"R$"\ #,##0.00;[Red]"R$"\ #,##0.00</c:formatCode>
                <c:ptCount val="21"/>
                <c:pt idx="0">
                  <c:v>-12738189.269097021</c:v>
                </c:pt>
                <c:pt idx="1">
                  <c:v>-13241989.843240712</c:v>
                </c:pt>
                <c:pt idx="2">
                  <c:v>-13612605.156985503</c:v>
                </c:pt>
                <c:pt idx="3">
                  <c:v>-13984120.42488463</c:v>
                </c:pt>
                <c:pt idx="4">
                  <c:v>-14354735.738629421</c:v>
                </c:pt>
                <c:pt idx="5">
                  <c:v>-14714251.040345237</c:v>
                </c:pt>
                <c:pt idx="6">
                  <c:v>-15084873.761520298</c:v>
                </c:pt>
                <c:pt idx="7">
                  <c:v>-15456394.042985668</c:v>
                </c:pt>
                <c:pt idx="8">
                  <c:v>-15821201.310884796</c:v>
                </c:pt>
                <c:pt idx="9">
                  <c:v>-16192716.578783924</c:v>
                </c:pt>
                <c:pt idx="10">
                  <c:v>-16545151.846683051</c:v>
                </c:pt>
                <c:pt idx="11">
                  <c:v>-16916667.114582181</c:v>
                </c:pt>
                <c:pt idx="12">
                  <c:v>-17162527.949461907</c:v>
                </c:pt>
                <c:pt idx="13">
                  <c:v>-17534043.217361037</c:v>
                </c:pt>
                <c:pt idx="14">
                  <c:v>-17904658.485260166</c:v>
                </c:pt>
                <c:pt idx="15">
                  <c:v>-18163373.753159296</c:v>
                </c:pt>
                <c:pt idx="16">
                  <c:v>-18523381.021058425</c:v>
                </c:pt>
                <c:pt idx="17">
                  <c:v>-18894896.288957555</c:v>
                </c:pt>
                <c:pt idx="18">
                  <c:v>-19265511.556856684</c:v>
                </c:pt>
                <c:pt idx="19">
                  <c:v>-19637026.824755814</c:v>
                </c:pt>
                <c:pt idx="20">
                  <c:v>-9283484.3917364106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215744"/>
        <c:axId val="184905664"/>
      </c:barChart>
      <c:catAx>
        <c:axId val="181215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Ano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low"/>
        <c:txPr>
          <a:bodyPr/>
          <a:lstStyle/>
          <a:p>
            <a:pPr>
              <a:defRPr b="1"/>
            </a:pPr>
            <a:endParaRPr lang="pt-BR"/>
          </a:p>
        </c:txPr>
        <c:crossAx val="184905664"/>
        <c:crosses val="autoZero"/>
        <c:auto val="1"/>
        <c:lblAlgn val="ctr"/>
        <c:lblOffset val="100"/>
        <c:noMultiLvlLbl val="0"/>
      </c:catAx>
      <c:valAx>
        <c:axId val="184905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Valor Descontado Acumulado</a:t>
                </a:r>
              </a:p>
            </c:rich>
          </c:tx>
          <c:overlay val="0"/>
        </c:title>
        <c:numFmt formatCode="&quot;R$&quot;\ #,##0.00;[Red]&quot;R$&quot;\ #,##0.00" sourceLinked="0"/>
        <c:majorTickMark val="out"/>
        <c:minorTickMark val="none"/>
        <c:tickLblPos val="nextTo"/>
        <c:txPr>
          <a:bodyPr/>
          <a:lstStyle/>
          <a:p>
            <a:pPr>
              <a:defRPr sz="1000" b="1">
                <a:solidFill>
                  <a:schemeClr val="accent1">
                    <a:lumMod val="50000"/>
                  </a:schemeClr>
                </a:solidFill>
              </a:defRPr>
            </a:pPr>
            <a:endParaRPr lang="pt-BR"/>
          </a:p>
        </c:txPr>
        <c:crossAx val="181215744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-1000" t="5000" r="32000"/>
          </a:stretch>
        </a:blipFill>
      </c:spPr>
    </c:plotArea>
    <c:legend>
      <c:legendPos val="r"/>
      <c:layout>
        <c:manualLayout>
          <c:xMode val="edge"/>
          <c:yMode val="edge"/>
          <c:x val="9.2524226731365886E-2"/>
          <c:y val="0.92220415934142352"/>
          <c:w val="0.82724901332062495"/>
          <c:h val="5.1612000382113742E-2"/>
        </c:manualLayout>
      </c:layout>
      <c:overlay val="0"/>
    </c:legend>
    <c:plotVisOnly val="1"/>
    <c:dispBlanksAs val="gap"/>
    <c:showDLblsOverMax val="0"/>
  </c:chart>
  <c:spPr>
    <a:ln>
      <a:noFill/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autoTitleDeleted val="0"/>
    <c:view3D>
      <c:rotX val="30"/>
      <c:rotY val="27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5356528082433533"/>
          <c:y val="0.4468008760554309"/>
          <c:w val="0.45508692850519433"/>
          <c:h val="0.46820889716238284"/>
        </c:manualLayout>
      </c:layout>
      <c:pie3DChart>
        <c:varyColors val="1"/>
        <c:ser>
          <c:idx val="0"/>
          <c:order val="0"/>
          <c:dLbls>
            <c:dLbl>
              <c:idx val="0"/>
              <c:layout>
                <c:manualLayout>
                  <c:x val="-1.0842209004574305E-2"/>
                  <c:y val="0.1504317034182373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9500998003992033E-2"/>
                  <c:y val="3.49034911502195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4209235085155331"/>
                  <c:y val="-6.30806328323222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16530743669708994"/>
                  <c:y val="-0.1141708494114352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0.30602329199868944"/>
                  <c:y val="-0.21840638809171337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0.15400480927907964"/>
                  <c:y val="-0.32688479337091975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2.4337466798686078E-2"/>
                  <c:y val="-0.3357397388525780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0660053122102379"/>
                  <c:y val="-0.2976221320721980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2201675389378723"/>
                  <c:y val="-0.20466322936613029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5567579801027864"/>
                  <c:y val="-0.1334879843219663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21749219670894773"/>
                  <c:y val="-7.853848241982518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2086050261681362"/>
                  <c:y val="-1.322853724500606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7257679915759044"/>
                  <c:y val="6.218276761594443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7118896066135442"/>
                  <c:y val="0.10139487509464284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626401370487372"/>
                  <c:y val="0.13841501942353521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433758624483317"/>
                  <c:y val="0.21737750953388918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6.6712433400916454E-2"/>
                  <c:y val="0.13584989857071197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.10247775315510711"/>
                  <c:y val="0.1181415354298738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9.1241516966067873E-2"/>
                  <c:y val="0.10665233844204919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5.6319070597635502E-2"/>
                  <c:y val="1.843278237721862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Relatórios!$B$91:$B$123</c:f>
              <c:strCache>
                <c:ptCount val="33"/>
                <c:pt idx="0">
                  <c:v>Administrativos, Impostos fixos, energia e juros</c:v>
                </c:pt>
                <c:pt idx="1">
                  <c:v>Comercialização (Gastos, Impostos e taxas)</c:v>
                </c:pt>
                <c:pt idx="2">
                  <c:v>Manutenção - Benfeitorias</c:v>
                </c:pt>
                <c:pt idx="3">
                  <c:v>Manutenção - Equipamentos</c:v>
                </c:pt>
                <c:pt idx="4">
                  <c:v>Manutenção - Utilitários </c:v>
                </c:pt>
                <c:pt idx="5">
                  <c:v>Manutenção - Máquinas (Pastagem)</c:v>
                </c:pt>
                <c:pt idx="6">
                  <c:v>Manutenção - Implementos (Pastagem)</c:v>
                </c:pt>
                <c:pt idx="7">
                  <c:v>Manutenção - Máquinas (Agricultura)</c:v>
                </c:pt>
                <c:pt idx="8">
                  <c:v>Manutenção - Implementos (Agricultura)</c:v>
                </c:pt>
                <c:pt idx="9">
                  <c:v>Manutenção - Máquinas e Implementos (Suplementação)</c:v>
                </c:pt>
                <c:pt idx="10">
                  <c:v>Manutenção - Máquinas e Implementos (Alimentação)</c:v>
                </c:pt>
                <c:pt idx="11">
                  <c:v>Combustível - Utilitários</c:v>
                </c:pt>
                <c:pt idx="12">
                  <c:v>Combustível - Máquinas (Pastagem)</c:v>
                </c:pt>
                <c:pt idx="13">
                  <c:v>Combustível - Máquinas (Agricultura)</c:v>
                </c:pt>
                <c:pt idx="14">
                  <c:v>Combustível - Máquinas (Suplementação)</c:v>
                </c:pt>
                <c:pt idx="15">
                  <c:v>Combustível - Máquinas (Alimentação)</c:v>
                </c:pt>
                <c:pt idx="16">
                  <c:v>Insumos (Pastagem)</c:v>
                </c:pt>
                <c:pt idx="17">
                  <c:v>Insumos (Agricultura)</c:v>
                </c:pt>
                <c:pt idx="18">
                  <c:v>Mão-de-obra (Pastagem)</c:v>
                </c:pt>
                <c:pt idx="19">
                  <c:v>Mão-de-obra (Agricultura)</c:v>
                </c:pt>
                <c:pt idx="20">
                  <c:v>Mão-de-obra (Formal)</c:v>
                </c:pt>
                <c:pt idx="21">
                  <c:v>Mão-de-obra (Diarista)</c:v>
                </c:pt>
                <c:pt idx="22">
                  <c:v>Mão-de-obra (Assistência técnica)</c:v>
                </c:pt>
                <c:pt idx="23">
                  <c:v>Medicamento - Antibióticos</c:v>
                </c:pt>
                <c:pt idx="24">
                  <c:v>Medicamento - Controle Parasitário</c:v>
                </c:pt>
                <c:pt idx="25">
                  <c:v>Medicamento - Vacinas</c:v>
                </c:pt>
                <c:pt idx="26">
                  <c:v>Medicamentos em geral</c:v>
                </c:pt>
                <c:pt idx="27">
                  <c:v>Material de ordenha</c:v>
                </c:pt>
                <c:pt idx="28">
                  <c:v>Identificação</c:v>
                </c:pt>
                <c:pt idx="29">
                  <c:v>Inseminação Artificial</c:v>
                </c:pt>
                <c:pt idx="30">
                  <c:v>Suplementação Mineral</c:v>
                </c:pt>
                <c:pt idx="31">
                  <c:v>Alimentação</c:v>
                </c:pt>
                <c:pt idx="32">
                  <c:v>Aquisição de animais</c:v>
                </c:pt>
              </c:strCache>
            </c:strRef>
          </c:cat>
          <c:val>
            <c:numRef>
              <c:f>Relatórios!$C$91:$C$123</c:f>
              <c:numCache>
                <c:formatCode>0.0%</c:formatCode>
                <c:ptCount val="33"/>
                <c:pt idx="0">
                  <c:v>2.8148684533362934E-2</c:v>
                </c:pt>
                <c:pt idx="1">
                  <c:v>1.8276024788072266E-2</c:v>
                </c:pt>
                <c:pt idx="2">
                  <c:v>1.371644305608239E-3</c:v>
                </c:pt>
                <c:pt idx="3">
                  <c:v>1.0738271277257099E-3</c:v>
                </c:pt>
                <c:pt idx="4">
                  <c:v>2.5464356943831149E-3</c:v>
                </c:pt>
                <c:pt idx="5">
                  <c:v>2.0918008310227333E-3</c:v>
                </c:pt>
                <c:pt idx="6">
                  <c:v>2.8587944690644019E-4</c:v>
                </c:pt>
                <c:pt idx="7">
                  <c:v>0</c:v>
                </c:pt>
                <c:pt idx="8">
                  <c:v>0</c:v>
                </c:pt>
                <c:pt idx="9">
                  <c:v>7.7706827454480029E-3</c:v>
                </c:pt>
                <c:pt idx="10">
                  <c:v>2.5431325348738917E-3</c:v>
                </c:pt>
                <c:pt idx="11">
                  <c:v>1.1692463973303299E-2</c:v>
                </c:pt>
                <c:pt idx="12">
                  <c:v>3.2155162374481456E-3</c:v>
                </c:pt>
                <c:pt idx="13">
                  <c:v>0</c:v>
                </c:pt>
                <c:pt idx="14">
                  <c:v>9.4298597669309064E-3</c:v>
                </c:pt>
                <c:pt idx="15">
                  <c:v>3.086135923722842E-3</c:v>
                </c:pt>
                <c:pt idx="16">
                  <c:v>1.4642605817159133E-2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1.6577408605788456E-2</c:v>
                </c:pt>
                <c:pt idx="21">
                  <c:v>4.8430324149776978E-3</c:v>
                </c:pt>
                <c:pt idx="22">
                  <c:v>0</c:v>
                </c:pt>
                <c:pt idx="23">
                  <c:v>1.8017233686672983E-4</c:v>
                </c:pt>
                <c:pt idx="24">
                  <c:v>1.3630660098175842E-2</c:v>
                </c:pt>
                <c:pt idx="25">
                  <c:v>6.7643236428471818E-3</c:v>
                </c:pt>
                <c:pt idx="26">
                  <c:v>9.9455129950434861E-4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6.4605235004200165E-2</c:v>
                </c:pt>
                <c:pt idx="31">
                  <c:v>0.15202329710078294</c:v>
                </c:pt>
                <c:pt idx="32">
                  <c:v>0.63420662577088904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876" footer="0.4921259850000087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Resumo COE</a:t>
            </a:r>
          </a:p>
        </c:rich>
      </c:tx>
      <c:layout>
        <c:manualLayout>
          <c:xMode val="edge"/>
          <c:yMode val="edge"/>
          <c:x val="1.8225640082927378E-2"/>
          <c:y val="7.6089072969987334E-2"/>
        </c:manualLayout>
      </c:layout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5350525291256789E-2"/>
          <c:y val="0.15233149047858391"/>
          <c:w val="0.86509040738841891"/>
          <c:h val="0.58257275325791158"/>
        </c:manualLayout>
      </c:layout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Relatórios!$B$132:$B$142</c:f>
              <c:strCache>
                <c:ptCount val="11"/>
                <c:pt idx="0">
                  <c:v>Reposição de Animais</c:v>
                </c:pt>
                <c:pt idx="1">
                  <c:v>Alimentação</c:v>
                </c:pt>
                <c:pt idx="2">
                  <c:v>Suplementação</c:v>
                </c:pt>
                <c:pt idx="3">
                  <c:v>Administrativos, Impostos fixos, energia e juros</c:v>
                </c:pt>
                <c:pt idx="4">
                  <c:v>Combustível</c:v>
                </c:pt>
                <c:pt idx="5">
                  <c:v>Medicamentos, identificação e inseminação</c:v>
                </c:pt>
                <c:pt idx="6">
                  <c:v>Comercialização (gastos, impostos e taxas)</c:v>
                </c:pt>
                <c:pt idx="7">
                  <c:v>Manutenção (benf, equip, util, maqui, impl)</c:v>
                </c:pt>
                <c:pt idx="8">
                  <c:v>Mão-de-obra (rebanho)</c:v>
                </c:pt>
                <c:pt idx="9">
                  <c:v>Insumos (past e agric)</c:v>
                </c:pt>
                <c:pt idx="10">
                  <c:v>Mão-de-obra (diarista, past, agric)</c:v>
                </c:pt>
              </c:strCache>
            </c:strRef>
          </c:cat>
          <c:val>
            <c:numRef>
              <c:f>Relatórios!$D$132:$D$142</c:f>
              <c:numCache>
                <c:formatCode>0.0%</c:formatCode>
                <c:ptCount val="11"/>
                <c:pt idx="0">
                  <c:v>0.63420662577088904</c:v>
                </c:pt>
                <c:pt idx="1">
                  <c:v>0.15202329710078294</c:v>
                </c:pt>
                <c:pt idx="2">
                  <c:v>6.4605235004200165E-2</c:v>
                </c:pt>
                <c:pt idx="3">
                  <c:v>2.8148684533362934E-2</c:v>
                </c:pt>
                <c:pt idx="4">
                  <c:v>2.742397590140519E-2</c:v>
                </c:pt>
                <c:pt idx="5">
                  <c:v>2.1569707377394103E-2</c:v>
                </c:pt>
                <c:pt idx="6">
                  <c:v>1.8276024788072266E-2</c:v>
                </c:pt>
                <c:pt idx="7">
                  <c:v>1.7683402685968134E-2</c:v>
                </c:pt>
                <c:pt idx="8">
                  <c:v>1.6577408605788456E-2</c:v>
                </c:pt>
                <c:pt idx="9">
                  <c:v>1.4642605817159133E-2</c:v>
                </c:pt>
                <c:pt idx="10">
                  <c:v>4.8430324149776978E-3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465014264521399"/>
          <c:w val="1"/>
          <c:h val="0.2534985735478790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0635" footer="0.3149606200000063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BR" sz="1400"/>
              <a:t>Custo Total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Relatórios!$B$151:$B$153</c:f>
              <c:strCache>
                <c:ptCount val="3"/>
                <c:pt idx="0">
                  <c:v>Efetivos</c:v>
                </c:pt>
                <c:pt idx="1">
                  <c:v>Depreciações</c:v>
                </c:pt>
                <c:pt idx="2">
                  <c:v>Remuneração e Oportunidade</c:v>
                </c:pt>
              </c:strCache>
            </c:strRef>
          </c:cat>
          <c:val>
            <c:numRef>
              <c:f>Relatórios!$D$151:$D$153</c:f>
              <c:numCache>
                <c:formatCode>_("R$ "* #,##0.00_);_("R$ "* \(#,##0.00\);_("R$ "* "-"_);_(@_)</c:formatCode>
                <c:ptCount val="3"/>
                <c:pt idx="0">
                  <c:v>1387560.4010449196</c:v>
                </c:pt>
                <c:pt idx="1">
                  <c:v>273001.76144456328</c:v>
                </c:pt>
                <c:pt idx="2">
                  <c:v>590680.60006546834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0635" footer="0.3149606200000063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Composição da Receita - Bovinocultura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0982364570031046E-2"/>
          <c:y val="0.28524987008202934"/>
          <c:w val="0.84018321172303811"/>
          <c:h val="0.64034802719470862"/>
        </c:manualLayout>
      </c:layout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Relatórios!$B$181:$B$191</c:f>
              <c:strCache>
                <c:ptCount val="11"/>
                <c:pt idx="0">
                  <c:v>Boi gordo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Touro</c:v>
                </c:pt>
                <c:pt idx="10">
                  <c:v>Vacas solteiras secas</c:v>
                </c:pt>
              </c:strCache>
            </c:strRef>
          </c:cat>
          <c:val>
            <c:numRef>
              <c:f>Relatórios!$D$181:$D$191</c:f>
              <c:numCache>
                <c:formatCode>_("R$ "* #,##0.00_);_("R$ "* \(#,##0.00\);_("R$ "* "-"_);_(@_)</c:formatCode>
                <c:ptCount val="11"/>
                <c:pt idx="0">
                  <c:v>1746242.1884112596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4002172142275893E-3"/>
          <c:y val="0.11097491679519438"/>
          <c:w val="0.99103716672751141"/>
          <c:h val="6.682685282896339E-2"/>
        </c:manualLayout>
      </c:layout>
      <c:overlay val="0"/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0635" footer="0.3149606200000063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pt-BR" sz="1400"/>
              <a:t>Composição Receita Propriedade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"/>
          <c:y val="0.47532162325863847"/>
          <c:w val="0.98577206468988265"/>
          <c:h val="0.43499899051081004"/>
        </c:manualLayout>
      </c:layout>
      <c:pie3DChart>
        <c:varyColors val="1"/>
        <c:ser>
          <c:idx val="0"/>
          <c:order val="0"/>
          <c:tx>
            <c:strRef>
              <c:f>Relatórios!$G$151</c:f>
              <c:strCache>
                <c:ptCount val="1"/>
                <c:pt idx="0">
                  <c:v>COMPOSIÇÃO RECEITA PROPRIEDADE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Relatórios!$G$152:$G$155</c:f>
              <c:strCache>
                <c:ptCount val="4"/>
                <c:pt idx="0">
                  <c:v>Receita Venda de Animais</c:v>
                </c:pt>
                <c:pt idx="1">
                  <c:v>Receita Leite</c:v>
                </c:pt>
                <c:pt idx="2">
                  <c:v>Receita Agricultura</c:v>
                </c:pt>
                <c:pt idx="3">
                  <c:v>Outras Receitas</c:v>
                </c:pt>
              </c:strCache>
            </c:strRef>
          </c:cat>
          <c:val>
            <c:numRef>
              <c:f>Relatórios!$H$152:$H$155</c:f>
              <c:numCache>
                <c:formatCode>_("R$ "* #,##0.00_);_("R$ "* \(#,##0.00\);_("R$ "* "-"??_);_(@_)</c:formatCode>
                <c:ptCount val="4"/>
                <c:pt idx="0">
                  <c:v>1746242.1884112596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51013702027494"/>
          <c:w val="0.99766025579320927"/>
          <c:h val="0.14862091057515447"/>
        </c:manualLayout>
      </c:layout>
      <c:overlay val="0"/>
      <c:txPr>
        <a:bodyPr/>
        <a:lstStyle/>
        <a:p>
          <a:pPr>
            <a:defRPr sz="900"/>
          </a:pPr>
          <a:endParaRPr lang="pt-BR"/>
        </a:p>
      </c:txPr>
    </c:legend>
    <c:plotVisOnly val="1"/>
    <c:dispBlanksAs val="zero"/>
    <c:showDLblsOverMax val="0"/>
  </c:chart>
  <c:printSettings>
    <c:headerFooter/>
    <c:pageMargins b="0.78740157499999996" l="0.511811024" r="0.511811024" t="0.78740157499999996" header="0.31496062000000646" footer="0.31496062000000646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pt-BR" sz="1600"/>
              <a:t>Rentabilidade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34052644111975644"/>
          <c:y val="0.16719628732389291"/>
          <c:w val="0.5534476865877056"/>
          <c:h val="0.5398223366751521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Relatórios!$B$151</c:f>
              <c:strCache>
                <c:ptCount val="1"/>
                <c:pt idx="0">
                  <c:v>Efetivos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Descrição!$C$13</c:f>
              <c:strCache>
                <c:ptCount val="1"/>
                <c:pt idx="0">
                  <c:v>Alta Floresta</c:v>
                </c:pt>
              </c:strCache>
            </c:strRef>
          </c:cat>
          <c:val>
            <c:numRef>
              <c:f>Relatórios!$D$151</c:f>
              <c:numCache>
                <c:formatCode>_("R$ "* #,##0.00_);_("R$ "* \(#,##0.00\);_("R$ "* "-"_);_(@_)</c:formatCode>
                <c:ptCount val="1"/>
                <c:pt idx="0">
                  <c:v>1387560.4010449196</c:v>
                </c:pt>
              </c:numCache>
            </c:numRef>
          </c:val>
        </c:ser>
        <c:ser>
          <c:idx val="1"/>
          <c:order val="1"/>
          <c:tx>
            <c:strRef>
              <c:f>Relatórios!$B$152</c:f>
              <c:strCache>
                <c:ptCount val="1"/>
                <c:pt idx="0">
                  <c:v>Depreciações</c:v>
                </c:pt>
              </c:strCache>
            </c:strRef>
          </c:tx>
          <c:spPr>
            <a:ln>
              <a:solidFill>
                <a:schemeClr val="accent2">
                  <a:lumMod val="50000"/>
                </a:scheme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Descrição!$C$13</c:f>
              <c:strCache>
                <c:ptCount val="1"/>
                <c:pt idx="0">
                  <c:v>Alta Floresta</c:v>
                </c:pt>
              </c:strCache>
            </c:strRef>
          </c:cat>
          <c:val>
            <c:numRef>
              <c:f>Relatórios!$D$152</c:f>
              <c:numCache>
                <c:formatCode>_("R$ "* #,##0.00_);_("R$ "* \(#,##0.00\);_("R$ "* "-"_);_(@_)</c:formatCode>
                <c:ptCount val="1"/>
                <c:pt idx="0">
                  <c:v>273001.76144456328</c:v>
                </c:pt>
              </c:numCache>
            </c:numRef>
          </c:val>
        </c:ser>
        <c:ser>
          <c:idx val="2"/>
          <c:order val="2"/>
          <c:tx>
            <c:strRef>
              <c:f>Relatórios!$B$154</c:f>
              <c:strCache>
                <c:ptCount val="1"/>
                <c:pt idx="0">
                  <c:v>Remuneração de Capital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Descrição!$C$13</c:f>
              <c:strCache>
                <c:ptCount val="1"/>
                <c:pt idx="0">
                  <c:v>Alta Floresta</c:v>
                </c:pt>
              </c:strCache>
            </c:strRef>
          </c:cat>
          <c:val>
            <c:numRef>
              <c:f>Relatórios!$D$154</c:f>
              <c:numCache>
                <c:formatCode>_("R$ "* #,##0.00_);_("R$ "* \(#,##0.00\);_("R$ "* "-"??_);_(@_)</c:formatCode>
                <c:ptCount val="1"/>
                <c:pt idx="0">
                  <c:v>235140.5675202831</c:v>
                </c:pt>
              </c:numCache>
            </c:numRef>
          </c:val>
        </c:ser>
        <c:ser>
          <c:idx val="4"/>
          <c:order val="4"/>
          <c:tx>
            <c:strRef>
              <c:f>Relatórios!$B$155</c:f>
              <c:strCache>
                <c:ptCount val="1"/>
                <c:pt idx="0">
                  <c:v>Custo de Oportunidade da Terra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Relatórios!$D$155</c:f>
              <c:numCache>
                <c:formatCode>_("R$ "* #,##0.00_);_("R$ "* \(#,##0.00\);_("R$ "* "-"??_);_(@_)</c:formatCode>
                <c:ptCount val="1"/>
                <c:pt idx="0">
                  <c:v>355540.03254518524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229478400"/>
        <c:axId val="133878848"/>
      </c:barChart>
      <c:lineChart>
        <c:grouping val="standard"/>
        <c:varyColors val="0"/>
        <c:ser>
          <c:idx val="3"/>
          <c:order val="3"/>
          <c:tx>
            <c:strRef>
              <c:f>Relatórios!$B$156</c:f>
              <c:strCache>
                <c:ptCount val="1"/>
                <c:pt idx="0">
                  <c:v>Receita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tx1">
                  <a:lumMod val="95000"/>
                  <a:lumOff val="5000"/>
                </a:schemeClr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Descrição!$C$13</c:f>
              <c:strCache>
                <c:ptCount val="1"/>
                <c:pt idx="0">
                  <c:v>Alta Floresta</c:v>
                </c:pt>
              </c:strCache>
            </c:strRef>
          </c:cat>
          <c:val>
            <c:numRef>
              <c:f>Relatórios!$D$156</c:f>
              <c:numCache>
                <c:formatCode>_("R$ "* #,##0.00_);_("R$ "* \(#,##0.00\);_("R$ "* "-"??_);_(@_)</c:formatCode>
                <c:ptCount val="1"/>
                <c:pt idx="0">
                  <c:v>1746242.1884112596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478400"/>
        <c:axId val="133878848"/>
      </c:lineChart>
      <c:catAx>
        <c:axId val="22947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33878848"/>
        <c:crosses val="autoZero"/>
        <c:auto val="1"/>
        <c:lblAlgn val="ctr"/>
        <c:lblOffset val="100"/>
        <c:noMultiLvlLbl val="0"/>
      </c:catAx>
      <c:valAx>
        <c:axId val="133878848"/>
        <c:scaling>
          <c:orientation val="minMax"/>
        </c:scaling>
        <c:delete val="0"/>
        <c:axPos val="l"/>
        <c:majorGridlines/>
        <c:numFmt formatCode="_(&quot;R$ &quot;* #,##0.00_);_(&quot;R$ &quot;* \(#,##0.00\);_(&quot;R$ &quot;* &quot;-&quot;_);_(@_)" sourceLinked="1"/>
        <c:majorTickMark val="none"/>
        <c:minorTickMark val="none"/>
        <c:tickLblPos val="nextTo"/>
        <c:spPr>
          <a:ln w="9525">
            <a:noFill/>
          </a:ln>
        </c:spPr>
        <c:crossAx val="229478400"/>
        <c:crosses val="autoZero"/>
        <c:crossBetween val="between"/>
        <c:dispUnits>
          <c:builtInUnit val="thousands"/>
          <c:dispUnitsLbl/>
        </c:dispUnits>
      </c:valAx>
      <c:spPr>
        <a:blipFill dpi="0" rotWithShape="1">
          <a:blip xmlns:r="http://schemas.openxmlformats.org/officeDocument/2006/relationships" r:embed="rId1"/>
          <a:srcRect/>
          <a:stretch>
            <a:fillRect t="39000" r="-3000"/>
          </a:stretch>
        </a:blipFill>
      </c:spPr>
    </c:plotArea>
    <c:legend>
      <c:legendPos val="b"/>
      <c:layout>
        <c:manualLayout>
          <c:xMode val="edge"/>
          <c:yMode val="edge"/>
          <c:x val="0"/>
          <c:y val="0.7591051118610177"/>
          <c:w val="1"/>
          <c:h val="0.24089488813898274"/>
        </c:manualLayout>
      </c:layout>
      <c:overlay val="0"/>
      <c:txPr>
        <a:bodyPr/>
        <a:lstStyle/>
        <a:p>
          <a:pPr>
            <a:defRPr sz="900"/>
          </a:pPr>
          <a:endParaRPr lang="pt-BR"/>
        </a:p>
      </c:txPr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635" footer="0.3149606200000063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pt-BR" sz="1600"/>
              <a:t>Rentabilidade/ha pastagem</a:t>
            </a:r>
          </a:p>
        </c:rich>
      </c:tx>
      <c:layout>
        <c:manualLayout>
          <c:xMode val="edge"/>
          <c:yMode val="edge"/>
          <c:x val="0.12445931758530181"/>
          <c:y val="1.545906761654794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4052644111975666"/>
          <c:y val="0.16719628732389291"/>
          <c:w val="0.5534476865877056"/>
          <c:h val="0.539822336675152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Relatórios!$N$143</c:f>
              <c:strCache>
                <c:ptCount val="1"/>
                <c:pt idx="0">
                  <c:v>Efetivos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Descrição!$C$13</c:f>
              <c:strCache>
                <c:ptCount val="1"/>
                <c:pt idx="0">
                  <c:v>Alta Floresta</c:v>
                </c:pt>
              </c:strCache>
            </c:strRef>
          </c:cat>
          <c:val>
            <c:numRef>
              <c:f>Relatórios!$O$143</c:f>
              <c:numCache>
                <c:formatCode>"R$"\ #,##0.0"/ha"</c:formatCode>
                <c:ptCount val="1"/>
                <c:pt idx="0">
                  <c:v>1792.7136964404647</c:v>
                </c:pt>
              </c:numCache>
            </c:numRef>
          </c:val>
        </c:ser>
        <c:ser>
          <c:idx val="1"/>
          <c:order val="1"/>
          <c:tx>
            <c:strRef>
              <c:f>Relatórios!$N$144</c:f>
              <c:strCache>
                <c:ptCount val="1"/>
                <c:pt idx="0">
                  <c:v>Depreciações</c:v>
                </c:pt>
              </c:strCache>
            </c:strRef>
          </c:tx>
          <c:spPr>
            <a:ln>
              <a:solidFill>
                <a:schemeClr val="accent2">
                  <a:lumMod val="50000"/>
                </a:scheme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Descrição!$C$13</c:f>
              <c:strCache>
                <c:ptCount val="1"/>
                <c:pt idx="0">
                  <c:v>Alta Floresta</c:v>
                </c:pt>
              </c:strCache>
            </c:strRef>
          </c:cat>
          <c:val>
            <c:numRef>
              <c:f>Relatórios!$O$144</c:f>
              <c:numCache>
                <c:formatCode>"R$"\ #,##0.0"/ha"</c:formatCode>
                <c:ptCount val="1"/>
                <c:pt idx="0">
                  <c:v>352.71545406274328</c:v>
                </c:pt>
              </c:numCache>
            </c:numRef>
          </c:val>
        </c:ser>
        <c:ser>
          <c:idx val="2"/>
          <c:order val="2"/>
          <c:tx>
            <c:strRef>
              <c:f>Relatórios!$N$146</c:f>
              <c:strCache>
                <c:ptCount val="1"/>
                <c:pt idx="0">
                  <c:v>Remuneração de Capital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Descrição!$C$13</c:f>
              <c:strCache>
                <c:ptCount val="1"/>
                <c:pt idx="0">
                  <c:v>Alta Floresta</c:v>
                </c:pt>
              </c:strCache>
            </c:strRef>
          </c:cat>
          <c:val>
            <c:numRef>
              <c:f>Relatórios!$O$146</c:f>
              <c:numCache>
                <c:formatCode>"R$"\ #,##0.0"/ha"</c:formatCode>
                <c:ptCount val="1"/>
                <c:pt idx="0">
                  <c:v>303.79918284274305</c:v>
                </c:pt>
              </c:numCache>
            </c:numRef>
          </c:val>
        </c:ser>
        <c:ser>
          <c:idx val="4"/>
          <c:order val="4"/>
          <c:tx>
            <c:strRef>
              <c:f>Relatórios!$N$147</c:f>
              <c:strCache>
                <c:ptCount val="1"/>
                <c:pt idx="0">
                  <c:v>Custo de Oportunidade da Terra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Relatórios!$O$147</c:f>
              <c:numCache>
                <c:formatCode>"R$"\ #,##0.0"/ha"</c:formatCode>
                <c:ptCount val="1"/>
                <c:pt idx="0">
                  <c:v>459.35404721600162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229479424"/>
        <c:axId val="133881152"/>
      </c:barChart>
      <c:lineChart>
        <c:grouping val="standard"/>
        <c:varyColors val="0"/>
        <c:ser>
          <c:idx val="3"/>
          <c:order val="3"/>
          <c:tx>
            <c:strRef>
              <c:f>Relatórios!$N$148</c:f>
              <c:strCache>
                <c:ptCount val="1"/>
                <c:pt idx="0">
                  <c:v>Receita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tx1">
                  <a:lumMod val="95000"/>
                  <a:lumOff val="5000"/>
                </a:schemeClr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Descrição!$C$13</c:f>
              <c:strCache>
                <c:ptCount val="1"/>
                <c:pt idx="0">
                  <c:v>Alta Floresta</c:v>
                </c:pt>
              </c:strCache>
            </c:strRef>
          </c:cat>
          <c:val>
            <c:numRef>
              <c:f>Relatórios!$O$148</c:f>
              <c:numCache>
                <c:formatCode>"R$"\ #,##0.0"/ha"</c:formatCode>
                <c:ptCount val="1"/>
                <c:pt idx="0">
                  <c:v>2256.12685841248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479424"/>
        <c:axId val="133881152"/>
      </c:lineChart>
      <c:catAx>
        <c:axId val="22947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33881152"/>
        <c:crosses val="autoZero"/>
        <c:auto val="1"/>
        <c:lblAlgn val="ctr"/>
        <c:lblOffset val="100"/>
        <c:noMultiLvlLbl val="0"/>
      </c:catAx>
      <c:valAx>
        <c:axId val="133881152"/>
        <c:scaling>
          <c:orientation val="minMax"/>
        </c:scaling>
        <c:delete val="0"/>
        <c:axPos val="l"/>
        <c:majorGridlines/>
        <c:numFmt formatCode="&quot;R$&quot;\ #,##0.0&quot;/ha&quot;" sourceLinked="1"/>
        <c:majorTickMark val="none"/>
        <c:minorTickMark val="none"/>
        <c:tickLblPos val="nextTo"/>
        <c:spPr>
          <a:ln w="9525">
            <a:noFill/>
          </a:ln>
        </c:spPr>
        <c:crossAx val="229479424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-2000" t="35000" r="-3000"/>
          </a:stretch>
        </a:blipFill>
      </c:spPr>
    </c:plotArea>
    <c:legend>
      <c:legendPos val="b"/>
      <c:layout>
        <c:manualLayout>
          <c:xMode val="edge"/>
          <c:yMode val="edge"/>
          <c:x val="0"/>
          <c:y val="0.75910486189226256"/>
          <c:w val="1"/>
          <c:h val="0.24089488813898274"/>
        </c:manualLayout>
      </c:layout>
      <c:overlay val="0"/>
      <c:txPr>
        <a:bodyPr/>
        <a:lstStyle/>
        <a:p>
          <a:pPr>
            <a:defRPr sz="900"/>
          </a:pPr>
          <a:endParaRPr lang="pt-BR"/>
        </a:p>
      </c:txPr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646" footer="0.31496062000000646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pt-BR" sz="1600"/>
              <a:t>Rentabilidade/@ produzida</a:t>
            </a:r>
          </a:p>
        </c:rich>
      </c:tx>
      <c:layout>
        <c:manualLayout>
          <c:xMode val="edge"/>
          <c:yMode val="edge"/>
          <c:x val="0.15733829027340152"/>
          <c:y val="2.16425084631649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4052644111975666"/>
          <c:y val="0.16719628732389291"/>
          <c:w val="0.5534476865877056"/>
          <c:h val="0.539822336675152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Relatórios!$N$143</c:f>
              <c:strCache>
                <c:ptCount val="1"/>
                <c:pt idx="0">
                  <c:v>Efetivos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Descrição!$C$13</c:f>
              <c:strCache>
                <c:ptCount val="1"/>
                <c:pt idx="0">
                  <c:v>Alta Floresta</c:v>
                </c:pt>
              </c:strCache>
            </c:strRef>
          </c:cat>
          <c:val>
            <c:numRef>
              <c:f>Relatórios!$P$143</c:f>
              <c:numCache>
                <c:formatCode>"R$"\ #,##0.0"/@"</c:formatCode>
                <c:ptCount val="1"/>
                <c:pt idx="0">
                  <c:v>135.84563983833473</c:v>
                </c:pt>
              </c:numCache>
            </c:numRef>
          </c:val>
        </c:ser>
        <c:ser>
          <c:idx val="1"/>
          <c:order val="1"/>
          <c:tx>
            <c:strRef>
              <c:f>Relatórios!$N$144</c:f>
              <c:strCache>
                <c:ptCount val="1"/>
                <c:pt idx="0">
                  <c:v>Depreciações</c:v>
                </c:pt>
              </c:strCache>
            </c:strRef>
          </c:tx>
          <c:spPr>
            <a:ln>
              <a:solidFill>
                <a:schemeClr val="accent2">
                  <a:lumMod val="50000"/>
                </a:scheme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Descrição!$C$13</c:f>
              <c:strCache>
                <c:ptCount val="1"/>
                <c:pt idx="0">
                  <c:v>Alta Floresta</c:v>
                </c:pt>
              </c:strCache>
            </c:strRef>
          </c:cat>
          <c:val>
            <c:numRef>
              <c:f>Relatórios!$P$144</c:f>
              <c:numCache>
                <c:formatCode>"R$"\ #,##0.0"/@"</c:formatCode>
                <c:ptCount val="1"/>
                <c:pt idx="0">
                  <c:v>26.727556459885257</c:v>
                </c:pt>
              </c:numCache>
            </c:numRef>
          </c:val>
        </c:ser>
        <c:ser>
          <c:idx val="2"/>
          <c:order val="2"/>
          <c:tx>
            <c:strRef>
              <c:f>Relatórios!$N$146</c:f>
              <c:strCache>
                <c:ptCount val="1"/>
                <c:pt idx="0">
                  <c:v>Remuneração de Capital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Descrição!$C$13</c:f>
              <c:strCache>
                <c:ptCount val="1"/>
                <c:pt idx="0">
                  <c:v>Alta Floresta</c:v>
                </c:pt>
              </c:strCache>
            </c:strRef>
          </c:cat>
          <c:val>
            <c:numRef>
              <c:f>Relatórios!$P$146</c:f>
              <c:numCache>
                <c:formatCode>"R$"\ #,##0.0"/@"</c:formatCode>
                <c:ptCount val="1"/>
                <c:pt idx="0">
                  <c:v>23.020850712291203</c:v>
                </c:pt>
              </c:numCache>
            </c:numRef>
          </c:val>
        </c:ser>
        <c:ser>
          <c:idx val="4"/>
          <c:order val="4"/>
          <c:tx>
            <c:strRef>
              <c:f>Relatórios!$N$147</c:f>
              <c:strCache>
                <c:ptCount val="1"/>
                <c:pt idx="0">
                  <c:v>Custo de Oportunidade da Terra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Relatórios!$P$147</c:f>
              <c:numCache>
                <c:formatCode>"R$"\ #,##0.0"/@"</c:formatCode>
                <c:ptCount val="1"/>
                <c:pt idx="0">
                  <c:v>34.808260002859122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229479936"/>
        <c:axId val="184903360"/>
      </c:barChart>
      <c:lineChart>
        <c:grouping val="standard"/>
        <c:varyColors val="0"/>
        <c:ser>
          <c:idx val="3"/>
          <c:order val="3"/>
          <c:tx>
            <c:strRef>
              <c:f>Relatórios!$N$148</c:f>
              <c:strCache>
                <c:ptCount val="1"/>
                <c:pt idx="0">
                  <c:v>Receita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tx1">
                  <a:lumMod val="95000"/>
                  <a:lumOff val="5000"/>
                </a:schemeClr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Descrição!$C$13</c:f>
              <c:strCache>
                <c:ptCount val="1"/>
                <c:pt idx="0">
                  <c:v>Alta Floresta</c:v>
                </c:pt>
              </c:strCache>
            </c:strRef>
          </c:cat>
          <c:val>
            <c:numRef>
              <c:f>Relatórios!$P$148</c:f>
              <c:numCache>
                <c:formatCode>"R$"\ #,##0.0"/@"</c:formatCode>
                <c:ptCount val="1"/>
                <c:pt idx="0">
                  <c:v>170.96148550994997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479936"/>
        <c:axId val="184903360"/>
      </c:lineChart>
      <c:catAx>
        <c:axId val="229479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84903360"/>
        <c:crosses val="autoZero"/>
        <c:auto val="1"/>
        <c:lblAlgn val="ctr"/>
        <c:lblOffset val="100"/>
        <c:noMultiLvlLbl val="0"/>
      </c:catAx>
      <c:valAx>
        <c:axId val="184903360"/>
        <c:scaling>
          <c:orientation val="minMax"/>
        </c:scaling>
        <c:delete val="0"/>
        <c:axPos val="l"/>
        <c:majorGridlines/>
        <c:numFmt formatCode="&quot;R$&quot;\ #,##0.0&quot;/@&quot;" sourceLinked="1"/>
        <c:majorTickMark val="none"/>
        <c:minorTickMark val="none"/>
        <c:tickLblPos val="nextTo"/>
        <c:spPr>
          <a:ln w="9525">
            <a:noFill/>
          </a:ln>
        </c:spPr>
        <c:crossAx val="229479936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-2000" t="30000" r="-3000"/>
          </a:stretch>
        </a:blipFill>
      </c:spPr>
    </c:plotArea>
    <c:legend>
      <c:legendPos val="b"/>
      <c:layout>
        <c:manualLayout>
          <c:xMode val="edge"/>
          <c:yMode val="edge"/>
          <c:x val="0"/>
          <c:y val="0.75910474373601167"/>
          <c:w val="1"/>
          <c:h val="0.24089525626398833"/>
        </c:manualLayout>
      </c:layout>
      <c:overlay val="0"/>
      <c:txPr>
        <a:bodyPr/>
        <a:lstStyle/>
        <a:p>
          <a:pPr>
            <a:defRPr sz="900"/>
          </a:pPr>
          <a:endParaRPr lang="pt-BR"/>
        </a:p>
      </c:txPr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646" footer="0.31496062000000646"/>
    <c:pageSetup/>
  </c:printSettings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Gráf4">
    <tabColor theme="1" tint="4.9989318521683403E-2"/>
  </sheetPr>
  <sheetViews>
    <sheetView zoomScale="87" workbookViewId="0" zoomToFit="1"/>
  </sheetViews>
  <pageMargins left="0.511811024" right="0.511811024" top="0.78740157499999996" bottom="0.78740157499999996" header="0.31496062000000002" footer="0.31496062000000002"/>
  <drawing r:id="rId1"/>
</chartsheet>
</file>

<file path=xl/ctrlProps/ctrlProp1.xml><?xml version="1.0" encoding="utf-8"?>
<formControlPr xmlns="http://schemas.microsoft.com/office/spreadsheetml/2009/9/main" objectType="Drop" dropStyle="combo" dx="16" fmlaLink="$C$19" fmlaRange="$Z$15:$Z$23" noThreeD="1" sel="7" val="0"/>
</file>

<file path=xl/ctrlProps/ctrlProp10.xml><?xml version="1.0" encoding="utf-8"?>
<formControlPr xmlns="http://schemas.microsoft.com/office/spreadsheetml/2009/9/main" objectType="Drop" dropStyle="combo" dx="16" fmlaLink="$H$18" fmlaRange="$AD$15:$AD$39" noThreeD="1" val="0"/>
</file>

<file path=xl/ctrlProps/ctrlProp100.xml><?xml version="1.0" encoding="utf-8"?>
<formControlPr xmlns="http://schemas.microsoft.com/office/spreadsheetml/2009/9/main" objectType="Drop" dropStyle="combo" dx="16" fmlaLink="$H$56" fmlaRange="$AB$8:$AB$12" noThreeD="1" val="0"/>
</file>

<file path=xl/ctrlProps/ctrlProp1000.xml><?xml version="1.0" encoding="utf-8"?>
<formControlPr xmlns="http://schemas.microsoft.com/office/spreadsheetml/2009/9/main" objectType="Drop" dropLines="15" dropStyle="combo" dx="16" fmlaLink="$H$19" fmlaRange="Rebanho!$AO$45:$AO$62" noThreeD="1" val="0"/>
</file>

<file path=xl/ctrlProps/ctrlProp1001.xml><?xml version="1.0" encoding="utf-8"?>
<formControlPr xmlns="http://schemas.microsoft.com/office/spreadsheetml/2009/9/main" objectType="Drop" dropLines="15" dropStyle="combo" dx="16" fmlaLink="$H$20" fmlaRange="Rebanho!$AO$45:$AO$62" noThreeD="1" val="0"/>
</file>

<file path=xl/ctrlProps/ctrlProp1002.xml><?xml version="1.0" encoding="utf-8"?>
<formControlPr xmlns="http://schemas.microsoft.com/office/spreadsheetml/2009/9/main" objectType="Drop" dropLines="15" dropStyle="combo" dx="16" fmlaLink="$H$21" fmlaRange="Rebanho!$AO$45:$AO$62" noThreeD="1" val="0"/>
</file>

<file path=xl/ctrlProps/ctrlProp1003.xml><?xml version="1.0" encoding="utf-8"?>
<formControlPr xmlns="http://schemas.microsoft.com/office/spreadsheetml/2009/9/main" objectType="Drop" dropLines="15" dropStyle="combo" dx="16" fmlaLink="$H$22" fmlaRange="Rebanho!$AO$45:$AO$62" noThreeD="1" val="0"/>
</file>

<file path=xl/ctrlProps/ctrlProp1004.xml><?xml version="1.0" encoding="utf-8"?>
<formControlPr xmlns="http://schemas.microsoft.com/office/spreadsheetml/2009/9/main" objectType="Drop" dropLines="15" dropStyle="combo" dx="16" fmlaLink="$H$23" fmlaRange="Rebanho!$AO$45:$AO$62" noThreeD="1" val="0"/>
</file>

<file path=xl/ctrlProps/ctrlProp1005.xml><?xml version="1.0" encoding="utf-8"?>
<formControlPr xmlns="http://schemas.microsoft.com/office/spreadsheetml/2009/9/main" objectType="Drop" dropLines="15" dropStyle="combo" dx="16" fmlaLink="$H$24" fmlaRange="Rebanho!$AO$45:$AO$62" noThreeD="1" val="0"/>
</file>

<file path=xl/ctrlProps/ctrlProp1006.xml><?xml version="1.0" encoding="utf-8"?>
<formControlPr xmlns="http://schemas.microsoft.com/office/spreadsheetml/2009/9/main" objectType="Drop" dropStyle="combo" dx="16" fmlaLink="$Q$16" fmlaRange="Rebanho!$AH$45:$AH$69" noThreeD="1" val="5"/>
</file>

<file path=xl/ctrlProps/ctrlProp1007.xml><?xml version="1.0" encoding="utf-8"?>
<formControlPr xmlns="http://schemas.microsoft.com/office/spreadsheetml/2009/9/main" objectType="Drop" dropStyle="combo" dx="16" fmlaLink="$Q$17" fmlaRange="Rebanho!$AH$45:$AH$69" noThreeD="1" val="5"/>
</file>

<file path=xl/ctrlProps/ctrlProp1008.xml><?xml version="1.0" encoding="utf-8"?>
<formControlPr xmlns="http://schemas.microsoft.com/office/spreadsheetml/2009/9/main" objectType="Drop" dropStyle="combo" dx="16" fmlaLink="$Q$18" fmlaRange="Rebanho!$AH$45:$AH$69" noThreeD="1" val="5"/>
</file>

<file path=xl/ctrlProps/ctrlProp1009.xml><?xml version="1.0" encoding="utf-8"?>
<formControlPr xmlns="http://schemas.microsoft.com/office/spreadsheetml/2009/9/main" objectType="Drop" dropStyle="combo" dx="16" fmlaLink="$Q$19" fmlaRange="Rebanho!$AH$45:$AH$69" noThreeD="1" val="5"/>
</file>

<file path=xl/ctrlProps/ctrlProp101.xml><?xml version="1.0" encoding="utf-8"?>
<formControlPr xmlns="http://schemas.microsoft.com/office/spreadsheetml/2009/9/main" objectType="Drop" dropStyle="combo" dx="16" fmlaLink="$H$57" fmlaRange="$AB$8:$AB$12" noThreeD="1" val="0"/>
</file>

<file path=xl/ctrlProps/ctrlProp1010.xml><?xml version="1.0" encoding="utf-8"?>
<formControlPr xmlns="http://schemas.microsoft.com/office/spreadsheetml/2009/9/main" objectType="Drop" dropStyle="combo" dx="16" fmlaLink="$Q$20" fmlaRange="Rebanho!$AH$45:$AH$69" noThreeD="1" val="5"/>
</file>

<file path=xl/ctrlProps/ctrlProp1011.xml><?xml version="1.0" encoding="utf-8"?>
<formControlPr xmlns="http://schemas.microsoft.com/office/spreadsheetml/2009/9/main" objectType="Drop" dropStyle="combo" dx="16" fmlaLink="$Q$21" fmlaRange="Rebanho!$AH$45:$AH$69" noThreeD="1" val="5"/>
</file>

<file path=xl/ctrlProps/ctrlProp1012.xml><?xml version="1.0" encoding="utf-8"?>
<formControlPr xmlns="http://schemas.microsoft.com/office/spreadsheetml/2009/9/main" objectType="Drop" dropStyle="combo" dx="16" fmlaLink="$Q$22" fmlaRange="Rebanho!$AH$45:$AH$69" noThreeD="1" val="5"/>
</file>

<file path=xl/ctrlProps/ctrlProp1013.xml><?xml version="1.0" encoding="utf-8"?>
<formControlPr xmlns="http://schemas.microsoft.com/office/spreadsheetml/2009/9/main" objectType="Drop" dropStyle="combo" dx="16" fmlaLink="$Q$23" fmlaRange="Rebanho!$AH$45:$AH$69" noThreeD="1" val="12"/>
</file>

<file path=xl/ctrlProps/ctrlProp1014.xml><?xml version="1.0" encoding="utf-8"?>
<formControlPr xmlns="http://schemas.microsoft.com/office/spreadsheetml/2009/9/main" objectType="Drop" dropStyle="combo" dx="16" fmlaLink="$Q$24" fmlaRange="Rebanho!$AH$45:$AH$69" noThreeD="1" val="12"/>
</file>

<file path=xl/ctrlProps/ctrlProp1015.xml><?xml version="1.0" encoding="utf-8"?>
<formControlPr xmlns="http://schemas.microsoft.com/office/spreadsheetml/2009/9/main" objectType="Drop" dropStyle="combo" dx="16" fmlaLink="$R$16" fmlaRange="Rebanho!$AH$45:$AH$69" noThreeD="1" val="12"/>
</file>

<file path=xl/ctrlProps/ctrlProp1016.xml><?xml version="1.0" encoding="utf-8"?>
<formControlPr xmlns="http://schemas.microsoft.com/office/spreadsheetml/2009/9/main" objectType="Drop" dropStyle="combo" dx="16" fmlaLink="$R$17" fmlaRange="Rebanho!$AH$45:$AH$69" noThreeD="1" val="5"/>
</file>

<file path=xl/ctrlProps/ctrlProp1017.xml><?xml version="1.0" encoding="utf-8"?>
<formControlPr xmlns="http://schemas.microsoft.com/office/spreadsheetml/2009/9/main" objectType="Drop" dropStyle="combo" dx="16" fmlaLink="$R$18" fmlaRange="Rebanho!$AH$45:$AH$69" noThreeD="1" val="5"/>
</file>

<file path=xl/ctrlProps/ctrlProp1018.xml><?xml version="1.0" encoding="utf-8"?>
<formControlPr xmlns="http://schemas.microsoft.com/office/spreadsheetml/2009/9/main" objectType="Drop" dropStyle="combo" dx="16" fmlaLink="$R$19" fmlaRange="Rebanho!$AH$45:$AH$69" noThreeD="1" val="5"/>
</file>

<file path=xl/ctrlProps/ctrlProp1019.xml><?xml version="1.0" encoding="utf-8"?>
<formControlPr xmlns="http://schemas.microsoft.com/office/spreadsheetml/2009/9/main" objectType="Drop" dropStyle="combo" dx="16" fmlaLink="$R$20" fmlaRange="Rebanho!$AH$45:$AH$69" noThreeD="1" val="5"/>
</file>

<file path=xl/ctrlProps/ctrlProp102.xml><?xml version="1.0" encoding="utf-8"?>
<formControlPr xmlns="http://schemas.microsoft.com/office/spreadsheetml/2009/9/main" objectType="Drop" dropStyle="combo" dx="16" fmlaLink="$H$58" fmlaRange="$AB$8:$AB$12" noThreeD="1" val="0"/>
</file>

<file path=xl/ctrlProps/ctrlProp1020.xml><?xml version="1.0" encoding="utf-8"?>
<formControlPr xmlns="http://schemas.microsoft.com/office/spreadsheetml/2009/9/main" objectType="Drop" dropStyle="combo" dx="16" fmlaLink="$R$21" fmlaRange="Rebanho!$AH$45:$AH$69" noThreeD="1" val="5"/>
</file>

<file path=xl/ctrlProps/ctrlProp1021.xml><?xml version="1.0" encoding="utf-8"?>
<formControlPr xmlns="http://schemas.microsoft.com/office/spreadsheetml/2009/9/main" objectType="Drop" dropStyle="combo" dx="16" fmlaLink="$R$22" fmlaRange="Rebanho!$AH$45:$AH$69" noThreeD="1" val="5"/>
</file>

<file path=xl/ctrlProps/ctrlProp1022.xml><?xml version="1.0" encoding="utf-8"?>
<formControlPr xmlns="http://schemas.microsoft.com/office/spreadsheetml/2009/9/main" objectType="Drop" dropStyle="combo" dx="16" fmlaLink="$R$23" fmlaRange="Rebanho!$AH$45:$AH$69" noThreeD="1" val="5"/>
</file>

<file path=xl/ctrlProps/ctrlProp1023.xml><?xml version="1.0" encoding="utf-8"?>
<formControlPr xmlns="http://schemas.microsoft.com/office/spreadsheetml/2009/9/main" objectType="Drop" dropStyle="combo" dx="16" fmlaLink="$R$24" fmlaRange="Rebanho!$AH$45:$AH$69" noThreeD="1" val="12"/>
</file>

<file path=xl/ctrlProps/ctrlProp1024.xml><?xml version="1.0" encoding="utf-8"?>
<formControlPr xmlns="http://schemas.microsoft.com/office/spreadsheetml/2009/9/main" objectType="Drop" dropLines="15" dropStyle="combo" dx="16" fmlaLink="$N$7" fmlaRange="Rebanho!$AO$45:$AO$63" noThreeD="1" sel="19" val="0"/>
</file>

<file path=xl/ctrlProps/ctrlProp1025.xml><?xml version="1.0" encoding="utf-8"?>
<formControlPr xmlns="http://schemas.microsoft.com/office/spreadsheetml/2009/9/main" objectType="Drop" dropStyle="combo" dx="16" fmlaLink="$F$7" fmlaRange="Sanidade!$CG$6:$CG$56" noThreeD="1" sel="2" val="0"/>
</file>

<file path=xl/ctrlProps/ctrlProp1026.xml><?xml version="1.0" encoding="utf-8"?>
<formControlPr xmlns="http://schemas.microsoft.com/office/spreadsheetml/2009/9/main" objectType="Drop" dropStyle="combo" dx="16" fmlaLink="$R$7" fmlaRange="'Mão-de-obra'!$CK$10:$CK$29" noThreeD="1" val="0"/>
</file>

<file path=xl/ctrlProps/ctrlProp1027.xml><?xml version="1.0" encoding="utf-8"?>
<formControlPr xmlns="http://schemas.microsoft.com/office/spreadsheetml/2009/9/main" objectType="Drop" dropStyle="combo" dx="16" fmlaLink="$R$8" fmlaRange="'Mão-de-obra'!$CK$10:$CK$29" noThreeD="1" val="0"/>
</file>

<file path=xl/ctrlProps/ctrlProp1028.xml><?xml version="1.0" encoding="utf-8"?>
<formControlPr xmlns="http://schemas.microsoft.com/office/spreadsheetml/2009/9/main" objectType="Drop" dropStyle="combo" dx="16" fmlaLink="$R$9" fmlaRange="'Mão-de-obra'!$CK$10:$CK$29" noThreeD="1" val="2"/>
</file>

<file path=xl/ctrlProps/ctrlProp1029.xml><?xml version="1.0" encoding="utf-8"?>
<formControlPr xmlns="http://schemas.microsoft.com/office/spreadsheetml/2009/9/main" objectType="Drop" dropStyle="combo" dx="16" fmlaLink="$R$10" fmlaRange="'Mão-de-obra'!$CK$10:$CK$29" noThreeD="1" val="0"/>
</file>

<file path=xl/ctrlProps/ctrlProp103.xml><?xml version="1.0" encoding="utf-8"?>
<formControlPr xmlns="http://schemas.microsoft.com/office/spreadsheetml/2009/9/main" objectType="Drop" dropStyle="combo" dx="16" fmlaLink="$H$59" fmlaRange="$AB$8:$AB$12" noThreeD="1" val="0"/>
</file>

<file path=xl/ctrlProps/ctrlProp1030.xml><?xml version="1.0" encoding="utf-8"?>
<formControlPr xmlns="http://schemas.microsoft.com/office/spreadsheetml/2009/9/main" objectType="Drop" dropStyle="combo" dx="16" fmlaLink="$R$11" fmlaRange="'Mão-de-obra'!$CK$10:$CK$29" noThreeD="1" val="0"/>
</file>

<file path=xl/ctrlProps/ctrlProp1031.xml><?xml version="1.0" encoding="utf-8"?>
<formControlPr xmlns="http://schemas.microsoft.com/office/spreadsheetml/2009/9/main" objectType="Drop" dropStyle="combo" dx="16" fmlaLink="$R$16" fmlaRange="'Mão-de-obra'!$CK$10:$CK$29" noThreeD="1" val="0"/>
</file>

<file path=xl/ctrlProps/ctrlProp1032.xml><?xml version="1.0" encoding="utf-8"?>
<formControlPr xmlns="http://schemas.microsoft.com/office/spreadsheetml/2009/9/main" objectType="Drop" dropStyle="combo" dx="16" fmlaLink="$R$17" fmlaRange="'Mão-de-obra'!$CK$10:$CK$29" noThreeD="1" val="0"/>
</file>

<file path=xl/ctrlProps/ctrlProp1033.xml><?xml version="1.0" encoding="utf-8"?>
<formControlPr xmlns="http://schemas.microsoft.com/office/spreadsheetml/2009/9/main" objectType="Drop" dropStyle="combo" dx="16" fmlaLink="$R$18" fmlaRange="'Mão-de-obra'!$CK$10:$CK$29" noThreeD="1" val="0"/>
</file>

<file path=xl/ctrlProps/ctrlProp1034.xml><?xml version="1.0" encoding="utf-8"?>
<formControlPr xmlns="http://schemas.microsoft.com/office/spreadsheetml/2009/9/main" objectType="Drop" dropStyle="combo" dx="16" fmlaLink="$R$19" fmlaRange="'Mão-de-obra'!$CK$10:$CK$29" noThreeD="1" val="0"/>
</file>

<file path=xl/ctrlProps/ctrlProp1035.xml><?xml version="1.0" encoding="utf-8"?>
<formControlPr xmlns="http://schemas.microsoft.com/office/spreadsheetml/2009/9/main" objectType="Drop" dropStyle="combo" dx="16" fmlaLink="$R$20" fmlaRange="'Mão-de-obra'!$CK$10:$CK$29" noThreeD="1" val="0"/>
</file>

<file path=xl/ctrlProps/ctrlProp1036.xml><?xml version="1.0" encoding="utf-8"?>
<formControlPr xmlns="http://schemas.microsoft.com/office/spreadsheetml/2009/9/main" objectType="Drop" dropStyle="combo" dx="16" fmlaLink="$R$25" fmlaRange="'Mão-de-obra'!$CK$10:$CK$29" noThreeD="1" val="0"/>
</file>

<file path=xl/ctrlProps/ctrlProp1037.xml><?xml version="1.0" encoding="utf-8"?>
<formControlPr xmlns="http://schemas.microsoft.com/office/spreadsheetml/2009/9/main" objectType="Drop" dropStyle="combo" dx="16" fmlaLink="$R$26" fmlaRange="'Mão-de-obra'!$CK$10:$CK$29" noThreeD="1" val="0"/>
</file>

<file path=xl/ctrlProps/ctrlProp1038.xml><?xml version="1.0" encoding="utf-8"?>
<formControlPr xmlns="http://schemas.microsoft.com/office/spreadsheetml/2009/9/main" objectType="Drop" dropStyle="combo" dx="16" fmlaLink="$R$27" fmlaRange="'Mão-de-obra'!$CK$10:$CK$29" noThreeD="1" val="0"/>
</file>

<file path=xl/ctrlProps/ctrlProp1039.xml><?xml version="1.0" encoding="utf-8"?>
<formControlPr xmlns="http://schemas.microsoft.com/office/spreadsheetml/2009/9/main" objectType="Drop" dropStyle="combo" dx="16" fmlaLink="$R$28" fmlaRange="'Mão-de-obra'!$CK$10:$CK$29" noThreeD="1" val="0"/>
</file>

<file path=xl/ctrlProps/ctrlProp104.xml><?xml version="1.0" encoding="utf-8"?>
<formControlPr xmlns="http://schemas.microsoft.com/office/spreadsheetml/2009/9/main" objectType="Drop" dropStyle="combo" dx="16" fmlaLink="$H$60" fmlaRange="$AB$8:$AB$12" noThreeD="1" val="0"/>
</file>

<file path=xl/ctrlProps/ctrlProp1040.xml><?xml version="1.0" encoding="utf-8"?>
<formControlPr xmlns="http://schemas.microsoft.com/office/spreadsheetml/2009/9/main" objectType="Drop" dropStyle="combo" dx="16" fmlaLink="$R$29" fmlaRange="'Mão-de-obra'!$CK$10:$CK$29" noThreeD="1" val="0"/>
</file>

<file path=xl/ctrlProps/ctrlProp1041.xml><?xml version="1.0" encoding="utf-8"?>
<formControlPr xmlns="http://schemas.microsoft.com/office/spreadsheetml/2009/9/main" objectType="Drop" dropStyle="combo" dx="16" fmlaLink="$R$34" fmlaRange="'Mão-de-obra'!$CK$10:$CK$29" noThreeD="1" val="0"/>
</file>

<file path=xl/ctrlProps/ctrlProp1042.xml><?xml version="1.0" encoding="utf-8"?>
<formControlPr xmlns="http://schemas.microsoft.com/office/spreadsheetml/2009/9/main" objectType="Drop" dropStyle="combo" dx="16" fmlaLink="$R$35" fmlaRange="'Mão-de-obra'!$CK$10:$CK$29" noThreeD="1" val="0"/>
</file>

<file path=xl/ctrlProps/ctrlProp1043.xml><?xml version="1.0" encoding="utf-8"?>
<formControlPr xmlns="http://schemas.microsoft.com/office/spreadsheetml/2009/9/main" objectType="Drop" dropStyle="combo" dx="16" fmlaLink="$R$36" fmlaRange="'Mão-de-obra'!$CK$10:$CK$29" noThreeD="1" val="0"/>
</file>

<file path=xl/ctrlProps/ctrlProp1044.xml><?xml version="1.0" encoding="utf-8"?>
<formControlPr xmlns="http://schemas.microsoft.com/office/spreadsheetml/2009/9/main" objectType="Drop" dropStyle="combo" dx="16" fmlaLink="$R$37" fmlaRange="'Mão-de-obra'!$CK$10:$CK$29" noThreeD="1" val="0"/>
</file>

<file path=xl/ctrlProps/ctrlProp1045.xml><?xml version="1.0" encoding="utf-8"?>
<formControlPr xmlns="http://schemas.microsoft.com/office/spreadsheetml/2009/9/main" objectType="Drop" dropStyle="combo" dx="16" fmlaLink="$R$38" fmlaRange="'Mão-de-obra'!$CK$10:$CK$29" noThreeD="1" val="0"/>
</file>

<file path=xl/ctrlProps/ctrlProp1046.xml><?xml version="1.0" encoding="utf-8"?>
<formControlPr xmlns="http://schemas.microsoft.com/office/spreadsheetml/2009/9/main" objectType="Drop" dropStyle="combo" dx="16" fmlaLink="$R$43" fmlaRange="'Mão-de-obra'!$CK$10:$CK$29" noThreeD="1" val="0"/>
</file>

<file path=xl/ctrlProps/ctrlProp1047.xml><?xml version="1.0" encoding="utf-8"?>
<formControlPr xmlns="http://schemas.microsoft.com/office/spreadsheetml/2009/9/main" objectType="Drop" dropStyle="combo" dx="16" fmlaLink="$R$44" fmlaRange="'Mão-de-obra'!$CK$10:$CK$29" noThreeD="1" val="0"/>
</file>

<file path=xl/ctrlProps/ctrlProp1048.xml><?xml version="1.0" encoding="utf-8"?>
<formControlPr xmlns="http://schemas.microsoft.com/office/spreadsheetml/2009/9/main" objectType="Drop" dropStyle="combo" dx="16" fmlaLink="$R$45" fmlaRange="'Mão-de-obra'!$CK$10:$CK$29" noThreeD="1" val="0"/>
</file>

<file path=xl/ctrlProps/ctrlProp1049.xml><?xml version="1.0" encoding="utf-8"?>
<formControlPr xmlns="http://schemas.microsoft.com/office/spreadsheetml/2009/9/main" objectType="Drop" dropStyle="combo" dx="16" fmlaLink="$R$46" fmlaRange="'Mão-de-obra'!$CK$10:$CK$29" noThreeD="1" val="0"/>
</file>

<file path=xl/ctrlProps/ctrlProp105.xml><?xml version="1.0" encoding="utf-8"?>
<formControlPr xmlns="http://schemas.microsoft.com/office/spreadsheetml/2009/9/main" objectType="Drop" dropStyle="combo" dx="16" fmlaLink="$H$61" fmlaRange="$AB$8:$AB$12" noThreeD="1" val="0"/>
</file>

<file path=xl/ctrlProps/ctrlProp1050.xml><?xml version="1.0" encoding="utf-8"?>
<formControlPr xmlns="http://schemas.microsoft.com/office/spreadsheetml/2009/9/main" objectType="Drop" dropStyle="combo" dx="16" fmlaLink="$R$47" fmlaRange="'Mão-de-obra'!$CK$10:$CK$29" noThreeD="1" val="0"/>
</file>

<file path=xl/ctrlProps/ctrlProp1051.xml><?xml version="1.0" encoding="utf-8"?>
<formControlPr xmlns="http://schemas.microsoft.com/office/spreadsheetml/2009/9/main" objectType="Drop" dropStyle="combo" dx="16" fmlaLink="$R$52" fmlaRange="'Mão-de-obra'!$CK$10:$CK$29" noThreeD="1" val="0"/>
</file>

<file path=xl/ctrlProps/ctrlProp1052.xml><?xml version="1.0" encoding="utf-8"?>
<formControlPr xmlns="http://schemas.microsoft.com/office/spreadsheetml/2009/9/main" objectType="Drop" dropStyle="combo" dx="16" fmlaLink="$R$53" fmlaRange="'Mão-de-obra'!$CK$10:$CK$29" noThreeD="1" val="0"/>
</file>

<file path=xl/ctrlProps/ctrlProp1053.xml><?xml version="1.0" encoding="utf-8"?>
<formControlPr xmlns="http://schemas.microsoft.com/office/spreadsheetml/2009/9/main" objectType="Drop" dropStyle="combo" dx="16" fmlaLink="$R$54" fmlaRange="'Mão-de-obra'!$CK$10:$CK$29" noThreeD="1" val="0"/>
</file>

<file path=xl/ctrlProps/ctrlProp1054.xml><?xml version="1.0" encoding="utf-8"?>
<formControlPr xmlns="http://schemas.microsoft.com/office/spreadsheetml/2009/9/main" objectType="Drop" dropStyle="combo" dx="16" fmlaLink="$R$55" fmlaRange="'Mão-de-obra'!$CK$10:$CK$29" noThreeD="1" val="0"/>
</file>

<file path=xl/ctrlProps/ctrlProp1055.xml><?xml version="1.0" encoding="utf-8"?>
<formControlPr xmlns="http://schemas.microsoft.com/office/spreadsheetml/2009/9/main" objectType="Drop" dropStyle="combo" dx="16" fmlaLink="$R$56" fmlaRange="'Mão-de-obra'!$CK$10:$CK$29" noThreeD="1" val="0"/>
</file>

<file path=xl/ctrlProps/ctrlProp1056.xml><?xml version="1.0" encoding="utf-8"?>
<formControlPr xmlns="http://schemas.microsoft.com/office/spreadsheetml/2009/9/main" objectType="Drop" dropStyle="combo" dx="16" fmlaLink="$E$7" fmlaRange="Dados!$M$3:$N$10" noThreeD="1" sel="2" val="0"/>
</file>

<file path=xl/ctrlProps/ctrlProp1057.xml><?xml version="1.0" encoding="utf-8"?>
<formControlPr xmlns="http://schemas.microsoft.com/office/spreadsheetml/2009/9/main" objectType="Drop" dropStyle="combo" dx="16" fmlaLink="$E$8" fmlaRange="Dados!$M$3:$N$10" noThreeD="1" sel="2" val="0"/>
</file>

<file path=xl/ctrlProps/ctrlProp1058.xml><?xml version="1.0" encoding="utf-8"?>
<formControlPr xmlns="http://schemas.microsoft.com/office/spreadsheetml/2009/9/main" objectType="Drop" dropStyle="combo" dx="16" fmlaLink="$E$9" fmlaRange="Dados!$M$3:$N$10" noThreeD="1" sel="2" val="0"/>
</file>

<file path=xl/ctrlProps/ctrlProp1059.xml><?xml version="1.0" encoding="utf-8"?>
<formControlPr xmlns="http://schemas.microsoft.com/office/spreadsheetml/2009/9/main" objectType="Drop" dropStyle="combo" dx="16" fmlaLink="$E$10" fmlaRange="Dados!$M$3:$N$10" noThreeD="1" sel="2" val="0"/>
</file>

<file path=xl/ctrlProps/ctrlProp106.xml><?xml version="1.0" encoding="utf-8"?>
<formControlPr xmlns="http://schemas.microsoft.com/office/spreadsheetml/2009/9/main" objectType="Drop" dropStyle="combo" dx="16" fmlaLink="$H$62" fmlaRange="$AB$8:$AB$12" noThreeD="1" val="0"/>
</file>

<file path=xl/ctrlProps/ctrlProp1060.xml><?xml version="1.0" encoding="utf-8"?>
<formControlPr xmlns="http://schemas.microsoft.com/office/spreadsheetml/2009/9/main" objectType="Drop" dropStyle="combo" dx="16" fmlaLink="$E$11" fmlaRange="Dados!$M$3:$N$10" noThreeD="1" sel="2" val="0"/>
</file>

<file path=xl/ctrlProps/ctrlProp1061.xml><?xml version="1.0" encoding="utf-8"?>
<formControlPr xmlns="http://schemas.microsoft.com/office/spreadsheetml/2009/9/main" objectType="Drop" dropStyle="combo" dx="16" fmlaLink="$F$8" fmlaRange="$CI$6:$CI$56" noThreeD="1" sel="2" val="0"/>
</file>

<file path=xl/ctrlProps/ctrlProp1062.xml><?xml version="1.0" encoding="utf-8"?>
<formControlPr xmlns="http://schemas.microsoft.com/office/spreadsheetml/2009/9/main" objectType="Drop" dropStyle="combo" dx="16" fmlaLink="$F$9" fmlaRange="$CK$6:$CK$56" noThreeD="1" sel="2" val="0"/>
</file>

<file path=xl/ctrlProps/ctrlProp1063.xml><?xml version="1.0" encoding="utf-8"?>
<formControlPr xmlns="http://schemas.microsoft.com/office/spreadsheetml/2009/9/main" objectType="Drop" dropStyle="combo" dx="16" fmlaLink="$F$10" fmlaRange="$CM$6:$CM$56" noThreeD="1" sel="5" val="0"/>
</file>

<file path=xl/ctrlProps/ctrlProp1064.xml><?xml version="1.0" encoding="utf-8"?>
<formControlPr xmlns="http://schemas.microsoft.com/office/spreadsheetml/2009/9/main" objectType="Drop" dropStyle="combo" dx="16" fmlaLink="$F$11" fmlaRange="$CO$6:$CO$56" noThreeD="1" sel="5" val="0"/>
</file>

<file path=xl/ctrlProps/ctrlProp1065.xml><?xml version="1.0" encoding="utf-8"?>
<formControlPr xmlns="http://schemas.microsoft.com/office/spreadsheetml/2009/9/main" objectType="Drop" dropStyle="combo" dx="16" fmlaLink="$F$16" fmlaRange="$CR$6:$CR$56" noThreeD="1" sel="2" val="0"/>
</file>

<file path=xl/ctrlProps/ctrlProp1066.xml><?xml version="1.0" encoding="utf-8"?>
<formControlPr xmlns="http://schemas.microsoft.com/office/spreadsheetml/2009/9/main" objectType="Drop" dropStyle="combo" dx="16" fmlaLink="$F$17" fmlaRange="$CT$6:$CT$56" noThreeD="1" sel="5" val="0"/>
</file>

<file path=xl/ctrlProps/ctrlProp1067.xml><?xml version="1.0" encoding="utf-8"?>
<formControlPr xmlns="http://schemas.microsoft.com/office/spreadsheetml/2009/9/main" objectType="Drop" dropStyle="combo" dx="16" fmlaLink="$F$18" fmlaRange="$CV$6:$CV$56" noThreeD="1" sel="4" val="0"/>
</file>

<file path=xl/ctrlProps/ctrlProp1068.xml><?xml version="1.0" encoding="utf-8"?>
<formControlPr xmlns="http://schemas.microsoft.com/office/spreadsheetml/2009/9/main" objectType="Drop" dropStyle="combo" dx="16" fmlaLink="$F$19" fmlaRange="$CX$6:$CX$56" noThreeD="1" sel="5" val="0"/>
</file>

<file path=xl/ctrlProps/ctrlProp1069.xml><?xml version="1.0" encoding="utf-8"?>
<formControlPr xmlns="http://schemas.microsoft.com/office/spreadsheetml/2009/9/main" objectType="Drop" dropStyle="combo" dx="16" fmlaLink="$F$20" fmlaRange="$CZ$6:$CZ$56" noThreeD="1" val="0"/>
</file>

<file path=xl/ctrlProps/ctrlProp107.xml><?xml version="1.0" encoding="utf-8"?>
<formControlPr xmlns="http://schemas.microsoft.com/office/spreadsheetml/2009/9/main" objectType="Drop" dropStyle="combo" dx="16" fmlaLink="$H$63" fmlaRange="$AB$8:$AB$12" noThreeD="1" val="0"/>
</file>

<file path=xl/ctrlProps/ctrlProp1070.xml><?xml version="1.0" encoding="utf-8"?>
<formControlPr xmlns="http://schemas.microsoft.com/office/spreadsheetml/2009/9/main" objectType="Drop" dropStyle="combo" dx="16" fmlaLink="$E$16" fmlaRange="Dados!$M$3:$N$10" noThreeD="1" sel="3" val="0"/>
</file>

<file path=xl/ctrlProps/ctrlProp1071.xml><?xml version="1.0" encoding="utf-8"?>
<formControlPr xmlns="http://schemas.microsoft.com/office/spreadsheetml/2009/9/main" objectType="Drop" dropStyle="combo" dx="16" fmlaLink="$E$17" fmlaRange="Dados!$M$3:$N$10" noThreeD="1" sel="3" val="0"/>
</file>

<file path=xl/ctrlProps/ctrlProp1072.xml><?xml version="1.0" encoding="utf-8"?>
<formControlPr xmlns="http://schemas.microsoft.com/office/spreadsheetml/2009/9/main" objectType="Drop" dropStyle="combo" dx="16" fmlaLink="$E$18" fmlaRange="Dados!$M$3:$N$10" noThreeD="1" sel="3" val="0"/>
</file>

<file path=xl/ctrlProps/ctrlProp1073.xml><?xml version="1.0" encoding="utf-8"?>
<formControlPr xmlns="http://schemas.microsoft.com/office/spreadsheetml/2009/9/main" objectType="Drop" dropStyle="combo" dx="16" fmlaLink="$E$19" fmlaRange="Dados!$M$3:$N$10" noThreeD="1" sel="2" val="0"/>
</file>

<file path=xl/ctrlProps/ctrlProp1074.xml><?xml version="1.0" encoding="utf-8"?>
<formControlPr xmlns="http://schemas.microsoft.com/office/spreadsheetml/2009/9/main" objectType="Drop" dropStyle="combo" dx="16" fmlaLink="$E$20" fmlaRange="Dados!$M$3:$N$10" noThreeD="1" val="0"/>
</file>

<file path=xl/ctrlProps/ctrlProp1075.xml><?xml version="1.0" encoding="utf-8"?>
<formControlPr xmlns="http://schemas.microsoft.com/office/spreadsheetml/2009/9/main" objectType="Drop" dropStyle="combo" dx="16" fmlaLink="$F$25" fmlaRange="$DC$6:$DC$56" noThreeD="1" sel="2" val="0"/>
</file>

<file path=xl/ctrlProps/ctrlProp1076.xml><?xml version="1.0" encoding="utf-8"?>
<formControlPr xmlns="http://schemas.microsoft.com/office/spreadsheetml/2009/9/main" objectType="Drop" dropStyle="combo" dx="16" fmlaLink="$F$26" fmlaRange="$DE$6:$DE$56" noThreeD="1" sel="9" val="5"/>
</file>

<file path=xl/ctrlProps/ctrlProp1077.xml><?xml version="1.0" encoding="utf-8"?>
<formControlPr xmlns="http://schemas.microsoft.com/office/spreadsheetml/2009/9/main" objectType="Drop" dropStyle="combo" dx="16" fmlaLink="$F$27" fmlaRange="$DG$6:$DG$56" noThreeD="1" val="0"/>
</file>

<file path=xl/ctrlProps/ctrlProp1078.xml><?xml version="1.0" encoding="utf-8"?>
<formControlPr xmlns="http://schemas.microsoft.com/office/spreadsheetml/2009/9/main" objectType="Drop" dropStyle="combo" dx="16" fmlaLink="$F$28" fmlaRange="$DI$6:$DI$56" noThreeD="1" val="0"/>
</file>

<file path=xl/ctrlProps/ctrlProp1079.xml><?xml version="1.0" encoding="utf-8"?>
<formControlPr xmlns="http://schemas.microsoft.com/office/spreadsheetml/2009/9/main" objectType="Drop" dropStyle="combo" dx="16" fmlaLink="$F$29" fmlaRange="$DK$6:$DK$56" noThreeD="1" val="0"/>
</file>

<file path=xl/ctrlProps/ctrlProp108.xml><?xml version="1.0" encoding="utf-8"?>
<formControlPr xmlns="http://schemas.microsoft.com/office/spreadsheetml/2009/9/main" objectType="Drop" dropStyle="combo" dx="16" fmlaLink="$H$64" fmlaRange="$AB$8:$AB$12" noThreeD="1" val="0"/>
</file>

<file path=xl/ctrlProps/ctrlProp1080.xml><?xml version="1.0" encoding="utf-8"?>
<formControlPr xmlns="http://schemas.microsoft.com/office/spreadsheetml/2009/9/main" objectType="Drop" dropStyle="combo" dx="16" fmlaLink="$E$25" fmlaRange="Dados!$M$3:$N$10" noThreeD="1" sel="4" val="0"/>
</file>

<file path=xl/ctrlProps/ctrlProp1081.xml><?xml version="1.0" encoding="utf-8"?>
<formControlPr xmlns="http://schemas.microsoft.com/office/spreadsheetml/2009/9/main" objectType="Drop" dropStyle="combo" dx="16" fmlaLink="$E$26" fmlaRange="Dados!$M$3:$N$10" noThreeD="1" sel="5" val="0"/>
</file>

<file path=xl/ctrlProps/ctrlProp1082.xml><?xml version="1.0" encoding="utf-8"?>
<formControlPr xmlns="http://schemas.microsoft.com/office/spreadsheetml/2009/9/main" objectType="Drop" dropStyle="combo" dx="16" fmlaLink="$E$27" fmlaRange="Dados!$M$3:$N$10" noThreeD="1" val="0"/>
</file>

<file path=xl/ctrlProps/ctrlProp1083.xml><?xml version="1.0" encoding="utf-8"?>
<formControlPr xmlns="http://schemas.microsoft.com/office/spreadsheetml/2009/9/main" objectType="Drop" dropStyle="combo" dx="16" fmlaLink="$E$28" fmlaRange="Dados!$M$3:$N$10" noThreeD="1" val="0"/>
</file>

<file path=xl/ctrlProps/ctrlProp1084.xml><?xml version="1.0" encoding="utf-8"?>
<formControlPr xmlns="http://schemas.microsoft.com/office/spreadsheetml/2009/9/main" objectType="Drop" dropStyle="combo" dx="16" fmlaLink="$E$29" fmlaRange="Dados!$M$3:$N$10" noThreeD="1" val="0"/>
</file>

<file path=xl/ctrlProps/ctrlProp1085.xml><?xml version="1.0" encoding="utf-8"?>
<formControlPr xmlns="http://schemas.microsoft.com/office/spreadsheetml/2009/9/main" objectType="Drop" dropStyle="combo" dx="16" fmlaLink="$F$34" fmlaRange="$DN$6:$DN$56" noThreeD="1" sel="2" val="0"/>
</file>

<file path=xl/ctrlProps/ctrlProp1086.xml><?xml version="1.0" encoding="utf-8"?>
<formControlPr xmlns="http://schemas.microsoft.com/office/spreadsheetml/2009/9/main" objectType="Drop" dropStyle="combo" dx="16" fmlaLink="$F$35" fmlaRange="$DP$6:$DP$56" noThreeD="1" val="5"/>
</file>

<file path=xl/ctrlProps/ctrlProp1087.xml><?xml version="1.0" encoding="utf-8"?>
<formControlPr xmlns="http://schemas.microsoft.com/office/spreadsheetml/2009/9/main" objectType="Drop" dropStyle="combo" dx="16" fmlaLink="$F$36" fmlaRange="$DR$6:$DR$56" noThreeD="1" val="6"/>
</file>

<file path=xl/ctrlProps/ctrlProp1088.xml><?xml version="1.0" encoding="utf-8"?>
<formControlPr xmlns="http://schemas.microsoft.com/office/spreadsheetml/2009/9/main" objectType="Drop" dropStyle="combo" dx="16" fmlaLink="$F$37" fmlaRange="$DT$6:$DT$56" noThreeD="1" val="0"/>
</file>

<file path=xl/ctrlProps/ctrlProp1089.xml><?xml version="1.0" encoding="utf-8"?>
<formControlPr xmlns="http://schemas.microsoft.com/office/spreadsheetml/2009/9/main" objectType="Drop" dropStyle="combo" dx="16" fmlaLink="$F$38" fmlaRange="$DV$6:$DV$56" noThreeD="1" val="5"/>
</file>

<file path=xl/ctrlProps/ctrlProp109.xml><?xml version="1.0" encoding="utf-8"?>
<formControlPr xmlns="http://schemas.microsoft.com/office/spreadsheetml/2009/9/main" objectType="Drop" dropStyle="combo" dx="16" fmlaLink="$H$65" fmlaRange="$AB$8:$AB$12" noThreeD="1" val="0"/>
</file>

<file path=xl/ctrlProps/ctrlProp1090.xml><?xml version="1.0" encoding="utf-8"?>
<formControlPr xmlns="http://schemas.microsoft.com/office/spreadsheetml/2009/9/main" objectType="Drop" dropStyle="combo" dx="16" fmlaLink="$E$34" fmlaRange="Dados!$M$3:$N$10" noThreeD="1" sel="3" val="0"/>
</file>

<file path=xl/ctrlProps/ctrlProp1091.xml><?xml version="1.0" encoding="utf-8"?>
<formControlPr xmlns="http://schemas.microsoft.com/office/spreadsheetml/2009/9/main" objectType="Drop" dropStyle="combo" dx="16" fmlaLink="$E$35" fmlaRange="Dados!$M$3:$N$10" noThreeD="1" val="0"/>
</file>

<file path=xl/ctrlProps/ctrlProp1092.xml><?xml version="1.0" encoding="utf-8"?>
<formControlPr xmlns="http://schemas.microsoft.com/office/spreadsheetml/2009/9/main" objectType="Drop" dropStyle="combo" dx="16" fmlaLink="$E$36" fmlaRange="Dados!$M$3:$N$10" noThreeD="1" val="0"/>
</file>

<file path=xl/ctrlProps/ctrlProp1093.xml><?xml version="1.0" encoding="utf-8"?>
<formControlPr xmlns="http://schemas.microsoft.com/office/spreadsheetml/2009/9/main" objectType="Drop" dropStyle="combo" dx="16" fmlaLink="$E$37" fmlaRange="Dados!$M$3:$N$10" noThreeD="1" val="0"/>
</file>

<file path=xl/ctrlProps/ctrlProp1094.xml><?xml version="1.0" encoding="utf-8"?>
<formControlPr xmlns="http://schemas.microsoft.com/office/spreadsheetml/2009/9/main" objectType="Drop" dropStyle="combo" dx="16" fmlaLink="$E$38" fmlaRange="Dados!$M$3:$N$10" noThreeD="1" val="0"/>
</file>

<file path=xl/ctrlProps/ctrlProp1095.xml><?xml version="1.0" encoding="utf-8"?>
<formControlPr xmlns="http://schemas.microsoft.com/office/spreadsheetml/2009/9/main" objectType="Drop" dropStyle="combo" dx="16" fmlaLink="$F$43" fmlaRange="$DY$6:$DY$56" noThreeD="1" val="0"/>
</file>

<file path=xl/ctrlProps/ctrlProp1096.xml><?xml version="1.0" encoding="utf-8"?>
<formControlPr xmlns="http://schemas.microsoft.com/office/spreadsheetml/2009/9/main" objectType="Drop" dropStyle="combo" dx="16" fmlaLink="$F$44" fmlaRange="$EA$6:$EA$56" noThreeD="1" val="0"/>
</file>

<file path=xl/ctrlProps/ctrlProp1097.xml><?xml version="1.0" encoding="utf-8"?>
<formControlPr xmlns="http://schemas.microsoft.com/office/spreadsheetml/2009/9/main" objectType="Drop" dropStyle="combo" dx="16" fmlaLink="$F$45" fmlaRange="$EC$6:$EC$56" noThreeD="1" val="0"/>
</file>

<file path=xl/ctrlProps/ctrlProp1098.xml><?xml version="1.0" encoding="utf-8"?>
<formControlPr xmlns="http://schemas.microsoft.com/office/spreadsheetml/2009/9/main" objectType="Drop" dropStyle="combo" dx="16" fmlaLink="$F$46" fmlaRange="$EE$6:$EE$56" noThreeD="1" val="0"/>
</file>

<file path=xl/ctrlProps/ctrlProp1099.xml><?xml version="1.0" encoding="utf-8"?>
<formControlPr xmlns="http://schemas.microsoft.com/office/spreadsheetml/2009/9/main" objectType="Drop" dropStyle="combo" dx="16" fmlaLink="$F$47" fmlaRange="$EG$6:$EG$56" noThreeD="1" val="0"/>
</file>

<file path=xl/ctrlProps/ctrlProp11.xml><?xml version="1.0" encoding="utf-8"?>
<formControlPr xmlns="http://schemas.microsoft.com/office/spreadsheetml/2009/9/main" objectType="Drop" dropStyle="combo" dx="16" fmlaLink="$H$19" fmlaRange="$AD$15:$AD$39" noThreeD="1" val="0"/>
</file>

<file path=xl/ctrlProps/ctrlProp110.xml><?xml version="1.0" encoding="utf-8"?>
<formControlPr xmlns="http://schemas.microsoft.com/office/spreadsheetml/2009/9/main" objectType="Drop" dropStyle="combo" dx="16" fmlaLink="$H$66" fmlaRange="$AB$8:$AB$12" noThreeD="1" val="0"/>
</file>

<file path=xl/ctrlProps/ctrlProp1100.xml><?xml version="1.0" encoding="utf-8"?>
<formControlPr xmlns="http://schemas.microsoft.com/office/spreadsheetml/2009/9/main" objectType="Drop" dropStyle="combo" dx="16" fmlaLink="$E$43" fmlaRange="Dados!$M$3:$N$10" noThreeD="1" val="0"/>
</file>

<file path=xl/ctrlProps/ctrlProp1101.xml><?xml version="1.0" encoding="utf-8"?>
<formControlPr xmlns="http://schemas.microsoft.com/office/spreadsheetml/2009/9/main" objectType="Drop" dropStyle="combo" dx="16" fmlaLink="$E$44" fmlaRange="Dados!$M$3:$N$10" noThreeD="1" val="0"/>
</file>

<file path=xl/ctrlProps/ctrlProp1102.xml><?xml version="1.0" encoding="utf-8"?>
<formControlPr xmlns="http://schemas.microsoft.com/office/spreadsheetml/2009/9/main" objectType="Drop" dropStyle="combo" dx="16" fmlaLink="$E$45" fmlaRange="Dados!$M$3:$N$10" noThreeD="1" val="0"/>
</file>

<file path=xl/ctrlProps/ctrlProp1103.xml><?xml version="1.0" encoding="utf-8"?>
<formControlPr xmlns="http://schemas.microsoft.com/office/spreadsheetml/2009/9/main" objectType="Drop" dropStyle="combo" dx="16" fmlaLink="$E$46" fmlaRange="Dados!$M$3:$N$10" noThreeD="1" val="0"/>
</file>

<file path=xl/ctrlProps/ctrlProp1104.xml><?xml version="1.0" encoding="utf-8"?>
<formControlPr xmlns="http://schemas.microsoft.com/office/spreadsheetml/2009/9/main" objectType="Drop" dropStyle="combo" dx="16" fmlaLink="$E$47" fmlaRange="Dados!$M$3:$N$10" noThreeD="1" val="0"/>
</file>

<file path=xl/ctrlProps/ctrlProp1105.xml><?xml version="1.0" encoding="utf-8"?>
<formControlPr xmlns="http://schemas.microsoft.com/office/spreadsheetml/2009/9/main" objectType="Drop" dropStyle="combo" dx="16" fmlaLink="$F$52" fmlaRange="$EJ$6:$EJ$56" noThreeD="1" val="0"/>
</file>

<file path=xl/ctrlProps/ctrlProp1106.xml><?xml version="1.0" encoding="utf-8"?>
<formControlPr xmlns="http://schemas.microsoft.com/office/spreadsheetml/2009/9/main" objectType="Drop" dropStyle="combo" dx="16" fmlaLink="$F$53" fmlaRange="$EL$6:$EL$56" noThreeD="1" val="4"/>
</file>

<file path=xl/ctrlProps/ctrlProp1107.xml><?xml version="1.0" encoding="utf-8"?>
<formControlPr xmlns="http://schemas.microsoft.com/office/spreadsheetml/2009/9/main" objectType="Drop" dropStyle="combo" dx="16" fmlaLink="$F$54" fmlaRange="$EN$6:$EN$56" noThreeD="1" val="0"/>
</file>

<file path=xl/ctrlProps/ctrlProp1108.xml><?xml version="1.0" encoding="utf-8"?>
<formControlPr xmlns="http://schemas.microsoft.com/office/spreadsheetml/2009/9/main" objectType="Drop" dropStyle="combo" dx="16" fmlaLink="$F$55" fmlaRange="$EP$6:$EP$56" noThreeD="1" val="0"/>
</file>

<file path=xl/ctrlProps/ctrlProp1109.xml><?xml version="1.0" encoding="utf-8"?>
<formControlPr xmlns="http://schemas.microsoft.com/office/spreadsheetml/2009/9/main" objectType="Drop" dropStyle="combo" dx="16" fmlaLink="$F$56" fmlaRange="$ER$6:$ER$56" noThreeD="1" val="3"/>
</file>

<file path=xl/ctrlProps/ctrlProp111.xml><?xml version="1.0" encoding="utf-8"?>
<formControlPr xmlns="http://schemas.microsoft.com/office/spreadsheetml/2009/9/main" objectType="Drop" dropStyle="combo" dx="16" fmlaLink="$H$67" fmlaRange="$AB$8:$AB$12" noThreeD="1" val="0"/>
</file>

<file path=xl/ctrlProps/ctrlProp1110.xml><?xml version="1.0" encoding="utf-8"?>
<formControlPr xmlns="http://schemas.microsoft.com/office/spreadsheetml/2009/9/main" objectType="Drop" dropStyle="combo" dx="16" fmlaLink="$E$52" fmlaRange="Dados!$M$3:$N$10" noThreeD="1" val="0"/>
</file>

<file path=xl/ctrlProps/ctrlProp1111.xml><?xml version="1.0" encoding="utf-8"?>
<formControlPr xmlns="http://schemas.microsoft.com/office/spreadsheetml/2009/9/main" objectType="Drop" dropStyle="combo" dx="16" fmlaLink="$E$53" fmlaRange="Dados!$M$3:$N$10" noThreeD="1" val="0"/>
</file>

<file path=xl/ctrlProps/ctrlProp1112.xml><?xml version="1.0" encoding="utf-8"?>
<formControlPr xmlns="http://schemas.microsoft.com/office/spreadsheetml/2009/9/main" objectType="Drop" dropStyle="combo" dx="16" fmlaLink="$E$54" fmlaRange="Dados!$M$3:$N$10" noThreeD="1" val="0"/>
</file>

<file path=xl/ctrlProps/ctrlProp1113.xml><?xml version="1.0" encoding="utf-8"?>
<formControlPr xmlns="http://schemas.microsoft.com/office/spreadsheetml/2009/9/main" objectType="Drop" dropStyle="combo" dx="16" fmlaLink="$E$55" fmlaRange="Dados!$M$3:$N$10" noThreeD="1" val="0"/>
</file>

<file path=xl/ctrlProps/ctrlProp1114.xml><?xml version="1.0" encoding="utf-8"?>
<formControlPr xmlns="http://schemas.microsoft.com/office/spreadsheetml/2009/9/main" objectType="Drop" dropStyle="combo" dx="16" fmlaLink="$E$56" fmlaRange="Dados!$M$3:$N$10" noThreeD="1" val="0"/>
</file>

<file path=xl/ctrlProps/ctrlProp1115.xml><?xml version="1.0" encoding="utf-8"?>
<formControlPr xmlns="http://schemas.microsoft.com/office/spreadsheetml/2009/9/main" objectType="Drop" dropStyle="combo" dx="16" fmlaLink="$X$7" fmlaRange="Rebanho!$AH$45:$AH$69" noThreeD="1" val="0"/>
</file>

<file path=xl/ctrlProps/ctrlProp1116.xml><?xml version="1.0" encoding="utf-8"?>
<formControlPr xmlns="http://schemas.microsoft.com/office/spreadsheetml/2009/9/main" objectType="Drop" dropStyle="combo" dx="16" fmlaLink="$Y$7" fmlaRange="Rebanho!$AH$45:$AH$69" noThreeD="1" val="0"/>
</file>

<file path=xl/ctrlProps/ctrlProp1117.xml><?xml version="1.0" encoding="utf-8"?>
<formControlPr xmlns="http://schemas.microsoft.com/office/spreadsheetml/2009/9/main" objectType="Drop" dropStyle="combo" dx="16" fmlaLink="$X$8" fmlaRange="Rebanho!$AH$45:$AH$69" noThreeD="1" val="0"/>
</file>

<file path=xl/ctrlProps/ctrlProp1118.xml><?xml version="1.0" encoding="utf-8"?>
<formControlPr xmlns="http://schemas.microsoft.com/office/spreadsheetml/2009/9/main" objectType="Drop" dropStyle="combo" dx="16" fmlaLink="$X$9" fmlaRange="Rebanho!$AH$45:$AH$69" noThreeD="1" val="0"/>
</file>

<file path=xl/ctrlProps/ctrlProp1119.xml><?xml version="1.0" encoding="utf-8"?>
<formControlPr xmlns="http://schemas.microsoft.com/office/spreadsheetml/2009/9/main" objectType="Drop" dropStyle="combo" dx="16" fmlaLink="$X$10" fmlaRange="Rebanho!$AH$45:$AH$69" noThreeD="1" val="0"/>
</file>

<file path=xl/ctrlProps/ctrlProp112.xml><?xml version="1.0" encoding="utf-8"?>
<formControlPr xmlns="http://schemas.microsoft.com/office/spreadsheetml/2009/9/main" objectType="Drop" dropStyle="combo" dx="16" fmlaLink="$H$71" fmlaRange="$AB$8:$AB$12" noThreeD="1" val="0"/>
</file>

<file path=xl/ctrlProps/ctrlProp1120.xml><?xml version="1.0" encoding="utf-8"?>
<formControlPr xmlns="http://schemas.microsoft.com/office/spreadsheetml/2009/9/main" objectType="Drop" dropStyle="combo" dx="16" fmlaLink="$X$11" fmlaRange="Rebanho!$AH$45:$AH$69" noThreeD="1" val="0"/>
</file>

<file path=xl/ctrlProps/ctrlProp1121.xml><?xml version="1.0" encoding="utf-8"?>
<formControlPr xmlns="http://schemas.microsoft.com/office/spreadsheetml/2009/9/main" objectType="Drop" dropStyle="combo" dx="16" fmlaLink="$Y$8" fmlaRange="Rebanho!$AH$45:$AH$69" noThreeD="1" val="0"/>
</file>

<file path=xl/ctrlProps/ctrlProp1122.xml><?xml version="1.0" encoding="utf-8"?>
<formControlPr xmlns="http://schemas.microsoft.com/office/spreadsheetml/2009/9/main" objectType="Drop" dropStyle="combo" dx="16" fmlaLink="$Y$9" fmlaRange="Rebanho!$AH$45:$AH$69" noThreeD="1" val="0"/>
</file>

<file path=xl/ctrlProps/ctrlProp1123.xml><?xml version="1.0" encoding="utf-8"?>
<formControlPr xmlns="http://schemas.microsoft.com/office/spreadsheetml/2009/9/main" objectType="Drop" dropStyle="combo" dx="16" fmlaLink="$Y$10" fmlaRange="Rebanho!$AH$45:$AH$69" noThreeD="1" val="0"/>
</file>

<file path=xl/ctrlProps/ctrlProp1124.xml><?xml version="1.0" encoding="utf-8"?>
<formControlPr xmlns="http://schemas.microsoft.com/office/spreadsheetml/2009/9/main" objectType="Drop" dropStyle="combo" dx="16" fmlaLink="$Y$11" fmlaRange="Rebanho!$AH$45:$AH$69" noThreeD="1" val="4"/>
</file>

<file path=xl/ctrlProps/ctrlProp1125.xml><?xml version="1.0" encoding="utf-8"?>
<formControlPr xmlns="http://schemas.microsoft.com/office/spreadsheetml/2009/9/main" objectType="Drop" dropStyle="combo" dx="16" fmlaLink="$X$16" fmlaRange="Rebanho!$AH$45:$AH$69" noThreeD="1" val="0"/>
</file>

<file path=xl/ctrlProps/ctrlProp1126.xml><?xml version="1.0" encoding="utf-8"?>
<formControlPr xmlns="http://schemas.microsoft.com/office/spreadsheetml/2009/9/main" objectType="Drop" dropStyle="combo" dx="16" fmlaLink="$X$17" fmlaRange="Rebanho!$AH$45:$AH$69" noThreeD="1" val="0"/>
</file>

<file path=xl/ctrlProps/ctrlProp1127.xml><?xml version="1.0" encoding="utf-8"?>
<formControlPr xmlns="http://schemas.microsoft.com/office/spreadsheetml/2009/9/main" objectType="Drop" dropStyle="combo" dx="16" fmlaLink="$X$18" fmlaRange="Rebanho!$AH$45:$AH$69" noThreeD="1" val="0"/>
</file>

<file path=xl/ctrlProps/ctrlProp1128.xml><?xml version="1.0" encoding="utf-8"?>
<formControlPr xmlns="http://schemas.microsoft.com/office/spreadsheetml/2009/9/main" objectType="Drop" dropStyle="combo" dx="16" fmlaLink="$X$19" fmlaRange="Rebanho!$AH$45:$AH$69" noThreeD="1" val="0"/>
</file>

<file path=xl/ctrlProps/ctrlProp1129.xml><?xml version="1.0" encoding="utf-8"?>
<formControlPr xmlns="http://schemas.microsoft.com/office/spreadsheetml/2009/9/main" objectType="Drop" dropStyle="combo" dx="16" fmlaLink="$X$20" fmlaRange="Rebanho!$AH$45:$AH$69" noThreeD="1" val="0"/>
</file>

<file path=xl/ctrlProps/ctrlProp113.xml><?xml version="1.0" encoding="utf-8"?>
<formControlPr xmlns="http://schemas.microsoft.com/office/spreadsheetml/2009/9/main" objectType="Drop" dropStyle="combo" dx="16" fmlaLink="$C$80" fmlaRange="Dados!$H$86:$H$129" noThreeD="1" sel="10" val="7"/>
</file>

<file path=xl/ctrlProps/ctrlProp1130.xml><?xml version="1.0" encoding="utf-8"?>
<formControlPr xmlns="http://schemas.microsoft.com/office/spreadsheetml/2009/9/main" objectType="Drop" dropStyle="combo" dx="16" fmlaLink="$Y$16" fmlaRange="Rebanho!$AH$45:$AH$69" noThreeD="1" val="0"/>
</file>

<file path=xl/ctrlProps/ctrlProp1131.xml><?xml version="1.0" encoding="utf-8"?>
<formControlPr xmlns="http://schemas.microsoft.com/office/spreadsheetml/2009/9/main" objectType="Drop" dropStyle="combo" dx="16" fmlaLink="$Y$17" fmlaRange="Rebanho!$AH$45:$AH$69" noThreeD="1" val="0"/>
</file>

<file path=xl/ctrlProps/ctrlProp1132.xml><?xml version="1.0" encoding="utf-8"?>
<formControlPr xmlns="http://schemas.microsoft.com/office/spreadsheetml/2009/9/main" objectType="Drop" dropStyle="combo" dx="16" fmlaLink="$Y$18" fmlaRange="Rebanho!$AH$45:$AH$69" noThreeD="1" val="0"/>
</file>

<file path=xl/ctrlProps/ctrlProp1133.xml><?xml version="1.0" encoding="utf-8"?>
<formControlPr xmlns="http://schemas.microsoft.com/office/spreadsheetml/2009/9/main" objectType="Drop" dropStyle="combo" dx="16" fmlaLink="$Y$19" fmlaRange="Rebanho!$AH$45:$AH$69" noThreeD="1" val="0"/>
</file>

<file path=xl/ctrlProps/ctrlProp1134.xml><?xml version="1.0" encoding="utf-8"?>
<formControlPr xmlns="http://schemas.microsoft.com/office/spreadsheetml/2009/9/main" objectType="Drop" dropStyle="combo" dx="16" fmlaLink="$Y$20" fmlaRange="Rebanho!$AH$45:$AH$69" noThreeD="1" val="0"/>
</file>

<file path=xl/ctrlProps/ctrlProp1135.xml><?xml version="1.0" encoding="utf-8"?>
<formControlPr xmlns="http://schemas.microsoft.com/office/spreadsheetml/2009/9/main" objectType="Drop" dropStyle="combo" dx="16" fmlaLink="$X$25" fmlaRange="Rebanho!$AH$45:$AH$69" noThreeD="1" val="0"/>
</file>

<file path=xl/ctrlProps/ctrlProp1136.xml><?xml version="1.0" encoding="utf-8"?>
<formControlPr xmlns="http://schemas.microsoft.com/office/spreadsheetml/2009/9/main" objectType="Drop" dropStyle="combo" dx="16" fmlaLink="$Y$25" fmlaRange="Rebanho!$AH$45:$AH$69" noThreeD="1" val="0"/>
</file>

<file path=xl/ctrlProps/ctrlProp1137.xml><?xml version="1.0" encoding="utf-8"?>
<formControlPr xmlns="http://schemas.microsoft.com/office/spreadsheetml/2009/9/main" objectType="Drop" dropStyle="combo" dx="16" fmlaLink="$Y$26" fmlaRange="Rebanho!$AH$45:$AH$69" noThreeD="1" val="0"/>
</file>

<file path=xl/ctrlProps/ctrlProp1138.xml><?xml version="1.0" encoding="utf-8"?>
<formControlPr xmlns="http://schemas.microsoft.com/office/spreadsheetml/2009/9/main" objectType="Drop" dropStyle="combo" dx="16" fmlaLink="$Y$27" fmlaRange="Rebanho!$AH$45:$AH$69" noThreeD="1" val="0"/>
</file>

<file path=xl/ctrlProps/ctrlProp1139.xml><?xml version="1.0" encoding="utf-8"?>
<formControlPr xmlns="http://schemas.microsoft.com/office/spreadsheetml/2009/9/main" objectType="Drop" dropStyle="combo" dx="16" fmlaLink="$Y$28" fmlaRange="Rebanho!$AH$45:$AH$69" noThreeD="1" val="0"/>
</file>

<file path=xl/ctrlProps/ctrlProp114.xml><?xml version="1.0" encoding="utf-8"?>
<formControlPr xmlns="http://schemas.microsoft.com/office/spreadsheetml/2009/9/main" objectType="Drop" dropStyle="combo" dx="16" fmlaLink="$H$80" fmlaRange="$AB$8:$AB$12" noThreeD="1" val="0"/>
</file>

<file path=xl/ctrlProps/ctrlProp1140.xml><?xml version="1.0" encoding="utf-8"?>
<formControlPr xmlns="http://schemas.microsoft.com/office/spreadsheetml/2009/9/main" objectType="Drop" dropStyle="combo" dx="16" fmlaLink="$Y$29" fmlaRange="Rebanho!$AH$45:$AH$69" noThreeD="1" val="0"/>
</file>

<file path=xl/ctrlProps/ctrlProp1141.xml><?xml version="1.0" encoding="utf-8"?>
<formControlPr xmlns="http://schemas.microsoft.com/office/spreadsheetml/2009/9/main" objectType="Drop" dropStyle="combo" dx="16" fmlaLink="$X$26" fmlaRange="Rebanho!$AH$45:$AH$69" noThreeD="1" val="0"/>
</file>

<file path=xl/ctrlProps/ctrlProp1142.xml><?xml version="1.0" encoding="utf-8"?>
<formControlPr xmlns="http://schemas.microsoft.com/office/spreadsheetml/2009/9/main" objectType="Drop" dropStyle="combo" dx="16" fmlaLink="$X$27" fmlaRange="Rebanho!$AH$45:$AH$69" noThreeD="1" val="0"/>
</file>

<file path=xl/ctrlProps/ctrlProp1143.xml><?xml version="1.0" encoding="utf-8"?>
<formControlPr xmlns="http://schemas.microsoft.com/office/spreadsheetml/2009/9/main" objectType="Drop" dropStyle="combo" dx="16" fmlaLink="$X$28" fmlaRange="Rebanho!$AH$45:$AH$69" noThreeD="1" val="0"/>
</file>

<file path=xl/ctrlProps/ctrlProp1144.xml><?xml version="1.0" encoding="utf-8"?>
<formControlPr xmlns="http://schemas.microsoft.com/office/spreadsheetml/2009/9/main" objectType="Drop" dropStyle="combo" dx="16" fmlaLink="$X$29" fmlaRange="Rebanho!$AH$45:$AH$69" noThreeD="1" val="0"/>
</file>

<file path=xl/ctrlProps/ctrlProp1145.xml><?xml version="1.0" encoding="utf-8"?>
<formControlPr xmlns="http://schemas.microsoft.com/office/spreadsheetml/2009/9/main" objectType="Drop" dropStyle="combo" dx="16" fmlaLink="$X$34" fmlaRange="Rebanho!$AH$45:$AH$69" noThreeD="1" val="0"/>
</file>

<file path=xl/ctrlProps/ctrlProp1146.xml><?xml version="1.0" encoding="utf-8"?>
<formControlPr xmlns="http://schemas.microsoft.com/office/spreadsheetml/2009/9/main" objectType="Drop" dropStyle="combo" dx="16" fmlaLink="$Y$34" fmlaRange="Rebanho!$AH$45:$AH$69" noThreeD="1" val="0"/>
</file>

<file path=xl/ctrlProps/ctrlProp1147.xml><?xml version="1.0" encoding="utf-8"?>
<formControlPr xmlns="http://schemas.microsoft.com/office/spreadsheetml/2009/9/main" objectType="Drop" dropStyle="combo" dx="16" fmlaLink="$X$35" fmlaRange="Rebanho!$AH$45:$AH$69" noThreeD="1" val="0"/>
</file>

<file path=xl/ctrlProps/ctrlProp1148.xml><?xml version="1.0" encoding="utf-8"?>
<formControlPr xmlns="http://schemas.microsoft.com/office/spreadsheetml/2009/9/main" objectType="Drop" dropStyle="combo" dx="16" fmlaLink="$X$36" fmlaRange="Rebanho!$AH$45:$AH$69" noThreeD="1" val="0"/>
</file>

<file path=xl/ctrlProps/ctrlProp1149.xml><?xml version="1.0" encoding="utf-8"?>
<formControlPr xmlns="http://schemas.microsoft.com/office/spreadsheetml/2009/9/main" objectType="Drop" dropStyle="combo" dx="16" fmlaLink="$X$37" fmlaRange="Rebanho!$AH$45:$AH$69" noThreeD="1" val="0"/>
</file>

<file path=xl/ctrlProps/ctrlProp115.xml><?xml version="1.0" encoding="utf-8"?>
<formControlPr xmlns="http://schemas.microsoft.com/office/spreadsheetml/2009/9/main" objectType="Drop" dropStyle="combo" dx="16" fmlaLink="$H$81" fmlaRange="$AB$8:$AB$12" noThreeD="1" val="0"/>
</file>

<file path=xl/ctrlProps/ctrlProp1150.xml><?xml version="1.0" encoding="utf-8"?>
<formControlPr xmlns="http://schemas.microsoft.com/office/spreadsheetml/2009/9/main" objectType="Drop" dropStyle="combo" dx="16" fmlaLink="$X$38" fmlaRange="Rebanho!$AH$45:$AH$69" noThreeD="1" val="0"/>
</file>

<file path=xl/ctrlProps/ctrlProp1151.xml><?xml version="1.0" encoding="utf-8"?>
<formControlPr xmlns="http://schemas.microsoft.com/office/spreadsheetml/2009/9/main" objectType="Drop" dropStyle="combo" dx="16" fmlaLink="$Y$35" fmlaRange="Rebanho!$AH$45:$AH$69" noThreeD="1" val="0"/>
</file>

<file path=xl/ctrlProps/ctrlProp1152.xml><?xml version="1.0" encoding="utf-8"?>
<formControlPr xmlns="http://schemas.microsoft.com/office/spreadsheetml/2009/9/main" objectType="Drop" dropStyle="combo" dx="16" fmlaLink="$Y$36" fmlaRange="Rebanho!$AH$45:$AH$69" noThreeD="1" val="0"/>
</file>

<file path=xl/ctrlProps/ctrlProp1153.xml><?xml version="1.0" encoding="utf-8"?>
<formControlPr xmlns="http://schemas.microsoft.com/office/spreadsheetml/2009/9/main" objectType="Drop" dropStyle="combo" dx="16" fmlaLink="$Y$37" fmlaRange="Rebanho!$AH$45:$AH$69" noThreeD="1" val="0"/>
</file>

<file path=xl/ctrlProps/ctrlProp1154.xml><?xml version="1.0" encoding="utf-8"?>
<formControlPr xmlns="http://schemas.microsoft.com/office/spreadsheetml/2009/9/main" objectType="Drop" dropStyle="combo" dx="16" fmlaLink="$Y$38" fmlaRange="Rebanho!$AH$45:$AH$69" noThreeD="1" val="0"/>
</file>

<file path=xl/ctrlProps/ctrlProp1155.xml><?xml version="1.0" encoding="utf-8"?>
<formControlPr xmlns="http://schemas.microsoft.com/office/spreadsheetml/2009/9/main" objectType="Drop" dropStyle="combo" dx="16" fmlaLink="$X$43" fmlaRange="Rebanho!$AH$45:$AH$69" noThreeD="1" val="0"/>
</file>

<file path=xl/ctrlProps/ctrlProp1156.xml><?xml version="1.0" encoding="utf-8"?>
<formControlPr xmlns="http://schemas.microsoft.com/office/spreadsheetml/2009/9/main" objectType="Drop" dropStyle="combo" dx="16" fmlaLink="$Y$43" fmlaRange="Rebanho!$AH$45:$AH$69" noThreeD="1" val="0"/>
</file>

<file path=xl/ctrlProps/ctrlProp1157.xml><?xml version="1.0" encoding="utf-8"?>
<formControlPr xmlns="http://schemas.microsoft.com/office/spreadsheetml/2009/9/main" objectType="Drop" dropStyle="combo" dx="16" fmlaLink="$X$44" fmlaRange="Rebanho!$AH$45:$AH$69" noThreeD="1" val="0"/>
</file>

<file path=xl/ctrlProps/ctrlProp1158.xml><?xml version="1.0" encoding="utf-8"?>
<formControlPr xmlns="http://schemas.microsoft.com/office/spreadsheetml/2009/9/main" objectType="Drop" dropStyle="combo" dx="16" fmlaLink="$X$45" fmlaRange="Rebanho!$AH$45:$AH$69" noThreeD="1" val="0"/>
</file>

<file path=xl/ctrlProps/ctrlProp1159.xml><?xml version="1.0" encoding="utf-8"?>
<formControlPr xmlns="http://schemas.microsoft.com/office/spreadsheetml/2009/9/main" objectType="Drop" dropStyle="combo" dx="16" fmlaLink="$X$46" fmlaRange="Rebanho!$AH$45:$AH$69" noThreeD="1" val="0"/>
</file>

<file path=xl/ctrlProps/ctrlProp116.xml><?xml version="1.0" encoding="utf-8"?>
<formControlPr xmlns="http://schemas.microsoft.com/office/spreadsheetml/2009/9/main" objectType="Drop" dropStyle="combo" dx="16" fmlaLink="$H$82" fmlaRange="$AB$8:$AB$12" noThreeD="1" val="0"/>
</file>

<file path=xl/ctrlProps/ctrlProp1160.xml><?xml version="1.0" encoding="utf-8"?>
<formControlPr xmlns="http://schemas.microsoft.com/office/spreadsheetml/2009/9/main" objectType="Drop" dropStyle="combo" dx="16" fmlaLink="$X$47" fmlaRange="Rebanho!$AH$45:$AH$69" noThreeD="1" val="0"/>
</file>

<file path=xl/ctrlProps/ctrlProp1161.xml><?xml version="1.0" encoding="utf-8"?>
<formControlPr xmlns="http://schemas.microsoft.com/office/spreadsheetml/2009/9/main" objectType="Drop" dropStyle="combo" dx="16" fmlaLink="$Y$44" fmlaRange="Rebanho!$AH$45:$AH$69" noThreeD="1" val="0"/>
</file>

<file path=xl/ctrlProps/ctrlProp1162.xml><?xml version="1.0" encoding="utf-8"?>
<formControlPr xmlns="http://schemas.microsoft.com/office/spreadsheetml/2009/9/main" objectType="Drop" dropStyle="combo" dx="16" fmlaLink="$Y$45" fmlaRange="Rebanho!$AH$45:$AH$69" noThreeD="1" val="0"/>
</file>

<file path=xl/ctrlProps/ctrlProp1163.xml><?xml version="1.0" encoding="utf-8"?>
<formControlPr xmlns="http://schemas.microsoft.com/office/spreadsheetml/2009/9/main" objectType="Drop" dropStyle="combo" dx="16" fmlaLink="$Y$46" fmlaRange="Rebanho!$AH$45:$AH$69" noThreeD="1" val="0"/>
</file>

<file path=xl/ctrlProps/ctrlProp1164.xml><?xml version="1.0" encoding="utf-8"?>
<formControlPr xmlns="http://schemas.microsoft.com/office/spreadsheetml/2009/9/main" objectType="Drop" dropStyle="combo" dx="16" fmlaLink="$Y$47" fmlaRange="Rebanho!$AH$45:$AH$69" noThreeD="1" val="0"/>
</file>

<file path=xl/ctrlProps/ctrlProp1165.xml><?xml version="1.0" encoding="utf-8"?>
<formControlPr xmlns="http://schemas.microsoft.com/office/spreadsheetml/2009/9/main" objectType="Drop" dropStyle="combo" dx="16" fmlaLink="$X$52" fmlaRange="Rebanho!$AH$45:$AH$69" noThreeD="1" val="0"/>
</file>

<file path=xl/ctrlProps/ctrlProp1166.xml><?xml version="1.0" encoding="utf-8"?>
<formControlPr xmlns="http://schemas.microsoft.com/office/spreadsheetml/2009/9/main" objectType="Drop" dropStyle="combo" dx="16" fmlaLink="$Y$52" fmlaRange="Rebanho!$AH$45:$AH$69" noThreeD="1" val="0"/>
</file>

<file path=xl/ctrlProps/ctrlProp1167.xml><?xml version="1.0" encoding="utf-8"?>
<formControlPr xmlns="http://schemas.microsoft.com/office/spreadsheetml/2009/9/main" objectType="Drop" dropStyle="combo" dx="16" fmlaLink="$X$53" fmlaRange="Rebanho!$AH$45:$AH$69" noThreeD="1" val="0"/>
</file>

<file path=xl/ctrlProps/ctrlProp1168.xml><?xml version="1.0" encoding="utf-8"?>
<formControlPr xmlns="http://schemas.microsoft.com/office/spreadsheetml/2009/9/main" objectType="Drop" dropStyle="combo" dx="16" fmlaLink="$X$54" fmlaRange="Rebanho!$AH$45:$AH$69" noThreeD="1" val="0"/>
</file>

<file path=xl/ctrlProps/ctrlProp1169.xml><?xml version="1.0" encoding="utf-8"?>
<formControlPr xmlns="http://schemas.microsoft.com/office/spreadsheetml/2009/9/main" objectType="Drop" dropStyle="combo" dx="16" fmlaLink="$X$55" fmlaRange="Rebanho!$AH$45:$AH$69" noThreeD="1" val="0"/>
</file>

<file path=xl/ctrlProps/ctrlProp117.xml><?xml version="1.0" encoding="utf-8"?>
<formControlPr xmlns="http://schemas.microsoft.com/office/spreadsheetml/2009/9/main" objectType="Drop" dropStyle="combo" dx="16" fmlaLink="$H$83" fmlaRange="$AB$8:$AB$12" noThreeD="1" val="0"/>
</file>

<file path=xl/ctrlProps/ctrlProp1170.xml><?xml version="1.0" encoding="utf-8"?>
<formControlPr xmlns="http://schemas.microsoft.com/office/spreadsheetml/2009/9/main" objectType="Drop" dropStyle="combo" dx="16" fmlaLink="$X$56" fmlaRange="Rebanho!$AH$45:$AH$69" noThreeD="1" val="0"/>
</file>

<file path=xl/ctrlProps/ctrlProp1171.xml><?xml version="1.0" encoding="utf-8"?>
<formControlPr xmlns="http://schemas.microsoft.com/office/spreadsheetml/2009/9/main" objectType="Drop" dropStyle="combo" dx="16" fmlaLink="$Y$53" fmlaRange="Rebanho!$AH$45:$AH$69" noThreeD="1" val="0"/>
</file>

<file path=xl/ctrlProps/ctrlProp1172.xml><?xml version="1.0" encoding="utf-8"?>
<formControlPr xmlns="http://schemas.microsoft.com/office/spreadsheetml/2009/9/main" objectType="Drop" dropStyle="combo" dx="16" fmlaLink="$Y$54" fmlaRange="Rebanho!$AH$45:$AH$69" noThreeD="1" val="0"/>
</file>

<file path=xl/ctrlProps/ctrlProp1173.xml><?xml version="1.0" encoding="utf-8"?>
<formControlPr xmlns="http://schemas.microsoft.com/office/spreadsheetml/2009/9/main" objectType="Drop" dropStyle="combo" dx="16" fmlaLink="$Y$55" fmlaRange="Rebanho!$AH$45:$AH$69" noThreeD="1" val="0"/>
</file>

<file path=xl/ctrlProps/ctrlProp1174.xml><?xml version="1.0" encoding="utf-8"?>
<formControlPr xmlns="http://schemas.microsoft.com/office/spreadsheetml/2009/9/main" objectType="Drop" dropStyle="combo" dx="16" fmlaLink="$Y$56" fmlaRange="Rebanho!$AH$45:$AH$69" noThreeD="1" val="0"/>
</file>

<file path=xl/ctrlProps/ctrlProp1175.xml><?xml version="1.0" encoding="utf-8"?>
<formControlPr xmlns="http://schemas.microsoft.com/office/spreadsheetml/2009/9/main" objectType="Drop" dropLines="15" dropStyle="combo" dx="16" fmlaLink="$N$8" fmlaRange="Rebanho!$AO$45:$AO$63" noThreeD="1" sel="3" val="0"/>
</file>

<file path=xl/ctrlProps/ctrlProp1176.xml><?xml version="1.0" encoding="utf-8"?>
<formControlPr xmlns="http://schemas.microsoft.com/office/spreadsheetml/2009/9/main" objectType="Drop" dropLines="15" dropStyle="combo" dx="16" fmlaLink="$N$9" fmlaRange="Rebanho!$AO$45:$AO$63" noThreeD="1" sel="4" val="0"/>
</file>

<file path=xl/ctrlProps/ctrlProp1177.xml><?xml version="1.0" encoding="utf-8"?>
<formControlPr xmlns="http://schemas.microsoft.com/office/spreadsheetml/2009/9/main" objectType="Drop" dropLines="15" dropStyle="combo" dx="16" fmlaLink="$N$10" fmlaRange="Rebanho!$AO$45:$AO$63" noThreeD="1" sel="19" val="0"/>
</file>

<file path=xl/ctrlProps/ctrlProp1178.xml><?xml version="1.0" encoding="utf-8"?>
<formControlPr xmlns="http://schemas.microsoft.com/office/spreadsheetml/2009/9/main" objectType="Drop" dropLines="15" dropStyle="combo" dx="16" fmlaLink="$N$11" fmlaRange="Rebanho!$AO$45:$AO$63" noThreeD="1" sel="3" val="4"/>
</file>

<file path=xl/ctrlProps/ctrlProp1179.xml><?xml version="1.0" encoding="utf-8"?>
<formControlPr xmlns="http://schemas.microsoft.com/office/spreadsheetml/2009/9/main" objectType="Drop" dropLines="15" dropStyle="combo" dx="16" fmlaLink="$N$16" fmlaRange="Rebanho!$AO$45:$AO$63" noThreeD="1" sel="19" val="4"/>
</file>

<file path=xl/ctrlProps/ctrlProp118.xml><?xml version="1.0" encoding="utf-8"?>
<formControlPr xmlns="http://schemas.microsoft.com/office/spreadsheetml/2009/9/main" objectType="Drop" dropStyle="combo" dx="16" fmlaLink="$H$84" fmlaRange="$AB$8:$AB$12" noThreeD="1" val="0"/>
</file>

<file path=xl/ctrlProps/ctrlProp1180.xml><?xml version="1.0" encoding="utf-8"?>
<formControlPr xmlns="http://schemas.microsoft.com/office/spreadsheetml/2009/9/main" objectType="Drop" dropLines="15" dropStyle="combo" dx="16" fmlaLink="$N$17" fmlaRange="Rebanho!$AO$45:$AO$63" noThreeD="1" sel="19" val="0"/>
</file>

<file path=xl/ctrlProps/ctrlProp1181.xml><?xml version="1.0" encoding="utf-8"?>
<formControlPr xmlns="http://schemas.microsoft.com/office/spreadsheetml/2009/9/main" objectType="Drop" dropLines="15" dropStyle="combo" dx="16" fmlaLink="$N$18" fmlaRange="Rebanho!$AO$45:$AO$63" noThreeD="1" sel="19" val="0"/>
</file>

<file path=xl/ctrlProps/ctrlProp1182.xml><?xml version="1.0" encoding="utf-8"?>
<formControlPr xmlns="http://schemas.microsoft.com/office/spreadsheetml/2009/9/main" objectType="Drop" dropLines="15" dropStyle="combo" dx="16" fmlaLink="$N$19" fmlaRange="Rebanho!$AO$45:$AO$63" noThreeD="1" sel="4" val="4"/>
</file>

<file path=xl/ctrlProps/ctrlProp1183.xml><?xml version="1.0" encoding="utf-8"?>
<formControlPr xmlns="http://schemas.microsoft.com/office/spreadsheetml/2009/9/main" objectType="Drop" dropLines="15" dropStyle="combo" dx="16" fmlaLink="$N$20" fmlaRange="Rebanho!$AO$45:$AO$63" noThreeD="1" val="8"/>
</file>

<file path=xl/ctrlProps/ctrlProp1184.xml><?xml version="1.0" encoding="utf-8"?>
<formControlPr xmlns="http://schemas.microsoft.com/office/spreadsheetml/2009/9/main" objectType="Drop" dropLines="15" dropStyle="combo" dx="16" fmlaLink="$N$25" fmlaRange="Rebanho!$AO$45:$AO$63" noThreeD="1" sel="19" val="0"/>
</file>

<file path=xl/ctrlProps/ctrlProp1185.xml><?xml version="1.0" encoding="utf-8"?>
<formControlPr xmlns="http://schemas.microsoft.com/office/spreadsheetml/2009/9/main" objectType="Drop" dropLines="15" dropStyle="combo" dx="16" fmlaLink="$N$26" fmlaRange="Rebanho!$AO$45:$AO$63" noThreeD="1" sel="19" val="0"/>
</file>

<file path=xl/ctrlProps/ctrlProp1186.xml><?xml version="1.0" encoding="utf-8"?>
<formControlPr xmlns="http://schemas.microsoft.com/office/spreadsheetml/2009/9/main" objectType="Drop" dropLines="15" dropStyle="combo" dx="16" fmlaLink="$N$27" fmlaRange="Rebanho!$AO$45:$AO$63" noThreeD="1" val="0"/>
</file>

<file path=xl/ctrlProps/ctrlProp1187.xml><?xml version="1.0" encoding="utf-8"?>
<formControlPr xmlns="http://schemas.microsoft.com/office/spreadsheetml/2009/9/main" objectType="Drop" dropLines="15" dropStyle="combo" dx="16" fmlaLink="$N$28" fmlaRange="Rebanho!$AO$45:$AO$63" noThreeD="1" val="4"/>
</file>

<file path=xl/ctrlProps/ctrlProp1188.xml><?xml version="1.0" encoding="utf-8"?>
<formControlPr xmlns="http://schemas.microsoft.com/office/spreadsheetml/2009/9/main" objectType="Drop" dropLines="15" dropStyle="combo" dx="16" fmlaLink="$N$29" fmlaRange="Rebanho!$AO$45:$AO$63" noThreeD="1" val="8"/>
</file>

<file path=xl/ctrlProps/ctrlProp1189.xml><?xml version="1.0" encoding="utf-8"?>
<formControlPr xmlns="http://schemas.microsoft.com/office/spreadsheetml/2009/9/main" objectType="Drop" dropLines="15" dropStyle="combo" dx="16" fmlaLink="$N$34" fmlaRange="Rebanho!$AO$45:$AO$63" noThreeD="1" sel="19" val="0"/>
</file>

<file path=xl/ctrlProps/ctrlProp119.xml><?xml version="1.0" encoding="utf-8"?>
<formControlPr xmlns="http://schemas.microsoft.com/office/spreadsheetml/2009/9/main" objectType="Drop" dropStyle="combo" dx="16" fmlaLink="$H$85" fmlaRange="$AB$8:$AB$12" noThreeD="1" val="0"/>
</file>

<file path=xl/ctrlProps/ctrlProp1190.xml><?xml version="1.0" encoding="utf-8"?>
<formControlPr xmlns="http://schemas.microsoft.com/office/spreadsheetml/2009/9/main" objectType="Drop" dropLines="15" dropStyle="combo" dx="16" fmlaLink="$N$35" fmlaRange="Rebanho!$AO$45:$AO$63" noThreeD="1" val="0"/>
</file>

<file path=xl/ctrlProps/ctrlProp1191.xml><?xml version="1.0" encoding="utf-8"?>
<formControlPr xmlns="http://schemas.microsoft.com/office/spreadsheetml/2009/9/main" objectType="Drop" dropLines="15" dropStyle="combo" dx="16" fmlaLink="$N$36" fmlaRange="Rebanho!$AO$45:$AO$63" noThreeD="1" val="0"/>
</file>

<file path=xl/ctrlProps/ctrlProp1192.xml><?xml version="1.0" encoding="utf-8"?>
<formControlPr xmlns="http://schemas.microsoft.com/office/spreadsheetml/2009/9/main" objectType="Drop" dropLines="15" dropStyle="combo" dx="16" fmlaLink="$N$37" fmlaRange="Rebanho!$AO$45:$AO$63" noThreeD="1" val="0"/>
</file>

<file path=xl/ctrlProps/ctrlProp1193.xml><?xml version="1.0" encoding="utf-8"?>
<formControlPr xmlns="http://schemas.microsoft.com/office/spreadsheetml/2009/9/main" objectType="Drop" dropLines="15" dropStyle="combo" dx="16" fmlaLink="$N$38" fmlaRange="Rebanho!$AO$45:$AO$63" noThreeD="1" val="0"/>
</file>

<file path=xl/ctrlProps/ctrlProp1194.xml><?xml version="1.0" encoding="utf-8"?>
<formControlPr xmlns="http://schemas.microsoft.com/office/spreadsheetml/2009/9/main" objectType="Drop" dropLines="15" dropStyle="combo" dx="16" fmlaLink="$N$43" fmlaRange="Rebanho!$AO$45:$AO$63" noThreeD="1" val="0"/>
</file>

<file path=xl/ctrlProps/ctrlProp1195.xml><?xml version="1.0" encoding="utf-8"?>
<formControlPr xmlns="http://schemas.microsoft.com/office/spreadsheetml/2009/9/main" objectType="Drop" dropLines="15" dropStyle="combo" dx="16" fmlaLink="$N$44" fmlaRange="Rebanho!$AO$45:$AO$63" noThreeD="1" val="0"/>
</file>

<file path=xl/ctrlProps/ctrlProp1196.xml><?xml version="1.0" encoding="utf-8"?>
<formControlPr xmlns="http://schemas.microsoft.com/office/spreadsheetml/2009/9/main" objectType="Drop" dropLines="15" dropStyle="combo" dx="16" fmlaLink="$N$45" fmlaRange="Rebanho!$AO$45:$AO$63" noThreeD="1" val="0"/>
</file>

<file path=xl/ctrlProps/ctrlProp1197.xml><?xml version="1.0" encoding="utf-8"?>
<formControlPr xmlns="http://schemas.microsoft.com/office/spreadsheetml/2009/9/main" objectType="Drop" dropLines="15" dropStyle="combo" dx="16" fmlaLink="$N$46" fmlaRange="Rebanho!$AO$45:$AO$63" noThreeD="1" val="0"/>
</file>

<file path=xl/ctrlProps/ctrlProp1198.xml><?xml version="1.0" encoding="utf-8"?>
<formControlPr xmlns="http://schemas.microsoft.com/office/spreadsheetml/2009/9/main" objectType="Drop" dropLines="15" dropStyle="combo" dx="16" fmlaLink="$N$47" fmlaRange="Rebanho!$AO$45:$AO$63" noThreeD="1" val="0"/>
</file>

<file path=xl/ctrlProps/ctrlProp1199.xml><?xml version="1.0" encoding="utf-8"?>
<formControlPr xmlns="http://schemas.microsoft.com/office/spreadsheetml/2009/9/main" objectType="Drop" dropLines="15" dropStyle="combo" dx="16" fmlaLink="$N$52" fmlaRange="Rebanho!$AO$45:$AO$63" noThreeD="1" val="4"/>
</file>

<file path=xl/ctrlProps/ctrlProp12.xml><?xml version="1.0" encoding="utf-8"?>
<formControlPr xmlns="http://schemas.microsoft.com/office/spreadsheetml/2009/9/main" objectType="Drop" dropStyle="combo" dx="16" fmlaLink="$I$19" fmlaRange="$AD$15:$AD$39" noThreeD="1" val="13"/>
</file>

<file path=xl/ctrlProps/ctrlProp120.xml><?xml version="1.0" encoding="utf-8"?>
<formControlPr xmlns="http://schemas.microsoft.com/office/spreadsheetml/2009/9/main" objectType="Drop" dropStyle="combo" dx="16" fmlaLink="$H$86" fmlaRange="$AB$8:$AB$12" noThreeD="1" val="0"/>
</file>

<file path=xl/ctrlProps/ctrlProp1200.xml><?xml version="1.0" encoding="utf-8"?>
<formControlPr xmlns="http://schemas.microsoft.com/office/spreadsheetml/2009/9/main" objectType="Drop" dropLines="15" dropStyle="combo" dx="16" fmlaLink="$N$53" fmlaRange="Rebanho!$AO$45:$AO$63" noThreeD="1" val="0"/>
</file>

<file path=xl/ctrlProps/ctrlProp1201.xml><?xml version="1.0" encoding="utf-8"?>
<formControlPr xmlns="http://schemas.microsoft.com/office/spreadsheetml/2009/9/main" objectType="Drop" dropLines="15" dropStyle="combo" dx="16" fmlaLink="$N$54" fmlaRange="Rebanho!$AO$45:$AO$63" noThreeD="1" val="0"/>
</file>

<file path=xl/ctrlProps/ctrlProp1202.xml><?xml version="1.0" encoding="utf-8"?>
<formControlPr xmlns="http://schemas.microsoft.com/office/spreadsheetml/2009/9/main" objectType="Drop" dropLines="15" dropStyle="combo" dx="16" fmlaLink="$N$55" fmlaRange="Rebanho!$AO$45:$AO$63" noThreeD="1" val="0"/>
</file>

<file path=xl/ctrlProps/ctrlProp1203.xml><?xml version="1.0" encoding="utf-8"?>
<formControlPr xmlns="http://schemas.microsoft.com/office/spreadsheetml/2009/9/main" objectType="Drop" dropLines="15" dropStyle="combo" dx="16" fmlaLink="$N$56" fmlaRange="Rebanho!$AO$45:$AO$63" noThreeD="1" val="0"/>
</file>

<file path=xl/ctrlProps/ctrlProp1204.xml><?xml version="1.0" encoding="utf-8"?>
<formControlPr xmlns="http://schemas.microsoft.com/office/spreadsheetml/2009/9/main" objectType="Drop" dropStyle="combo" dx="16" fmlaLink="$R$61" fmlaRange="'Mão-de-obra'!$CK$10:$CK$29" noThreeD="1" val="0"/>
</file>

<file path=xl/ctrlProps/ctrlProp1205.xml><?xml version="1.0" encoding="utf-8"?>
<formControlPr xmlns="http://schemas.microsoft.com/office/spreadsheetml/2009/9/main" objectType="Drop" dropStyle="combo" dx="16" fmlaLink="$R$62" fmlaRange="'Mão-de-obra'!$CK$10:$CK$29" noThreeD="1" val="0"/>
</file>

<file path=xl/ctrlProps/ctrlProp1206.xml><?xml version="1.0" encoding="utf-8"?>
<formControlPr xmlns="http://schemas.microsoft.com/office/spreadsheetml/2009/9/main" objectType="Drop" dropStyle="combo" dx="16" fmlaLink="$R$63" fmlaRange="'Mão-de-obra'!$CK$10:$CK$29" noThreeD="1" val="0"/>
</file>

<file path=xl/ctrlProps/ctrlProp1207.xml><?xml version="1.0" encoding="utf-8"?>
<formControlPr xmlns="http://schemas.microsoft.com/office/spreadsheetml/2009/9/main" objectType="Drop" dropStyle="combo" dx="16" fmlaLink="$R$64" fmlaRange="'Mão-de-obra'!$CK$10:$CK$29" noThreeD="1" val="0"/>
</file>

<file path=xl/ctrlProps/ctrlProp1208.xml><?xml version="1.0" encoding="utf-8"?>
<formControlPr xmlns="http://schemas.microsoft.com/office/spreadsheetml/2009/9/main" objectType="Drop" dropStyle="combo" dx="16" fmlaLink="$R$65" fmlaRange="'Mão-de-obra'!$CK$10:$CK$29" noThreeD="1" val="0"/>
</file>

<file path=xl/ctrlProps/ctrlProp1209.xml><?xml version="1.0" encoding="utf-8"?>
<formControlPr xmlns="http://schemas.microsoft.com/office/spreadsheetml/2009/9/main" objectType="Drop" dropStyle="combo" dx="16" fmlaLink="$F$61" fmlaRange="$EU$6:$EU$56" noThreeD="1" val="11"/>
</file>

<file path=xl/ctrlProps/ctrlProp121.xml><?xml version="1.0" encoding="utf-8"?>
<formControlPr xmlns="http://schemas.microsoft.com/office/spreadsheetml/2009/9/main" objectType="Drop" dropStyle="combo" dx="16" fmlaLink="$H$87" fmlaRange="$AB$8:$AB$12" noThreeD="1" val="0"/>
</file>

<file path=xl/ctrlProps/ctrlProp1210.xml><?xml version="1.0" encoding="utf-8"?>
<formControlPr xmlns="http://schemas.microsoft.com/office/spreadsheetml/2009/9/main" objectType="Drop" dropStyle="combo" dx="16" fmlaLink="$F$62" fmlaRange="$EW$6:$EW$56" noThreeD="1" val="11"/>
</file>

<file path=xl/ctrlProps/ctrlProp1211.xml><?xml version="1.0" encoding="utf-8"?>
<formControlPr xmlns="http://schemas.microsoft.com/office/spreadsheetml/2009/9/main" objectType="Drop" dropStyle="combo" dx="16" fmlaLink="$F$63" fmlaRange="$EY$6:$EY$56" noThreeD="1" val="0"/>
</file>

<file path=xl/ctrlProps/ctrlProp1212.xml><?xml version="1.0" encoding="utf-8"?>
<formControlPr xmlns="http://schemas.microsoft.com/office/spreadsheetml/2009/9/main" objectType="Drop" dropStyle="combo" dx="16" fmlaLink="$F$64" fmlaRange="$FA$6:$FA$56" noThreeD="1" val="0"/>
</file>

<file path=xl/ctrlProps/ctrlProp1213.xml><?xml version="1.0" encoding="utf-8"?>
<formControlPr xmlns="http://schemas.microsoft.com/office/spreadsheetml/2009/9/main" objectType="Drop" dropStyle="combo" dx="16" fmlaLink="$F$65" fmlaRange="$FC$6:$FC$56" noThreeD="1" val="0"/>
</file>

<file path=xl/ctrlProps/ctrlProp1214.xml><?xml version="1.0" encoding="utf-8"?>
<formControlPr xmlns="http://schemas.microsoft.com/office/spreadsheetml/2009/9/main" objectType="Drop" dropStyle="combo" dx="16" fmlaLink="$E$61" fmlaRange="Dados!$M$3:$N$10" noThreeD="1" val="0"/>
</file>

<file path=xl/ctrlProps/ctrlProp1215.xml><?xml version="1.0" encoding="utf-8"?>
<formControlPr xmlns="http://schemas.microsoft.com/office/spreadsheetml/2009/9/main" objectType="Drop" dropStyle="combo" dx="16" fmlaLink="$E$62" fmlaRange="Dados!$M$3:$N$10" noThreeD="1" val="0"/>
</file>

<file path=xl/ctrlProps/ctrlProp1216.xml><?xml version="1.0" encoding="utf-8"?>
<formControlPr xmlns="http://schemas.microsoft.com/office/spreadsheetml/2009/9/main" objectType="Drop" dropStyle="combo" dx="16" fmlaLink="$E$63" fmlaRange="Dados!$M$3:$N$10" noThreeD="1" val="0"/>
</file>

<file path=xl/ctrlProps/ctrlProp1217.xml><?xml version="1.0" encoding="utf-8"?>
<formControlPr xmlns="http://schemas.microsoft.com/office/spreadsheetml/2009/9/main" objectType="Drop" dropStyle="combo" dx="16" fmlaLink="$E$64" fmlaRange="Dados!$M$3:$N$10" noThreeD="1" val="0"/>
</file>

<file path=xl/ctrlProps/ctrlProp1218.xml><?xml version="1.0" encoding="utf-8"?>
<formControlPr xmlns="http://schemas.microsoft.com/office/spreadsheetml/2009/9/main" objectType="Drop" dropStyle="combo" dx="16" fmlaLink="$E$65" fmlaRange="Dados!$M$3:$N$10" noThreeD="1" val="0"/>
</file>

<file path=xl/ctrlProps/ctrlProp1219.xml><?xml version="1.0" encoding="utf-8"?>
<formControlPr xmlns="http://schemas.microsoft.com/office/spreadsheetml/2009/9/main" objectType="Drop" dropStyle="combo" dx="16" fmlaLink="$X$61" fmlaRange="Rebanho!$AH$45:$AH$69" noThreeD="1" val="0"/>
</file>

<file path=xl/ctrlProps/ctrlProp122.xml><?xml version="1.0" encoding="utf-8"?>
<formControlPr xmlns="http://schemas.microsoft.com/office/spreadsheetml/2009/9/main" objectType="Drop" dropStyle="combo" dx="16" fmlaLink="$H$88" fmlaRange="$AB$8:$AB$12" noThreeD="1" val="0"/>
</file>

<file path=xl/ctrlProps/ctrlProp1220.xml><?xml version="1.0" encoding="utf-8"?>
<formControlPr xmlns="http://schemas.microsoft.com/office/spreadsheetml/2009/9/main" objectType="Drop" dropStyle="combo" dx="16" fmlaLink="$Y$61" fmlaRange="Rebanho!$AH$45:$AH$69" noThreeD="1" val="0"/>
</file>

<file path=xl/ctrlProps/ctrlProp1221.xml><?xml version="1.0" encoding="utf-8"?>
<formControlPr xmlns="http://schemas.microsoft.com/office/spreadsheetml/2009/9/main" objectType="Drop" dropStyle="combo" dx="16" fmlaLink="$X$62" fmlaRange="Rebanho!$AH$45:$AH$69" noThreeD="1" val="0"/>
</file>

<file path=xl/ctrlProps/ctrlProp1222.xml><?xml version="1.0" encoding="utf-8"?>
<formControlPr xmlns="http://schemas.microsoft.com/office/spreadsheetml/2009/9/main" objectType="Drop" dropStyle="combo" dx="16" fmlaLink="$X$63" fmlaRange="Rebanho!$AH$45:$AH$69" noThreeD="1" val="0"/>
</file>

<file path=xl/ctrlProps/ctrlProp1223.xml><?xml version="1.0" encoding="utf-8"?>
<formControlPr xmlns="http://schemas.microsoft.com/office/spreadsheetml/2009/9/main" objectType="Drop" dropStyle="combo" dx="16" fmlaLink="$X$64" fmlaRange="Rebanho!$AH$45:$AH$69" noThreeD="1" val="0"/>
</file>

<file path=xl/ctrlProps/ctrlProp1224.xml><?xml version="1.0" encoding="utf-8"?>
<formControlPr xmlns="http://schemas.microsoft.com/office/spreadsheetml/2009/9/main" objectType="Drop" dropStyle="combo" dx="16" fmlaLink="$X$65" fmlaRange="Rebanho!$AH$45:$AH$69" noThreeD="1" val="0"/>
</file>

<file path=xl/ctrlProps/ctrlProp1225.xml><?xml version="1.0" encoding="utf-8"?>
<formControlPr xmlns="http://schemas.microsoft.com/office/spreadsheetml/2009/9/main" objectType="Drop" dropStyle="combo" dx="16" fmlaLink="$Y$62" fmlaRange="Rebanho!$AH$45:$AH$69" noThreeD="1" val="0"/>
</file>

<file path=xl/ctrlProps/ctrlProp1226.xml><?xml version="1.0" encoding="utf-8"?>
<formControlPr xmlns="http://schemas.microsoft.com/office/spreadsheetml/2009/9/main" objectType="Drop" dropStyle="combo" dx="16" fmlaLink="$Y$63" fmlaRange="Rebanho!$AH$45:$AH$69" noThreeD="1" val="0"/>
</file>

<file path=xl/ctrlProps/ctrlProp1227.xml><?xml version="1.0" encoding="utf-8"?>
<formControlPr xmlns="http://schemas.microsoft.com/office/spreadsheetml/2009/9/main" objectType="Drop" dropStyle="combo" dx="16" fmlaLink="$Y$64" fmlaRange="Rebanho!$AH$45:$AH$69" noThreeD="1" val="0"/>
</file>

<file path=xl/ctrlProps/ctrlProp1228.xml><?xml version="1.0" encoding="utf-8"?>
<formControlPr xmlns="http://schemas.microsoft.com/office/spreadsheetml/2009/9/main" objectType="Drop" dropStyle="combo" dx="16" fmlaLink="$Y$65" fmlaRange="Rebanho!$AH$45:$AH$69" noThreeD="1" val="0"/>
</file>

<file path=xl/ctrlProps/ctrlProp1229.xml><?xml version="1.0" encoding="utf-8"?>
<formControlPr xmlns="http://schemas.microsoft.com/office/spreadsheetml/2009/9/main" objectType="Drop" dropLines="15" dropStyle="combo" dx="16" fmlaLink="$N$61" fmlaRange="Rebanho!$AO$45:$AO$63" noThreeD="1" val="4"/>
</file>

<file path=xl/ctrlProps/ctrlProp123.xml><?xml version="1.0" encoding="utf-8"?>
<formControlPr xmlns="http://schemas.microsoft.com/office/spreadsheetml/2009/9/main" objectType="Drop" dropStyle="combo" dx="16" fmlaLink="$C$81" fmlaRange="Dados!$H$86:$H$129" noThreeD="1" sel="23" val="17"/>
</file>

<file path=xl/ctrlProps/ctrlProp1230.xml><?xml version="1.0" encoding="utf-8"?>
<formControlPr xmlns="http://schemas.microsoft.com/office/spreadsheetml/2009/9/main" objectType="Drop" dropLines="15" dropStyle="combo" dx="16" fmlaLink="$N$62" fmlaRange="Rebanho!$AO$45:$AO$63" noThreeD="1" val="0"/>
</file>

<file path=xl/ctrlProps/ctrlProp1231.xml><?xml version="1.0" encoding="utf-8"?>
<formControlPr xmlns="http://schemas.microsoft.com/office/spreadsheetml/2009/9/main" objectType="Drop" dropLines="15" dropStyle="combo" dx="16" fmlaLink="$N$63" fmlaRange="Rebanho!$AO$45:$AO$63" noThreeD="1" val="0"/>
</file>

<file path=xl/ctrlProps/ctrlProp1232.xml><?xml version="1.0" encoding="utf-8"?>
<formControlPr xmlns="http://schemas.microsoft.com/office/spreadsheetml/2009/9/main" objectType="Drop" dropLines="15" dropStyle="combo" dx="16" fmlaLink="$N$64" fmlaRange="Rebanho!$AO$45:$AO$63" noThreeD="1" val="0"/>
</file>

<file path=xl/ctrlProps/ctrlProp1233.xml><?xml version="1.0" encoding="utf-8"?>
<formControlPr xmlns="http://schemas.microsoft.com/office/spreadsheetml/2009/9/main" objectType="Drop" dropLines="15" dropStyle="combo" dx="16" fmlaLink="$N$65" fmlaRange="Rebanho!$AO$45:$AO$63" noThreeD="1" val="0"/>
</file>

<file path=xl/ctrlProps/ctrlProp1234.xml><?xml version="1.0" encoding="utf-8"?>
<formControlPr xmlns="http://schemas.microsoft.com/office/spreadsheetml/2009/9/main" objectType="Drop" dropStyle="combo" dx="16" fmlaLink="$R$70" fmlaRange="'Mão-de-obra'!$CK$10:$CK$29" noThreeD="1" val="0"/>
</file>

<file path=xl/ctrlProps/ctrlProp1235.xml><?xml version="1.0" encoding="utf-8"?>
<formControlPr xmlns="http://schemas.microsoft.com/office/spreadsheetml/2009/9/main" objectType="Drop" dropStyle="combo" dx="16" fmlaLink="$R$71" fmlaRange="'Mão-de-obra'!$CK$10:$CK$29" noThreeD="1" val="0"/>
</file>

<file path=xl/ctrlProps/ctrlProp1236.xml><?xml version="1.0" encoding="utf-8"?>
<formControlPr xmlns="http://schemas.microsoft.com/office/spreadsheetml/2009/9/main" objectType="Drop" dropStyle="combo" dx="16" fmlaLink="$R$72" fmlaRange="'Mão-de-obra'!$CK$10:$CK$29" noThreeD="1" val="0"/>
</file>

<file path=xl/ctrlProps/ctrlProp1237.xml><?xml version="1.0" encoding="utf-8"?>
<formControlPr xmlns="http://schemas.microsoft.com/office/spreadsheetml/2009/9/main" objectType="Drop" dropStyle="combo" dx="16" fmlaLink="$R$73" fmlaRange="'Mão-de-obra'!$CK$10:$CK$29" noThreeD="1" val="0"/>
</file>

<file path=xl/ctrlProps/ctrlProp1238.xml><?xml version="1.0" encoding="utf-8"?>
<formControlPr xmlns="http://schemas.microsoft.com/office/spreadsheetml/2009/9/main" objectType="Drop" dropStyle="combo" dx="16" fmlaLink="$R$74" fmlaRange="'Mão-de-obra'!$CK$10:$CK$29" noThreeD="1" val="0"/>
</file>

<file path=xl/ctrlProps/ctrlProp1239.xml><?xml version="1.0" encoding="utf-8"?>
<formControlPr xmlns="http://schemas.microsoft.com/office/spreadsheetml/2009/9/main" objectType="Drop" dropStyle="combo" dx="16" fmlaLink="$F$70" fmlaRange="$FF$6:$FF$56" noThreeD="1" val="2"/>
</file>

<file path=xl/ctrlProps/ctrlProp124.xml><?xml version="1.0" encoding="utf-8"?>
<formControlPr xmlns="http://schemas.microsoft.com/office/spreadsheetml/2009/9/main" objectType="Drop" dropStyle="combo" dx="16" fmlaLink="$C$82" fmlaRange="Dados!$H$86:$H$129" noThreeD="1" sel="24" val="17"/>
</file>

<file path=xl/ctrlProps/ctrlProp1240.xml><?xml version="1.0" encoding="utf-8"?>
<formControlPr xmlns="http://schemas.microsoft.com/office/spreadsheetml/2009/9/main" objectType="Drop" dropStyle="combo" dx="16" fmlaLink="$F$71" fmlaRange="$FH$6:$FH$56" noThreeD="1" val="2"/>
</file>

<file path=xl/ctrlProps/ctrlProp1241.xml><?xml version="1.0" encoding="utf-8"?>
<formControlPr xmlns="http://schemas.microsoft.com/office/spreadsheetml/2009/9/main" objectType="Drop" dropStyle="combo" dx="16" fmlaLink="$F$72" fmlaRange="$FJ$6:$FJ$56" noThreeD="1" val="0"/>
</file>

<file path=xl/ctrlProps/ctrlProp1242.xml><?xml version="1.0" encoding="utf-8"?>
<formControlPr xmlns="http://schemas.microsoft.com/office/spreadsheetml/2009/9/main" objectType="Drop" dropStyle="combo" dx="16" fmlaLink="$F$73" fmlaRange="$FL$6:$FL$56" noThreeD="1" val="0"/>
</file>

<file path=xl/ctrlProps/ctrlProp1243.xml><?xml version="1.0" encoding="utf-8"?>
<formControlPr xmlns="http://schemas.microsoft.com/office/spreadsheetml/2009/9/main" objectType="Drop" dropStyle="combo" dx="16" fmlaLink="$F$74" fmlaRange="$FN$6:$FN$56" noThreeD="1" val="0"/>
</file>

<file path=xl/ctrlProps/ctrlProp1244.xml><?xml version="1.0" encoding="utf-8"?>
<formControlPr xmlns="http://schemas.microsoft.com/office/spreadsheetml/2009/9/main" objectType="Drop" dropStyle="combo" dx="16" fmlaLink="$E$70" fmlaRange="Dados!$M$3:$N$10" noThreeD="1" val="0"/>
</file>

<file path=xl/ctrlProps/ctrlProp1245.xml><?xml version="1.0" encoding="utf-8"?>
<formControlPr xmlns="http://schemas.microsoft.com/office/spreadsheetml/2009/9/main" objectType="Drop" dropStyle="combo" dx="16" fmlaLink="$E$71" fmlaRange="Dados!$M$3:$N$10" noThreeD="1" val="0"/>
</file>

<file path=xl/ctrlProps/ctrlProp1246.xml><?xml version="1.0" encoding="utf-8"?>
<formControlPr xmlns="http://schemas.microsoft.com/office/spreadsheetml/2009/9/main" objectType="Drop" dropStyle="combo" dx="16" fmlaLink="$E$72" fmlaRange="Dados!$M$3:$N$10" noThreeD="1" val="0"/>
</file>

<file path=xl/ctrlProps/ctrlProp1247.xml><?xml version="1.0" encoding="utf-8"?>
<formControlPr xmlns="http://schemas.microsoft.com/office/spreadsheetml/2009/9/main" objectType="Drop" dropStyle="combo" dx="16" fmlaLink="$E$73" fmlaRange="Dados!$M$3:$N$10" noThreeD="1" val="0"/>
</file>

<file path=xl/ctrlProps/ctrlProp1248.xml><?xml version="1.0" encoding="utf-8"?>
<formControlPr xmlns="http://schemas.microsoft.com/office/spreadsheetml/2009/9/main" objectType="Drop" dropStyle="combo" dx="16" fmlaLink="$E$74" fmlaRange="Dados!$M$3:$N$10" noThreeD="1" val="0"/>
</file>

<file path=xl/ctrlProps/ctrlProp1249.xml><?xml version="1.0" encoding="utf-8"?>
<formControlPr xmlns="http://schemas.microsoft.com/office/spreadsheetml/2009/9/main" objectType="Drop" dropStyle="combo" dx="16" fmlaLink="$X$70" fmlaRange="Rebanho!$AH$45:$AH$69" noThreeD="1" val="0"/>
</file>

<file path=xl/ctrlProps/ctrlProp125.xml><?xml version="1.0" encoding="utf-8"?>
<formControlPr xmlns="http://schemas.microsoft.com/office/spreadsheetml/2009/9/main" objectType="Drop" dropStyle="combo" dx="16" fmlaLink="$C$83" fmlaRange="Dados!$H$86:$H$129" noThreeD="1" sel="18" val="12"/>
</file>

<file path=xl/ctrlProps/ctrlProp1250.xml><?xml version="1.0" encoding="utf-8"?>
<formControlPr xmlns="http://schemas.microsoft.com/office/spreadsheetml/2009/9/main" objectType="Drop" dropStyle="combo" dx="16" fmlaLink="$Y$70" fmlaRange="Rebanho!$AH$45:$AH$69" noThreeD="1" val="0"/>
</file>

<file path=xl/ctrlProps/ctrlProp1251.xml><?xml version="1.0" encoding="utf-8"?>
<formControlPr xmlns="http://schemas.microsoft.com/office/spreadsheetml/2009/9/main" objectType="Drop" dropStyle="combo" dx="16" fmlaLink="$X$71" fmlaRange="Rebanho!$AH$45:$AH$69" noThreeD="1" val="0"/>
</file>

<file path=xl/ctrlProps/ctrlProp1252.xml><?xml version="1.0" encoding="utf-8"?>
<formControlPr xmlns="http://schemas.microsoft.com/office/spreadsheetml/2009/9/main" objectType="Drop" dropStyle="combo" dx="16" fmlaLink="$X$72" fmlaRange="Rebanho!$AH$45:$AH$69" noThreeD="1" val="0"/>
</file>

<file path=xl/ctrlProps/ctrlProp1253.xml><?xml version="1.0" encoding="utf-8"?>
<formControlPr xmlns="http://schemas.microsoft.com/office/spreadsheetml/2009/9/main" objectType="Drop" dropStyle="combo" dx="16" fmlaLink="$X$73" fmlaRange="Rebanho!$AH$45:$AH$69" noThreeD="1" val="0"/>
</file>

<file path=xl/ctrlProps/ctrlProp1254.xml><?xml version="1.0" encoding="utf-8"?>
<formControlPr xmlns="http://schemas.microsoft.com/office/spreadsheetml/2009/9/main" objectType="Drop" dropStyle="combo" dx="16" fmlaLink="$X$74" fmlaRange="Rebanho!$AH$45:$AH$69" noThreeD="1" val="0"/>
</file>

<file path=xl/ctrlProps/ctrlProp1255.xml><?xml version="1.0" encoding="utf-8"?>
<formControlPr xmlns="http://schemas.microsoft.com/office/spreadsheetml/2009/9/main" objectType="Drop" dropStyle="combo" dx="16" fmlaLink="$Y$71" fmlaRange="Rebanho!$AH$45:$AH$69" noThreeD="1" val="0"/>
</file>

<file path=xl/ctrlProps/ctrlProp1256.xml><?xml version="1.0" encoding="utf-8"?>
<formControlPr xmlns="http://schemas.microsoft.com/office/spreadsheetml/2009/9/main" objectType="Drop" dropStyle="combo" dx="16" fmlaLink="$Y$72" fmlaRange="Rebanho!$AH$45:$AH$69" noThreeD="1" val="0"/>
</file>

<file path=xl/ctrlProps/ctrlProp1257.xml><?xml version="1.0" encoding="utf-8"?>
<formControlPr xmlns="http://schemas.microsoft.com/office/spreadsheetml/2009/9/main" objectType="Drop" dropStyle="combo" dx="16" fmlaLink="$Y$73" fmlaRange="Rebanho!$AH$45:$AH$69" noThreeD="1" val="0"/>
</file>

<file path=xl/ctrlProps/ctrlProp1258.xml><?xml version="1.0" encoding="utf-8"?>
<formControlPr xmlns="http://schemas.microsoft.com/office/spreadsheetml/2009/9/main" objectType="Drop" dropStyle="combo" dx="16" fmlaLink="$Y$74" fmlaRange="Rebanho!$AH$45:$AH$69" noThreeD="1" val="0"/>
</file>

<file path=xl/ctrlProps/ctrlProp1259.xml><?xml version="1.0" encoding="utf-8"?>
<formControlPr xmlns="http://schemas.microsoft.com/office/spreadsheetml/2009/9/main" objectType="Drop" dropLines="15" dropStyle="combo" dx="16" fmlaLink="$N$70" fmlaRange="Rebanho!$AO$45:$AO$63" noThreeD="1" val="4"/>
</file>

<file path=xl/ctrlProps/ctrlProp126.xml><?xml version="1.0" encoding="utf-8"?>
<formControlPr xmlns="http://schemas.microsoft.com/office/spreadsheetml/2009/9/main" objectType="Drop" dropStyle="combo" dx="16" fmlaLink="$C$84" fmlaRange="Dados!$H$86:$H$129" noThreeD="1" sel="27" val="20"/>
</file>

<file path=xl/ctrlProps/ctrlProp1260.xml><?xml version="1.0" encoding="utf-8"?>
<formControlPr xmlns="http://schemas.microsoft.com/office/spreadsheetml/2009/9/main" objectType="Drop" dropLines="15" dropStyle="combo" dx="16" fmlaLink="$N$71" fmlaRange="Rebanho!$AO$45:$AO$63" noThreeD="1" val="0"/>
</file>

<file path=xl/ctrlProps/ctrlProp1261.xml><?xml version="1.0" encoding="utf-8"?>
<formControlPr xmlns="http://schemas.microsoft.com/office/spreadsheetml/2009/9/main" objectType="Drop" dropLines="15" dropStyle="combo" dx="16" fmlaLink="$N$72" fmlaRange="Rebanho!$AO$45:$AO$63" noThreeD="1" val="0"/>
</file>

<file path=xl/ctrlProps/ctrlProp1262.xml><?xml version="1.0" encoding="utf-8"?>
<formControlPr xmlns="http://schemas.microsoft.com/office/spreadsheetml/2009/9/main" objectType="Drop" dropLines="15" dropStyle="combo" dx="16" fmlaLink="$N$73" fmlaRange="Rebanho!$AO$45:$AO$63" noThreeD="1" val="0"/>
</file>

<file path=xl/ctrlProps/ctrlProp1263.xml><?xml version="1.0" encoding="utf-8"?>
<formControlPr xmlns="http://schemas.microsoft.com/office/spreadsheetml/2009/9/main" objectType="Drop" dropLines="15" dropStyle="combo" dx="16" fmlaLink="$N$74" fmlaRange="Rebanho!$AO$45:$AO$63" noThreeD="1" val="0"/>
</file>

<file path=xl/ctrlProps/ctrlProp1264.xml><?xml version="1.0" encoding="utf-8"?>
<formControlPr xmlns="http://schemas.microsoft.com/office/spreadsheetml/2009/9/main" objectType="Drop" dropStyle="combo" dx="16" fmlaLink="$R$79" fmlaRange="'Mão-de-obra'!$CK$10:$CK$29" noThreeD="1" val="0"/>
</file>

<file path=xl/ctrlProps/ctrlProp1265.xml><?xml version="1.0" encoding="utf-8"?>
<formControlPr xmlns="http://schemas.microsoft.com/office/spreadsheetml/2009/9/main" objectType="Drop" dropStyle="combo" dx="16" fmlaLink="$R$80" fmlaRange="'Mão-de-obra'!$CK$10:$CK$29" noThreeD="1" val="0"/>
</file>

<file path=xl/ctrlProps/ctrlProp1266.xml><?xml version="1.0" encoding="utf-8"?>
<formControlPr xmlns="http://schemas.microsoft.com/office/spreadsheetml/2009/9/main" objectType="Drop" dropStyle="combo" dx="16" fmlaLink="$R$81" fmlaRange="'Mão-de-obra'!$CK$10:$CK$29" noThreeD="1" val="0"/>
</file>

<file path=xl/ctrlProps/ctrlProp1267.xml><?xml version="1.0" encoding="utf-8"?>
<formControlPr xmlns="http://schemas.microsoft.com/office/spreadsheetml/2009/9/main" objectType="Drop" dropStyle="combo" dx="16" fmlaLink="$R$82" fmlaRange="'Mão-de-obra'!$CK$10:$CK$29" noThreeD="1" val="0"/>
</file>

<file path=xl/ctrlProps/ctrlProp1268.xml><?xml version="1.0" encoding="utf-8"?>
<formControlPr xmlns="http://schemas.microsoft.com/office/spreadsheetml/2009/9/main" objectType="Drop" dropStyle="combo" dx="16" fmlaLink="$R$83" fmlaRange="'Mão-de-obra'!$CK$10:$CK$29" noThreeD="1" val="0"/>
</file>

<file path=xl/ctrlProps/ctrlProp1269.xml><?xml version="1.0" encoding="utf-8"?>
<formControlPr xmlns="http://schemas.microsoft.com/office/spreadsheetml/2009/9/main" objectType="Drop" dropStyle="combo" dx="16" fmlaLink="$F$79" fmlaRange="$FQ$6:$FQ$56" noThreeD="1" val="0"/>
</file>

<file path=xl/ctrlProps/ctrlProp127.xml><?xml version="1.0" encoding="utf-8"?>
<formControlPr xmlns="http://schemas.microsoft.com/office/spreadsheetml/2009/9/main" objectType="Drop" dropStyle="combo" dx="16" fmlaLink="$C$85" fmlaRange="Dados!$H$86:$H$129" noThreeD="1" val="24"/>
</file>

<file path=xl/ctrlProps/ctrlProp1270.xml><?xml version="1.0" encoding="utf-8"?>
<formControlPr xmlns="http://schemas.microsoft.com/office/spreadsheetml/2009/9/main" objectType="Drop" dropStyle="combo" dx="16" fmlaLink="$F$80" fmlaRange="$FS$6:$FS$56" noThreeD="1" val="5"/>
</file>

<file path=xl/ctrlProps/ctrlProp1271.xml><?xml version="1.0" encoding="utf-8"?>
<formControlPr xmlns="http://schemas.microsoft.com/office/spreadsheetml/2009/9/main" objectType="Drop" dropStyle="combo" dx="16" fmlaLink="$F$81" fmlaRange="$FU$6:$FU$56" noThreeD="1" val="12"/>
</file>

<file path=xl/ctrlProps/ctrlProp1272.xml><?xml version="1.0" encoding="utf-8"?>
<formControlPr xmlns="http://schemas.microsoft.com/office/spreadsheetml/2009/9/main" objectType="Drop" dropStyle="combo" dx="16" fmlaLink="$F$82" fmlaRange="$FW$6:$FW$56" noThreeD="1" val="11"/>
</file>

<file path=xl/ctrlProps/ctrlProp1273.xml><?xml version="1.0" encoding="utf-8"?>
<formControlPr xmlns="http://schemas.microsoft.com/office/spreadsheetml/2009/9/main" objectType="Drop" dropStyle="combo" dx="16" fmlaLink="$F$83" fmlaRange="$FY$6:$FY$56" noThreeD="1" val="0"/>
</file>

<file path=xl/ctrlProps/ctrlProp1274.xml><?xml version="1.0" encoding="utf-8"?>
<formControlPr xmlns="http://schemas.microsoft.com/office/spreadsheetml/2009/9/main" objectType="Drop" dropStyle="combo" dx="16" fmlaLink="$E$79" fmlaRange="Dados!$M$3:$N$10" noThreeD="1" val="0"/>
</file>

<file path=xl/ctrlProps/ctrlProp1275.xml><?xml version="1.0" encoding="utf-8"?>
<formControlPr xmlns="http://schemas.microsoft.com/office/spreadsheetml/2009/9/main" objectType="Drop" dropStyle="combo" dx="16" fmlaLink="$E$80" fmlaRange="Dados!$M$3:$N$10" noThreeD="1" val="0"/>
</file>

<file path=xl/ctrlProps/ctrlProp1276.xml><?xml version="1.0" encoding="utf-8"?>
<formControlPr xmlns="http://schemas.microsoft.com/office/spreadsheetml/2009/9/main" objectType="Drop" dropStyle="combo" dx="16" fmlaLink="$E$81" fmlaRange="Dados!$M$3:$N$10" noThreeD="1" val="0"/>
</file>

<file path=xl/ctrlProps/ctrlProp1277.xml><?xml version="1.0" encoding="utf-8"?>
<formControlPr xmlns="http://schemas.microsoft.com/office/spreadsheetml/2009/9/main" objectType="Drop" dropStyle="combo" dx="16" fmlaLink="$E$82" fmlaRange="Dados!$M$3:$N$10" noThreeD="1" val="0"/>
</file>

<file path=xl/ctrlProps/ctrlProp1278.xml><?xml version="1.0" encoding="utf-8"?>
<formControlPr xmlns="http://schemas.microsoft.com/office/spreadsheetml/2009/9/main" objectType="Drop" dropStyle="combo" dx="16" fmlaLink="$E$83" fmlaRange="Dados!$M$3:$N$10" noThreeD="1" val="0"/>
</file>

<file path=xl/ctrlProps/ctrlProp1279.xml><?xml version="1.0" encoding="utf-8"?>
<formControlPr xmlns="http://schemas.microsoft.com/office/spreadsheetml/2009/9/main" objectType="Drop" dropStyle="combo" dx="16" fmlaLink="$X$79" fmlaRange="Rebanho!$AH$45:$AH$69" noThreeD="1" val="0"/>
</file>

<file path=xl/ctrlProps/ctrlProp128.xml><?xml version="1.0" encoding="utf-8"?>
<formControlPr xmlns="http://schemas.microsoft.com/office/spreadsheetml/2009/9/main" objectType="Drop" dropStyle="combo" dx="16" fmlaLink="$C$86" fmlaRange="Dados!$H$86:$H$129" noThreeD="1" val="0"/>
</file>

<file path=xl/ctrlProps/ctrlProp1280.xml><?xml version="1.0" encoding="utf-8"?>
<formControlPr xmlns="http://schemas.microsoft.com/office/spreadsheetml/2009/9/main" objectType="Drop" dropStyle="combo" dx="16" fmlaLink="$Y$79" fmlaRange="Rebanho!$AH$45:$AH$69" noThreeD="1" val="0"/>
</file>

<file path=xl/ctrlProps/ctrlProp1281.xml><?xml version="1.0" encoding="utf-8"?>
<formControlPr xmlns="http://schemas.microsoft.com/office/spreadsheetml/2009/9/main" objectType="Drop" dropStyle="combo" dx="16" fmlaLink="$X$80" fmlaRange="Rebanho!$AH$45:$AH$69" noThreeD="1" val="0"/>
</file>

<file path=xl/ctrlProps/ctrlProp1282.xml><?xml version="1.0" encoding="utf-8"?>
<formControlPr xmlns="http://schemas.microsoft.com/office/spreadsheetml/2009/9/main" objectType="Drop" dropStyle="combo" dx="16" fmlaLink="$X$81" fmlaRange="Rebanho!$AH$45:$AH$69" noThreeD="1" val="0"/>
</file>

<file path=xl/ctrlProps/ctrlProp1283.xml><?xml version="1.0" encoding="utf-8"?>
<formControlPr xmlns="http://schemas.microsoft.com/office/spreadsheetml/2009/9/main" objectType="Drop" dropStyle="combo" dx="16" fmlaLink="$X$82" fmlaRange="Rebanho!$AH$45:$AH$69" noThreeD="1" val="0"/>
</file>

<file path=xl/ctrlProps/ctrlProp1284.xml><?xml version="1.0" encoding="utf-8"?>
<formControlPr xmlns="http://schemas.microsoft.com/office/spreadsheetml/2009/9/main" objectType="Drop" dropStyle="combo" dx="16" fmlaLink="$X$83" fmlaRange="Rebanho!$AH$45:$AH$69" noThreeD="1" val="0"/>
</file>

<file path=xl/ctrlProps/ctrlProp1285.xml><?xml version="1.0" encoding="utf-8"?>
<formControlPr xmlns="http://schemas.microsoft.com/office/spreadsheetml/2009/9/main" objectType="Drop" dropStyle="combo" dx="16" fmlaLink="$Y$80" fmlaRange="Rebanho!$AH$45:$AH$69" noThreeD="1" val="0"/>
</file>

<file path=xl/ctrlProps/ctrlProp1286.xml><?xml version="1.0" encoding="utf-8"?>
<formControlPr xmlns="http://schemas.microsoft.com/office/spreadsheetml/2009/9/main" objectType="Drop" dropStyle="combo" dx="16" fmlaLink="$Y$81" fmlaRange="Rebanho!$AH$45:$AH$69" noThreeD="1" val="0"/>
</file>

<file path=xl/ctrlProps/ctrlProp1287.xml><?xml version="1.0" encoding="utf-8"?>
<formControlPr xmlns="http://schemas.microsoft.com/office/spreadsheetml/2009/9/main" objectType="Drop" dropStyle="combo" dx="16" fmlaLink="$Y$82" fmlaRange="Rebanho!$AH$45:$AH$69" noThreeD="1" val="0"/>
</file>

<file path=xl/ctrlProps/ctrlProp1288.xml><?xml version="1.0" encoding="utf-8"?>
<formControlPr xmlns="http://schemas.microsoft.com/office/spreadsheetml/2009/9/main" objectType="Drop" dropStyle="combo" dx="16" fmlaLink="$Y$83" fmlaRange="Rebanho!$AH$45:$AH$69" noThreeD="1" val="0"/>
</file>

<file path=xl/ctrlProps/ctrlProp1289.xml><?xml version="1.0" encoding="utf-8"?>
<formControlPr xmlns="http://schemas.microsoft.com/office/spreadsheetml/2009/9/main" objectType="Drop" dropLines="15" dropStyle="combo" dx="16" fmlaLink="$N$79" fmlaRange="Rebanho!$AO$45:$AO$63" noThreeD="1" val="4"/>
</file>

<file path=xl/ctrlProps/ctrlProp129.xml><?xml version="1.0" encoding="utf-8"?>
<formControlPr xmlns="http://schemas.microsoft.com/office/spreadsheetml/2009/9/main" objectType="Drop" dropStyle="combo" dx="16" fmlaLink="$C$87" fmlaRange="Dados!$H$86:$H$129" noThreeD="1" val="0"/>
</file>

<file path=xl/ctrlProps/ctrlProp1290.xml><?xml version="1.0" encoding="utf-8"?>
<formControlPr xmlns="http://schemas.microsoft.com/office/spreadsheetml/2009/9/main" objectType="Drop" dropLines="15" dropStyle="combo" dx="16" fmlaLink="$N$80" fmlaRange="Rebanho!$AO$45:$AO$63" noThreeD="1" val="0"/>
</file>

<file path=xl/ctrlProps/ctrlProp1291.xml><?xml version="1.0" encoding="utf-8"?>
<formControlPr xmlns="http://schemas.microsoft.com/office/spreadsheetml/2009/9/main" objectType="Drop" dropLines="15" dropStyle="combo" dx="16" fmlaLink="$N$81" fmlaRange="Rebanho!$AO$45:$AO$63" noThreeD="1" val="0"/>
</file>

<file path=xl/ctrlProps/ctrlProp1292.xml><?xml version="1.0" encoding="utf-8"?>
<formControlPr xmlns="http://schemas.microsoft.com/office/spreadsheetml/2009/9/main" objectType="Drop" dropLines="15" dropStyle="combo" dx="16" fmlaLink="$N$82" fmlaRange="Rebanho!$AO$45:$AO$63" noThreeD="1" val="0"/>
</file>

<file path=xl/ctrlProps/ctrlProp1293.xml><?xml version="1.0" encoding="utf-8"?>
<formControlPr xmlns="http://schemas.microsoft.com/office/spreadsheetml/2009/9/main" objectType="Drop" dropLines="15" dropStyle="combo" dx="16" fmlaLink="$N$83" fmlaRange="Rebanho!$AO$45:$AO$63" noThreeD="1" val="0"/>
</file>

<file path=xl/ctrlProps/ctrlProp1294.xml><?xml version="1.0" encoding="utf-8"?>
<formControlPr xmlns="http://schemas.microsoft.com/office/spreadsheetml/2009/9/main" objectType="Drop" dropStyle="combo" dx="16" fmlaLink="$R$88" fmlaRange="'Mão-de-obra'!$CK$10:$CK$29" noThreeD="1" val="0"/>
</file>

<file path=xl/ctrlProps/ctrlProp1295.xml><?xml version="1.0" encoding="utf-8"?>
<formControlPr xmlns="http://schemas.microsoft.com/office/spreadsheetml/2009/9/main" objectType="Drop" dropStyle="combo" dx="16" fmlaLink="$R$89" fmlaRange="'Mão-de-obra'!$CK$10:$CK$29" noThreeD="1" val="0"/>
</file>

<file path=xl/ctrlProps/ctrlProp1296.xml><?xml version="1.0" encoding="utf-8"?>
<formControlPr xmlns="http://schemas.microsoft.com/office/spreadsheetml/2009/9/main" objectType="Drop" dropStyle="combo" dx="16" fmlaLink="$R$90" fmlaRange="'Mão-de-obra'!$CK$10:$CK$29" noThreeD="1" val="0"/>
</file>

<file path=xl/ctrlProps/ctrlProp1297.xml><?xml version="1.0" encoding="utf-8"?>
<formControlPr xmlns="http://schemas.microsoft.com/office/spreadsheetml/2009/9/main" objectType="Drop" dropStyle="combo" dx="16" fmlaLink="$R$91" fmlaRange="'Mão-de-obra'!$CK$10:$CK$29" noThreeD="1" val="0"/>
</file>

<file path=xl/ctrlProps/ctrlProp1298.xml><?xml version="1.0" encoding="utf-8"?>
<formControlPr xmlns="http://schemas.microsoft.com/office/spreadsheetml/2009/9/main" objectType="Drop" dropStyle="combo" dx="16" fmlaLink="$R$92" fmlaRange="'Mão-de-obra'!$CK$10:$CK$29" noThreeD="1" val="0"/>
</file>

<file path=xl/ctrlProps/ctrlProp1299.xml><?xml version="1.0" encoding="utf-8"?>
<formControlPr xmlns="http://schemas.microsoft.com/office/spreadsheetml/2009/9/main" objectType="Drop" dropStyle="combo" dx="16" fmlaLink="$F$88" fmlaRange="$GB$6:$GB$56" noThreeD="1" val="0"/>
</file>

<file path=xl/ctrlProps/ctrlProp13.xml><?xml version="1.0" encoding="utf-8"?>
<formControlPr xmlns="http://schemas.microsoft.com/office/spreadsheetml/2009/9/main" objectType="Drop" dropStyle="combo" dx="16" fmlaLink="$I$20" fmlaRange="$AD$15:$AD$39" noThreeD="1" val="0"/>
</file>

<file path=xl/ctrlProps/ctrlProp130.xml><?xml version="1.0" encoding="utf-8"?>
<formControlPr xmlns="http://schemas.microsoft.com/office/spreadsheetml/2009/9/main" objectType="Drop" dropStyle="combo" dx="16" fmlaLink="$C$88" fmlaRange="Dados!$H$86:$H$129" noThreeD="1" val="17"/>
</file>

<file path=xl/ctrlProps/ctrlProp1300.xml><?xml version="1.0" encoding="utf-8"?>
<formControlPr xmlns="http://schemas.microsoft.com/office/spreadsheetml/2009/9/main" objectType="Drop" dropStyle="combo" dx="16" fmlaLink="$F$89" fmlaRange="$GD$6:$GD$56" noThreeD="1" val="0"/>
</file>

<file path=xl/ctrlProps/ctrlProp1301.xml><?xml version="1.0" encoding="utf-8"?>
<formControlPr xmlns="http://schemas.microsoft.com/office/spreadsheetml/2009/9/main" objectType="Drop" dropStyle="combo" dx="16" fmlaLink="$F$90" fmlaRange="$GF$6:$GF$56" noThreeD="1" val="3"/>
</file>

<file path=xl/ctrlProps/ctrlProp1302.xml><?xml version="1.0" encoding="utf-8"?>
<formControlPr xmlns="http://schemas.microsoft.com/office/spreadsheetml/2009/9/main" objectType="Drop" dropStyle="combo" dx="16" fmlaLink="$F$91" fmlaRange="$GH$6:$GH$56" noThreeD="1" val="0"/>
</file>

<file path=xl/ctrlProps/ctrlProp1303.xml><?xml version="1.0" encoding="utf-8"?>
<formControlPr xmlns="http://schemas.microsoft.com/office/spreadsheetml/2009/9/main" objectType="Drop" dropStyle="combo" dx="16" fmlaLink="$F$92" fmlaRange="$GJ$6:$GJ$56" noThreeD="1" val="0"/>
</file>

<file path=xl/ctrlProps/ctrlProp1304.xml><?xml version="1.0" encoding="utf-8"?>
<formControlPr xmlns="http://schemas.microsoft.com/office/spreadsheetml/2009/9/main" objectType="Drop" dropStyle="combo" dx="16" fmlaLink="$E$88" fmlaRange="Dados!$M$3:$N$10" noThreeD="1" val="0"/>
</file>

<file path=xl/ctrlProps/ctrlProp1305.xml><?xml version="1.0" encoding="utf-8"?>
<formControlPr xmlns="http://schemas.microsoft.com/office/spreadsheetml/2009/9/main" objectType="Drop" dropStyle="combo" dx="16" fmlaLink="$E$89" fmlaRange="Dados!$M$3:$N$10" noThreeD="1" val="0"/>
</file>

<file path=xl/ctrlProps/ctrlProp1306.xml><?xml version="1.0" encoding="utf-8"?>
<formControlPr xmlns="http://schemas.microsoft.com/office/spreadsheetml/2009/9/main" objectType="Drop" dropStyle="combo" dx="16" fmlaLink="$E$90" fmlaRange="Dados!$M$3:$N$10" noThreeD="1" val="0"/>
</file>

<file path=xl/ctrlProps/ctrlProp1307.xml><?xml version="1.0" encoding="utf-8"?>
<formControlPr xmlns="http://schemas.microsoft.com/office/spreadsheetml/2009/9/main" objectType="Drop" dropStyle="combo" dx="16" fmlaLink="$E$91" fmlaRange="Dados!$M$3:$N$10" noThreeD="1" val="0"/>
</file>

<file path=xl/ctrlProps/ctrlProp1308.xml><?xml version="1.0" encoding="utf-8"?>
<formControlPr xmlns="http://schemas.microsoft.com/office/spreadsheetml/2009/9/main" objectType="Drop" dropStyle="combo" dx="16" fmlaLink="$E$92" fmlaRange="Dados!$M$3:$N$10" noThreeD="1" val="0"/>
</file>

<file path=xl/ctrlProps/ctrlProp1309.xml><?xml version="1.0" encoding="utf-8"?>
<formControlPr xmlns="http://schemas.microsoft.com/office/spreadsheetml/2009/9/main" objectType="Drop" dropStyle="combo" dx="16" fmlaLink="$X$88" fmlaRange="Rebanho!$AH$45:$AH$69" noThreeD="1" val="0"/>
</file>

<file path=xl/ctrlProps/ctrlProp131.xml><?xml version="1.0" encoding="utf-8"?>
<formControlPr xmlns="http://schemas.microsoft.com/office/spreadsheetml/2009/9/main" objectType="Drop" dropStyle="combo" dx="16" fmlaLink="$C$105" fmlaRange="Dados!$I$86:$I$129" noThreeD="1" sel="2" val="0"/>
</file>

<file path=xl/ctrlProps/ctrlProp1310.xml><?xml version="1.0" encoding="utf-8"?>
<formControlPr xmlns="http://schemas.microsoft.com/office/spreadsheetml/2009/9/main" objectType="Drop" dropStyle="combo" dx="16" fmlaLink="$Y$88" fmlaRange="Rebanho!$AH$45:$AH$69" noThreeD="1" val="0"/>
</file>

<file path=xl/ctrlProps/ctrlProp1311.xml><?xml version="1.0" encoding="utf-8"?>
<formControlPr xmlns="http://schemas.microsoft.com/office/spreadsheetml/2009/9/main" objectType="Drop" dropStyle="combo" dx="16" fmlaLink="$X$89" fmlaRange="Rebanho!$AH$45:$AH$69" noThreeD="1" val="0"/>
</file>

<file path=xl/ctrlProps/ctrlProp1312.xml><?xml version="1.0" encoding="utf-8"?>
<formControlPr xmlns="http://schemas.microsoft.com/office/spreadsheetml/2009/9/main" objectType="Drop" dropStyle="combo" dx="16" fmlaLink="$X$90" fmlaRange="Rebanho!$AH$45:$AH$69" noThreeD="1" val="0"/>
</file>

<file path=xl/ctrlProps/ctrlProp1313.xml><?xml version="1.0" encoding="utf-8"?>
<formControlPr xmlns="http://schemas.microsoft.com/office/spreadsheetml/2009/9/main" objectType="Drop" dropStyle="combo" dx="16" fmlaLink="$X$91" fmlaRange="Rebanho!$AH$45:$AH$69" noThreeD="1" val="0"/>
</file>

<file path=xl/ctrlProps/ctrlProp1314.xml><?xml version="1.0" encoding="utf-8"?>
<formControlPr xmlns="http://schemas.microsoft.com/office/spreadsheetml/2009/9/main" objectType="Drop" dropStyle="combo" dx="16" fmlaLink="$X$92" fmlaRange="Rebanho!$AH$45:$AH$69" noThreeD="1" val="0"/>
</file>

<file path=xl/ctrlProps/ctrlProp1315.xml><?xml version="1.0" encoding="utf-8"?>
<formControlPr xmlns="http://schemas.microsoft.com/office/spreadsheetml/2009/9/main" objectType="Drop" dropStyle="combo" dx="16" fmlaLink="$Y$89" fmlaRange="Rebanho!$AH$45:$AH$69" noThreeD="1" val="0"/>
</file>

<file path=xl/ctrlProps/ctrlProp1316.xml><?xml version="1.0" encoding="utf-8"?>
<formControlPr xmlns="http://schemas.microsoft.com/office/spreadsheetml/2009/9/main" objectType="Drop" dropStyle="combo" dx="16" fmlaLink="$Y$90" fmlaRange="Rebanho!$AH$45:$AH$69" noThreeD="1" val="0"/>
</file>

<file path=xl/ctrlProps/ctrlProp1317.xml><?xml version="1.0" encoding="utf-8"?>
<formControlPr xmlns="http://schemas.microsoft.com/office/spreadsheetml/2009/9/main" objectType="Drop" dropStyle="combo" dx="16" fmlaLink="$Y$91" fmlaRange="Rebanho!$AH$45:$AH$69" noThreeD="1" val="0"/>
</file>

<file path=xl/ctrlProps/ctrlProp1318.xml><?xml version="1.0" encoding="utf-8"?>
<formControlPr xmlns="http://schemas.microsoft.com/office/spreadsheetml/2009/9/main" objectType="Drop" dropStyle="combo" dx="16" fmlaLink="$Y$92" fmlaRange="Rebanho!$AH$45:$AH$69" noThreeD="1" val="0"/>
</file>

<file path=xl/ctrlProps/ctrlProp1319.xml><?xml version="1.0" encoding="utf-8"?>
<formControlPr xmlns="http://schemas.microsoft.com/office/spreadsheetml/2009/9/main" objectType="Drop" dropLines="15" dropStyle="combo" dx="16" fmlaLink="$N$88" fmlaRange="Rebanho!$AO$45:$AO$63" noThreeD="1" val="7"/>
</file>

<file path=xl/ctrlProps/ctrlProp132.xml><?xml version="1.0" encoding="utf-8"?>
<formControlPr xmlns="http://schemas.microsoft.com/office/spreadsheetml/2009/9/main" objectType="Drop" dropStyle="combo" dx="16" fmlaLink="$H$105" fmlaRange="$AB$8:$AB$12" noThreeD="1" val="0"/>
</file>

<file path=xl/ctrlProps/ctrlProp1320.xml><?xml version="1.0" encoding="utf-8"?>
<formControlPr xmlns="http://schemas.microsoft.com/office/spreadsheetml/2009/9/main" objectType="Drop" dropLines="15" dropStyle="combo" dx="16" fmlaLink="$N$89" fmlaRange="Rebanho!$AO$45:$AO$63" noThreeD="1" val="7"/>
</file>

<file path=xl/ctrlProps/ctrlProp1321.xml><?xml version="1.0" encoding="utf-8"?>
<formControlPr xmlns="http://schemas.microsoft.com/office/spreadsheetml/2009/9/main" objectType="Drop" dropLines="15" dropStyle="combo" dx="16" fmlaLink="$N$90" fmlaRange="Rebanho!$AO$45:$AO$63" noThreeD="1" val="7"/>
</file>

<file path=xl/ctrlProps/ctrlProp1322.xml><?xml version="1.0" encoding="utf-8"?>
<formControlPr xmlns="http://schemas.microsoft.com/office/spreadsheetml/2009/9/main" objectType="Drop" dropLines="15" dropStyle="combo" dx="16" fmlaLink="$N$91" fmlaRange="Rebanho!$AO$45:$AO$63" noThreeD="1" val="6"/>
</file>

<file path=xl/ctrlProps/ctrlProp1323.xml><?xml version="1.0" encoding="utf-8"?>
<formControlPr xmlns="http://schemas.microsoft.com/office/spreadsheetml/2009/9/main" objectType="Drop" dropLines="15" dropStyle="combo" dx="16" fmlaLink="$N$92" fmlaRange="Rebanho!$AO$45:$AO$63" noThreeD="1" val="0"/>
</file>

<file path=xl/ctrlProps/ctrlProp1324.xml><?xml version="1.0" encoding="utf-8"?>
<formControlPr xmlns="http://schemas.microsoft.com/office/spreadsheetml/2009/9/main" objectType="Drop" dropStyle="combo" dx="16" fmlaLink="$R$97" fmlaRange="'Mão-de-obra'!$CK$10:$CK$29" noThreeD="1" val="0"/>
</file>

<file path=xl/ctrlProps/ctrlProp1325.xml><?xml version="1.0" encoding="utf-8"?>
<formControlPr xmlns="http://schemas.microsoft.com/office/spreadsheetml/2009/9/main" objectType="Drop" dropStyle="combo" dx="16" fmlaLink="$R$98" fmlaRange="'Mão-de-obra'!$CK$10:$CK$29" noThreeD="1" val="0"/>
</file>

<file path=xl/ctrlProps/ctrlProp1326.xml><?xml version="1.0" encoding="utf-8"?>
<formControlPr xmlns="http://schemas.microsoft.com/office/spreadsheetml/2009/9/main" objectType="Drop" dropStyle="combo" dx="16" fmlaLink="$R$99" fmlaRange="'Mão-de-obra'!$CK$10:$CK$29" noThreeD="1" val="0"/>
</file>

<file path=xl/ctrlProps/ctrlProp1327.xml><?xml version="1.0" encoding="utf-8"?>
<formControlPr xmlns="http://schemas.microsoft.com/office/spreadsheetml/2009/9/main" objectType="Drop" dropStyle="combo" dx="16" fmlaLink="$R$100" fmlaRange="'Mão-de-obra'!$CK$10:$CK$29" noThreeD="1" val="0"/>
</file>

<file path=xl/ctrlProps/ctrlProp1328.xml><?xml version="1.0" encoding="utf-8"?>
<formControlPr xmlns="http://schemas.microsoft.com/office/spreadsheetml/2009/9/main" objectType="Drop" dropStyle="combo" dx="16" fmlaLink="$R$101" fmlaRange="'Mão-de-obra'!$CK$10:$CK$29" noThreeD="1" val="0"/>
</file>

<file path=xl/ctrlProps/ctrlProp1329.xml><?xml version="1.0" encoding="utf-8"?>
<formControlPr xmlns="http://schemas.microsoft.com/office/spreadsheetml/2009/9/main" objectType="Drop" dropStyle="combo" dx="16" fmlaLink="$F$97" fmlaRange="$GM$6:$GM$56" noThreeD="1" val="3"/>
</file>

<file path=xl/ctrlProps/ctrlProp133.xml><?xml version="1.0" encoding="utf-8"?>
<formControlPr xmlns="http://schemas.microsoft.com/office/spreadsheetml/2009/9/main" objectType="Drop" dropStyle="combo" dx="16" fmlaLink="$C$106" fmlaRange="Dados!$I$86:$I$129" noThreeD="1" sel="4" val="0"/>
</file>

<file path=xl/ctrlProps/ctrlProp1330.xml><?xml version="1.0" encoding="utf-8"?>
<formControlPr xmlns="http://schemas.microsoft.com/office/spreadsheetml/2009/9/main" objectType="Drop" dropStyle="combo" dx="16" fmlaLink="$F$98" fmlaRange="$GO$6:$GO$56" noThreeD="1" val="0"/>
</file>

<file path=xl/ctrlProps/ctrlProp1331.xml><?xml version="1.0" encoding="utf-8"?>
<formControlPr xmlns="http://schemas.microsoft.com/office/spreadsheetml/2009/9/main" objectType="Drop" dropStyle="combo" dx="16" fmlaLink="$F$99" fmlaRange="$GQ$6:$GQ$56" noThreeD="1" val="0"/>
</file>

<file path=xl/ctrlProps/ctrlProp1332.xml><?xml version="1.0" encoding="utf-8"?>
<formControlPr xmlns="http://schemas.microsoft.com/office/spreadsheetml/2009/9/main" objectType="Drop" dropStyle="combo" dx="16" fmlaLink="$F$100" fmlaRange="$GS$6:$GS$56" noThreeD="1" val="0"/>
</file>

<file path=xl/ctrlProps/ctrlProp1333.xml><?xml version="1.0" encoding="utf-8"?>
<formControlPr xmlns="http://schemas.microsoft.com/office/spreadsheetml/2009/9/main" objectType="Drop" dropStyle="combo" dx="16" fmlaLink="$F$101" fmlaRange="$GU$6:$GU$56" noThreeD="1" val="0"/>
</file>

<file path=xl/ctrlProps/ctrlProp1334.xml><?xml version="1.0" encoding="utf-8"?>
<formControlPr xmlns="http://schemas.microsoft.com/office/spreadsheetml/2009/9/main" objectType="Drop" dropStyle="combo" dx="16" fmlaLink="$E$97" fmlaRange="Dados!$M$3:$N$10" noThreeD="1" val="0"/>
</file>

<file path=xl/ctrlProps/ctrlProp1335.xml><?xml version="1.0" encoding="utf-8"?>
<formControlPr xmlns="http://schemas.microsoft.com/office/spreadsheetml/2009/9/main" objectType="Drop" dropStyle="combo" dx="16" fmlaLink="$E$98" fmlaRange="Dados!$M$3:$N$10" noThreeD="1" val="0"/>
</file>

<file path=xl/ctrlProps/ctrlProp1336.xml><?xml version="1.0" encoding="utf-8"?>
<formControlPr xmlns="http://schemas.microsoft.com/office/spreadsheetml/2009/9/main" objectType="Drop" dropStyle="combo" dx="16" fmlaLink="$E$99" fmlaRange="Dados!$M$3:$N$10" noThreeD="1" val="0"/>
</file>

<file path=xl/ctrlProps/ctrlProp1337.xml><?xml version="1.0" encoding="utf-8"?>
<formControlPr xmlns="http://schemas.microsoft.com/office/spreadsheetml/2009/9/main" objectType="Drop" dropStyle="combo" dx="16" fmlaLink="$E$100" fmlaRange="Dados!$M$3:$N$10" noThreeD="1" val="0"/>
</file>

<file path=xl/ctrlProps/ctrlProp1338.xml><?xml version="1.0" encoding="utf-8"?>
<formControlPr xmlns="http://schemas.microsoft.com/office/spreadsheetml/2009/9/main" objectType="Drop" dropStyle="combo" dx="16" fmlaLink="$E$101" fmlaRange="Dados!$M$3:$N$10" noThreeD="1" val="0"/>
</file>

<file path=xl/ctrlProps/ctrlProp1339.xml><?xml version="1.0" encoding="utf-8"?>
<formControlPr xmlns="http://schemas.microsoft.com/office/spreadsheetml/2009/9/main" objectType="Drop" dropStyle="combo" dx="16" fmlaLink="$X$97" fmlaRange="Rebanho!$AH$45:$AH$69" noThreeD="1" val="0"/>
</file>

<file path=xl/ctrlProps/ctrlProp134.xml><?xml version="1.0" encoding="utf-8"?>
<formControlPr xmlns="http://schemas.microsoft.com/office/spreadsheetml/2009/9/main" objectType="Drop" dropStyle="combo" dx="16" fmlaLink="$H$106" fmlaRange="$AB$8:$AB$12" noThreeD="1" val="0"/>
</file>

<file path=xl/ctrlProps/ctrlProp1340.xml><?xml version="1.0" encoding="utf-8"?>
<formControlPr xmlns="http://schemas.microsoft.com/office/spreadsheetml/2009/9/main" objectType="Drop" dropStyle="combo" dx="16" fmlaLink="$Y$97" fmlaRange="Rebanho!$AH$45:$AH$69" noThreeD="1" val="0"/>
</file>

<file path=xl/ctrlProps/ctrlProp1341.xml><?xml version="1.0" encoding="utf-8"?>
<formControlPr xmlns="http://schemas.microsoft.com/office/spreadsheetml/2009/9/main" objectType="Drop" dropStyle="combo" dx="16" fmlaLink="$X$98" fmlaRange="Rebanho!$AH$45:$AH$69" noThreeD="1" val="0"/>
</file>

<file path=xl/ctrlProps/ctrlProp1342.xml><?xml version="1.0" encoding="utf-8"?>
<formControlPr xmlns="http://schemas.microsoft.com/office/spreadsheetml/2009/9/main" objectType="Drop" dropStyle="combo" dx="16" fmlaLink="$X$99" fmlaRange="Rebanho!$AH$45:$AH$69" noThreeD="1" val="0"/>
</file>

<file path=xl/ctrlProps/ctrlProp1343.xml><?xml version="1.0" encoding="utf-8"?>
<formControlPr xmlns="http://schemas.microsoft.com/office/spreadsheetml/2009/9/main" objectType="Drop" dropStyle="combo" dx="16" fmlaLink="$X$100" fmlaRange="Rebanho!$AH$45:$AH$69" noThreeD="1" val="0"/>
</file>

<file path=xl/ctrlProps/ctrlProp1344.xml><?xml version="1.0" encoding="utf-8"?>
<formControlPr xmlns="http://schemas.microsoft.com/office/spreadsheetml/2009/9/main" objectType="Drop" dropStyle="combo" dx="16" fmlaLink="$X$101" fmlaRange="Rebanho!$AH$45:$AH$69" noThreeD="1" val="0"/>
</file>

<file path=xl/ctrlProps/ctrlProp1345.xml><?xml version="1.0" encoding="utf-8"?>
<formControlPr xmlns="http://schemas.microsoft.com/office/spreadsheetml/2009/9/main" objectType="Drop" dropStyle="combo" dx="16" fmlaLink="$Y$98" fmlaRange="Rebanho!$AH$45:$AH$69" noThreeD="1" val="0"/>
</file>

<file path=xl/ctrlProps/ctrlProp1346.xml><?xml version="1.0" encoding="utf-8"?>
<formControlPr xmlns="http://schemas.microsoft.com/office/spreadsheetml/2009/9/main" objectType="Drop" dropStyle="combo" dx="16" fmlaLink="$Y$99" fmlaRange="Rebanho!$AH$45:$AH$69" noThreeD="1" val="0"/>
</file>

<file path=xl/ctrlProps/ctrlProp1347.xml><?xml version="1.0" encoding="utf-8"?>
<formControlPr xmlns="http://schemas.microsoft.com/office/spreadsheetml/2009/9/main" objectType="Drop" dropStyle="combo" dx="16" fmlaLink="$Y$100" fmlaRange="Rebanho!$AH$45:$AH$69" noThreeD="1" val="0"/>
</file>

<file path=xl/ctrlProps/ctrlProp1348.xml><?xml version="1.0" encoding="utf-8"?>
<formControlPr xmlns="http://schemas.microsoft.com/office/spreadsheetml/2009/9/main" objectType="Drop" dropStyle="combo" dx="16" fmlaLink="$Y$101" fmlaRange="Rebanho!$AH$45:$AH$69" noThreeD="1" val="0"/>
</file>

<file path=xl/ctrlProps/ctrlProp1349.xml><?xml version="1.0" encoding="utf-8"?>
<formControlPr xmlns="http://schemas.microsoft.com/office/spreadsheetml/2009/9/main" objectType="Drop" dropLines="15" dropStyle="combo" dx="16" fmlaLink="$N$97" fmlaRange="Rebanho!$AO$45:$AO$63" noThreeD="1" val="7"/>
</file>

<file path=xl/ctrlProps/ctrlProp135.xml><?xml version="1.0" encoding="utf-8"?>
<formControlPr xmlns="http://schemas.microsoft.com/office/spreadsheetml/2009/9/main" objectType="Drop" dropStyle="combo" dx="16" fmlaLink="$C$107" fmlaRange="Dados!$I$86:$I$129" noThreeD="1" val="0"/>
</file>

<file path=xl/ctrlProps/ctrlProp1350.xml><?xml version="1.0" encoding="utf-8"?>
<formControlPr xmlns="http://schemas.microsoft.com/office/spreadsheetml/2009/9/main" objectType="Drop" dropLines="15" dropStyle="combo" dx="16" fmlaLink="$N$98" fmlaRange="Rebanho!$AO$45:$AO$63" noThreeD="1" val="7"/>
</file>

<file path=xl/ctrlProps/ctrlProp1351.xml><?xml version="1.0" encoding="utf-8"?>
<formControlPr xmlns="http://schemas.microsoft.com/office/spreadsheetml/2009/9/main" objectType="Drop" dropLines="15" dropStyle="combo" dx="16" fmlaLink="$N$99" fmlaRange="Rebanho!$AO$45:$AO$63" noThreeD="1" val="7"/>
</file>

<file path=xl/ctrlProps/ctrlProp1352.xml><?xml version="1.0" encoding="utf-8"?>
<formControlPr xmlns="http://schemas.microsoft.com/office/spreadsheetml/2009/9/main" objectType="Drop" dropLines="15" dropStyle="combo" dx="16" fmlaLink="$N$100" fmlaRange="Rebanho!$AO$45:$AO$63" noThreeD="1" val="7"/>
</file>

<file path=xl/ctrlProps/ctrlProp1353.xml><?xml version="1.0" encoding="utf-8"?>
<formControlPr xmlns="http://schemas.microsoft.com/office/spreadsheetml/2009/9/main" objectType="Drop" dropLines="15" dropStyle="combo" dx="16" fmlaLink="$N$101" fmlaRange="Rebanho!$AO$45:$AO$63" noThreeD="1" val="0"/>
</file>

<file path=xl/ctrlProps/ctrlProp1354.xml><?xml version="1.0" encoding="utf-8"?>
<formControlPr xmlns="http://schemas.microsoft.com/office/spreadsheetml/2009/9/main" objectType="Drop" dropStyle="combo" dx="16" fmlaLink="$R$106" fmlaRange="'Mão-de-obra'!$CK$10:$CK$29" noThreeD="1" val="0"/>
</file>

<file path=xl/ctrlProps/ctrlProp1355.xml><?xml version="1.0" encoding="utf-8"?>
<formControlPr xmlns="http://schemas.microsoft.com/office/spreadsheetml/2009/9/main" objectType="Drop" dropStyle="combo" dx="16" fmlaLink="$R$107" fmlaRange="'Mão-de-obra'!$CK$10:$CK$29" noThreeD="1" val="0"/>
</file>

<file path=xl/ctrlProps/ctrlProp1356.xml><?xml version="1.0" encoding="utf-8"?>
<formControlPr xmlns="http://schemas.microsoft.com/office/spreadsheetml/2009/9/main" objectType="Drop" dropStyle="combo" dx="16" fmlaLink="$R$108" fmlaRange="'Mão-de-obra'!$CK$10:$CK$29" noThreeD="1" val="0"/>
</file>

<file path=xl/ctrlProps/ctrlProp1357.xml><?xml version="1.0" encoding="utf-8"?>
<formControlPr xmlns="http://schemas.microsoft.com/office/spreadsheetml/2009/9/main" objectType="Drop" dropStyle="combo" dx="16" fmlaLink="$R$109" fmlaRange="'Mão-de-obra'!$CK$10:$CK$29" noThreeD="1" val="0"/>
</file>

<file path=xl/ctrlProps/ctrlProp1358.xml><?xml version="1.0" encoding="utf-8"?>
<formControlPr xmlns="http://schemas.microsoft.com/office/spreadsheetml/2009/9/main" objectType="Drop" dropStyle="combo" dx="16" fmlaLink="$R$110" fmlaRange="'Mão-de-obra'!$CK$10:$CK$29" noThreeD="1" val="0"/>
</file>

<file path=xl/ctrlProps/ctrlProp1359.xml><?xml version="1.0" encoding="utf-8"?>
<formControlPr xmlns="http://schemas.microsoft.com/office/spreadsheetml/2009/9/main" objectType="Drop" dropStyle="combo" dx="16" fmlaLink="$F$106" fmlaRange="$GX$6:$GX$56" noThreeD="1" val="0"/>
</file>

<file path=xl/ctrlProps/ctrlProp136.xml><?xml version="1.0" encoding="utf-8"?>
<formControlPr xmlns="http://schemas.microsoft.com/office/spreadsheetml/2009/9/main" objectType="Drop" dropStyle="combo" dx="16" fmlaLink="$H$107" fmlaRange="$AB$8:$AB$12" noThreeD="1" val="0"/>
</file>

<file path=xl/ctrlProps/ctrlProp1360.xml><?xml version="1.0" encoding="utf-8"?>
<formControlPr xmlns="http://schemas.microsoft.com/office/spreadsheetml/2009/9/main" objectType="Drop" dropStyle="combo" dx="16" fmlaLink="$F$107" fmlaRange="$GZ$6:$GZ$56" noThreeD="1" val="0"/>
</file>

<file path=xl/ctrlProps/ctrlProp1361.xml><?xml version="1.0" encoding="utf-8"?>
<formControlPr xmlns="http://schemas.microsoft.com/office/spreadsheetml/2009/9/main" objectType="Drop" dropStyle="combo" dx="16" fmlaLink="$F$108" fmlaRange="$HB$6:$HB$56" noThreeD="1" val="0"/>
</file>

<file path=xl/ctrlProps/ctrlProp1362.xml><?xml version="1.0" encoding="utf-8"?>
<formControlPr xmlns="http://schemas.microsoft.com/office/spreadsheetml/2009/9/main" objectType="Drop" dropStyle="combo" dx="16" fmlaLink="$F$109" fmlaRange="$HD$6:$HD$56" noThreeD="1" val="0"/>
</file>

<file path=xl/ctrlProps/ctrlProp1363.xml><?xml version="1.0" encoding="utf-8"?>
<formControlPr xmlns="http://schemas.microsoft.com/office/spreadsheetml/2009/9/main" objectType="Drop" dropStyle="combo" dx="16" fmlaLink="$F$110" fmlaRange="$HF$6:$HF$56" noThreeD="1" val="0"/>
</file>

<file path=xl/ctrlProps/ctrlProp1364.xml><?xml version="1.0" encoding="utf-8"?>
<formControlPr xmlns="http://schemas.microsoft.com/office/spreadsheetml/2009/9/main" objectType="Drop" dropStyle="combo" dx="16" fmlaLink="$E$106" fmlaRange="Dados!$M$3:$N$10" noThreeD="1" val="0"/>
</file>

<file path=xl/ctrlProps/ctrlProp1365.xml><?xml version="1.0" encoding="utf-8"?>
<formControlPr xmlns="http://schemas.microsoft.com/office/spreadsheetml/2009/9/main" objectType="Drop" dropStyle="combo" dx="16" fmlaLink="$E$107" fmlaRange="Dados!$M$3:$N$10" noThreeD="1" val="0"/>
</file>

<file path=xl/ctrlProps/ctrlProp1366.xml><?xml version="1.0" encoding="utf-8"?>
<formControlPr xmlns="http://schemas.microsoft.com/office/spreadsheetml/2009/9/main" objectType="Drop" dropStyle="combo" dx="16" fmlaLink="$E$108" fmlaRange="Dados!$M$3:$N$10" noThreeD="1" val="0"/>
</file>

<file path=xl/ctrlProps/ctrlProp1367.xml><?xml version="1.0" encoding="utf-8"?>
<formControlPr xmlns="http://schemas.microsoft.com/office/spreadsheetml/2009/9/main" objectType="Drop" dropStyle="combo" dx="16" fmlaLink="$E$109" fmlaRange="Dados!$M$3:$N$10" noThreeD="1" val="0"/>
</file>

<file path=xl/ctrlProps/ctrlProp1368.xml><?xml version="1.0" encoding="utf-8"?>
<formControlPr xmlns="http://schemas.microsoft.com/office/spreadsheetml/2009/9/main" objectType="Drop" dropStyle="combo" dx="16" fmlaLink="$E$110" fmlaRange="Dados!$M$3:$N$10" noThreeD="1" val="0"/>
</file>

<file path=xl/ctrlProps/ctrlProp1369.xml><?xml version="1.0" encoding="utf-8"?>
<formControlPr xmlns="http://schemas.microsoft.com/office/spreadsheetml/2009/9/main" objectType="Drop" dropStyle="combo" dx="16" fmlaLink="$X$106" fmlaRange="Rebanho!$AH$45:$AH$69" noThreeD="1" val="0"/>
</file>

<file path=xl/ctrlProps/ctrlProp137.xml><?xml version="1.0" encoding="utf-8"?>
<formControlPr xmlns="http://schemas.microsoft.com/office/spreadsheetml/2009/9/main" objectType="Drop" dropStyle="combo" dx="16" fmlaLink="$L$105" fmlaRange="Dados!$J$86:$J$92" noThreeD="1" sel="2" val="0"/>
</file>

<file path=xl/ctrlProps/ctrlProp1370.xml><?xml version="1.0" encoding="utf-8"?>
<formControlPr xmlns="http://schemas.microsoft.com/office/spreadsheetml/2009/9/main" objectType="Drop" dropStyle="combo" dx="16" fmlaLink="$Y$106" fmlaRange="Rebanho!$AH$45:$AH$69" noThreeD="1" val="0"/>
</file>

<file path=xl/ctrlProps/ctrlProp1371.xml><?xml version="1.0" encoding="utf-8"?>
<formControlPr xmlns="http://schemas.microsoft.com/office/spreadsheetml/2009/9/main" objectType="Drop" dropStyle="combo" dx="16" fmlaLink="$X$107" fmlaRange="Rebanho!$AH$45:$AH$69" noThreeD="1" val="0"/>
</file>

<file path=xl/ctrlProps/ctrlProp1372.xml><?xml version="1.0" encoding="utf-8"?>
<formControlPr xmlns="http://schemas.microsoft.com/office/spreadsheetml/2009/9/main" objectType="Drop" dropStyle="combo" dx="16" fmlaLink="$X$108" fmlaRange="Rebanho!$AH$45:$AH$69" noThreeD="1" val="0"/>
</file>

<file path=xl/ctrlProps/ctrlProp1373.xml><?xml version="1.0" encoding="utf-8"?>
<formControlPr xmlns="http://schemas.microsoft.com/office/spreadsheetml/2009/9/main" objectType="Drop" dropStyle="combo" dx="16" fmlaLink="$X$109" fmlaRange="Rebanho!$AH$45:$AH$69" noThreeD="1" val="0"/>
</file>

<file path=xl/ctrlProps/ctrlProp1374.xml><?xml version="1.0" encoding="utf-8"?>
<formControlPr xmlns="http://schemas.microsoft.com/office/spreadsheetml/2009/9/main" objectType="Drop" dropStyle="combo" dx="16" fmlaLink="$X$110" fmlaRange="Rebanho!$AH$45:$AH$69" noThreeD="1" val="12"/>
</file>

<file path=xl/ctrlProps/ctrlProp1375.xml><?xml version="1.0" encoding="utf-8"?>
<formControlPr xmlns="http://schemas.microsoft.com/office/spreadsheetml/2009/9/main" objectType="Drop" dropStyle="combo" dx="16" fmlaLink="$Y$107" fmlaRange="Rebanho!$AH$45:$AH$69" noThreeD="1" val="0"/>
</file>

<file path=xl/ctrlProps/ctrlProp1376.xml><?xml version="1.0" encoding="utf-8"?>
<formControlPr xmlns="http://schemas.microsoft.com/office/spreadsheetml/2009/9/main" objectType="Drop" dropStyle="combo" dx="16" fmlaLink="$Y$108" fmlaRange="Rebanho!$AH$45:$AH$69" noThreeD="1" val="0"/>
</file>

<file path=xl/ctrlProps/ctrlProp1377.xml><?xml version="1.0" encoding="utf-8"?>
<formControlPr xmlns="http://schemas.microsoft.com/office/spreadsheetml/2009/9/main" objectType="Drop" dropStyle="combo" dx="16" fmlaLink="$Y$109" fmlaRange="Rebanho!$AH$45:$AH$69" noThreeD="1" val="0"/>
</file>

<file path=xl/ctrlProps/ctrlProp1378.xml><?xml version="1.0" encoding="utf-8"?>
<formControlPr xmlns="http://schemas.microsoft.com/office/spreadsheetml/2009/9/main" objectType="Drop" dropStyle="combo" dx="16" fmlaLink="$Y$110" fmlaRange="Rebanho!$AH$45:$AH$69" noThreeD="1" val="12"/>
</file>

<file path=xl/ctrlProps/ctrlProp1379.xml><?xml version="1.0" encoding="utf-8"?>
<formControlPr xmlns="http://schemas.microsoft.com/office/spreadsheetml/2009/9/main" objectType="Drop" dropLines="15" dropStyle="combo" dx="16" fmlaLink="$N$106" fmlaRange="Rebanho!$AO$45:$AO$63" noThreeD="1" val="7"/>
</file>

<file path=xl/ctrlProps/ctrlProp138.xml><?xml version="1.0" encoding="utf-8"?>
<formControlPr xmlns="http://schemas.microsoft.com/office/spreadsheetml/2009/9/main" objectType="Drop" dropStyle="combo" dx="16" fmlaLink="$L$106" fmlaRange="Dados!$J$86:$J$92" noThreeD="1" sel="4" val="0"/>
</file>

<file path=xl/ctrlProps/ctrlProp1380.xml><?xml version="1.0" encoding="utf-8"?>
<formControlPr xmlns="http://schemas.microsoft.com/office/spreadsheetml/2009/9/main" objectType="Drop" dropLines="15" dropStyle="combo" dx="16" fmlaLink="$N$107" fmlaRange="Rebanho!$AO$45:$AO$63" noThreeD="1" val="0"/>
</file>

<file path=xl/ctrlProps/ctrlProp1381.xml><?xml version="1.0" encoding="utf-8"?>
<formControlPr xmlns="http://schemas.microsoft.com/office/spreadsheetml/2009/9/main" objectType="Drop" dropLines="15" dropStyle="combo" dx="16" fmlaLink="$N$108" fmlaRange="Rebanho!$AO$45:$AO$63" noThreeD="1" val="0"/>
</file>

<file path=xl/ctrlProps/ctrlProp1382.xml><?xml version="1.0" encoding="utf-8"?>
<formControlPr xmlns="http://schemas.microsoft.com/office/spreadsheetml/2009/9/main" objectType="Drop" dropLines="15" dropStyle="combo" dx="16" fmlaLink="$N$109" fmlaRange="Rebanho!$AO$45:$AO$63" noThreeD="1" val="0"/>
</file>

<file path=xl/ctrlProps/ctrlProp1383.xml><?xml version="1.0" encoding="utf-8"?>
<formControlPr xmlns="http://schemas.microsoft.com/office/spreadsheetml/2009/9/main" objectType="Drop" dropLines="15" dropStyle="combo" dx="16" fmlaLink="$N$110" fmlaRange="Rebanho!$AO$45:$AO$63" noThreeD="1" val="0"/>
</file>

<file path=xl/ctrlProps/ctrlProp1384.xml><?xml version="1.0" encoding="utf-8"?>
<formControlPr xmlns="http://schemas.microsoft.com/office/spreadsheetml/2009/9/main" objectType="Drop" dropStyle="combo" dx="16" fmlaLink="$D8" fmlaRange="Dados!$W$14:$W$81" noThreeD="1" sel="2" val="0"/>
</file>

<file path=xl/ctrlProps/ctrlProp1385.xml><?xml version="1.0" encoding="utf-8"?>
<formControlPr xmlns="http://schemas.microsoft.com/office/spreadsheetml/2009/9/main" objectType="Drop" dropStyle="combo" dx="16" fmlaLink="$D9" fmlaRange="Dados!$W$14:$W$81" noThreeD="1" sel="3" val="0"/>
</file>

<file path=xl/ctrlProps/ctrlProp1386.xml><?xml version="1.0" encoding="utf-8"?>
<formControlPr xmlns="http://schemas.microsoft.com/office/spreadsheetml/2009/9/main" objectType="Drop" dropStyle="combo" dx="16" fmlaLink="$D10" fmlaRange="Dados!$W$14:$W$81" noThreeD="1" val="0"/>
</file>

<file path=xl/ctrlProps/ctrlProp1387.xml><?xml version="1.0" encoding="utf-8"?>
<formControlPr xmlns="http://schemas.microsoft.com/office/spreadsheetml/2009/9/main" objectType="Drop" dropStyle="combo" dx="16" fmlaLink="$D11" fmlaRange="Dados!$W$14:$W$81" noThreeD="1" val="3"/>
</file>

<file path=xl/ctrlProps/ctrlProp1388.xml><?xml version="1.0" encoding="utf-8"?>
<formControlPr xmlns="http://schemas.microsoft.com/office/spreadsheetml/2009/9/main" objectType="Drop" dropStyle="combo" dx="16" fmlaLink="$D12" fmlaRange="Dados!$W$14:$W$81" noThreeD="1" val="0"/>
</file>

<file path=xl/ctrlProps/ctrlProp1389.xml><?xml version="1.0" encoding="utf-8"?>
<formControlPr xmlns="http://schemas.microsoft.com/office/spreadsheetml/2009/9/main" objectType="Drop" dropStyle="combo" dx="16" fmlaLink="$D13" fmlaRange="Dados!$W$14:$W$81" noThreeD="1" val="0"/>
</file>

<file path=xl/ctrlProps/ctrlProp139.xml><?xml version="1.0" encoding="utf-8"?>
<formControlPr xmlns="http://schemas.microsoft.com/office/spreadsheetml/2009/9/main" objectType="Drop" dropStyle="combo" dx="16" fmlaLink="$L$107" fmlaRange="Dados!$J$86:$J$92" noThreeD="1" val="0"/>
</file>

<file path=xl/ctrlProps/ctrlProp1390.xml><?xml version="1.0" encoding="utf-8"?>
<formControlPr xmlns="http://schemas.microsoft.com/office/spreadsheetml/2009/9/main" objectType="Drop" dropStyle="combo" dx="16" fmlaLink="$D$18" fmlaRange="Dados!$Y$14:$Y$81" noThreeD="1" sel="2" val="0"/>
</file>

<file path=xl/ctrlProps/ctrlProp1391.xml><?xml version="1.0" encoding="utf-8"?>
<formControlPr xmlns="http://schemas.microsoft.com/office/spreadsheetml/2009/9/main" objectType="Drop" dropStyle="combo" dx="16" fmlaLink="$D$19" fmlaRange="Dados!$Y$14:$Y$81" noThreeD="1" sel="3" val="0"/>
</file>

<file path=xl/ctrlProps/ctrlProp1392.xml><?xml version="1.0" encoding="utf-8"?>
<formControlPr xmlns="http://schemas.microsoft.com/office/spreadsheetml/2009/9/main" objectType="Drop" dropStyle="combo" dx="16" fmlaLink="$D$27" fmlaRange="Dados!$AA$14:$AA$81" noThreeD="1" sel="3" val="0"/>
</file>

<file path=xl/ctrlProps/ctrlProp1393.xml><?xml version="1.0" encoding="utf-8"?>
<formControlPr xmlns="http://schemas.microsoft.com/office/spreadsheetml/2009/9/main" objectType="Drop" dropStyle="combo" dx="16" fmlaLink="$D$28" fmlaRange="Dados!$AA$14:$AA$81" noThreeD="1" sel="4" val="0"/>
</file>

<file path=xl/ctrlProps/ctrlProp1394.xml><?xml version="1.0" encoding="utf-8"?>
<formControlPr xmlns="http://schemas.microsoft.com/office/spreadsheetml/2009/9/main" objectType="Drop" dropStyle="combo" dx="16" fmlaLink="$D$29" fmlaRange="Dados!$AA$14:$AA$81" noThreeD="1" val="0"/>
</file>

<file path=xl/ctrlProps/ctrlProp1395.xml><?xml version="1.0" encoding="utf-8"?>
<formControlPr xmlns="http://schemas.microsoft.com/office/spreadsheetml/2009/9/main" objectType="Drop" dropStyle="combo" dx="16" fmlaLink="$D$36" fmlaRange="Dados!$AA$14:$AA$81" noThreeD="1" val="3"/>
</file>

<file path=xl/ctrlProps/ctrlProp1396.xml><?xml version="1.0" encoding="utf-8"?>
<formControlPr xmlns="http://schemas.microsoft.com/office/spreadsheetml/2009/9/main" objectType="Drop" dropStyle="combo" dx="16" fmlaLink="$J$8" fmlaRange="Rebanho!$AH$45:$AH$69" noThreeD="1" val="0"/>
</file>

<file path=xl/ctrlProps/ctrlProp1397.xml><?xml version="1.0" encoding="utf-8"?>
<formControlPr xmlns="http://schemas.microsoft.com/office/spreadsheetml/2009/9/main" objectType="Drop" dropStyle="combo" dx="16" fmlaLink="$K$8" fmlaRange="Rebanho!$AH$45:$AH$69" noThreeD="1" val="9"/>
</file>

<file path=xl/ctrlProps/ctrlProp1398.xml><?xml version="1.0" encoding="utf-8"?>
<formControlPr xmlns="http://schemas.microsoft.com/office/spreadsheetml/2009/9/main" objectType="Drop" dropStyle="combo" dx="16" fmlaLink="$J$9" fmlaRange="Rebanho!$AH$45:$AH$69" noThreeD="1" val="0"/>
</file>

<file path=xl/ctrlProps/ctrlProp1399.xml><?xml version="1.0" encoding="utf-8"?>
<formControlPr xmlns="http://schemas.microsoft.com/office/spreadsheetml/2009/9/main" objectType="Drop" dropStyle="combo" dx="16" fmlaLink="$J$10" fmlaRange="Rebanho!$AH$45:$AH$69" noThreeD="1" val="0"/>
</file>

<file path=xl/ctrlProps/ctrlProp14.xml><?xml version="1.0" encoding="utf-8"?>
<formControlPr xmlns="http://schemas.microsoft.com/office/spreadsheetml/2009/9/main" objectType="Drop" dropStyle="combo" dx="16" fmlaLink="$I$17" fmlaRange="$AD$15:$AD$39" noThreeD="1" val="0"/>
</file>

<file path=xl/ctrlProps/ctrlProp140.xml><?xml version="1.0" encoding="utf-8"?>
<formControlPr xmlns="http://schemas.microsoft.com/office/spreadsheetml/2009/9/main" objectType="Drop" dropStyle="combo" dx="16" fmlaLink="$B$80" fmlaRange="Dados!$K$86:$K$89" noThreeD="1" sel="4" val="0"/>
</file>

<file path=xl/ctrlProps/ctrlProp1400.xml><?xml version="1.0" encoding="utf-8"?>
<formControlPr xmlns="http://schemas.microsoft.com/office/spreadsheetml/2009/9/main" objectType="Drop" dropStyle="combo" dx="16" fmlaLink="$J$11" fmlaRange="Rebanho!$AH$45:$AH$69" noThreeD="1" val="0"/>
</file>

<file path=xl/ctrlProps/ctrlProp1401.xml><?xml version="1.0" encoding="utf-8"?>
<formControlPr xmlns="http://schemas.microsoft.com/office/spreadsheetml/2009/9/main" objectType="Drop" dropStyle="combo" dx="16" fmlaLink="$J$12" fmlaRange="Rebanho!$AH$45:$AH$69" noThreeD="1" val="0"/>
</file>

<file path=xl/ctrlProps/ctrlProp1402.xml><?xml version="1.0" encoding="utf-8"?>
<formControlPr xmlns="http://schemas.microsoft.com/office/spreadsheetml/2009/9/main" objectType="Drop" dropStyle="combo" dx="16" fmlaLink="$J$13" fmlaRange="Rebanho!$AH$45:$AH$69" noThreeD="1" val="0"/>
</file>

<file path=xl/ctrlProps/ctrlProp1403.xml><?xml version="1.0" encoding="utf-8"?>
<formControlPr xmlns="http://schemas.microsoft.com/office/spreadsheetml/2009/9/main" objectType="Drop" dropStyle="combo" dx="16" fmlaLink="$K$9" fmlaRange="Rebanho!$AH$45:$AH$69" noThreeD="1" val="0"/>
</file>

<file path=xl/ctrlProps/ctrlProp1404.xml><?xml version="1.0" encoding="utf-8"?>
<formControlPr xmlns="http://schemas.microsoft.com/office/spreadsheetml/2009/9/main" objectType="Drop" dropStyle="combo" dx="16" fmlaLink="$K$10" fmlaRange="Rebanho!$AH$45:$AH$69" noThreeD="1" val="0"/>
</file>

<file path=xl/ctrlProps/ctrlProp1405.xml><?xml version="1.0" encoding="utf-8"?>
<formControlPr xmlns="http://schemas.microsoft.com/office/spreadsheetml/2009/9/main" objectType="Drop" dropStyle="combo" dx="16" fmlaLink="$K$11" fmlaRange="Rebanho!$AH$45:$AH$69" noThreeD="1" val="0"/>
</file>

<file path=xl/ctrlProps/ctrlProp1406.xml><?xml version="1.0" encoding="utf-8"?>
<formControlPr xmlns="http://schemas.microsoft.com/office/spreadsheetml/2009/9/main" objectType="Drop" dropStyle="combo" dx="16" fmlaLink="$K$12" fmlaRange="Rebanho!$AH$45:$AH$69" noThreeD="1" val="0"/>
</file>

<file path=xl/ctrlProps/ctrlProp1407.xml><?xml version="1.0" encoding="utf-8"?>
<formControlPr xmlns="http://schemas.microsoft.com/office/spreadsheetml/2009/9/main" objectType="Drop" dropStyle="combo" dx="16" fmlaLink="$K$13" fmlaRange="Rebanho!$AH$45:$AH$69" noThreeD="1" val="0"/>
</file>

<file path=xl/ctrlProps/ctrlProp1408.xml><?xml version="1.0" encoding="utf-8"?>
<formControlPr xmlns="http://schemas.microsoft.com/office/spreadsheetml/2009/9/main" objectType="Drop" dropStyle="combo" dx="16" fmlaLink="$J$18" fmlaRange="Rebanho!$AH$45:$AH$69" noThreeD="1" val="0"/>
</file>

<file path=xl/ctrlProps/ctrlProp1409.xml><?xml version="1.0" encoding="utf-8"?>
<formControlPr xmlns="http://schemas.microsoft.com/office/spreadsheetml/2009/9/main" objectType="Drop" dropStyle="combo" dx="16" fmlaLink="$K$18" fmlaRange="Rebanho!$AH$45:$AH$69" noThreeD="1" val="6"/>
</file>

<file path=xl/ctrlProps/ctrlProp141.xml><?xml version="1.0" encoding="utf-8"?>
<formControlPr xmlns="http://schemas.microsoft.com/office/spreadsheetml/2009/9/main" objectType="Drop" dropStyle="combo" dx="16" fmlaLink="$B$81" fmlaRange="Dados!$K$86:$K$89" noThreeD="1" sel="4" val="0"/>
</file>

<file path=xl/ctrlProps/ctrlProp1410.xml><?xml version="1.0" encoding="utf-8"?>
<formControlPr xmlns="http://schemas.microsoft.com/office/spreadsheetml/2009/9/main" objectType="Drop" dropStyle="combo" dx="16" fmlaLink="$J$19" fmlaRange="Rebanho!$AH$45:$AH$69" noThreeD="1" val="0"/>
</file>

<file path=xl/ctrlProps/ctrlProp1411.xml><?xml version="1.0" encoding="utf-8"?>
<formControlPr xmlns="http://schemas.microsoft.com/office/spreadsheetml/2009/9/main" objectType="Drop" dropStyle="combo" dx="16" fmlaLink="$K$19" fmlaRange="Rebanho!$AH$45:$AH$69" noThreeD="1" val="0"/>
</file>

<file path=xl/ctrlProps/ctrlProp1412.xml><?xml version="1.0" encoding="utf-8"?>
<formControlPr xmlns="http://schemas.microsoft.com/office/spreadsheetml/2009/9/main" objectType="Drop" dropStyle="combo" dx="16" fmlaLink="$J$27" fmlaRange="Rebanho!$AH$45:$AH$69" noThreeD="1" val="0"/>
</file>

<file path=xl/ctrlProps/ctrlProp1413.xml><?xml version="1.0" encoding="utf-8"?>
<formControlPr xmlns="http://schemas.microsoft.com/office/spreadsheetml/2009/9/main" objectType="Drop" dropStyle="combo" dx="16" fmlaLink="$K$27" fmlaRange="Rebanho!$AH$45:$AH$69" noThreeD="1" val="0"/>
</file>

<file path=xl/ctrlProps/ctrlProp1414.xml><?xml version="1.0" encoding="utf-8"?>
<formControlPr xmlns="http://schemas.microsoft.com/office/spreadsheetml/2009/9/main" objectType="Drop" dropStyle="combo" dx="16" fmlaLink="$J$28" fmlaRange="Rebanho!$AH$45:$AH$69" noThreeD="1" val="0"/>
</file>

<file path=xl/ctrlProps/ctrlProp1415.xml><?xml version="1.0" encoding="utf-8"?>
<formControlPr xmlns="http://schemas.microsoft.com/office/spreadsheetml/2009/9/main" objectType="Drop" dropStyle="combo" dx="16" fmlaLink="$J$29" fmlaRange="Rebanho!$AH$45:$AH$69" noThreeD="1" val="0"/>
</file>

<file path=xl/ctrlProps/ctrlProp1416.xml><?xml version="1.0" encoding="utf-8"?>
<formControlPr xmlns="http://schemas.microsoft.com/office/spreadsheetml/2009/9/main" objectType="Drop" dropStyle="combo" dx="16" fmlaLink="$J$36" fmlaRange="Rebanho!$AH$45:$AH$69" noThreeD="1" val="0"/>
</file>

<file path=xl/ctrlProps/ctrlProp1417.xml><?xml version="1.0" encoding="utf-8"?>
<formControlPr xmlns="http://schemas.microsoft.com/office/spreadsheetml/2009/9/main" objectType="Drop" dropStyle="combo" dx="16" fmlaLink="$K$28" fmlaRange="Rebanho!$AH$45:$AH$69" noThreeD="1" val="0"/>
</file>

<file path=xl/ctrlProps/ctrlProp1418.xml><?xml version="1.0" encoding="utf-8"?>
<formControlPr xmlns="http://schemas.microsoft.com/office/spreadsheetml/2009/9/main" objectType="Drop" dropStyle="combo" dx="16" fmlaLink="$K$29" fmlaRange="Rebanho!$AH$45:$AH$69" noThreeD="1" val="0"/>
</file>

<file path=xl/ctrlProps/ctrlProp1419.xml><?xml version="1.0" encoding="utf-8"?>
<formControlPr xmlns="http://schemas.microsoft.com/office/spreadsheetml/2009/9/main" objectType="Drop" dropStyle="combo" dx="16" fmlaLink="$K$36" fmlaRange="Rebanho!$AH$45:$AH$69" noThreeD="1" val="0"/>
</file>

<file path=xl/ctrlProps/ctrlProp142.xml><?xml version="1.0" encoding="utf-8"?>
<formControlPr xmlns="http://schemas.microsoft.com/office/spreadsheetml/2009/9/main" objectType="Drop" dropStyle="combo" dx="16" fmlaLink="$B$82" fmlaRange="Dados!$K$86:$K$89" noThreeD="1" sel="4" val="0"/>
</file>

<file path=xl/ctrlProps/ctrlProp1420.xml><?xml version="1.0" encoding="utf-8"?>
<formControlPr xmlns="http://schemas.microsoft.com/office/spreadsheetml/2009/9/main" objectType="Drop" dropStyle="combo" dx="16" fmlaLink="$J$50" fmlaRange="Rebanho!$AH$45:$AH$69" noThreeD="1" val="0"/>
</file>

<file path=xl/ctrlProps/ctrlProp1421.xml><?xml version="1.0" encoding="utf-8"?>
<formControlPr xmlns="http://schemas.microsoft.com/office/spreadsheetml/2009/9/main" objectType="Drop" dropStyle="combo" dx="16" fmlaLink="$K$50" fmlaRange="Rebanho!$AH$45:$AH$69" noThreeD="1" val="0"/>
</file>

<file path=xl/ctrlProps/ctrlProp1422.xml><?xml version="1.0" encoding="utf-8"?>
<formControlPr xmlns="http://schemas.microsoft.com/office/spreadsheetml/2009/9/main" objectType="Drop" dropStyle="combo" dx="16" fmlaLink="$K$51" fmlaRange="Rebanho!$AH$45:$AH$69" noThreeD="1" val="0"/>
</file>

<file path=xl/ctrlProps/ctrlProp1423.xml><?xml version="1.0" encoding="utf-8"?>
<formControlPr xmlns="http://schemas.microsoft.com/office/spreadsheetml/2009/9/main" objectType="Drop" dropStyle="combo" dx="16" fmlaLink="$K$52" fmlaRange="Rebanho!$AH$45:$AH$69" noThreeD="1" val="0"/>
</file>

<file path=xl/ctrlProps/ctrlProp1424.xml><?xml version="1.0" encoding="utf-8"?>
<formControlPr xmlns="http://schemas.microsoft.com/office/spreadsheetml/2009/9/main" objectType="Drop" dropStyle="combo" dx="16" fmlaLink="$K$53" fmlaRange="Rebanho!$AH$45:$AH$69" noThreeD="1" val="0"/>
</file>

<file path=xl/ctrlProps/ctrlProp1425.xml><?xml version="1.0" encoding="utf-8"?>
<formControlPr xmlns="http://schemas.microsoft.com/office/spreadsheetml/2009/9/main" objectType="Drop" dropStyle="combo" dx="16" fmlaLink="$J$51" fmlaRange="Rebanho!$AH$45:$AH$69" noThreeD="1" val="0"/>
</file>

<file path=xl/ctrlProps/ctrlProp1426.xml><?xml version="1.0" encoding="utf-8"?>
<formControlPr xmlns="http://schemas.microsoft.com/office/spreadsheetml/2009/9/main" objectType="Drop" dropStyle="combo" dx="16" fmlaLink="$J$52" fmlaRange="Rebanho!$AH$45:$AH$69" noThreeD="1" val="0"/>
</file>

<file path=xl/ctrlProps/ctrlProp1427.xml><?xml version="1.0" encoding="utf-8"?>
<formControlPr xmlns="http://schemas.microsoft.com/office/spreadsheetml/2009/9/main" objectType="Drop" dropStyle="combo" dx="16" fmlaLink="$J$53" fmlaRange="Rebanho!$AH$45:$AH$69" noThreeD="1" val="0"/>
</file>

<file path=xl/ctrlProps/ctrlProp1428.xml><?xml version="1.0" encoding="utf-8"?>
<formControlPr xmlns="http://schemas.microsoft.com/office/spreadsheetml/2009/9/main" objectType="Drop" dropStyle="combo" dx="16" fmlaLink="$D$20" fmlaRange="Dados!$Y$14:$Y$81" noThreeD="1" val="0"/>
</file>

<file path=xl/ctrlProps/ctrlProp1429.xml><?xml version="1.0" encoding="utf-8"?>
<formControlPr xmlns="http://schemas.microsoft.com/office/spreadsheetml/2009/9/main" objectType="Drop" dropStyle="combo" dx="16" fmlaLink="$D$21" fmlaRange="Dados!$Y$14:$Y$81" noThreeD="1" val="0"/>
</file>

<file path=xl/ctrlProps/ctrlProp143.xml><?xml version="1.0" encoding="utf-8"?>
<formControlPr xmlns="http://schemas.microsoft.com/office/spreadsheetml/2009/9/main" objectType="Drop" dropStyle="combo" dx="16" fmlaLink="$B$83" fmlaRange="Dados!$K$86:$K$89" noThreeD="1" sel="4" val="0"/>
</file>

<file path=xl/ctrlProps/ctrlProp1430.xml><?xml version="1.0" encoding="utf-8"?>
<formControlPr xmlns="http://schemas.microsoft.com/office/spreadsheetml/2009/9/main" objectType="Drop" dropStyle="combo" dx="16" fmlaLink="$D$22" fmlaRange="Dados!$Y$14:$Y$81" noThreeD="1" val="0"/>
</file>

<file path=xl/ctrlProps/ctrlProp1431.xml><?xml version="1.0" encoding="utf-8"?>
<formControlPr xmlns="http://schemas.microsoft.com/office/spreadsheetml/2009/9/main" objectType="Drop" dropStyle="combo" dx="16" fmlaLink="$J$20" fmlaRange="Rebanho!$AH$45:$AH$69" noThreeD="1" val="0"/>
</file>

<file path=xl/ctrlProps/ctrlProp1432.xml><?xml version="1.0" encoding="utf-8"?>
<formControlPr xmlns="http://schemas.microsoft.com/office/spreadsheetml/2009/9/main" objectType="Drop" dropStyle="combo" dx="16" fmlaLink="$J$21" fmlaRange="Rebanho!$AH$45:$AH$69" noThreeD="1" val="0"/>
</file>

<file path=xl/ctrlProps/ctrlProp1433.xml><?xml version="1.0" encoding="utf-8"?>
<formControlPr xmlns="http://schemas.microsoft.com/office/spreadsheetml/2009/9/main" objectType="Drop" dropStyle="combo" dx="16" fmlaLink="$J$22" fmlaRange="Rebanho!$AH$45:$AH$69" noThreeD="1" val="12"/>
</file>

<file path=xl/ctrlProps/ctrlProp1434.xml><?xml version="1.0" encoding="utf-8"?>
<formControlPr xmlns="http://schemas.microsoft.com/office/spreadsheetml/2009/9/main" objectType="Drop" dropStyle="combo" dx="16" fmlaLink="$K$20" fmlaRange="Rebanho!$AH$45:$AH$69" noThreeD="1" val="0"/>
</file>

<file path=xl/ctrlProps/ctrlProp1435.xml><?xml version="1.0" encoding="utf-8"?>
<formControlPr xmlns="http://schemas.microsoft.com/office/spreadsheetml/2009/9/main" objectType="Drop" dropStyle="combo" dx="16" fmlaLink="$K$21" fmlaRange="Rebanho!$AH$45:$AH$69" noThreeD="1" val="0"/>
</file>

<file path=xl/ctrlProps/ctrlProp1436.xml><?xml version="1.0" encoding="utf-8"?>
<formControlPr xmlns="http://schemas.microsoft.com/office/spreadsheetml/2009/9/main" objectType="Drop" dropStyle="combo" dx="16" fmlaLink="$K$22" fmlaRange="Rebanho!$AH$45:$AH$69" noThreeD="1" val="12"/>
</file>

<file path=xl/ctrlProps/ctrlProp1437.xml><?xml version="1.0" encoding="utf-8"?>
<formControlPr xmlns="http://schemas.microsoft.com/office/spreadsheetml/2009/9/main" objectType="Drop" dropStyle="combo" dx="16" fmlaLink="$D$31" fmlaRange="Dados!$AA$14:$AA$81" noThreeD="1" sel="11" val="5"/>
</file>

<file path=xl/ctrlProps/ctrlProp1438.xml><?xml version="1.0" encoding="utf-8"?>
<formControlPr xmlns="http://schemas.microsoft.com/office/spreadsheetml/2009/9/main" objectType="Drop" dropStyle="combo" dx="16" fmlaLink="$J$31" fmlaRange="Rebanho!$AH$45:$AH$69" noThreeD="1" val="12"/>
</file>

<file path=xl/ctrlProps/ctrlProp1439.xml><?xml version="1.0" encoding="utf-8"?>
<formControlPr xmlns="http://schemas.microsoft.com/office/spreadsheetml/2009/9/main" objectType="Drop" dropStyle="combo" dx="16" fmlaLink="$K$31" fmlaRange="Rebanho!$AH$45:$AH$69" noThreeD="1" val="0"/>
</file>

<file path=xl/ctrlProps/ctrlProp144.xml><?xml version="1.0" encoding="utf-8"?>
<formControlPr xmlns="http://schemas.microsoft.com/office/spreadsheetml/2009/9/main" objectType="Drop" dropStyle="combo" dx="16" fmlaLink="$B$84" fmlaRange="Dados!$K$86:$K$89" noThreeD="1" sel="4" val="0"/>
</file>

<file path=xl/ctrlProps/ctrlProp1440.xml><?xml version="1.0" encoding="utf-8"?>
<formControlPr xmlns="http://schemas.microsoft.com/office/spreadsheetml/2009/9/main" objectType="Drop" dropStyle="combo" dx="16" fmlaLink="$D$30" fmlaRange="Dados!$AA$14:$AA$81" noThreeD="1" sel="10" val="4"/>
</file>

<file path=xl/ctrlProps/ctrlProp1441.xml><?xml version="1.0" encoding="utf-8"?>
<formControlPr xmlns="http://schemas.microsoft.com/office/spreadsheetml/2009/9/main" objectType="Drop" dropStyle="combo" dx="16" fmlaLink="$J$30" fmlaRange="Rebanho!$AH$45:$AH$69" noThreeD="1" val="0"/>
</file>

<file path=xl/ctrlProps/ctrlProp1442.xml><?xml version="1.0" encoding="utf-8"?>
<formControlPr xmlns="http://schemas.microsoft.com/office/spreadsheetml/2009/9/main" objectType="Drop" dropStyle="combo" dx="16" fmlaLink="$K$30" fmlaRange="Rebanho!$AH$45:$AH$69" noThreeD="1" val="0"/>
</file>

<file path=xl/ctrlProps/ctrlProp1443.xml><?xml version="1.0" encoding="utf-8"?>
<formControlPr xmlns="http://schemas.microsoft.com/office/spreadsheetml/2009/9/main" objectType="Drop" dropStyle="combo" dx="16" fmlaLink="$D$33" fmlaRange="Dados!$AA$14:$AA$81" noThreeD="1" val="4"/>
</file>

<file path=xl/ctrlProps/ctrlProp1444.xml><?xml version="1.0" encoding="utf-8"?>
<formControlPr xmlns="http://schemas.microsoft.com/office/spreadsheetml/2009/9/main" objectType="Drop" dropStyle="combo" dx="16" fmlaLink="$D$34" fmlaRange="Dados!$AA$14:$AA$81" noThreeD="1" val="4"/>
</file>

<file path=xl/ctrlProps/ctrlProp1445.xml><?xml version="1.0" encoding="utf-8"?>
<formControlPr xmlns="http://schemas.microsoft.com/office/spreadsheetml/2009/9/main" objectType="Drop" dropStyle="combo" dx="16" fmlaLink="$D$35" fmlaRange="Dados!$AA$14:$AA$81" noThreeD="1" val="0"/>
</file>

<file path=xl/ctrlProps/ctrlProp1446.xml><?xml version="1.0" encoding="utf-8"?>
<formControlPr xmlns="http://schemas.microsoft.com/office/spreadsheetml/2009/9/main" objectType="Drop" dropStyle="combo" dx="16" fmlaLink="$D$32" fmlaRange="Dados!$AA$14:$AA$81" noThreeD="1" sel="10" val="0"/>
</file>

<file path=xl/ctrlProps/ctrlProp1447.xml><?xml version="1.0" encoding="utf-8"?>
<formControlPr xmlns="http://schemas.microsoft.com/office/spreadsheetml/2009/9/main" objectType="Drop" dropStyle="combo" dx="16" fmlaLink="$J$33" fmlaRange="Rebanho!$AH$45:$AH$69" noThreeD="1" val="12"/>
</file>

<file path=xl/ctrlProps/ctrlProp1448.xml><?xml version="1.0" encoding="utf-8"?>
<formControlPr xmlns="http://schemas.microsoft.com/office/spreadsheetml/2009/9/main" objectType="Drop" dropStyle="combo" dx="16" fmlaLink="$J$34" fmlaRange="Rebanho!$AH$45:$AH$69" noThreeD="1" val="0"/>
</file>

<file path=xl/ctrlProps/ctrlProp1449.xml><?xml version="1.0" encoding="utf-8"?>
<formControlPr xmlns="http://schemas.microsoft.com/office/spreadsheetml/2009/9/main" objectType="Drop" dropStyle="combo" dx="16" fmlaLink="$J$35" fmlaRange="Rebanho!$AH$45:$AH$69" noThreeD="1" val="12"/>
</file>

<file path=xl/ctrlProps/ctrlProp145.xml><?xml version="1.0" encoding="utf-8"?>
<formControlPr xmlns="http://schemas.microsoft.com/office/spreadsheetml/2009/9/main" objectType="Drop" dropStyle="combo" dx="16" fmlaLink="$B$85" fmlaRange="Dados!$K$86:$K$89" noThreeD="1" val="0"/>
</file>

<file path=xl/ctrlProps/ctrlProp1450.xml><?xml version="1.0" encoding="utf-8"?>
<formControlPr xmlns="http://schemas.microsoft.com/office/spreadsheetml/2009/9/main" objectType="Drop" dropStyle="combo" dx="16" fmlaLink="$J$32" fmlaRange="Rebanho!$AH$45:$AH$69" noThreeD="1" val="12"/>
</file>

<file path=xl/ctrlProps/ctrlProp1451.xml><?xml version="1.0" encoding="utf-8"?>
<formControlPr xmlns="http://schemas.microsoft.com/office/spreadsheetml/2009/9/main" objectType="Drop" dropStyle="combo" dx="16" fmlaLink="$K$32" fmlaRange="Rebanho!$AH$45:$AH$69" noThreeD="1" val="0"/>
</file>

<file path=xl/ctrlProps/ctrlProp1452.xml><?xml version="1.0" encoding="utf-8"?>
<formControlPr xmlns="http://schemas.microsoft.com/office/spreadsheetml/2009/9/main" objectType="Drop" dropStyle="combo" dx="16" fmlaLink="$K$33" fmlaRange="Rebanho!$AH$45:$AH$69" noThreeD="1" val="0"/>
</file>

<file path=xl/ctrlProps/ctrlProp1453.xml><?xml version="1.0" encoding="utf-8"?>
<formControlPr xmlns="http://schemas.microsoft.com/office/spreadsheetml/2009/9/main" objectType="Drop" dropStyle="combo" dx="16" fmlaLink="$K$34" fmlaRange="Rebanho!$AH$45:$AH$69" noThreeD="1" val="0"/>
</file>

<file path=xl/ctrlProps/ctrlProp1454.xml><?xml version="1.0" encoding="utf-8"?>
<formControlPr xmlns="http://schemas.microsoft.com/office/spreadsheetml/2009/9/main" objectType="Drop" dropStyle="combo" dx="16" fmlaLink="$K$35" fmlaRange="Rebanho!$AH$45:$AH$69" noThreeD="1" val="0"/>
</file>

<file path=xl/ctrlProps/ctrlProp1455.xml><?xml version="1.0" encoding="utf-8"?>
<formControlPr xmlns="http://schemas.microsoft.com/office/spreadsheetml/2009/9/main" objectType="Drop" dropStyle="combo" dx="16" fmlaLink="$J$41" fmlaRange="Rebanho!$AH$45:$AH$69" noThreeD="1" val="0"/>
</file>

<file path=xl/ctrlProps/ctrlProp1456.xml><?xml version="1.0" encoding="utf-8"?>
<formControlPr xmlns="http://schemas.microsoft.com/office/spreadsheetml/2009/9/main" objectType="Drop" dropStyle="combo" dx="16" fmlaLink="$K$41" fmlaRange="Rebanho!$AH$45:$AH$69" noThreeD="1" val="0"/>
</file>

<file path=xl/ctrlProps/ctrlProp1457.xml><?xml version="1.0" encoding="utf-8"?>
<formControlPr xmlns="http://schemas.microsoft.com/office/spreadsheetml/2009/9/main" objectType="Drop" dropStyle="combo" dx="16" fmlaLink="$K$43" fmlaRange="Rebanho!$AH$45:$AH$69" noThreeD="1" val="0"/>
</file>

<file path=xl/ctrlProps/ctrlProp1458.xml><?xml version="1.0" encoding="utf-8"?>
<formControlPr xmlns="http://schemas.microsoft.com/office/spreadsheetml/2009/9/main" objectType="Drop" dropStyle="combo" dx="16" fmlaLink="$K$44" fmlaRange="Rebanho!$AH$45:$AH$69" noThreeD="1" val="0"/>
</file>

<file path=xl/ctrlProps/ctrlProp1459.xml><?xml version="1.0" encoding="utf-8"?>
<formControlPr xmlns="http://schemas.microsoft.com/office/spreadsheetml/2009/9/main" objectType="Drop" dropStyle="combo" dx="16" fmlaLink="$K$45" fmlaRange="Rebanho!$AH$45:$AH$69" noThreeD="1" val="0"/>
</file>

<file path=xl/ctrlProps/ctrlProp146.xml><?xml version="1.0" encoding="utf-8"?>
<formControlPr xmlns="http://schemas.microsoft.com/office/spreadsheetml/2009/9/main" objectType="Drop" dropStyle="combo" dx="16" fmlaLink="$B$86" fmlaRange="Dados!$K$86:$K$89" noThreeD="1" val="0"/>
</file>

<file path=xl/ctrlProps/ctrlProp1460.xml><?xml version="1.0" encoding="utf-8"?>
<formControlPr xmlns="http://schemas.microsoft.com/office/spreadsheetml/2009/9/main" objectType="Drop" dropStyle="combo" dx="16" fmlaLink="$J$43" fmlaRange="Rebanho!$AH$45:$AH$69" noThreeD="1" val="0"/>
</file>

<file path=xl/ctrlProps/ctrlProp1461.xml><?xml version="1.0" encoding="utf-8"?>
<formControlPr xmlns="http://schemas.microsoft.com/office/spreadsheetml/2009/9/main" objectType="Drop" dropStyle="combo" dx="16" fmlaLink="$J$44" fmlaRange="Rebanho!$AH$45:$AH$69" noThreeD="1" val="0"/>
</file>

<file path=xl/ctrlProps/ctrlProp1462.xml><?xml version="1.0" encoding="utf-8"?>
<formControlPr xmlns="http://schemas.microsoft.com/office/spreadsheetml/2009/9/main" objectType="Drop" dropStyle="combo" dx="16" fmlaLink="$J$45" fmlaRange="Rebanho!$AH$45:$AH$69" noThreeD="1" val="0"/>
</file>

<file path=xl/ctrlProps/ctrlProp1463.xml><?xml version="1.0" encoding="utf-8"?>
<formControlPr xmlns="http://schemas.microsoft.com/office/spreadsheetml/2009/9/main" objectType="Drop" dropStyle="combo" dx="16" fmlaLink="$J$42" fmlaRange="Rebanho!$AH$45:$AH$69" noThreeD="1" val="0"/>
</file>

<file path=xl/ctrlProps/ctrlProp1464.xml><?xml version="1.0" encoding="utf-8"?>
<formControlPr xmlns="http://schemas.microsoft.com/office/spreadsheetml/2009/9/main" objectType="Drop" dropStyle="combo" dx="16" fmlaLink="$K$42" fmlaRange="Rebanho!$AH$45:$AH$69" noThreeD="1" val="0"/>
</file>

<file path=xl/ctrlProps/ctrlProp1465.xml><?xml version="1.0" encoding="utf-8"?>
<formControlPr xmlns="http://schemas.microsoft.com/office/spreadsheetml/2009/9/main" objectType="Drop" dropStyle="combo" dx="16" fmlaLink="$D$43" fmlaRange="Dados!$L$86:$L$109" noThreeD="1" val="3"/>
</file>

<file path=xl/ctrlProps/ctrlProp1466.xml><?xml version="1.0" encoding="utf-8"?>
<formControlPr xmlns="http://schemas.microsoft.com/office/spreadsheetml/2009/9/main" objectType="Drop" dropStyle="combo" dx="16" fmlaLink="$D$44" fmlaRange="Dados!$L$86:$L$109" noThreeD="1" val="0"/>
</file>

<file path=xl/ctrlProps/ctrlProp1467.xml><?xml version="1.0" encoding="utf-8"?>
<formControlPr xmlns="http://schemas.microsoft.com/office/spreadsheetml/2009/9/main" objectType="Drop" dropStyle="combo" dx="16" fmlaLink="$D$45" fmlaRange="Dados!$L$86:$L$109" noThreeD="1" val="3"/>
</file>

<file path=xl/ctrlProps/ctrlProp1468.xml><?xml version="1.0" encoding="utf-8"?>
<formControlPr xmlns="http://schemas.microsoft.com/office/spreadsheetml/2009/9/main" objectType="Drop" dropStyle="combo" dx="16" fmlaLink="$D$42" fmlaRange="Dados!$L$86:$L$109" noThreeD="1" val="3"/>
</file>

<file path=xl/ctrlProps/ctrlProp1469.xml><?xml version="1.0" encoding="utf-8"?>
<formControlPr xmlns="http://schemas.microsoft.com/office/spreadsheetml/2009/9/main" objectType="Drop" dropStyle="combo" dx="16" fmlaLink="$D$41" fmlaRange="Dados!$L$86:$L$109" noThreeD="1" sel="16" val="14"/>
</file>

<file path=xl/ctrlProps/ctrlProp147.xml><?xml version="1.0" encoding="utf-8"?>
<formControlPr xmlns="http://schemas.microsoft.com/office/spreadsheetml/2009/9/main" objectType="Drop" dropStyle="combo" dx="16" fmlaLink="$B$87" fmlaRange="Dados!$K$86:$K$89" noThreeD="1" val="0"/>
</file>

<file path=xl/ctrlProps/ctrlProp148.xml><?xml version="1.0" encoding="utf-8"?>
<formControlPr xmlns="http://schemas.microsoft.com/office/spreadsheetml/2009/9/main" objectType="Drop" dropStyle="combo" dx="16" fmlaLink="$B$88" fmlaRange="Dados!$K$86:$K$89" noThreeD="1" val="0"/>
</file>

<file path=xl/ctrlProps/ctrlProp149.xml><?xml version="1.0" encoding="utf-8"?>
<formControlPr xmlns="http://schemas.microsoft.com/office/spreadsheetml/2009/9/main" objectType="Drop" dropStyle="combo" dx="16" fmlaLink="$H$89" fmlaRange="$AB$8:$AB$12" noThreeD="1" val="0"/>
</file>

<file path=xl/ctrlProps/ctrlProp15.xml><?xml version="1.0" encoding="utf-8"?>
<formControlPr xmlns="http://schemas.microsoft.com/office/spreadsheetml/2009/9/main" objectType="Drop" dropStyle="combo" dx="16" fmlaLink="$H$17" fmlaRange="$AD$15:$AD$39" noThreeD="1" val="8"/>
</file>

<file path=xl/ctrlProps/ctrlProp150.xml><?xml version="1.0" encoding="utf-8"?>
<formControlPr xmlns="http://schemas.microsoft.com/office/spreadsheetml/2009/9/main" objectType="Drop" dropStyle="combo" dx="16" fmlaLink="$C$89" fmlaRange="Dados!$H$86:$H$129" noThreeD="1" val="0"/>
</file>

<file path=xl/ctrlProps/ctrlProp151.xml><?xml version="1.0" encoding="utf-8"?>
<formControlPr xmlns="http://schemas.microsoft.com/office/spreadsheetml/2009/9/main" objectType="Drop" dropStyle="combo" dx="16" fmlaLink="$B$89" fmlaRange="Dados!$K$86:$K$89" noThreeD="1" val="0"/>
</file>

<file path=xl/ctrlProps/ctrlProp152.xml><?xml version="1.0" encoding="utf-8"?>
<formControlPr xmlns="http://schemas.microsoft.com/office/spreadsheetml/2009/9/main" objectType="Drop" dropStyle="combo" dx="16" fmlaLink="$H$90" fmlaRange="$AB$8:$AB$12" noThreeD="1" val="0"/>
</file>

<file path=xl/ctrlProps/ctrlProp153.xml><?xml version="1.0" encoding="utf-8"?>
<formControlPr xmlns="http://schemas.microsoft.com/office/spreadsheetml/2009/9/main" objectType="Drop" dropStyle="combo" dx="16" fmlaLink="$C$90" fmlaRange="Dados!$H$86:$H$129" noThreeD="1" val="0"/>
</file>

<file path=xl/ctrlProps/ctrlProp154.xml><?xml version="1.0" encoding="utf-8"?>
<formControlPr xmlns="http://schemas.microsoft.com/office/spreadsheetml/2009/9/main" objectType="Drop" dropStyle="combo" dx="16" fmlaLink="$B$90" fmlaRange="Dados!$K$86:$K$89" noThreeD="1" val="0"/>
</file>

<file path=xl/ctrlProps/ctrlProp155.xml><?xml version="1.0" encoding="utf-8"?>
<formControlPr xmlns="http://schemas.microsoft.com/office/spreadsheetml/2009/9/main" objectType="Drop" dropStyle="combo" dx="16" fmlaLink="$H$91" fmlaRange="$AB$8:$AB$12" noThreeD="1" val="0"/>
</file>

<file path=xl/ctrlProps/ctrlProp156.xml><?xml version="1.0" encoding="utf-8"?>
<formControlPr xmlns="http://schemas.microsoft.com/office/spreadsheetml/2009/9/main" objectType="Drop" dropStyle="combo" dx="16" fmlaLink="$C$91" fmlaRange="Dados!$H$86:$H$129" noThreeD="1" val="0"/>
</file>

<file path=xl/ctrlProps/ctrlProp157.xml><?xml version="1.0" encoding="utf-8"?>
<formControlPr xmlns="http://schemas.microsoft.com/office/spreadsheetml/2009/9/main" objectType="Drop" dropStyle="combo" dx="16" fmlaLink="$B$91" fmlaRange="Dados!$K$86:$K$89" noThreeD="1" val="0"/>
</file>

<file path=xl/ctrlProps/ctrlProp158.xml><?xml version="1.0" encoding="utf-8"?>
<formControlPr xmlns="http://schemas.microsoft.com/office/spreadsheetml/2009/9/main" objectType="Drop" dropStyle="combo" dx="16" fmlaLink="$H$92" fmlaRange="$AB$8:$AB$12" noThreeD="1" val="0"/>
</file>

<file path=xl/ctrlProps/ctrlProp159.xml><?xml version="1.0" encoding="utf-8"?>
<formControlPr xmlns="http://schemas.microsoft.com/office/spreadsheetml/2009/9/main" objectType="Drop" dropStyle="combo" dx="16" fmlaLink="$C$92" fmlaRange="Dados!$H$86:$H$129" noThreeD="1" val="8"/>
</file>

<file path=xl/ctrlProps/ctrlProp16.xml><?xml version="1.0" encoding="utf-8"?>
<formControlPr xmlns="http://schemas.microsoft.com/office/spreadsheetml/2009/9/main" objectType="Drop" dropStyle="combo" dx="16" fmlaLink="$H$16" fmlaRange="$AD$15:$AD$39" noThreeD="1" sel="2" val="0"/>
</file>

<file path=xl/ctrlProps/ctrlProp160.xml><?xml version="1.0" encoding="utf-8"?>
<formControlPr xmlns="http://schemas.microsoft.com/office/spreadsheetml/2009/9/main" objectType="Drop" dropStyle="combo" dx="16" fmlaLink="$B$92" fmlaRange="Dados!$K$86:$K$89" noThreeD="1" val="0"/>
</file>

<file path=xl/ctrlProps/ctrlProp161.xml><?xml version="1.0" encoding="utf-8"?>
<formControlPr xmlns="http://schemas.microsoft.com/office/spreadsheetml/2009/9/main" objectType="Drop" dropStyle="combo" dx="16" fmlaLink="$H$99" fmlaRange="$AB$8:$AB$12" noThreeD="1" val="0"/>
</file>

<file path=xl/ctrlProps/ctrlProp162.xml><?xml version="1.0" encoding="utf-8"?>
<formControlPr xmlns="http://schemas.microsoft.com/office/spreadsheetml/2009/9/main" objectType="Drop" dropStyle="combo" dx="16" fmlaLink="$C$99" fmlaRange="Dados!$H$86:$H$129" noThreeD="1" val="0"/>
</file>

<file path=xl/ctrlProps/ctrlProp163.xml><?xml version="1.0" encoding="utf-8"?>
<formControlPr xmlns="http://schemas.microsoft.com/office/spreadsheetml/2009/9/main" objectType="Drop" dropStyle="combo" dx="16" fmlaLink="$B$99" fmlaRange="Dados!$K$86:$K$89" noThreeD="1" val="0"/>
</file>

<file path=xl/ctrlProps/ctrlProp164.xml><?xml version="1.0" encoding="utf-8"?>
<formControlPr xmlns="http://schemas.microsoft.com/office/spreadsheetml/2009/9/main" objectType="Drop" dropStyle="combo" dx="16" fmlaLink="$H$20" fmlaRange="$AB$8:$AB$12" noThreeD="1" val="0"/>
</file>

<file path=xl/ctrlProps/ctrlProp165.xml><?xml version="1.0" encoding="utf-8"?>
<formControlPr xmlns="http://schemas.microsoft.com/office/spreadsheetml/2009/9/main" objectType="Drop" dropStyle="combo" dx="16" fmlaLink="$H$21" fmlaRange="$AB$8:$AB$12" noThreeD="1" val="0"/>
</file>

<file path=xl/ctrlProps/ctrlProp166.xml><?xml version="1.0" encoding="utf-8"?>
<formControlPr xmlns="http://schemas.microsoft.com/office/spreadsheetml/2009/9/main" objectType="Drop" dropStyle="combo" dx="16" fmlaLink="$H$25" fmlaRange="$AB$8:$AB$12" noThreeD="1" val="0"/>
</file>

<file path=xl/ctrlProps/ctrlProp167.xml><?xml version="1.0" encoding="utf-8"?>
<formControlPr xmlns="http://schemas.microsoft.com/office/spreadsheetml/2009/9/main" objectType="Drop" dropStyle="combo" dx="16" fmlaLink="$C$20" fmlaRange="Dados!$B$86:$B$129" noThreeD="1" val="16"/>
</file>

<file path=xl/ctrlProps/ctrlProp168.xml><?xml version="1.0" encoding="utf-8"?>
<formControlPr xmlns="http://schemas.microsoft.com/office/spreadsheetml/2009/9/main" objectType="Drop" dropStyle="combo" dx="16" fmlaLink="$C$21" fmlaRange="Dados!$B$86:$B$129" noThreeD="1" val="4"/>
</file>

<file path=xl/ctrlProps/ctrlProp169.xml><?xml version="1.0" encoding="utf-8"?>
<formControlPr xmlns="http://schemas.microsoft.com/office/spreadsheetml/2009/9/main" objectType="Drop" dropStyle="combo" dx="16" fmlaLink="$C$25" fmlaRange="Dados!$B$86:$B$129" noThreeD="1" val="12"/>
</file>

<file path=xl/ctrlProps/ctrlProp17.xml><?xml version="1.0" encoding="utf-8"?>
<formControlPr xmlns="http://schemas.microsoft.com/office/spreadsheetml/2009/9/main" objectType="Drop" dropStyle="combo" dx="16" fmlaLink="$I$16" fmlaRange="$AD$15:$AD$39" noThreeD="1" sel="13" val="0"/>
</file>

<file path=xl/ctrlProps/ctrlProp170.xml><?xml version="1.0" encoding="utf-8"?>
<formControlPr xmlns="http://schemas.microsoft.com/office/spreadsheetml/2009/9/main" objectType="Drop" dropStyle="combo" dx="16" fmlaLink="$H$22" fmlaRange="$AB$8:$AB$12" noThreeD="1" val="0"/>
</file>

<file path=xl/ctrlProps/ctrlProp171.xml><?xml version="1.0" encoding="utf-8"?>
<formControlPr xmlns="http://schemas.microsoft.com/office/spreadsheetml/2009/9/main" objectType="Drop" dropStyle="combo" dx="16" fmlaLink="$C$22" fmlaRange="Dados!$B$86:$B$129" noThreeD="1" val="20"/>
</file>

<file path=xl/ctrlProps/ctrlProp172.xml><?xml version="1.0" encoding="utf-8"?>
<formControlPr xmlns="http://schemas.microsoft.com/office/spreadsheetml/2009/9/main" objectType="Drop" dropStyle="combo" dx="16" fmlaLink="$H$23" fmlaRange="$AB$8:$AB$12" noThreeD="1" val="0"/>
</file>

<file path=xl/ctrlProps/ctrlProp173.xml><?xml version="1.0" encoding="utf-8"?>
<formControlPr xmlns="http://schemas.microsoft.com/office/spreadsheetml/2009/9/main" objectType="Drop" dropStyle="combo" dx="16" fmlaLink="$C$23" fmlaRange="Dados!$B$86:$B$129" noThreeD="1" val="0"/>
</file>

<file path=xl/ctrlProps/ctrlProp174.xml><?xml version="1.0" encoding="utf-8"?>
<formControlPr xmlns="http://schemas.microsoft.com/office/spreadsheetml/2009/9/main" objectType="Drop" dropStyle="combo" dx="16" fmlaLink="$H$24" fmlaRange="$AB$8:$AB$12" noThreeD="1" val="0"/>
</file>

<file path=xl/ctrlProps/ctrlProp175.xml><?xml version="1.0" encoding="utf-8"?>
<formControlPr xmlns="http://schemas.microsoft.com/office/spreadsheetml/2009/9/main" objectType="Drop" dropStyle="combo" dx="16" fmlaLink="$C$24" fmlaRange="Dados!$B$86:$B$129" noThreeD="1" val="8"/>
</file>

<file path=xl/ctrlProps/ctrlProp176.xml><?xml version="1.0" encoding="utf-8"?>
<formControlPr xmlns="http://schemas.microsoft.com/office/spreadsheetml/2009/9/main" objectType="Drop" dropStyle="combo" dx="16" fmlaLink="$C$68" fmlaRange="Dados!$F$86:$F$129" noThreeD="1" val="0"/>
</file>

<file path=xl/ctrlProps/ctrlProp177.xml><?xml version="1.0" encoding="utf-8"?>
<formControlPr xmlns="http://schemas.microsoft.com/office/spreadsheetml/2009/9/main" objectType="Drop" dropStyle="combo" dx="16" fmlaLink="$H$68" fmlaRange="$AB$8:$AB$12" noThreeD="1" val="0"/>
</file>

<file path=xl/ctrlProps/ctrlProp178.xml><?xml version="1.0" encoding="utf-8"?>
<formControlPr xmlns="http://schemas.microsoft.com/office/spreadsheetml/2009/9/main" objectType="Drop" dropStyle="combo" dx="16" fmlaLink="$C$69" fmlaRange="Dados!$F$86:$F$129" noThreeD="1" val="0"/>
</file>

<file path=xl/ctrlProps/ctrlProp179.xml><?xml version="1.0" encoding="utf-8"?>
<formControlPr xmlns="http://schemas.microsoft.com/office/spreadsheetml/2009/9/main" objectType="Drop" dropStyle="combo" dx="16" fmlaLink="$H$69" fmlaRange="$AB$8:$AB$12" noThreeD="1" val="0"/>
</file>

<file path=xl/ctrlProps/ctrlProp18.xml><?xml version="1.0" encoding="utf-8"?>
<formControlPr xmlns="http://schemas.microsoft.com/office/spreadsheetml/2009/9/main" objectType="Drop" dropStyle="combo" dx="16" fmlaLink="$I$15" fmlaRange="$AD$15:$AD$39" noThreeD="1" sel="13" val="0"/>
</file>

<file path=xl/ctrlProps/ctrlProp180.xml><?xml version="1.0" encoding="utf-8"?>
<formControlPr xmlns="http://schemas.microsoft.com/office/spreadsheetml/2009/9/main" objectType="Drop" dropStyle="combo" dx="16" fmlaLink="$C$70" fmlaRange="Dados!$F$86:$F$129" noThreeD="1" val="0"/>
</file>

<file path=xl/ctrlProps/ctrlProp181.xml><?xml version="1.0" encoding="utf-8"?>
<formControlPr xmlns="http://schemas.microsoft.com/office/spreadsheetml/2009/9/main" objectType="Drop" dropStyle="combo" dx="16" fmlaLink="$H$70" fmlaRange="$AB$8:$AB$12" noThreeD="1" val="0"/>
</file>

<file path=xl/ctrlProps/ctrlProp182.xml><?xml version="1.0" encoding="utf-8"?>
<formControlPr xmlns="http://schemas.microsoft.com/office/spreadsheetml/2009/9/main" objectType="Drop" dropStyle="combo" dx="16" fmlaLink="$H$93" fmlaRange="$AB$8:$AB$12" noThreeD="1" val="0"/>
</file>

<file path=xl/ctrlProps/ctrlProp183.xml><?xml version="1.0" encoding="utf-8"?>
<formControlPr xmlns="http://schemas.microsoft.com/office/spreadsheetml/2009/9/main" objectType="Drop" dropStyle="combo" dx="16" fmlaLink="$C$93" fmlaRange="Dados!$H$86:$H$129" noThreeD="1" val="0"/>
</file>

<file path=xl/ctrlProps/ctrlProp184.xml><?xml version="1.0" encoding="utf-8"?>
<formControlPr xmlns="http://schemas.microsoft.com/office/spreadsheetml/2009/9/main" objectType="Drop" dropStyle="combo" dx="16" fmlaLink="$B$93" fmlaRange="Dados!$K$86:$K$89" noThreeD="1" val="0"/>
</file>

<file path=xl/ctrlProps/ctrlProp185.xml><?xml version="1.0" encoding="utf-8"?>
<formControlPr xmlns="http://schemas.microsoft.com/office/spreadsheetml/2009/9/main" objectType="Drop" dropStyle="combo" dx="16" fmlaLink="$H$94" fmlaRange="$AB$8:$AB$12" noThreeD="1" val="0"/>
</file>

<file path=xl/ctrlProps/ctrlProp186.xml><?xml version="1.0" encoding="utf-8"?>
<formControlPr xmlns="http://schemas.microsoft.com/office/spreadsheetml/2009/9/main" objectType="Drop" dropStyle="combo" dx="16" fmlaLink="$C$94" fmlaRange="Dados!$H$86:$H$129" noThreeD="1" val="8"/>
</file>

<file path=xl/ctrlProps/ctrlProp187.xml><?xml version="1.0" encoding="utf-8"?>
<formControlPr xmlns="http://schemas.microsoft.com/office/spreadsheetml/2009/9/main" objectType="Drop" dropStyle="combo" dx="16" fmlaLink="$B$94" fmlaRange="Dados!$K$86:$K$89" noThreeD="1" val="0"/>
</file>

<file path=xl/ctrlProps/ctrlProp188.xml><?xml version="1.0" encoding="utf-8"?>
<formControlPr xmlns="http://schemas.microsoft.com/office/spreadsheetml/2009/9/main" objectType="Drop" dropStyle="combo" dx="16" fmlaLink="$H$95" fmlaRange="$AB$8:$AB$12" noThreeD="1" val="0"/>
</file>

<file path=xl/ctrlProps/ctrlProp189.xml><?xml version="1.0" encoding="utf-8"?>
<formControlPr xmlns="http://schemas.microsoft.com/office/spreadsheetml/2009/9/main" objectType="Drop" dropStyle="combo" dx="16" fmlaLink="$C$95" fmlaRange="Dados!$H$86:$H$129" noThreeD="1" val="8"/>
</file>

<file path=xl/ctrlProps/ctrlProp19.xml><?xml version="1.0" encoding="utf-8"?>
<formControlPr xmlns="http://schemas.microsoft.com/office/spreadsheetml/2009/9/main" objectType="Drop" dropStyle="combo" dx="16" fmlaLink="$H$15" fmlaRange="$AD$15:$AD$39" noThreeD="1" sel="2" val="0"/>
</file>

<file path=xl/ctrlProps/ctrlProp190.xml><?xml version="1.0" encoding="utf-8"?>
<formControlPr xmlns="http://schemas.microsoft.com/office/spreadsheetml/2009/9/main" objectType="Drop" dropStyle="combo" dx="16" fmlaLink="$B$95" fmlaRange="Dados!$K$86:$K$89" noThreeD="1" val="0"/>
</file>

<file path=xl/ctrlProps/ctrlProp191.xml><?xml version="1.0" encoding="utf-8"?>
<formControlPr xmlns="http://schemas.microsoft.com/office/spreadsheetml/2009/9/main" objectType="Drop" dropStyle="combo" dx="16" fmlaLink="$H$96" fmlaRange="$AB$8:$AB$12" noThreeD="1" val="0"/>
</file>

<file path=xl/ctrlProps/ctrlProp192.xml><?xml version="1.0" encoding="utf-8"?>
<formControlPr xmlns="http://schemas.microsoft.com/office/spreadsheetml/2009/9/main" objectType="Drop" dropStyle="combo" dx="16" fmlaLink="$C$96" fmlaRange="Dados!$H$86:$H$129" noThreeD="1" val="8"/>
</file>

<file path=xl/ctrlProps/ctrlProp193.xml><?xml version="1.0" encoding="utf-8"?>
<formControlPr xmlns="http://schemas.microsoft.com/office/spreadsheetml/2009/9/main" objectType="Drop" dropStyle="combo" dx="16" fmlaLink="$B$96" fmlaRange="Dados!$K$86:$K$89" noThreeD="1" val="0"/>
</file>

<file path=xl/ctrlProps/ctrlProp194.xml><?xml version="1.0" encoding="utf-8"?>
<formControlPr xmlns="http://schemas.microsoft.com/office/spreadsheetml/2009/9/main" objectType="Drop" dropStyle="combo" dx="16" fmlaLink="$H$97" fmlaRange="$AB$8:$AB$12" noThreeD="1" val="0"/>
</file>

<file path=xl/ctrlProps/ctrlProp195.xml><?xml version="1.0" encoding="utf-8"?>
<formControlPr xmlns="http://schemas.microsoft.com/office/spreadsheetml/2009/9/main" objectType="Drop" dropStyle="combo" dx="16" fmlaLink="$C$97" fmlaRange="Dados!$H$86:$H$129" noThreeD="1" val="8"/>
</file>

<file path=xl/ctrlProps/ctrlProp196.xml><?xml version="1.0" encoding="utf-8"?>
<formControlPr xmlns="http://schemas.microsoft.com/office/spreadsheetml/2009/9/main" objectType="Drop" dropStyle="combo" dx="16" fmlaLink="$B$97" fmlaRange="Dados!$K$86:$K$89" noThreeD="1" val="0"/>
</file>

<file path=xl/ctrlProps/ctrlProp197.xml><?xml version="1.0" encoding="utf-8"?>
<formControlPr xmlns="http://schemas.microsoft.com/office/spreadsheetml/2009/9/main" objectType="Drop" dropStyle="combo" dx="16" fmlaLink="$H$98" fmlaRange="$AB$8:$AB$12" noThreeD="1" val="0"/>
</file>

<file path=xl/ctrlProps/ctrlProp198.xml><?xml version="1.0" encoding="utf-8"?>
<formControlPr xmlns="http://schemas.microsoft.com/office/spreadsheetml/2009/9/main" objectType="Drop" dropStyle="combo" dx="16" fmlaLink="$C$98" fmlaRange="Dados!$H$86:$H$129" noThreeD="1" val="8"/>
</file>

<file path=xl/ctrlProps/ctrlProp199.xml><?xml version="1.0" encoding="utf-8"?>
<formControlPr xmlns="http://schemas.microsoft.com/office/spreadsheetml/2009/9/main" objectType="Drop" dropStyle="combo" dx="16" fmlaLink="$B$98" fmlaRange="Dados!$K$86:$K$89" noThreeD="1" val="0"/>
</file>

<file path=xl/ctrlProps/ctrlProp2.xml><?xml version="1.0" encoding="utf-8"?>
<formControlPr xmlns="http://schemas.microsoft.com/office/spreadsheetml/2009/9/main" objectType="Drop" dropStyle="combo" dx="16" fmlaLink="$H$14" fmlaRange="$AD$15:$AD$23" noThreeD="1" sel="2" val="0"/>
</file>

<file path=xl/ctrlProps/ctrlProp20.xml><?xml version="1.0" encoding="utf-8"?>
<formControlPr xmlns="http://schemas.microsoft.com/office/spreadsheetml/2009/9/main" objectType="Drop" dropStyle="combo" dx="16" fmlaLink="$F$14" fmlaRange="$AF$15:$AG$52" noThreeD="1" sel="2" val="0"/>
</file>

<file path=xl/ctrlProps/ctrlProp200.xml><?xml version="1.0" encoding="utf-8"?>
<formControlPr xmlns="http://schemas.microsoft.com/office/spreadsheetml/2009/9/main" objectType="Drop" dropStyle="combo" dx="16" fmlaLink="$C$108" fmlaRange="Dados!$I$86:$I$129" noThreeD="1" val="0"/>
</file>

<file path=xl/ctrlProps/ctrlProp201.xml><?xml version="1.0" encoding="utf-8"?>
<formControlPr xmlns="http://schemas.microsoft.com/office/spreadsheetml/2009/9/main" objectType="Drop" dropStyle="combo" dx="16" fmlaLink="$H$108" fmlaRange="$AB$8:$AB$12" noThreeD="1" val="0"/>
</file>

<file path=xl/ctrlProps/ctrlProp202.xml><?xml version="1.0" encoding="utf-8"?>
<formControlPr xmlns="http://schemas.microsoft.com/office/spreadsheetml/2009/9/main" objectType="Drop" dropStyle="combo" dx="16" fmlaLink="$L$108" fmlaRange="Dados!$J$86:$J$92" noThreeD="1" val="0"/>
</file>

<file path=xl/ctrlProps/ctrlProp203.xml><?xml version="1.0" encoding="utf-8"?>
<formControlPr xmlns="http://schemas.microsoft.com/office/spreadsheetml/2009/9/main" objectType="Drop" dropStyle="combo" dx="16" fmlaLink="$C$109" fmlaRange="Dados!$I$86:$I$129" noThreeD="1" val="0"/>
</file>

<file path=xl/ctrlProps/ctrlProp204.xml><?xml version="1.0" encoding="utf-8"?>
<formControlPr xmlns="http://schemas.microsoft.com/office/spreadsheetml/2009/9/main" objectType="Drop" dropStyle="combo" dx="16" fmlaLink="$H$109" fmlaRange="$AB$8:$AB$12" noThreeD="1" val="0"/>
</file>

<file path=xl/ctrlProps/ctrlProp205.xml><?xml version="1.0" encoding="utf-8"?>
<formControlPr xmlns="http://schemas.microsoft.com/office/spreadsheetml/2009/9/main" objectType="Drop" dropStyle="combo" dx="16" fmlaLink="$L$109" fmlaRange="Dados!$J$86:$J$92" noThreeD="1" val="0"/>
</file>

<file path=xl/ctrlProps/ctrlProp206.xml><?xml version="1.0" encoding="utf-8"?>
<formControlPr xmlns="http://schemas.microsoft.com/office/spreadsheetml/2009/9/main" objectType="Drop" dropStyle="combo" dx="16" fmlaLink="$C$110" fmlaRange="Dados!$I$86:$I$129" noThreeD="1" val="0"/>
</file>

<file path=xl/ctrlProps/ctrlProp207.xml><?xml version="1.0" encoding="utf-8"?>
<formControlPr xmlns="http://schemas.microsoft.com/office/spreadsheetml/2009/9/main" objectType="Drop" dropStyle="combo" dx="16" fmlaLink="$H$110" fmlaRange="$AB$8:$AB$12" noThreeD="1" val="0"/>
</file>

<file path=xl/ctrlProps/ctrlProp208.xml><?xml version="1.0" encoding="utf-8"?>
<formControlPr xmlns="http://schemas.microsoft.com/office/spreadsheetml/2009/9/main" objectType="Drop" dropStyle="combo" dx="16" fmlaLink="$L$110" fmlaRange="Dados!$J$86:$J$92" noThreeD="1" val="0"/>
</file>

<file path=xl/ctrlProps/ctrlProp209.xml><?xml version="1.0" encoding="utf-8"?>
<formControlPr xmlns="http://schemas.microsoft.com/office/spreadsheetml/2009/9/main" objectType="Drop" dropStyle="combo" dx="16" fmlaLink="$C$111" fmlaRange="Dados!$I$86:$I$129" noThreeD="1" val="0"/>
</file>

<file path=xl/ctrlProps/ctrlProp21.xml><?xml version="1.0" encoding="utf-8"?>
<formControlPr xmlns="http://schemas.microsoft.com/office/spreadsheetml/2009/9/main" objectType="Drop" dropStyle="combo" dx="16" fmlaLink="$F$15" fmlaRange="$AF$15:$AG$52" noThreeD="1" sel="3" val="0"/>
</file>

<file path=xl/ctrlProps/ctrlProp210.xml><?xml version="1.0" encoding="utf-8"?>
<formControlPr xmlns="http://schemas.microsoft.com/office/spreadsheetml/2009/9/main" objectType="Drop" dropStyle="combo" dx="16" fmlaLink="$H$111" fmlaRange="$AB$8:$AB$12" noThreeD="1" val="0"/>
</file>

<file path=xl/ctrlProps/ctrlProp211.xml><?xml version="1.0" encoding="utf-8"?>
<formControlPr xmlns="http://schemas.microsoft.com/office/spreadsheetml/2009/9/main" objectType="Drop" dropStyle="combo" dx="16" fmlaLink="$L$111" fmlaRange="Dados!$J$86:$J$92" noThreeD="1" val="0"/>
</file>

<file path=xl/ctrlProps/ctrlProp212.xml><?xml version="1.0" encoding="utf-8"?>
<formControlPr xmlns="http://schemas.microsoft.com/office/spreadsheetml/2009/9/main" objectType="Drop" dropStyle="combo" dx="16" fmlaLink="$C$80" fmlaRange="$AE$45:$AE$67" noThreeD="1" val="0"/>
</file>

<file path=xl/ctrlProps/ctrlProp213.xml><?xml version="1.0" encoding="utf-8"?>
<formControlPr xmlns="http://schemas.microsoft.com/office/spreadsheetml/2009/9/main" objectType="Drop" dropStyle="combo" dx="16" fmlaLink="$C$81" fmlaRange="$AE$45:$AE$67" noThreeD="1" val="0"/>
</file>

<file path=xl/ctrlProps/ctrlProp214.xml><?xml version="1.0" encoding="utf-8"?>
<formControlPr xmlns="http://schemas.microsoft.com/office/spreadsheetml/2009/9/main" objectType="Drop" dropStyle="combo" dx="16" fmlaLink="$C$82" fmlaRange="$AE$45:$AE$67" noThreeD="1" val="0"/>
</file>

<file path=xl/ctrlProps/ctrlProp215.xml><?xml version="1.0" encoding="utf-8"?>
<formControlPr xmlns="http://schemas.microsoft.com/office/spreadsheetml/2009/9/main" objectType="Drop" dropStyle="combo" dx="16" fmlaLink="$C$83" fmlaRange="$AE$45:$AE$67" noThreeD="1" val="0"/>
</file>

<file path=xl/ctrlProps/ctrlProp216.xml><?xml version="1.0" encoding="utf-8"?>
<formControlPr xmlns="http://schemas.microsoft.com/office/spreadsheetml/2009/9/main" objectType="Drop" dropStyle="combo" dx="16" fmlaLink="$C$84" fmlaRange="$AE$45:$AE$67" noThreeD="1" val="7"/>
</file>

<file path=xl/ctrlProps/ctrlProp217.xml><?xml version="1.0" encoding="utf-8"?>
<formControlPr xmlns="http://schemas.microsoft.com/office/spreadsheetml/2009/9/main" objectType="Drop" dropStyle="combo" dx="16" fmlaLink="$C$85" fmlaRange="$AE$45:$AE$67" noThreeD="1" val="0"/>
</file>

<file path=xl/ctrlProps/ctrlProp218.xml><?xml version="1.0" encoding="utf-8"?>
<formControlPr xmlns="http://schemas.microsoft.com/office/spreadsheetml/2009/9/main" objectType="Drop" dropStyle="combo" dx="16" fmlaLink="$C$86" fmlaRange="$AE$45:$AE$67" noThreeD="1" val="15"/>
</file>

<file path=xl/ctrlProps/ctrlProp219.xml><?xml version="1.0" encoding="utf-8"?>
<formControlPr xmlns="http://schemas.microsoft.com/office/spreadsheetml/2009/9/main" objectType="Drop" dropStyle="combo" dx="16" fmlaLink="$C$87" fmlaRange="$AE$45:$AE$67" noThreeD="1" val="0"/>
</file>

<file path=xl/ctrlProps/ctrlProp22.xml><?xml version="1.0" encoding="utf-8"?>
<formControlPr xmlns="http://schemas.microsoft.com/office/spreadsheetml/2009/9/main" objectType="Drop" dropStyle="combo" dx="16" fmlaLink="$F$19" fmlaRange="$AF$15:$AG$52" noThreeD="1" val="0"/>
</file>

<file path=xl/ctrlProps/ctrlProp220.xml><?xml version="1.0" encoding="utf-8"?>
<formControlPr xmlns="http://schemas.microsoft.com/office/spreadsheetml/2009/9/main" objectType="Drop" dropStyle="combo" dx="16" fmlaLink="$C$88" fmlaRange="$AE$45:$AE$67" noThreeD="1" sel="7" val="6"/>
</file>

<file path=xl/ctrlProps/ctrlProp221.xml><?xml version="1.0" encoding="utf-8"?>
<formControlPr xmlns="http://schemas.microsoft.com/office/spreadsheetml/2009/9/main" objectType="Drop" dropStyle="combo" dx="16" fmlaLink="$C$89" fmlaRange="$AE$45:$AE$67" noThreeD="1" sel="14" val="13"/>
</file>

<file path=xl/ctrlProps/ctrlProp222.xml><?xml version="1.0" encoding="utf-8"?>
<formControlPr xmlns="http://schemas.microsoft.com/office/spreadsheetml/2009/9/main" objectType="Drop" dropStyle="combo" dx="16" fmlaLink="$J$79" fmlaRange="$AG$45:$AG$69" noThreeD="1" val="0"/>
</file>

<file path=xl/ctrlProps/ctrlProp223.xml><?xml version="1.0" encoding="utf-8"?>
<formControlPr xmlns="http://schemas.microsoft.com/office/spreadsheetml/2009/9/main" objectType="Drop" dropStyle="combo" dx="16" fmlaLink="$C$109" fmlaRange="$AF$45:$AF$64" noThreeD="1" sel="3" val="0"/>
</file>

<file path=xl/ctrlProps/ctrlProp224.xml><?xml version="1.0" encoding="utf-8"?>
<formControlPr xmlns="http://schemas.microsoft.com/office/spreadsheetml/2009/9/main" objectType="Drop" dropStyle="combo" dx="16" fmlaLink="$C$110" fmlaRange="$AF$45:$AF$64" noThreeD="1" val="0"/>
</file>

<file path=xl/ctrlProps/ctrlProp225.xml><?xml version="1.0" encoding="utf-8"?>
<formControlPr xmlns="http://schemas.microsoft.com/office/spreadsheetml/2009/9/main" objectType="Drop" dropStyle="combo" dx="16" fmlaLink="$C$111" fmlaRange="$AF$45:$AF$64" noThreeD="1" val="0"/>
</file>

<file path=xl/ctrlProps/ctrlProp226.xml><?xml version="1.0" encoding="utf-8"?>
<formControlPr xmlns="http://schemas.microsoft.com/office/spreadsheetml/2009/9/main" objectType="Drop" dropStyle="combo" dx="16" fmlaLink="$C$112" fmlaRange="$AF$45:$AF$64" noThreeD="1" val="0"/>
</file>

<file path=xl/ctrlProps/ctrlProp227.xml><?xml version="1.0" encoding="utf-8"?>
<formControlPr xmlns="http://schemas.microsoft.com/office/spreadsheetml/2009/9/main" objectType="Drop" dropStyle="combo" dx="16" fmlaLink="$C$113" fmlaRange="$AF$45:$AF$64" noThreeD="1" val="12"/>
</file>

<file path=xl/ctrlProps/ctrlProp228.xml><?xml version="1.0" encoding="utf-8"?>
<formControlPr xmlns="http://schemas.microsoft.com/office/spreadsheetml/2009/9/main" objectType="Drop" dropStyle="combo" dx="16" fmlaLink="$C$114" fmlaRange="$AF$45:$AF$64" noThreeD="1" val="0"/>
</file>

<file path=xl/ctrlProps/ctrlProp229.xml><?xml version="1.0" encoding="utf-8"?>
<formControlPr xmlns="http://schemas.microsoft.com/office/spreadsheetml/2009/9/main" objectType="Drop" dropStyle="combo" dx="16" fmlaLink="$C$115" fmlaRange="$AF$45:$AF$64" noThreeD="1" val="12"/>
</file>

<file path=xl/ctrlProps/ctrlProp23.xml><?xml version="1.0" encoding="utf-8"?>
<formControlPr xmlns="http://schemas.microsoft.com/office/spreadsheetml/2009/9/main" objectType="Drop" dropStyle="combo" dx="16" fmlaLink="$F$20" fmlaRange="$AF$15:$AG$52" noThreeD="1" val="0"/>
</file>

<file path=xl/ctrlProps/ctrlProp230.xml><?xml version="1.0" encoding="utf-8"?>
<formControlPr xmlns="http://schemas.microsoft.com/office/spreadsheetml/2009/9/main" objectType="Drop" dropStyle="combo" dx="16" fmlaLink="$C$116" fmlaRange="$AF$45:$AF$64" noThreeD="1" val="8"/>
</file>

<file path=xl/ctrlProps/ctrlProp231.xml><?xml version="1.0" encoding="utf-8"?>
<formControlPr xmlns="http://schemas.microsoft.com/office/spreadsheetml/2009/9/main" objectType="Drop" dropStyle="combo" dx="16" fmlaLink="$C$117" fmlaRange="$AF$45:$AF$64" noThreeD="1" val="0"/>
</file>

<file path=xl/ctrlProps/ctrlProp232.xml><?xml version="1.0" encoding="utf-8"?>
<formControlPr xmlns="http://schemas.microsoft.com/office/spreadsheetml/2009/9/main" objectType="Drop" dropStyle="combo" dx="16" fmlaLink="$H$109" fmlaRange="$AG$45:$AG$69" noThreeD="1" val="12"/>
</file>

<file path=xl/ctrlProps/ctrlProp233.xml><?xml version="1.0" encoding="utf-8"?>
<formControlPr xmlns="http://schemas.microsoft.com/office/spreadsheetml/2009/9/main" objectType="Drop" dropStyle="combo" dx="16" fmlaLink="$C$95" fmlaRange="Dados!$AC$14:$AC$81" noThreeD="1" sel="3" val="0"/>
</file>

<file path=xl/ctrlProps/ctrlProp234.xml><?xml version="1.0" encoding="utf-8"?>
<formControlPr xmlns="http://schemas.microsoft.com/office/spreadsheetml/2009/9/main" objectType="Drop" dropStyle="combo" dx="16" fmlaLink="$F$95" fmlaRange="$AB$77:$AB$88" noThreeD="1" sel="2" val="0"/>
</file>

<file path=xl/ctrlProps/ctrlProp235.xml><?xml version="1.0" encoding="utf-8"?>
<formControlPr xmlns="http://schemas.microsoft.com/office/spreadsheetml/2009/9/main" objectType="Drop" dropStyle="combo" dx="16" fmlaLink="$C$96" fmlaRange="Dados!$AC$14:$AC$81" noThreeD="1" val="0"/>
</file>

<file path=xl/ctrlProps/ctrlProp236.xml><?xml version="1.0" encoding="utf-8"?>
<formControlPr xmlns="http://schemas.microsoft.com/office/spreadsheetml/2009/9/main" objectType="Drop" dropStyle="combo" dx="16" fmlaLink="$C$97" fmlaRange="Dados!$AC$14:$AC$81" noThreeD="1" val="0"/>
</file>

<file path=xl/ctrlProps/ctrlProp237.xml><?xml version="1.0" encoding="utf-8"?>
<formControlPr xmlns="http://schemas.microsoft.com/office/spreadsheetml/2009/9/main" objectType="Drop" dropStyle="combo" dx="16" fmlaLink="$C$98" fmlaRange="Dados!$AC$14:$AC$81" noThreeD="1" val="0"/>
</file>

<file path=xl/ctrlProps/ctrlProp238.xml><?xml version="1.0" encoding="utf-8"?>
<formControlPr xmlns="http://schemas.microsoft.com/office/spreadsheetml/2009/9/main" objectType="Drop" dropStyle="combo" dx="16" fmlaLink="$C$99" fmlaRange="Dados!$AC$14:$AC$81" noThreeD="1" val="0"/>
</file>

<file path=xl/ctrlProps/ctrlProp239.xml><?xml version="1.0" encoding="utf-8"?>
<formControlPr xmlns="http://schemas.microsoft.com/office/spreadsheetml/2009/9/main" objectType="Drop" dropStyle="combo" dx="16" fmlaLink="$C$100" fmlaRange="Dados!$AC$14:$AC$81" noThreeD="1" val="0"/>
</file>

<file path=xl/ctrlProps/ctrlProp24.xml><?xml version="1.0" encoding="utf-8"?>
<formControlPr xmlns="http://schemas.microsoft.com/office/spreadsheetml/2009/9/main" objectType="Drop" dropStyle="combo" dx="16" fmlaLink="$F$21" fmlaRange="$AF$15:$AG$52" noThreeD="1" val="0"/>
</file>

<file path=xl/ctrlProps/ctrlProp240.xml><?xml version="1.0" encoding="utf-8"?>
<formControlPr xmlns="http://schemas.microsoft.com/office/spreadsheetml/2009/9/main" objectType="Drop" dropStyle="combo" dx="16" fmlaLink="$C$101" fmlaRange="Dados!$AC$14:$AC$81" noThreeD="1" val="0"/>
</file>

<file path=xl/ctrlProps/ctrlProp241.xml><?xml version="1.0" encoding="utf-8"?>
<formControlPr xmlns="http://schemas.microsoft.com/office/spreadsheetml/2009/9/main" objectType="Drop" dropStyle="combo" dx="16" fmlaLink="$C$102" fmlaRange="Dados!$AC$14:$AC$81" noThreeD="1" val="0"/>
</file>

<file path=xl/ctrlProps/ctrlProp242.xml><?xml version="1.0" encoding="utf-8"?>
<formControlPr xmlns="http://schemas.microsoft.com/office/spreadsheetml/2009/9/main" objectType="Drop" dropStyle="combo" dx="16" fmlaLink="$F$96" fmlaRange="$AB$77:$AB$88" noThreeD="1" val="0"/>
</file>

<file path=xl/ctrlProps/ctrlProp243.xml><?xml version="1.0" encoding="utf-8"?>
<formControlPr xmlns="http://schemas.microsoft.com/office/spreadsheetml/2009/9/main" objectType="Drop" dropStyle="combo" dx="16" fmlaLink="$F$97" fmlaRange="$AB$77:$AB$88" noThreeD="1" val="4"/>
</file>

<file path=xl/ctrlProps/ctrlProp244.xml><?xml version="1.0" encoding="utf-8"?>
<formControlPr xmlns="http://schemas.microsoft.com/office/spreadsheetml/2009/9/main" objectType="Drop" dropStyle="combo" dx="16" fmlaLink="$F$98" fmlaRange="$AB$77:$AB$88" noThreeD="1" val="4"/>
</file>

<file path=xl/ctrlProps/ctrlProp245.xml><?xml version="1.0" encoding="utf-8"?>
<formControlPr xmlns="http://schemas.microsoft.com/office/spreadsheetml/2009/9/main" objectType="Drop" dropStyle="combo" dx="16" fmlaLink="$F$99" fmlaRange="$AB$77:$AB$88" noThreeD="1" sel="0" val="0"/>
</file>

<file path=xl/ctrlProps/ctrlProp246.xml><?xml version="1.0" encoding="utf-8"?>
<formControlPr xmlns="http://schemas.microsoft.com/office/spreadsheetml/2009/9/main" objectType="Drop" dropStyle="combo" dx="16" fmlaLink="$F$100" fmlaRange="$AB$77:$AB$88" noThreeD="1" sel="0" val="0"/>
</file>

<file path=xl/ctrlProps/ctrlProp247.xml><?xml version="1.0" encoding="utf-8"?>
<formControlPr xmlns="http://schemas.microsoft.com/office/spreadsheetml/2009/9/main" objectType="Drop" dropStyle="combo" dx="16" fmlaLink="$F$101" fmlaRange="$AB$77:$AB$88" noThreeD="1" sel="0" val="0"/>
</file>

<file path=xl/ctrlProps/ctrlProp248.xml><?xml version="1.0" encoding="utf-8"?>
<formControlPr xmlns="http://schemas.microsoft.com/office/spreadsheetml/2009/9/main" objectType="Drop" dropStyle="combo" dx="16" fmlaLink="$F$102" fmlaRange="$AB$77:$AB$88" noThreeD="1" sel="0" val="0"/>
</file>

<file path=xl/ctrlProps/ctrlProp249.xml><?xml version="1.0" encoding="utf-8"?>
<formControlPr xmlns="http://schemas.microsoft.com/office/spreadsheetml/2009/9/main" objectType="Drop" dropStyle="combo" dx="16" fmlaLink="$C$102" fmlaRange="Dados!$AC$14:$AC$81" noThreeD="1" val="0"/>
</file>

<file path=xl/ctrlProps/ctrlProp25.xml><?xml version="1.0" encoding="utf-8"?>
<formControlPr xmlns="http://schemas.microsoft.com/office/spreadsheetml/2009/9/main" objectType="Drop" dropStyle="combo" dx="16" fmlaLink="$F$22" fmlaRange="$AF$15:$AG$52" noThreeD="1" val="0"/>
</file>

<file path=xl/ctrlProps/ctrlProp250.xml><?xml version="1.0" encoding="utf-8"?>
<formControlPr xmlns="http://schemas.microsoft.com/office/spreadsheetml/2009/9/main" objectType="Drop" dropStyle="combo" dx="16" fmlaLink="$F$103" fmlaRange="$AB$77:$AB$88" noThreeD="1" sel="0" val="0"/>
</file>

<file path=xl/ctrlProps/ctrlProp251.xml><?xml version="1.0" encoding="utf-8"?>
<formControlPr xmlns="http://schemas.microsoft.com/office/spreadsheetml/2009/9/main" objectType="Drop" dropStyle="combo" dx="16" fmlaLink="$K$79" fmlaRange="$AG$45:$AG$69" noThreeD="1" val="0"/>
</file>

<file path=xl/ctrlProps/ctrlProp252.xml><?xml version="1.0" encoding="utf-8"?>
<formControlPr xmlns="http://schemas.microsoft.com/office/spreadsheetml/2009/9/main" objectType="Drop" dropStyle="combo" dx="16" fmlaLink="$J$80" fmlaRange="$AG$45:$AG$69" noThreeD="1" val="0"/>
</file>

<file path=xl/ctrlProps/ctrlProp253.xml><?xml version="1.0" encoding="utf-8"?>
<formControlPr xmlns="http://schemas.microsoft.com/office/spreadsheetml/2009/9/main" objectType="Drop" dropStyle="combo" dx="16" fmlaLink="$J$81" fmlaRange="$AG$45:$AG$69" noThreeD="1" val="0"/>
</file>

<file path=xl/ctrlProps/ctrlProp254.xml><?xml version="1.0" encoding="utf-8"?>
<formControlPr xmlns="http://schemas.microsoft.com/office/spreadsheetml/2009/9/main" objectType="Drop" dropStyle="combo" dx="16" fmlaLink="$J$82" fmlaRange="$AG$45:$AG$69" noThreeD="1" val="0"/>
</file>

<file path=xl/ctrlProps/ctrlProp255.xml><?xml version="1.0" encoding="utf-8"?>
<formControlPr xmlns="http://schemas.microsoft.com/office/spreadsheetml/2009/9/main" objectType="Drop" dropStyle="combo" dx="16" fmlaLink="$J$83" fmlaRange="$AG$45:$AG$69" noThreeD="1" val="0"/>
</file>

<file path=xl/ctrlProps/ctrlProp256.xml><?xml version="1.0" encoding="utf-8"?>
<formControlPr xmlns="http://schemas.microsoft.com/office/spreadsheetml/2009/9/main" objectType="Drop" dropStyle="combo" dx="16" fmlaLink="$J$84" fmlaRange="$AG$45:$AG$69" noThreeD="1" val="0"/>
</file>

<file path=xl/ctrlProps/ctrlProp257.xml><?xml version="1.0" encoding="utf-8"?>
<formControlPr xmlns="http://schemas.microsoft.com/office/spreadsheetml/2009/9/main" objectType="Drop" dropStyle="combo" dx="16" fmlaLink="$J$85" fmlaRange="$AG$45:$AG$69" noThreeD="1" val="0"/>
</file>

<file path=xl/ctrlProps/ctrlProp258.xml><?xml version="1.0" encoding="utf-8"?>
<formControlPr xmlns="http://schemas.microsoft.com/office/spreadsheetml/2009/9/main" objectType="Drop" dropStyle="combo" dx="16" fmlaLink="$J$86" fmlaRange="$AG$45:$AG$69" noThreeD="1" val="0"/>
</file>

<file path=xl/ctrlProps/ctrlProp259.xml><?xml version="1.0" encoding="utf-8"?>
<formControlPr xmlns="http://schemas.microsoft.com/office/spreadsheetml/2009/9/main" objectType="Drop" dropStyle="combo" dx="16" fmlaLink="$J$87" fmlaRange="$AG$45:$AG$69" noThreeD="1" val="0"/>
</file>

<file path=xl/ctrlProps/ctrlProp26.xml><?xml version="1.0" encoding="utf-8"?>
<formControlPr xmlns="http://schemas.microsoft.com/office/spreadsheetml/2009/9/main" objectType="Drop" dropStyle="combo" dx="16" fmlaLink="$F$17" fmlaRange="$AF$15:$AG$52" noThreeD="1" val="0"/>
</file>

<file path=xl/ctrlProps/ctrlProp260.xml><?xml version="1.0" encoding="utf-8"?>
<formControlPr xmlns="http://schemas.microsoft.com/office/spreadsheetml/2009/9/main" objectType="Drop" dropStyle="combo" dx="16" fmlaLink="$J$88" fmlaRange="$AG$45:$AG$69" noThreeD="1" val="0"/>
</file>

<file path=xl/ctrlProps/ctrlProp261.xml><?xml version="1.0" encoding="utf-8"?>
<formControlPr xmlns="http://schemas.microsoft.com/office/spreadsheetml/2009/9/main" objectType="Drop" dropStyle="combo" dx="16" fmlaLink="$J$89" fmlaRange="$AG$45:$AG$69" noThreeD="1" val="0"/>
</file>

<file path=xl/ctrlProps/ctrlProp262.xml><?xml version="1.0" encoding="utf-8"?>
<formControlPr xmlns="http://schemas.microsoft.com/office/spreadsheetml/2009/9/main" objectType="Drop" dropStyle="combo" dx="16" fmlaLink="$K$80" fmlaRange="$AG$45:$AG$69" noThreeD="1" val="0"/>
</file>

<file path=xl/ctrlProps/ctrlProp263.xml><?xml version="1.0" encoding="utf-8"?>
<formControlPr xmlns="http://schemas.microsoft.com/office/spreadsheetml/2009/9/main" objectType="Drop" dropStyle="combo" dx="16" fmlaLink="$K$81" fmlaRange="$AG$45:$AG$69" noThreeD="1" val="12"/>
</file>

<file path=xl/ctrlProps/ctrlProp264.xml><?xml version="1.0" encoding="utf-8"?>
<formControlPr xmlns="http://schemas.microsoft.com/office/spreadsheetml/2009/9/main" objectType="Drop" dropStyle="combo" dx="16" fmlaLink="$K$82" fmlaRange="$AG$45:$AG$69" noThreeD="1" val="0"/>
</file>

<file path=xl/ctrlProps/ctrlProp265.xml><?xml version="1.0" encoding="utf-8"?>
<formControlPr xmlns="http://schemas.microsoft.com/office/spreadsheetml/2009/9/main" objectType="Drop" dropStyle="combo" dx="16" fmlaLink="$K$83" fmlaRange="$AG$45:$AG$69" noThreeD="1" val="0"/>
</file>

<file path=xl/ctrlProps/ctrlProp266.xml><?xml version="1.0" encoding="utf-8"?>
<formControlPr xmlns="http://schemas.microsoft.com/office/spreadsheetml/2009/9/main" objectType="Drop" dropStyle="combo" dx="16" fmlaLink="$K$84" fmlaRange="$AG$45:$AG$69" noThreeD="1" val="0"/>
</file>

<file path=xl/ctrlProps/ctrlProp267.xml><?xml version="1.0" encoding="utf-8"?>
<formControlPr xmlns="http://schemas.microsoft.com/office/spreadsheetml/2009/9/main" objectType="Drop" dropStyle="combo" dx="16" fmlaLink="$K$85" fmlaRange="$AG$45:$AG$69" noThreeD="1" val="0"/>
</file>

<file path=xl/ctrlProps/ctrlProp268.xml><?xml version="1.0" encoding="utf-8"?>
<formControlPr xmlns="http://schemas.microsoft.com/office/spreadsheetml/2009/9/main" objectType="Drop" dropStyle="combo" dx="16" fmlaLink="$K$86" fmlaRange="$AG$45:$AG$69" noThreeD="1" val="0"/>
</file>

<file path=xl/ctrlProps/ctrlProp269.xml><?xml version="1.0" encoding="utf-8"?>
<formControlPr xmlns="http://schemas.microsoft.com/office/spreadsheetml/2009/9/main" objectType="Drop" dropStyle="combo" dx="16" fmlaLink="$K$87" fmlaRange="$AG$45:$AG$69" noThreeD="1" val="0"/>
</file>

<file path=xl/ctrlProps/ctrlProp27.xml><?xml version="1.0" encoding="utf-8"?>
<formControlPr xmlns="http://schemas.microsoft.com/office/spreadsheetml/2009/9/main" objectType="Drop" dropStyle="combo" dx="16" fmlaLink="$F$18" fmlaRange="$AF$15:$AG$52" noThreeD="1" val="0"/>
</file>

<file path=xl/ctrlProps/ctrlProp270.xml><?xml version="1.0" encoding="utf-8"?>
<formControlPr xmlns="http://schemas.microsoft.com/office/spreadsheetml/2009/9/main" objectType="Drop" dropStyle="combo" dx="16" fmlaLink="$K$88" fmlaRange="$AG$45:$AG$69" noThreeD="1" val="0"/>
</file>

<file path=xl/ctrlProps/ctrlProp271.xml><?xml version="1.0" encoding="utf-8"?>
<formControlPr xmlns="http://schemas.microsoft.com/office/spreadsheetml/2009/9/main" objectType="Drop" dropStyle="combo" dx="16" fmlaLink="$K$89" fmlaRange="$AG$45:$AG$69" noThreeD="1" val="0"/>
</file>

<file path=xl/ctrlProps/ctrlProp272.xml><?xml version="1.0" encoding="utf-8"?>
<formControlPr xmlns="http://schemas.microsoft.com/office/spreadsheetml/2009/9/main" objectType="Drop" dropStyle="combo" dx="16" fmlaLink="$I$109" fmlaRange="$AG$45:$AG$69" noThreeD="1" val="10"/>
</file>

<file path=xl/ctrlProps/ctrlProp273.xml><?xml version="1.0" encoding="utf-8"?>
<formControlPr xmlns="http://schemas.microsoft.com/office/spreadsheetml/2009/9/main" objectType="Drop" dropStyle="combo" dx="16" fmlaLink="$H$110" fmlaRange="$AG$45:$AG$69" noThreeD="1" val="0"/>
</file>

<file path=xl/ctrlProps/ctrlProp274.xml><?xml version="1.0" encoding="utf-8"?>
<formControlPr xmlns="http://schemas.microsoft.com/office/spreadsheetml/2009/9/main" objectType="Drop" dropStyle="combo" dx="16" fmlaLink="$H$111" fmlaRange="$AG$45:$AG$69" noThreeD="1" val="9"/>
</file>

<file path=xl/ctrlProps/ctrlProp275.xml><?xml version="1.0" encoding="utf-8"?>
<formControlPr xmlns="http://schemas.microsoft.com/office/spreadsheetml/2009/9/main" objectType="Drop" dropStyle="combo" dx="16" fmlaLink="$H$112" fmlaRange="$AG$45:$AG$69" noThreeD="1" val="0"/>
</file>

<file path=xl/ctrlProps/ctrlProp276.xml><?xml version="1.0" encoding="utf-8"?>
<formControlPr xmlns="http://schemas.microsoft.com/office/spreadsheetml/2009/9/main" objectType="Drop" dropStyle="combo" dx="16" fmlaLink="$H$113" fmlaRange="$AG$45:$AG$69" noThreeD="1" val="0"/>
</file>

<file path=xl/ctrlProps/ctrlProp277.xml><?xml version="1.0" encoding="utf-8"?>
<formControlPr xmlns="http://schemas.microsoft.com/office/spreadsheetml/2009/9/main" objectType="Drop" dropStyle="combo" dx="16" fmlaLink="$H$114" fmlaRange="$AG$45:$AG$69" noThreeD="1" val="0"/>
</file>

<file path=xl/ctrlProps/ctrlProp278.xml><?xml version="1.0" encoding="utf-8"?>
<formControlPr xmlns="http://schemas.microsoft.com/office/spreadsheetml/2009/9/main" objectType="Drop" dropStyle="combo" dx="16" fmlaLink="$H$115" fmlaRange="$AG$45:$AG$69" noThreeD="1" val="9"/>
</file>

<file path=xl/ctrlProps/ctrlProp279.xml><?xml version="1.0" encoding="utf-8"?>
<formControlPr xmlns="http://schemas.microsoft.com/office/spreadsheetml/2009/9/main" objectType="Drop" dropStyle="combo" dx="16" fmlaLink="$H$116" fmlaRange="$AG$45:$AG$69" noThreeD="1" val="9"/>
</file>

<file path=xl/ctrlProps/ctrlProp28.xml><?xml version="1.0" encoding="utf-8"?>
<formControlPr xmlns="http://schemas.microsoft.com/office/spreadsheetml/2009/9/main" objectType="Drop" dropStyle="combo" dx="16" fmlaLink="$F$16" fmlaRange="$AF$15:$AG$52" noThreeD="1" sel="4" val="0"/>
</file>

<file path=xl/ctrlProps/ctrlProp280.xml><?xml version="1.0" encoding="utf-8"?>
<formControlPr xmlns="http://schemas.microsoft.com/office/spreadsheetml/2009/9/main" objectType="Drop" dropStyle="combo" dx="16" fmlaLink="$H$117" fmlaRange="$AG$45:$AG$69" noThreeD="1" val="9"/>
</file>

<file path=xl/ctrlProps/ctrlProp281.xml><?xml version="1.0" encoding="utf-8"?>
<formControlPr xmlns="http://schemas.microsoft.com/office/spreadsheetml/2009/9/main" objectType="Drop" dropStyle="combo" dx="16" fmlaLink="$I$110" fmlaRange="$AG$45:$AG$69" noThreeD="1" val="9"/>
</file>

<file path=xl/ctrlProps/ctrlProp282.xml><?xml version="1.0" encoding="utf-8"?>
<formControlPr xmlns="http://schemas.microsoft.com/office/spreadsheetml/2009/9/main" objectType="Drop" dropStyle="combo" dx="16" fmlaLink="$I$111" fmlaRange="$AG$45:$AG$69" noThreeD="1" val="9"/>
</file>

<file path=xl/ctrlProps/ctrlProp283.xml><?xml version="1.0" encoding="utf-8"?>
<formControlPr xmlns="http://schemas.microsoft.com/office/spreadsheetml/2009/9/main" objectType="Drop" dropStyle="combo" dx="16" fmlaLink="$I$112" fmlaRange="$AG$45:$AG$69" noThreeD="1" val="9"/>
</file>

<file path=xl/ctrlProps/ctrlProp284.xml><?xml version="1.0" encoding="utf-8"?>
<formControlPr xmlns="http://schemas.microsoft.com/office/spreadsheetml/2009/9/main" objectType="Drop" dropStyle="combo" dx="16" fmlaLink="$I$113" fmlaRange="$AG$45:$AG$69" noThreeD="1" val="9"/>
</file>

<file path=xl/ctrlProps/ctrlProp285.xml><?xml version="1.0" encoding="utf-8"?>
<formControlPr xmlns="http://schemas.microsoft.com/office/spreadsheetml/2009/9/main" objectType="Drop" dropStyle="combo" dx="16" fmlaLink="$I$114" fmlaRange="$AG$45:$AG$69" noThreeD="1" val="9"/>
</file>

<file path=xl/ctrlProps/ctrlProp286.xml><?xml version="1.0" encoding="utf-8"?>
<formControlPr xmlns="http://schemas.microsoft.com/office/spreadsheetml/2009/9/main" objectType="Drop" dropStyle="combo" dx="16" fmlaLink="$I$115" fmlaRange="$AG$45:$AG$69" noThreeD="1" val="9"/>
</file>

<file path=xl/ctrlProps/ctrlProp287.xml><?xml version="1.0" encoding="utf-8"?>
<formControlPr xmlns="http://schemas.microsoft.com/office/spreadsheetml/2009/9/main" objectType="Drop" dropStyle="combo" dx="16" fmlaLink="$I$116" fmlaRange="$AG$45:$AG$69" noThreeD="1" val="9"/>
</file>

<file path=xl/ctrlProps/ctrlProp288.xml><?xml version="1.0" encoding="utf-8"?>
<formControlPr xmlns="http://schemas.microsoft.com/office/spreadsheetml/2009/9/main" objectType="Drop" dropStyle="combo" dx="16" fmlaLink="$I$117" fmlaRange="$AG$45:$AG$69" noThreeD="1" val="9"/>
</file>

<file path=xl/ctrlProps/ctrlProp289.xml><?xml version="1.0" encoding="utf-8"?>
<formControlPr xmlns="http://schemas.microsoft.com/office/spreadsheetml/2009/9/main" objectType="Drop" dropStyle="combo" dx="16" fmlaLink="$H$95" fmlaRange="$AG$45:$AG$69" noThreeD="1" val="0"/>
</file>

<file path=xl/ctrlProps/ctrlProp29.xml><?xml version="1.0" encoding="utf-8"?>
<formControlPr xmlns="http://schemas.microsoft.com/office/spreadsheetml/2009/9/main" objectType="Drop" dropLines="5" dropStyle="combo" dx="16" fmlaLink="$N$7" fmlaRange="$AI$15:$AI$20" noThreeD="1" sel="2" val="0"/>
</file>

<file path=xl/ctrlProps/ctrlProp290.xml><?xml version="1.0" encoding="utf-8"?>
<formControlPr xmlns="http://schemas.microsoft.com/office/spreadsheetml/2009/9/main" objectType="Drop" dropStyle="combo" dx="16" fmlaLink="$I$95" fmlaRange="$AG$45:$AG$69" noThreeD="1" val="0"/>
</file>

<file path=xl/ctrlProps/ctrlProp291.xml><?xml version="1.0" encoding="utf-8"?>
<formControlPr xmlns="http://schemas.microsoft.com/office/spreadsheetml/2009/9/main" objectType="Drop" dropStyle="combo" dx="16" fmlaLink="$H$96" fmlaRange="$AG$45:$AG$69" noThreeD="1" val="0"/>
</file>

<file path=xl/ctrlProps/ctrlProp292.xml><?xml version="1.0" encoding="utf-8"?>
<formControlPr xmlns="http://schemas.microsoft.com/office/spreadsheetml/2009/9/main" objectType="Drop" dropStyle="combo" dx="16" fmlaLink="$H$97" fmlaRange="$AG$45:$AG$69" noThreeD="1" val="0"/>
</file>

<file path=xl/ctrlProps/ctrlProp293.xml><?xml version="1.0" encoding="utf-8"?>
<formControlPr xmlns="http://schemas.microsoft.com/office/spreadsheetml/2009/9/main" objectType="Drop" dropStyle="combo" dx="16" fmlaLink="$H$98" fmlaRange="$AG$45:$AG$69" noThreeD="1" val="0"/>
</file>

<file path=xl/ctrlProps/ctrlProp294.xml><?xml version="1.0" encoding="utf-8"?>
<formControlPr xmlns="http://schemas.microsoft.com/office/spreadsheetml/2009/9/main" objectType="Drop" dropStyle="combo" dx="16" fmlaLink="$H$99" fmlaRange="$AG$45:$AG$69" noThreeD="1" val="0"/>
</file>

<file path=xl/ctrlProps/ctrlProp295.xml><?xml version="1.0" encoding="utf-8"?>
<formControlPr xmlns="http://schemas.microsoft.com/office/spreadsheetml/2009/9/main" objectType="Drop" dropStyle="combo" dx="16" fmlaLink="$H$100" fmlaRange="$AG$45:$AG$69" noThreeD="1" val="0"/>
</file>

<file path=xl/ctrlProps/ctrlProp296.xml><?xml version="1.0" encoding="utf-8"?>
<formControlPr xmlns="http://schemas.microsoft.com/office/spreadsheetml/2009/9/main" objectType="Drop" dropStyle="combo" dx="16" fmlaLink="$H$101" fmlaRange="$AG$45:$AG$69" noThreeD="1" val="0"/>
</file>

<file path=xl/ctrlProps/ctrlProp297.xml><?xml version="1.0" encoding="utf-8"?>
<formControlPr xmlns="http://schemas.microsoft.com/office/spreadsheetml/2009/9/main" objectType="Drop" dropStyle="combo" dx="16" fmlaLink="$H$102" fmlaRange="$AG$45:$AG$69" noThreeD="1" val="0"/>
</file>

<file path=xl/ctrlProps/ctrlProp298.xml><?xml version="1.0" encoding="utf-8"?>
<formControlPr xmlns="http://schemas.microsoft.com/office/spreadsheetml/2009/9/main" objectType="Drop" dropStyle="combo" dx="16" fmlaLink="$H$103" fmlaRange="$AG$45:$AG$69" noThreeD="1" val="0"/>
</file>

<file path=xl/ctrlProps/ctrlProp299.xml><?xml version="1.0" encoding="utf-8"?>
<formControlPr xmlns="http://schemas.microsoft.com/office/spreadsheetml/2009/9/main" objectType="Drop" dropStyle="combo" dx="16" fmlaLink="$I$96" fmlaRange="$AG$45:$AG$69" noThreeD="1" val="0"/>
</file>

<file path=xl/ctrlProps/ctrlProp3.xml><?xml version="1.0" encoding="utf-8"?>
<formControlPr xmlns="http://schemas.microsoft.com/office/spreadsheetml/2009/9/main" objectType="Drop" dropStyle="combo" dx="16" fmlaLink="$I$14" fmlaRange="$AD$15:$AD$39" noThreeD="1" sel="13" val="0"/>
</file>

<file path=xl/ctrlProps/ctrlProp30.xml><?xml version="1.0" encoding="utf-8"?>
<formControlPr xmlns="http://schemas.microsoft.com/office/spreadsheetml/2009/9/main" objectType="Drop" dropLines="7" dropStyle="combo" dx="16" fmlaLink="$N$7" fmlaRange="$AI$15:$AI$20" noThreeD="1" sel="2" val="0"/>
</file>

<file path=xl/ctrlProps/ctrlProp300.xml><?xml version="1.0" encoding="utf-8"?>
<formControlPr xmlns="http://schemas.microsoft.com/office/spreadsheetml/2009/9/main" objectType="Drop" dropStyle="combo" dx="16" fmlaLink="$I$97" fmlaRange="$AG$45:$AG$69" noThreeD="1" val="0"/>
</file>

<file path=xl/ctrlProps/ctrlProp301.xml><?xml version="1.0" encoding="utf-8"?>
<formControlPr xmlns="http://schemas.microsoft.com/office/spreadsheetml/2009/9/main" objectType="Drop" dropStyle="combo" dx="16" fmlaLink="$I$98" fmlaRange="$AG$45:$AG$69" noThreeD="1" val="0"/>
</file>

<file path=xl/ctrlProps/ctrlProp302.xml><?xml version="1.0" encoding="utf-8"?>
<formControlPr xmlns="http://schemas.microsoft.com/office/spreadsheetml/2009/9/main" objectType="Drop" dropStyle="combo" dx="16" fmlaLink="$I$99" fmlaRange="$AG$45:$AG$69" noThreeD="1" val="0"/>
</file>

<file path=xl/ctrlProps/ctrlProp303.xml><?xml version="1.0" encoding="utf-8"?>
<formControlPr xmlns="http://schemas.microsoft.com/office/spreadsheetml/2009/9/main" objectType="Drop" dropStyle="combo" dx="16" fmlaLink="$I$100" fmlaRange="$AG$45:$AG$69" noThreeD="1" val="0"/>
</file>

<file path=xl/ctrlProps/ctrlProp304.xml><?xml version="1.0" encoding="utf-8"?>
<formControlPr xmlns="http://schemas.microsoft.com/office/spreadsheetml/2009/9/main" objectType="Drop" dropStyle="combo" dx="16" fmlaLink="$I$101" fmlaRange="$AG$45:$AG$69" noThreeD="1" val="0"/>
</file>

<file path=xl/ctrlProps/ctrlProp305.xml><?xml version="1.0" encoding="utf-8"?>
<formControlPr xmlns="http://schemas.microsoft.com/office/spreadsheetml/2009/9/main" objectType="Drop" dropStyle="combo" dx="16" fmlaLink="$I$102" fmlaRange="$AG$45:$AG$69" noThreeD="1" val="0"/>
</file>

<file path=xl/ctrlProps/ctrlProp306.xml><?xml version="1.0" encoding="utf-8"?>
<formControlPr xmlns="http://schemas.microsoft.com/office/spreadsheetml/2009/9/main" objectType="Drop" dropStyle="combo" dx="16" fmlaLink="$I$103" fmlaRange="$AG$45:$AG$69" noThreeD="1" val="0"/>
</file>

<file path=xl/ctrlProps/ctrlProp307.xml><?xml version="1.0" encoding="utf-8"?>
<formControlPr xmlns="http://schemas.microsoft.com/office/spreadsheetml/2009/9/main" objectType="Drop" dropStyle="combo" dx="16" fmlaLink="$C$123" fmlaRange="$AB$107:$AB$116" noThreeD="1" val="0"/>
</file>

<file path=xl/ctrlProps/ctrlProp308.xml><?xml version="1.0" encoding="utf-8"?>
<formControlPr xmlns="http://schemas.microsoft.com/office/spreadsheetml/2009/9/main" objectType="Drop" dropStyle="combo" dx="16" fmlaLink="$C$124" fmlaRange="$AB$107:$AB$116" noThreeD="1" val="0"/>
</file>

<file path=xl/ctrlProps/ctrlProp309.xml><?xml version="1.0" encoding="utf-8"?>
<formControlPr xmlns="http://schemas.microsoft.com/office/spreadsheetml/2009/9/main" objectType="Drop" dropStyle="combo" dx="16" fmlaLink="$C$125" fmlaRange="$AB$107:$AB$116" noThreeD="1" val="0"/>
</file>

<file path=xl/ctrlProps/ctrlProp31.xml><?xml version="1.0" encoding="utf-8"?>
<formControlPr xmlns="http://schemas.microsoft.com/office/spreadsheetml/2009/9/main" objectType="Drop" dropStyle="combo" dx="16" fmlaLink="$C$6" fmlaRange="Dados!$B$86:$B$129" noThreeD="1" sel="6" val="0"/>
</file>

<file path=xl/ctrlProps/ctrlProp310.xml><?xml version="1.0" encoding="utf-8"?>
<formControlPr xmlns="http://schemas.microsoft.com/office/spreadsheetml/2009/9/main" objectType="Drop" dropStyle="combo" dx="16" fmlaLink="$C$126" fmlaRange="$AB$107:$AB$116" noThreeD="1" val="0"/>
</file>

<file path=xl/ctrlProps/ctrlProp311.xml><?xml version="1.0" encoding="utf-8"?>
<formControlPr xmlns="http://schemas.microsoft.com/office/spreadsheetml/2009/9/main" objectType="Drop" dropStyle="combo" dx="16" fmlaLink="$C$79" fmlaRange="$AE$45:$AE$67" noThreeD="1" sel="6" val="0"/>
</file>

<file path=xl/ctrlProps/ctrlProp312.xml><?xml version="1.0" encoding="utf-8"?>
<formControlPr xmlns="http://schemas.microsoft.com/office/spreadsheetml/2009/9/main" objectType="Drop" dropStyle="combo" dx="16" fmlaLink="$G$2" fmlaRange="$AH$45:$AH$69" noThreeD="1" sel="2" val="0"/>
</file>

<file path=xl/ctrlProps/ctrlProp313.xml><?xml version="1.0" encoding="utf-8"?>
<formControlPr xmlns="http://schemas.microsoft.com/office/spreadsheetml/2009/9/main" objectType="Drop" dropStyle="combo" dx="16" fmlaLink="$H$2" fmlaRange="$AH$45:$AH$69" noThreeD="1" sel="13" val="7"/>
</file>

<file path=xl/ctrlProps/ctrlProp314.xml><?xml version="1.0" encoding="utf-8"?>
<formControlPr xmlns="http://schemas.microsoft.com/office/spreadsheetml/2009/9/main" objectType="Drop" dropStyle="combo" dx="16" fmlaLink="$K$34" fmlaRange="$AF$6:$AF$8" noThreeD="1" val="0"/>
</file>

<file path=xl/ctrlProps/ctrlProp315.xml><?xml version="1.0" encoding="utf-8"?>
<formControlPr xmlns="http://schemas.microsoft.com/office/spreadsheetml/2009/9/main" objectType="Drop" dropStyle="combo" dx="16" fmlaLink="K33" fmlaRange="$AF$6:$AF$8" noThreeD="1" val="0"/>
</file>

<file path=xl/ctrlProps/ctrlProp316.xml><?xml version="1.0" encoding="utf-8"?>
<formControlPr xmlns="http://schemas.microsoft.com/office/spreadsheetml/2009/9/main" objectType="Drop" dropStyle="combo" dx="16" fmlaLink="K38" fmlaRange="$AF$6:$AF$8" noThreeD="1" val="0"/>
</file>

<file path=xl/ctrlProps/ctrlProp317.xml><?xml version="1.0" encoding="utf-8"?>
<formControlPr xmlns="http://schemas.microsoft.com/office/spreadsheetml/2009/9/main" objectType="Drop" dropStyle="combo" dx="16" fmlaLink="$C$123" fmlaRange="Dados!$AU$14:$AU$81" noThreeD="1" val="2"/>
</file>

<file path=xl/ctrlProps/ctrlProp318.xml><?xml version="1.0" encoding="utf-8"?>
<formControlPr xmlns="http://schemas.microsoft.com/office/spreadsheetml/2009/9/main" objectType="Drop" dropStyle="combo" dx="16" fmlaLink="$C$96" fmlaRange="Dados!$AC$14:$AC$81" noThreeD="1" val="0"/>
</file>

<file path=xl/ctrlProps/ctrlProp319.xml><?xml version="1.0" encoding="utf-8"?>
<formControlPr xmlns="http://schemas.microsoft.com/office/spreadsheetml/2009/9/main" objectType="Drop" dropStyle="combo" dx="16" fmlaLink="$C$123" fmlaRange="$AB$107:$AB$116" noThreeD="1" val="0"/>
</file>

<file path=xl/ctrlProps/ctrlProp32.xml><?xml version="1.0" encoding="utf-8"?>
<formControlPr xmlns="http://schemas.microsoft.com/office/spreadsheetml/2009/9/main" objectType="Drop" dropStyle="combo" dx="16" fmlaLink="$H$6" fmlaRange="$AB$8:$AB$12" noThreeD="1" val="0"/>
</file>

<file path=xl/ctrlProps/ctrlProp320.xml><?xml version="1.0" encoding="utf-8"?>
<formControlPr xmlns="http://schemas.microsoft.com/office/spreadsheetml/2009/9/main" objectType="Drop" dropStyle="combo" dx="16" fmlaLink="$C$124" fmlaRange="$AB$107:$AB$116" noThreeD="1" val="0"/>
</file>

<file path=xl/ctrlProps/ctrlProp321.xml><?xml version="1.0" encoding="utf-8"?>
<formControlPr xmlns="http://schemas.microsoft.com/office/spreadsheetml/2009/9/main" objectType="Drop" dropStyle="combo" dx="16" fmlaLink="$C$124" fmlaRange="Dados!$AU$14:$AU$81" noThreeD="1" val="0"/>
</file>

<file path=xl/ctrlProps/ctrlProp322.xml><?xml version="1.0" encoding="utf-8"?>
<formControlPr xmlns="http://schemas.microsoft.com/office/spreadsheetml/2009/9/main" objectType="Drop" dropStyle="combo" dx="16" fmlaLink="$C$96" fmlaRange="Dados!$AC$14:$AC$81" noThreeD="1" val="0"/>
</file>

<file path=xl/ctrlProps/ctrlProp323.xml><?xml version="1.0" encoding="utf-8"?>
<formControlPr xmlns="http://schemas.microsoft.com/office/spreadsheetml/2009/9/main" objectType="Drop" dropStyle="combo" dx="16" fmlaLink="$C$123" fmlaRange="$AB$107:$AB$116" noThreeD="1" val="0"/>
</file>

<file path=xl/ctrlProps/ctrlProp324.xml><?xml version="1.0" encoding="utf-8"?>
<formControlPr xmlns="http://schemas.microsoft.com/office/spreadsheetml/2009/9/main" objectType="Drop" dropStyle="combo" dx="16" fmlaLink="$C$124" fmlaRange="$AB$107:$AB$116" noThreeD="1" val="0"/>
</file>

<file path=xl/ctrlProps/ctrlProp325.xml><?xml version="1.0" encoding="utf-8"?>
<formControlPr xmlns="http://schemas.microsoft.com/office/spreadsheetml/2009/9/main" objectType="Drop" dropStyle="combo" dx="16" fmlaLink="$C$125" fmlaRange="Dados!$AU$14:$AU$81" noThreeD="1" val="0"/>
</file>

<file path=xl/ctrlProps/ctrlProp326.xml><?xml version="1.0" encoding="utf-8"?>
<formControlPr xmlns="http://schemas.microsoft.com/office/spreadsheetml/2009/9/main" objectType="Drop" dropStyle="combo" dx="16" fmlaLink="$C$126" fmlaRange="Dados!$AU$14:$AU$81" noThreeD="1" val="0"/>
</file>

<file path=xl/ctrlProps/ctrlProp327.xml><?xml version="1.0" encoding="utf-8"?>
<formControlPr xmlns="http://schemas.microsoft.com/office/spreadsheetml/2009/9/main" objectType="Drop" dropStyle="combo" dx="16" fmlaLink="$F$123" fmlaRange="$AB$107:$AB$116" noThreeD="1" val="0"/>
</file>

<file path=xl/ctrlProps/ctrlProp328.xml><?xml version="1.0" encoding="utf-8"?>
<formControlPr xmlns="http://schemas.microsoft.com/office/spreadsheetml/2009/9/main" objectType="Drop" dropStyle="combo" dx="16" fmlaLink="$F$124" fmlaRange="$AB$107:$AB$116" noThreeD="1" val="0"/>
</file>

<file path=xl/ctrlProps/ctrlProp329.xml><?xml version="1.0" encoding="utf-8"?>
<formControlPr xmlns="http://schemas.microsoft.com/office/spreadsheetml/2009/9/main" objectType="Drop" dropStyle="combo" dx="16" fmlaLink="$F$125" fmlaRange="$AB$107:$AB$116" noThreeD="1" val="0"/>
</file>

<file path=xl/ctrlProps/ctrlProp33.xml><?xml version="1.0" encoding="utf-8"?>
<formControlPr xmlns="http://schemas.microsoft.com/office/spreadsheetml/2009/9/main" objectType="Drop" dropStyle="combo" dx="16" fmlaLink="$H$7" fmlaRange="$AB$8:$AB$12" noThreeD="1" val="0"/>
</file>

<file path=xl/ctrlProps/ctrlProp330.xml><?xml version="1.0" encoding="utf-8"?>
<formControlPr xmlns="http://schemas.microsoft.com/office/spreadsheetml/2009/9/main" objectType="Drop" dropStyle="combo" dx="16" fmlaLink="$F$126" fmlaRange="$AB$107:$AB$116" noThreeD="1" val="2"/>
</file>

<file path=xl/ctrlProps/ctrlProp331.xml><?xml version="1.0" encoding="utf-8"?>
<formControlPr xmlns="http://schemas.microsoft.com/office/spreadsheetml/2009/9/main" objectType="Drop" dropStyle="combo" dx="16" fmlaLink="$I$109" fmlaRange="$AG$45:$AG$69" noThreeD="1" val="10"/>
</file>

<file path=xl/ctrlProps/ctrlProp332.xml><?xml version="1.0" encoding="utf-8"?>
<formControlPr xmlns="http://schemas.microsoft.com/office/spreadsheetml/2009/9/main" objectType="Drop" dropStyle="combo" dx="16" fmlaLink="$I$109" fmlaRange="$AG$45:$AG$69" noThreeD="1" val="10"/>
</file>

<file path=xl/ctrlProps/ctrlProp333.xml><?xml version="1.0" encoding="utf-8"?>
<formControlPr xmlns="http://schemas.microsoft.com/office/spreadsheetml/2009/9/main" objectType="Drop" dropStyle="combo" dx="16" fmlaLink="$I$109" fmlaRange="$AG$45:$AG$69" noThreeD="1" val="10"/>
</file>

<file path=xl/ctrlProps/ctrlProp334.xml><?xml version="1.0" encoding="utf-8"?>
<formControlPr xmlns="http://schemas.microsoft.com/office/spreadsheetml/2009/9/main" objectType="Drop" dropStyle="combo" dx="16" fmlaLink="$I$109" fmlaRange="$AG$45:$AG$69" noThreeD="1" val="10"/>
</file>

<file path=xl/ctrlProps/ctrlProp335.xml><?xml version="1.0" encoding="utf-8"?>
<formControlPr xmlns="http://schemas.microsoft.com/office/spreadsheetml/2009/9/main" objectType="Drop" dropStyle="combo" dx="16" fmlaLink="$I$109" fmlaRange="$AG$45:$AG$69" noThreeD="1" val="0"/>
</file>

<file path=xl/ctrlProps/ctrlProp336.xml><?xml version="1.0" encoding="utf-8"?>
<formControlPr xmlns="http://schemas.microsoft.com/office/spreadsheetml/2009/9/main" objectType="Drop" dropStyle="combo" dx="16" fmlaLink="$I$109" fmlaRange="$AG$45:$AG$69" noThreeD="1" val="10"/>
</file>

<file path=xl/ctrlProps/ctrlProp337.xml><?xml version="1.0" encoding="utf-8"?>
<formControlPr xmlns="http://schemas.microsoft.com/office/spreadsheetml/2009/9/main" objectType="Drop" dropStyle="combo" dx="16" fmlaLink="$D$12" fmlaRange="Inventário!$AB$32:$AB$42" noThreeD="1" sel="2" val="2"/>
</file>

<file path=xl/ctrlProps/ctrlProp338.xml><?xml version="1.0" encoding="utf-8"?>
<formControlPr xmlns="http://schemas.microsoft.com/office/spreadsheetml/2009/9/main" objectType="Drop" dropStyle="combo" dx="16" fmlaLink="$E$12" fmlaRange="Inventário!$AB$51:$AB$71" noThreeD="1" sel="4" val="3"/>
</file>

<file path=xl/ctrlProps/ctrlProp339.xml><?xml version="1.0" encoding="utf-8"?>
<formControlPr xmlns="http://schemas.microsoft.com/office/spreadsheetml/2009/9/main" objectType="Drop" dropStyle="combo" dx="16" fmlaLink="$D$13" fmlaRange="Inventário!$AB$32:$AB$42" noThreeD="1" sel="2" val="0"/>
</file>

<file path=xl/ctrlProps/ctrlProp34.xml><?xml version="1.0" encoding="utf-8"?>
<formControlPr xmlns="http://schemas.microsoft.com/office/spreadsheetml/2009/9/main" objectType="Drop" dropStyle="combo" dx="16" fmlaLink="$H$8" fmlaRange="$AB$8:$AB$12" noThreeD="1" val="0"/>
</file>

<file path=xl/ctrlProps/ctrlProp340.xml><?xml version="1.0" encoding="utf-8"?>
<formControlPr xmlns="http://schemas.microsoft.com/office/spreadsheetml/2009/9/main" objectType="Drop" dropStyle="combo" dx="16" fmlaLink="$D$14" fmlaRange="Inventário!$AB$32:$AB$42" noThreeD="1" sel="2" val="0"/>
</file>

<file path=xl/ctrlProps/ctrlProp341.xml><?xml version="1.0" encoding="utf-8"?>
<formControlPr xmlns="http://schemas.microsoft.com/office/spreadsheetml/2009/9/main" objectType="Drop" dropStyle="combo" dx="16" fmlaLink="$D$15" fmlaRange="Inventário!$AB$32:$AB$42" noThreeD="1" sel="2" val="0"/>
</file>

<file path=xl/ctrlProps/ctrlProp342.xml><?xml version="1.0" encoding="utf-8"?>
<formControlPr xmlns="http://schemas.microsoft.com/office/spreadsheetml/2009/9/main" objectType="Drop" dropStyle="combo" dx="16" fmlaLink="$D$26" fmlaRange="Inventário!$AB$32:$AB$42" noThreeD="1" val="0"/>
</file>

<file path=xl/ctrlProps/ctrlProp343.xml><?xml version="1.0" encoding="utf-8"?>
<formControlPr xmlns="http://schemas.microsoft.com/office/spreadsheetml/2009/9/main" objectType="Drop" dropStyle="combo" dx="16" fmlaLink="$E$13" fmlaRange="Inventário!$AB$51:$AB$71" noThreeD="1" sel="2" val="0"/>
</file>

<file path=xl/ctrlProps/ctrlProp344.xml><?xml version="1.0" encoding="utf-8"?>
<formControlPr xmlns="http://schemas.microsoft.com/office/spreadsheetml/2009/9/main" objectType="Drop" dropStyle="combo" dx="16" fmlaLink="$E$14" fmlaRange="Inventário!$AB$51:$AB$71" noThreeD="1" sel="2" val="4"/>
</file>

<file path=xl/ctrlProps/ctrlProp345.xml><?xml version="1.0" encoding="utf-8"?>
<formControlPr xmlns="http://schemas.microsoft.com/office/spreadsheetml/2009/9/main" objectType="Drop" dropStyle="combo" dx="16" fmlaLink="$E$15" fmlaRange="Inventário!$AB$51:$AB$71" noThreeD="1" sel="3" val="0"/>
</file>

<file path=xl/ctrlProps/ctrlProp346.xml><?xml version="1.0" encoding="utf-8"?>
<formControlPr xmlns="http://schemas.microsoft.com/office/spreadsheetml/2009/9/main" objectType="Drop" dropStyle="combo" dx="16" fmlaLink="$E$26" fmlaRange="Inventário!$AB$51:$AB$71" noThreeD="1" val="0"/>
</file>

<file path=xl/ctrlProps/ctrlProp347.xml><?xml version="1.0" encoding="utf-8"?>
<formControlPr xmlns="http://schemas.microsoft.com/office/spreadsheetml/2009/9/main" objectType="Drop" dropStyle="combo" dx="16" fmlaLink="$D$63" fmlaRange="Inventário!$AB$32:$AB$42" noThreeD="1" sel="2" val="0"/>
</file>

<file path=xl/ctrlProps/ctrlProp348.xml><?xml version="1.0" encoding="utf-8"?>
<formControlPr xmlns="http://schemas.microsoft.com/office/spreadsheetml/2009/9/main" objectType="Drop" dropStyle="combo" dx="16" fmlaLink="$E$63" fmlaRange="Inventário!$AB$51:$AB$71" noThreeD="1" sel="7" val="0"/>
</file>

<file path=xl/ctrlProps/ctrlProp349.xml><?xml version="1.0" encoding="utf-8"?>
<formControlPr xmlns="http://schemas.microsoft.com/office/spreadsheetml/2009/9/main" objectType="Drop" dropStyle="combo" dx="16" fmlaLink="$D$64" fmlaRange="Inventário!$AB$32:$AB$42" noThreeD="1" sel="2" val="0"/>
</file>

<file path=xl/ctrlProps/ctrlProp35.xml><?xml version="1.0" encoding="utf-8"?>
<formControlPr xmlns="http://schemas.microsoft.com/office/spreadsheetml/2009/9/main" objectType="Drop" dropStyle="combo" dx="16" fmlaLink="$H$9" fmlaRange="$AB$8:$AB$12" noThreeD="1" val="0"/>
</file>

<file path=xl/ctrlProps/ctrlProp350.xml><?xml version="1.0" encoding="utf-8"?>
<formControlPr xmlns="http://schemas.microsoft.com/office/spreadsheetml/2009/9/main" objectType="Drop" dropStyle="combo" dx="16" fmlaLink="$D$65" fmlaRange="Inventário!$AB$32:$AB$42" noThreeD="1" val="0"/>
</file>

<file path=xl/ctrlProps/ctrlProp351.xml><?xml version="1.0" encoding="utf-8"?>
<formControlPr xmlns="http://schemas.microsoft.com/office/spreadsheetml/2009/9/main" objectType="Drop" dropStyle="combo" dx="16" fmlaLink="$D$71" fmlaRange="Inventário!$AB$32:$AB$42" noThreeD="1" val="0"/>
</file>

<file path=xl/ctrlProps/ctrlProp352.xml><?xml version="1.0" encoding="utf-8"?>
<formControlPr xmlns="http://schemas.microsoft.com/office/spreadsheetml/2009/9/main" objectType="Drop" dropStyle="combo" dx="16" fmlaLink="$D$72" fmlaRange="Inventário!$AB$32:$AB$42" noThreeD="1" val="0"/>
</file>

<file path=xl/ctrlProps/ctrlProp353.xml><?xml version="1.0" encoding="utf-8"?>
<formControlPr xmlns="http://schemas.microsoft.com/office/spreadsheetml/2009/9/main" objectType="Drop" dropStyle="combo" dx="16" fmlaLink="$E$64" fmlaRange="Inventário!$AB$51:$AB$71" noThreeD="1" sel="6" val="0"/>
</file>

<file path=xl/ctrlProps/ctrlProp354.xml><?xml version="1.0" encoding="utf-8"?>
<formControlPr xmlns="http://schemas.microsoft.com/office/spreadsheetml/2009/9/main" objectType="Drop" dropStyle="combo" dx="16" fmlaLink="$E$71" fmlaRange="Inventário!$AB$51:$AB$71" noThreeD="1" val="0"/>
</file>

<file path=xl/ctrlProps/ctrlProp355.xml><?xml version="1.0" encoding="utf-8"?>
<formControlPr xmlns="http://schemas.microsoft.com/office/spreadsheetml/2009/9/main" objectType="Drop" dropStyle="combo" dx="16" fmlaLink="$E$72" fmlaRange="Inventário!$AB$51:$AB$71" noThreeD="1" val="0"/>
</file>

<file path=xl/ctrlProps/ctrlProp356.xml><?xml version="1.0" encoding="utf-8"?>
<formControlPr xmlns="http://schemas.microsoft.com/office/spreadsheetml/2009/9/main" objectType="Drop" dropStyle="combo" dx="16" fmlaLink="$B$91" fmlaRange="'Mão-de-obra'!$CK$10:$CK$29" noThreeD="1" val="0"/>
</file>

<file path=xl/ctrlProps/ctrlProp357.xml><?xml version="1.0" encoding="utf-8"?>
<formControlPr xmlns="http://schemas.microsoft.com/office/spreadsheetml/2009/9/main" objectType="Drop" dropStyle="combo" dx="16" fmlaLink="$B$92" fmlaRange="'Mão-de-obra'!$CK$10:$CK$29" noThreeD="1" val="0"/>
</file>

<file path=xl/ctrlProps/ctrlProp358.xml><?xml version="1.0" encoding="utf-8"?>
<formControlPr xmlns="http://schemas.microsoft.com/office/spreadsheetml/2009/9/main" objectType="Drop" dropStyle="combo" dx="16" fmlaLink="$B$93" fmlaRange="'Mão-de-obra'!$CK$10:$CK$29" noThreeD="1" val="0"/>
</file>

<file path=xl/ctrlProps/ctrlProp359.xml><?xml version="1.0" encoding="utf-8"?>
<formControlPr xmlns="http://schemas.microsoft.com/office/spreadsheetml/2009/9/main" objectType="Drop" dropStyle="combo" dx="16" fmlaLink="$B$94" fmlaRange="'Mão-de-obra'!$CK$10:$CK$29" noThreeD="1" val="3"/>
</file>

<file path=xl/ctrlProps/ctrlProp36.xml><?xml version="1.0" encoding="utf-8"?>
<formControlPr xmlns="http://schemas.microsoft.com/office/spreadsheetml/2009/9/main" objectType="Drop" dropStyle="combo" dx="16" fmlaLink="$H$10" fmlaRange="$AB$8:$AB$12" noThreeD="1" val="0"/>
</file>

<file path=xl/ctrlProps/ctrlProp360.xml><?xml version="1.0" encoding="utf-8"?>
<formControlPr xmlns="http://schemas.microsoft.com/office/spreadsheetml/2009/9/main" objectType="Drop" dropStyle="combo" dx="16" fmlaLink="$B$95" fmlaRange="'Mão-de-obra'!$CK$10:$CK$29" noThreeD="1" val="0"/>
</file>

<file path=xl/ctrlProps/ctrlProp361.xml><?xml version="1.0" encoding="utf-8"?>
<formControlPr xmlns="http://schemas.microsoft.com/office/spreadsheetml/2009/9/main" objectType="Drop" dropStyle="combo" dx="16" fmlaLink="$P$63" fmlaRange="Rebanho!$AH$45:$AH$69" noThreeD="1" val="0"/>
</file>

<file path=xl/ctrlProps/ctrlProp362.xml><?xml version="1.0" encoding="utf-8"?>
<formControlPr xmlns="http://schemas.microsoft.com/office/spreadsheetml/2009/9/main" objectType="Drop" dropStyle="combo" dx="16" fmlaLink="$B$50" fmlaRange="'Mão-de-obra'!$CK$10:$CK$29" noThreeD="1" val="0"/>
</file>

<file path=xl/ctrlProps/ctrlProp363.xml><?xml version="1.0" encoding="utf-8"?>
<formControlPr xmlns="http://schemas.microsoft.com/office/spreadsheetml/2009/9/main" objectType="Drop" dropStyle="combo" dx="16" fmlaLink="$B$51" fmlaRange="'Mão-de-obra'!$CK$10:$CK$29" noThreeD="1" val="0"/>
</file>

<file path=xl/ctrlProps/ctrlProp364.xml><?xml version="1.0" encoding="utf-8"?>
<formControlPr xmlns="http://schemas.microsoft.com/office/spreadsheetml/2009/9/main" objectType="Drop" dropStyle="combo" dx="16" fmlaLink="$B$52" fmlaRange="'Mão-de-obra'!$CK$10:$CK$29" noThreeD="1" val="0"/>
</file>

<file path=xl/ctrlProps/ctrlProp365.xml><?xml version="1.0" encoding="utf-8"?>
<formControlPr xmlns="http://schemas.microsoft.com/office/spreadsheetml/2009/9/main" objectType="Drop" dropStyle="combo" dx="16" fmlaLink="$B$53" fmlaRange="'Mão-de-obra'!$CK$10:$CK$29" noThreeD="1" val="0"/>
</file>

<file path=xl/ctrlProps/ctrlProp366.xml><?xml version="1.0" encoding="utf-8"?>
<formControlPr xmlns="http://schemas.microsoft.com/office/spreadsheetml/2009/9/main" objectType="Drop" dropStyle="combo" dx="16" fmlaLink="$B$54" fmlaRange="'Mão-de-obra'!$CK$10:$CK$29" noThreeD="1" val="0"/>
</file>

<file path=xl/ctrlProps/ctrlProp367.xml><?xml version="1.0" encoding="utf-8"?>
<formControlPr xmlns="http://schemas.microsoft.com/office/spreadsheetml/2009/9/main" objectType="Drop" dropStyle="combo" dx="16" fmlaLink="$Q$63" fmlaRange="Rebanho!$AH$45:$AH$69" noThreeD="1" val="0"/>
</file>

<file path=xl/ctrlProps/ctrlProp368.xml><?xml version="1.0" encoding="utf-8"?>
<formControlPr xmlns="http://schemas.microsoft.com/office/spreadsheetml/2009/9/main" objectType="Drop" dropStyle="combo" dx="16" fmlaLink="$P$64" fmlaRange="Rebanho!$AH$45:$AH$69" noThreeD="1" val="0"/>
</file>

<file path=xl/ctrlProps/ctrlProp369.xml><?xml version="1.0" encoding="utf-8"?>
<formControlPr xmlns="http://schemas.microsoft.com/office/spreadsheetml/2009/9/main" objectType="Drop" dropStyle="combo" dx="16" fmlaLink="$P$65" fmlaRange="Rebanho!$AH$45:$AH$69" noThreeD="1" val="5"/>
</file>

<file path=xl/ctrlProps/ctrlProp37.xml><?xml version="1.0" encoding="utf-8"?>
<formControlPr xmlns="http://schemas.microsoft.com/office/spreadsheetml/2009/9/main" objectType="Drop" dropStyle="combo" dx="16" fmlaLink="$H$11" fmlaRange="$AB$8:$AB$12" noThreeD="1" val="0"/>
</file>

<file path=xl/ctrlProps/ctrlProp370.xml><?xml version="1.0" encoding="utf-8"?>
<formControlPr xmlns="http://schemas.microsoft.com/office/spreadsheetml/2009/9/main" objectType="Drop" dropStyle="combo" dx="16" fmlaLink="$P$71" fmlaRange="Rebanho!$AH$45:$AH$69" noThreeD="1" val="5"/>
</file>

<file path=xl/ctrlProps/ctrlProp371.xml><?xml version="1.0" encoding="utf-8"?>
<formControlPr xmlns="http://schemas.microsoft.com/office/spreadsheetml/2009/9/main" objectType="Drop" dropStyle="combo" dx="16" fmlaLink="$P$72" fmlaRange="Rebanho!$AH$45:$AH$69" noThreeD="1" val="5"/>
</file>

<file path=xl/ctrlProps/ctrlProp372.xml><?xml version="1.0" encoding="utf-8"?>
<formControlPr xmlns="http://schemas.microsoft.com/office/spreadsheetml/2009/9/main" objectType="Drop" dropStyle="combo" dx="16" fmlaLink="$Q$64" fmlaRange="Rebanho!$AH$45:$AH$69" noThreeD="1" val="5"/>
</file>

<file path=xl/ctrlProps/ctrlProp373.xml><?xml version="1.0" encoding="utf-8"?>
<formControlPr xmlns="http://schemas.microsoft.com/office/spreadsheetml/2009/9/main" objectType="Drop" dropStyle="combo" dx="16" fmlaLink="$Q$65" fmlaRange="Rebanho!$AH$45:$AH$69" noThreeD="1" val="5"/>
</file>

<file path=xl/ctrlProps/ctrlProp374.xml><?xml version="1.0" encoding="utf-8"?>
<formControlPr xmlns="http://schemas.microsoft.com/office/spreadsheetml/2009/9/main" objectType="Drop" dropStyle="combo" dx="16" fmlaLink="$Q$71" fmlaRange="Rebanho!$AH$45:$AH$69" noThreeD="1" val="5"/>
</file>

<file path=xl/ctrlProps/ctrlProp375.xml><?xml version="1.0" encoding="utf-8"?>
<formControlPr xmlns="http://schemas.microsoft.com/office/spreadsheetml/2009/9/main" objectType="Drop" dropStyle="combo" dx="16" fmlaLink="$Q$72" fmlaRange="Rebanho!$AH$45:$AH$69" noThreeD="1" val="0"/>
</file>

<file path=xl/ctrlProps/ctrlProp376.xml><?xml version="1.0" encoding="utf-8"?>
<formControlPr xmlns="http://schemas.microsoft.com/office/spreadsheetml/2009/9/main" objectType="Drop" dropStyle="combo" dx="16" fmlaLink="$M$77" fmlaRange="Rebanho!$AH$45:$AH$69" noThreeD="1" val="12"/>
</file>

<file path=xl/ctrlProps/ctrlProp377.xml><?xml version="1.0" encoding="utf-8"?>
<formControlPr xmlns="http://schemas.microsoft.com/office/spreadsheetml/2009/9/main" objectType="Drop" dropStyle="combo" dx="16" fmlaLink="$M$83" fmlaRange="Rebanho!$AH$45:$AH$69" noThreeD="1" val="5"/>
</file>

<file path=xl/ctrlProps/ctrlProp378.xml><?xml version="1.0" encoding="utf-8"?>
<formControlPr xmlns="http://schemas.microsoft.com/office/spreadsheetml/2009/9/main" objectType="Drop" dropStyle="combo" dx="16" fmlaLink="$M$84" fmlaRange="Rebanho!$AH$45:$AH$69" noThreeD="1" val="0"/>
</file>

<file path=xl/ctrlProps/ctrlProp379.xml><?xml version="1.0" encoding="utf-8"?>
<formControlPr xmlns="http://schemas.microsoft.com/office/spreadsheetml/2009/9/main" objectType="Drop" dropStyle="combo" dx="16" fmlaLink="$M$85" fmlaRange="Rebanho!$AH$45:$AH$69" noThreeD="1" val="5"/>
</file>

<file path=xl/ctrlProps/ctrlProp38.xml><?xml version="1.0" encoding="utf-8"?>
<formControlPr xmlns="http://schemas.microsoft.com/office/spreadsheetml/2009/9/main" objectType="Drop" dropStyle="combo" dx="16" fmlaLink="$H$12" fmlaRange="$AB$8:$AB$12" noThreeD="1" val="0"/>
</file>

<file path=xl/ctrlProps/ctrlProp380.xml><?xml version="1.0" encoding="utf-8"?>
<formControlPr xmlns="http://schemas.microsoft.com/office/spreadsheetml/2009/9/main" objectType="Drop" dropStyle="combo" dx="16" fmlaLink="$M$86" fmlaRange="Rebanho!$AH$45:$AH$69" noThreeD="1" val="5"/>
</file>

<file path=xl/ctrlProps/ctrlProp381.xml><?xml version="1.0" encoding="utf-8"?>
<formControlPr xmlns="http://schemas.microsoft.com/office/spreadsheetml/2009/9/main" objectType="Drop" dropStyle="combo" dx="16" fmlaLink="$N$77" fmlaRange="Rebanho!$AH$45:$AH$69" noThreeD="1" val="19"/>
</file>

<file path=xl/ctrlProps/ctrlProp382.xml><?xml version="1.0" encoding="utf-8"?>
<formControlPr xmlns="http://schemas.microsoft.com/office/spreadsheetml/2009/9/main" objectType="Drop" dropStyle="combo" dx="16" fmlaLink="$N$83" fmlaRange="Rebanho!$AH$45:$AH$69" noThreeD="1" val="5"/>
</file>

<file path=xl/ctrlProps/ctrlProp383.xml><?xml version="1.0" encoding="utf-8"?>
<formControlPr xmlns="http://schemas.microsoft.com/office/spreadsheetml/2009/9/main" objectType="Drop" dropStyle="combo" dx="16" fmlaLink="$N$84" fmlaRange="Rebanho!$AH$45:$AH$69" noThreeD="1" val="5"/>
</file>

<file path=xl/ctrlProps/ctrlProp384.xml><?xml version="1.0" encoding="utf-8"?>
<formControlPr xmlns="http://schemas.microsoft.com/office/spreadsheetml/2009/9/main" objectType="Drop" dropStyle="combo" dx="16" fmlaLink="$N$85" fmlaRange="Rebanho!$AH$45:$AH$69" noThreeD="1" val="5"/>
</file>

<file path=xl/ctrlProps/ctrlProp385.xml><?xml version="1.0" encoding="utf-8"?>
<formControlPr xmlns="http://schemas.microsoft.com/office/spreadsheetml/2009/9/main" objectType="Drop" dropStyle="combo" dx="16" fmlaLink="$N$86" fmlaRange="Rebanho!$AH$45:$AH$69" noThreeD="1" val="5"/>
</file>

<file path=xl/ctrlProps/ctrlProp386.xml><?xml version="1.0" encoding="utf-8"?>
<formControlPr xmlns="http://schemas.microsoft.com/office/spreadsheetml/2009/9/main" objectType="Drop" dropStyle="combo" dx="16" fmlaLink="$L$91" fmlaRange="Rebanho!$AH$45:$AH$69" noThreeD="1" val="5"/>
</file>

<file path=xl/ctrlProps/ctrlProp387.xml><?xml version="1.0" encoding="utf-8"?>
<formControlPr xmlns="http://schemas.microsoft.com/office/spreadsheetml/2009/9/main" objectType="Drop" dropStyle="combo" dx="16" fmlaLink="$M$91" fmlaRange="Rebanho!$AH$45:$AH$69" noThreeD="1" val="0"/>
</file>

<file path=xl/ctrlProps/ctrlProp388.xml><?xml version="1.0" encoding="utf-8"?>
<formControlPr xmlns="http://schemas.microsoft.com/office/spreadsheetml/2009/9/main" objectType="Drop" dropStyle="combo" dx="16" fmlaLink="$L$92" fmlaRange="Rebanho!$AH$45:$AH$69" noThreeD="1" val="5"/>
</file>

<file path=xl/ctrlProps/ctrlProp389.xml><?xml version="1.0" encoding="utf-8"?>
<formControlPr xmlns="http://schemas.microsoft.com/office/spreadsheetml/2009/9/main" objectType="Drop" dropStyle="combo" dx="16" fmlaLink="$L$93" fmlaRange="Rebanho!$AH$45:$AH$69" noThreeD="1" val="5"/>
</file>

<file path=xl/ctrlProps/ctrlProp39.xml><?xml version="1.0" encoding="utf-8"?>
<formControlPr xmlns="http://schemas.microsoft.com/office/spreadsheetml/2009/9/main" objectType="Drop" dropStyle="combo" dx="16" fmlaLink="$H$13" fmlaRange="$AB$8:$AB$12" noThreeD="1" val="0"/>
</file>

<file path=xl/ctrlProps/ctrlProp390.xml><?xml version="1.0" encoding="utf-8"?>
<formControlPr xmlns="http://schemas.microsoft.com/office/spreadsheetml/2009/9/main" objectType="Drop" dropStyle="combo" dx="16" fmlaLink="$L$94" fmlaRange="Rebanho!$AH$45:$AH$69" noThreeD="1" val="5"/>
</file>

<file path=xl/ctrlProps/ctrlProp391.xml><?xml version="1.0" encoding="utf-8"?>
<formControlPr xmlns="http://schemas.microsoft.com/office/spreadsheetml/2009/9/main" objectType="Drop" dropStyle="combo" dx="16" fmlaLink="$L$95" fmlaRange="Rebanho!$AH$45:$AH$69" noThreeD="1" val="5"/>
</file>

<file path=xl/ctrlProps/ctrlProp392.xml><?xml version="1.0" encoding="utf-8"?>
<formControlPr xmlns="http://schemas.microsoft.com/office/spreadsheetml/2009/9/main" objectType="Drop" dropStyle="combo" dx="16" fmlaLink="$M$92" fmlaRange="Rebanho!$AH$45:$AH$69" noThreeD="1" val="5"/>
</file>

<file path=xl/ctrlProps/ctrlProp393.xml><?xml version="1.0" encoding="utf-8"?>
<formControlPr xmlns="http://schemas.microsoft.com/office/spreadsheetml/2009/9/main" objectType="Drop" dropStyle="combo" dx="16" fmlaLink="$M$93" fmlaRange="Rebanho!$AH$45:$AH$69" noThreeD="1" val="5"/>
</file>

<file path=xl/ctrlProps/ctrlProp394.xml><?xml version="1.0" encoding="utf-8"?>
<formControlPr xmlns="http://schemas.microsoft.com/office/spreadsheetml/2009/9/main" objectType="Drop" dropStyle="combo" dx="16" fmlaLink="$M$94" fmlaRange="Rebanho!$AH$45:$AH$69" noThreeD="1" val="0"/>
</file>

<file path=xl/ctrlProps/ctrlProp395.xml><?xml version="1.0" encoding="utf-8"?>
<formControlPr xmlns="http://schemas.microsoft.com/office/spreadsheetml/2009/9/main" objectType="Drop" dropStyle="combo" dx="16" fmlaLink="$M$95" fmlaRange="Rebanho!$AH$45:$AH$69" noThreeD="1" val="5"/>
</file>

<file path=xl/ctrlProps/ctrlProp396.xml><?xml version="1.0" encoding="utf-8"?>
<formControlPr xmlns="http://schemas.microsoft.com/office/spreadsheetml/2009/9/main" objectType="Drop" dropStyle="combo" dx="16" fmlaLink="$P$12" fmlaRange="Rebanho!$AH$45:$AH$69" noThreeD="1" val="0"/>
</file>

<file path=xl/ctrlProps/ctrlProp397.xml><?xml version="1.0" encoding="utf-8"?>
<formControlPr xmlns="http://schemas.microsoft.com/office/spreadsheetml/2009/9/main" objectType="Drop" dropStyle="combo" dx="16" fmlaLink="$Q$12" fmlaRange="Rebanho!$AH$45:$AH$69" noThreeD="1" val="0"/>
</file>

<file path=xl/ctrlProps/ctrlProp398.xml><?xml version="1.0" encoding="utf-8"?>
<formControlPr xmlns="http://schemas.microsoft.com/office/spreadsheetml/2009/9/main" objectType="Drop" dropStyle="combo" dx="16" fmlaLink="$P$13" fmlaRange="Rebanho!$AH$45:$AH$69" noThreeD="1" val="0"/>
</file>

<file path=xl/ctrlProps/ctrlProp399.xml><?xml version="1.0" encoding="utf-8"?>
<formControlPr xmlns="http://schemas.microsoft.com/office/spreadsheetml/2009/9/main" objectType="Drop" dropStyle="combo" dx="16" fmlaLink="$P$14" fmlaRange="Rebanho!$AH$45:$AH$69" noThreeD="1" val="0"/>
</file>

<file path=xl/ctrlProps/ctrlProp4.xml><?xml version="1.0" encoding="utf-8"?>
<formControlPr xmlns="http://schemas.microsoft.com/office/spreadsheetml/2009/9/main" objectType="Drop" dropStyle="combo" dx="16" fmlaLink="$I$18" fmlaRange="$AD$15:$AD$39" noThreeD="1" val="0"/>
</file>

<file path=xl/ctrlProps/ctrlProp40.xml><?xml version="1.0" encoding="utf-8"?>
<formControlPr xmlns="http://schemas.microsoft.com/office/spreadsheetml/2009/9/main" objectType="Drop" dropStyle="combo" dx="16" fmlaLink="$H$14" fmlaRange="$AB$8:$AB$12" noThreeD="1" val="0"/>
</file>

<file path=xl/ctrlProps/ctrlProp400.xml><?xml version="1.0" encoding="utf-8"?>
<formControlPr xmlns="http://schemas.microsoft.com/office/spreadsheetml/2009/9/main" objectType="Drop" dropStyle="combo" dx="16" fmlaLink="$P$15" fmlaRange="Rebanho!$AH$45:$AH$69" noThreeD="1" val="0"/>
</file>

<file path=xl/ctrlProps/ctrlProp401.xml><?xml version="1.0" encoding="utf-8"?>
<formControlPr xmlns="http://schemas.microsoft.com/office/spreadsheetml/2009/9/main" objectType="Drop" dropStyle="combo" dx="16" fmlaLink="$P$26" fmlaRange="Rebanho!$AH$45:$AH$69" noThreeD="1" val="0"/>
</file>

<file path=xl/ctrlProps/ctrlProp402.xml><?xml version="1.0" encoding="utf-8"?>
<formControlPr xmlns="http://schemas.microsoft.com/office/spreadsheetml/2009/9/main" objectType="Drop" dropStyle="combo" dx="16" fmlaLink="$Q$13" fmlaRange="Rebanho!$AH$45:$AH$69" noThreeD="1" val="0"/>
</file>

<file path=xl/ctrlProps/ctrlProp403.xml><?xml version="1.0" encoding="utf-8"?>
<formControlPr xmlns="http://schemas.microsoft.com/office/spreadsheetml/2009/9/main" objectType="Drop" dropStyle="combo" dx="16" fmlaLink="$Q$14" fmlaRange="Rebanho!$AH$45:$AH$69" noThreeD="1" val="0"/>
</file>

<file path=xl/ctrlProps/ctrlProp404.xml><?xml version="1.0" encoding="utf-8"?>
<formControlPr xmlns="http://schemas.microsoft.com/office/spreadsheetml/2009/9/main" objectType="Drop" dropStyle="combo" dx="16" fmlaLink="$Q$15" fmlaRange="Rebanho!$AH$45:$AH$69" noThreeD="1" val="0"/>
</file>

<file path=xl/ctrlProps/ctrlProp405.xml><?xml version="1.0" encoding="utf-8"?>
<formControlPr xmlns="http://schemas.microsoft.com/office/spreadsheetml/2009/9/main" objectType="Drop" dropStyle="combo" dx="16" fmlaLink="$Q$26" fmlaRange="Rebanho!$AH$45:$AH$69" noThreeD="1" val="0"/>
</file>

<file path=xl/ctrlProps/ctrlProp406.xml><?xml version="1.0" encoding="utf-8"?>
<formControlPr xmlns="http://schemas.microsoft.com/office/spreadsheetml/2009/9/main" objectType="Drop" dropStyle="combo" dx="16" fmlaLink="$M$31" fmlaRange="Rebanho!$AH$45:$AH$69" noThreeD="1" val="12"/>
</file>

<file path=xl/ctrlProps/ctrlProp407.xml><?xml version="1.0" encoding="utf-8"?>
<formControlPr xmlns="http://schemas.microsoft.com/office/spreadsheetml/2009/9/main" objectType="Drop" dropStyle="combo" dx="16" fmlaLink="$N$31" fmlaRange="Rebanho!$AH$45:$AH$69" noThreeD="1" val="0"/>
</file>

<file path=xl/ctrlProps/ctrlProp408.xml><?xml version="1.0" encoding="utf-8"?>
<formControlPr xmlns="http://schemas.microsoft.com/office/spreadsheetml/2009/9/main" objectType="Drop" dropStyle="combo" dx="16" fmlaLink="$M$32" fmlaRange="Rebanho!$AH$45:$AH$69" noThreeD="1" val="5"/>
</file>

<file path=xl/ctrlProps/ctrlProp409.xml><?xml version="1.0" encoding="utf-8"?>
<formControlPr xmlns="http://schemas.microsoft.com/office/spreadsheetml/2009/9/main" objectType="Drop" dropStyle="combo" dx="16" fmlaLink="$M$33" fmlaRange="Rebanho!$AH$45:$AH$69" noThreeD="1" val="12"/>
</file>

<file path=xl/ctrlProps/ctrlProp41.xml><?xml version="1.0" encoding="utf-8"?>
<formControlPr xmlns="http://schemas.microsoft.com/office/spreadsheetml/2009/9/main" objectType="Drop" dropStyle="combo" dx="16" fmlaLink="$H$15" fmlaRange="$AB$8:$AB$12" noThreeD="1" val="0"/>
</file>

<file path=xl/ctrlProps/ctrlProp410.xml><?xml version="1.0" encoding="utf-8"?>
<formControlPr xmlns="http://schemas.microsoft.com/office/spreadsheetml/2009/9/main" objectType="Drop" dropStyle="combo" dx="16" fmlaLink="$M$34" fmlaRange="Rebanho!$AH$45:$AH$69" noThreeD="1" val="5"/>
</file>

<file path=xl/ctrlProps/ctrlProp411.xml><?xml version="1.0" encoding="utf-8"?>
<formControlPr xmlns="http://schemas.microsoft.com/office/spreadsheetml/2009/9/main" objectType="Drop" dropStyle="combo" dx="16" fmlaLink="$M$45" fmlaRange="Rebanho!$AG$47:$AG$73" noThreeD="1" val="5"/>
</file>

<file path=xl/ctrlProps/ctrlProp412.xml><?xml version="1.0" encoding="utf-8"?>
<formControlPr xmlns="http://schemas.microsoft.com/office/spreadsheetml/2009/9/main" objectType="Drop" dropStyle="combo" dx="16" fmlaLink="$N$32" fmlaRange="Rebanho!$AH$45:$AH$69" noThreeD="1" val="5"/>
</file>

<file path=xl/ctrlProps/ctrlProp413.xml><?xml version="1.0" encoding="utf-8"?>
<formControlPr xmlns="http://schemas.microsoft.com/office/spreadsheetml/2009/9/main" objectType="Drop" dropStyle="combo" dx="16" fmlaLink="$N$33" fmlaRange="Rebanho!$AH$45:$AH$69" noThreeD="1" val="5"/>
</file>

<file path=xl/ctrlProps/ctrlProp414.xml><?xml version="1.0" encoding="utf-8"?>
<formControlPr xmlns="http://schemas.microsoft.com/office/spreadsheetml/2009/9/main" objectType="Drop" dropStyle="combo" dx="16" fmlaLink="$N$34" fmlaRange="Rebanho!$AH$45:$AH$69" noThreeD="1" val="5"/>
</file>

<file path=xl/ctrlProps/ctrlProp415.xml><?xml version="1.0" encoding="utf-8"?>
<formControlPr xmlns="http://schemas.microsoft.com/office/spreadsheetml/2009/9/main" objectType="Drop" dropStyle="combo" dx="16" fmlaLink="$N$45" fmlaRange="Rebanho!$AG$47:$AG$73" noThreeD="1" val="5"/>
</file>

<file path=xl/ctrlProps/ctrlProp416.xml><?xml version="1.0" encoding="utf-8"?>
<formControlPr xmlns="http://schemas.microsoft.com/office/spreadsheetml/2009/9/main" objectType="Drop" dropStyle="combo" dx="16" fmlaLink="$L$50" fmlaRange="Rebanho!$AH$45:$AH$69" noThreeD="1" val="5"/>
</file>

<file path=xl/ctrlProps/ctrlProp417.xml><?xml version="1.0" encoding="utf-8"?>
<formControlPr xmlns="http://schemas.microsoft.com/office/spreadsheetml/2009/9/main" objectType="Drop" dropStyle="combo" dx="16" fmlaLink="$M$50" fmlaRange="Rebanho!$AH$45:$AH$69" noThreeD="1" val="5"/>
</file>

<file path=xl/ctrlProps/ctrlProp418.xml><?xml version="1.0" encoding="utf-8"?>
<formControlPr xmlns="http://schemas.microsoft.com/office/spreadsheetml/2009/9/main" objectType="Drop" dropStyle="combo" dx="16" fmlaLink="$L$51" fmlaRange="Rebanho!$AH$45:$AH$69" noThreeD="1" val="5"/>
</file>

<file path=xl/ctrlProps/ctrlProp419.xml><?xml version="1.0" encoding="utf-8"?>
<formControlPr xmlns="http://schemas.microsoft.com/office/spreadsheetml/2009/9/main" objectType="Drop" dropStyle="combo" dx="16" fmlaLink="$L$52" fmlaRange="Rebanho!$AH$45:$AH$69" noThreeD="1" val="5"/>
</file>

<file path=xl/ctrlProps/ctrlProp42.xml><?xml version="1.0" encoding="utf-8"?>
<formControlPr xmlns="http://schemas.microsoft.com/office/spreadsheetml/2009/9/main" objectType="Drop" dropStyle="combo" dx="16" fmlaLink="$H$16" fmlaRange="$AB$8:$AB$12" noThreeD="1" val="0"/>
</file>

<file path=xl/ctrlProps/ctrlProp420.xml><?xml version="1.0" encoding="utf-8"?>
<formControlPr xmlns="http://schemas.microsoft.com/office/spreadsheetml/2009/9/main" objectType="Drop" dropStyle="combo" dx="16" fmlaLink="$L$53" fmlaRange="Rebanho!$AH$45:$AH$69" noThreeD="1" val="5"/>
</file>

<file path=xl/ctrlProps/ctrlProp421.xml><?xml version="1.0" encoding="utf-8"?>
<formControlPr xmlns="http://schemas.microsoft.com/office/spreadsheetml/2009/9/main" objectType="Drop" dropStyle="combo" dx="16" fmlaLink="$L$54" fmlaRange="Rebanho!$AH$45:$AH$69" noThreeD="1" val="5"/>
</file>

<file path=xl/ctrlProps/ctrlProp422.xml><?xml version="1.0" encoding="utf-8"?>
<formControlPr xmlns="http://schemas.microsoft.com/office/spreadsheetml/2009/9/main" objectType="Drop" dropStyle="combo" dx="16" fmlaLink="$M$51" fmlaRange="Rebanho!$AH$45:$AH$69" noThreeD="1" val="5"/>
</file>

<file path=xl/ctrlProps/ctrlProp423.xml><?xml version="1.0" encoding="utf-8"?>
<formControlPr xmlns="http://schemas.microsoft.com/office/spreadsheetml/2009/9/main" objectType="Drop" dropStyle="combo" dx="16" fmlaLink="$M$52" fmlaRange="Rebanho!$AH$45:$AH$69" noThreeD="1" val="12"/>
</file>

<file path=xl/ctrlProps/ctrlProp424.xml><?xml version="1.0" encoding="utf-8"?>
<formControlPr xmlns="http://schemas.microsoft.com/office/spreadsheetml/2009/9/main" objectType="Drop" dropStyle="combo" dx="16" fmlaLink="$M$53" fmlaRange="Rebanho!$AH$45:$AH$69" noThreeD="1" val="5"/>
</file>

<file path=xl/ctrlProps/ctrlProp425.xml><?xml version="1.0" encoding="utf-8"?>
<formControlPr xmlns="http://schemas.microsoft.com/office/spreadsheetml/2009/9/main" objectType="Drop" dropStyle="combo" dx="16" fmlaLink="$M$54" fmlaRange="Rebanho!$AH$45:$AH$69" noThreeD="1" val="5"/>
</file>

<file path=xl/ctrlProps/ctrlProp426.xml><?xml version="1.0" encoding="utf-8"?>
<formControlPr xmlns="http://schemas.microsoft.com/office/spreadsheetml/2009/9/main" objectType="Drop" dropStyle="combo" dx="16" fmlaLink="$M$35" fmlaRange="Rebanho!$AH$45:$AH$69" noThreeD="1" val="5"/>
</file>

<file path=xl/ctrlProps/ctrlProp427.xml><?xml version="1.0" encoding="utf-8"?>
<formControlPr xmlns="http://schemas.microsoft.com/office/spreadsheetml/2009/9/main" objectType="Drop" dropStyle="combo" dx="16" fmlaLink="$N$35" fmlaRange="Rebanho!$AH$45:$AH$69" noThreeD="1" val="5"/>
</file>

<file path=xl/ctrlProps/ctrlProp428.xml><?xml version="1.0" encoding="utf-8"?>
<formControlPr xmlns="http://schemas.microsoft.com/office/spreadsheetml/2009/9/main" objectType="Drop" dropStyle="combo" dx="16" fmlaLink="$M$36" fmlaRange="Rebanho!$AH$45:$AH$69" noThreeD="1" val="5"/>
</file>

<file path=xl/ctrlProps/ctrlProp429.xml><?xml version="1.0" encoding="utf-8"?>
<formControlPr xmlns="http://schemas.microsoft.com/office/spreadsheetml/2009/9/main" objectType="Drop" dropStyle="combo" dx="16" fmlaLink="$N$36" fmlaRange="Rebanho!$AH$45:$AH$69" noThreeD="1" val="5"/>
</file>

<file path=xl/ctrlProps/ctrlProp43.xml><?xml version="1.0" encoding="utf-8"?>
<formControlPr xmlns="http://schemas.microsoft.com/office/spreadsheetml/2009/9/main" objectType="Drop" dropStyle="combo" dx="16" fmlaLink="$H$17" fmlaRange="$AB$8:$AB$12" noThreeD="1" val="0"/>
</file>

<file path=xl/ctrlProps/ctrlProp430.xml><?xml version="1.0" encoding="utf-8"?>
<formControlPr xmlns="http://schemas.microsoft.com/office/spreadsheetml/2009/9/main" objectType="Drop" dropStyle="combo" dx="16" fmlaLink="$M$37" fmlaRange="Rebanho!$AH$45:$AH$69" noThreeD="1" val="5"/>
</file>

<file path=xl/ctrlProps/ctrlProp431.xml><?xml version="1.0" encoding="utf-8"?>
<formControlPr xmlns="http://schemas.microsoft.com/office/spreadsheetml/2009/9/main" objectType="Drop" dropStyle="combo" dx="16" fmlaLink="$N$37" fmlaRange="Rebanho!$AH$45:$AH$69" noThreeD="1" val="5"/>
</file>

<file path=xl/ctrlProps/ctrlProp432.xml><?xml version="1.0" encoding="utf-8"?>
<formControlPr xmlns="http://schemas.microsoft.com/office/spreadsheetml/2009/9/main" objectType="Drop" dropStyle="combo" dx="16" fmlaLink="$M$38" fmlaRange="Rebanho!$AH$45:$AH$69" noThreeD="1" val="5"/>
</file>

<file path=xl/ctrlProps/ctrlProp433.xml><?xml version="1.0" encoding="utf-8"?>
<formControlPr xmlns="http://schemas.microsoft.com/office/spreadsheetml/2009/9/main" objectType="Drop" dropStyle="combo" dx="16" fmlaLink="$N$38" fmlaRange="Rebanho!$AH$45:$AH$69" noThreeD="1" val="5"/>
</file>

<file path=xl/ctrlProps/ctrlProp434.xml><?xml version="1.0" encoding="utf-8"?>
<formControlPr xmlns="http://schemas.microsoft.com/office/spreadsheetml/2009/9/main" objectType="Drop" dropStyle="combo" dx="16" fmlaLink="$M$39" fmlaRange="Rebanho!$AH$45:$AH$69" noThreeD="1" val="5"/>
</file>

<file path=xl/ctrlProps/ctrlProp435.xml><?xml version="1.0" encoding="utf-8"?>
<formControlPr xmlns="http://schemas.microsoft.com/office/spreadsheetml/2009/9/main" objectType="Drop" dropStyle="combo" dx="16" fmlaLink="$N$39" fmlaRange="Rebanho!$AH$45:$AH$69" noThreeD="1" val="5"/>
</file>

<file path=xl/ctrlProps/ctrlProp436.xml><?xml version="1.0" encoding="utf-8"?>
<formControlPr xmlns="http://schemas.microsoft.com/office/spreadsheetml/2009/9/main" objectType="Drop" dropStyle="combo" dx="16" fmlaLink="$M$45" fmlaRange="Rebanho!$AH$45:$AH$69" noThreeD="1" val="5"/>
</file>

<file path=xl/ctrlProps/ctrlProp437.xml><?xml version="1.0" encoding="utf-8"?>
<formControlPr xmlns="http://schemas.microsoft.com/office/spreadsheetml/2009/9/main" objectType="Drop" dropStyle="combo" dx="16" fmlaLink="$N$45" fmlaRange="Rebanho!$AH$45:$AH$69" noThreeD="1" val="5"/>
</file>

<file path=xl/ctrlProps/ctrlProp438.xml><?xml version="1.0" encoding="utf-8"?>
<formControlPr xmlns="http://schemas.microsoft.com/office/spreadsheetml/2009/9/main" objectType="Drop" dropStyle="combo" dx="16" fmlaLink="$D$21" fmlaRange="Inventário!$AB$32:$AB$42" noThreeD="1" val="0"/>
</file>

<file path=xl/ctrlProps/ctrlProp439.xml><?xml version="1.0" encoding="utf-8"?>
<formControlPr xmlns="http://schemas.microsoft.com/office/spreadsheetml/2009/9/main" objectType="Drop" dropStyle="combo" dx="16" fmlaLink="$E$21" fmlaRange="Inventário!$AB$51:$AB$71" noThreeD="1" val="0"/>
</file>

<file path=xl/ctrlProps/ctrlProp44.xml><?xml version="1.0" encoding="utf-8"?>
<formControlPr xmlns="http://schemas.microsoft.com/office/spreadsheetml/2009/9/main" objectType="Drop" dropStyle="combo" dx="16" fmlaLink="$H$18" fmlaRange="$AB$8:$AB$12" noThreeD="1" val="0"/>
</file>

<file path=xl/ctrlProps/ctrlProp440.xml><?xml version="1.0" encoding="utf-8"?>
<formControlPr xmlns="http://schemas.microsoft.com/office/spreadsheetml/2009/9/main" objectType="Drop" dropStyle="combo" dx="16" fmlaLink="$P$21" fmlaRange="Rebanho!$AH$45:$AH$69" noThreeD="1" val="0"/>
</file>

<file path=xl/ctrlProps/ctrlProp441.xml><?xml version="1.0" encoding="utf-8"?>
<formControlPr xmlns="http://schemas.microsoft.com/office/spreadsheetml/2009/9/main" objectType="Drop" dropStyle="combo" dx="16" fmlaLink="$Q$21" fmlaRange="Rebanho!$AH$45:$AH$69" noThreeD="1" val="0"/>
</file>

<file path=xl/ctrlProps/ctrlProp442.xml><?xml version="1.0" encoding="utf-8"?>
<formControlPr xmlns="http://schemas.microsoft.com/office/spreadsheetml/2009/9/main" objectType="Drop" dropStyle="combo" dx="16" fmlaLink="$D$22" fmlaRange="Inventário!$AB$32:$AB$42" noThreeD="1" val="0"/>
</file>

<file path=xl/ctrlProps/ctrlProp443.xml><?xml version="1.0" encoding="utf-8"?>
<formControlPr xmlns="http://schemas.microsoft.com/office/spreadsheetml/2009/9/main" objectType="Drop" dropStyle="combo" dx="16" fmlaLink="$E$22" fmlaRange="Inventário!$AB$51:$AB$71" noThreeD="1" val="0"/>
</file>

<file path=xl/ctrlProps/ctrlProp444.xml><?xml version="1.0" encoding="utf-8"?>
<formControlPr xmlns="http://schemas.microsoft.com/office/spreadsheetml/2009/9/main" objectType="Drop" dropStyle="combo" dx="16" fmlaLink="$P$22" fmlaRange="Rebanho!$AH$45:$AH$69" noThreeD="1" val="0"/>
</file>

<file path=xl/ctrlProps/ctrlProp445.xml><?xml version="1.0" encoding="utf-8"?>
<formControlPr xmlns="http://schemas.microsoft.com/office/spreadsheetml/2009/9/main" objectType="Drop" dropStyle="combo" dx="16" fmlaLink="$Q$22" fmlaRange="Rebanho!$AH$45:$AH$69" noThreeD="1" val="0"/>
</file>

<file path=xl/ctrlProps/ctrlProp446.xml><?xml version="1.0" encoding="utf-8"?>
<formControlPr xmlns="http://schemas.microsoft.com/office/spreadsheetml/2009/9/main" objectType="Drop" dropStyle="combo" dx="16" fmlaLink="$D$23" fmlaRange="Inventário!$AB$32:$AB$42" noThreeD="1" val="0"/>
</file>

<file path=xl/ctrlProps/ctrlProp447.xml><?xml version="1.0" encoding="utf-8"?>
<formControlPr xmlns="http://schemas.microsoft.com/office/spreadsheetml/2009/9/main" objectType="Drop" dropStyle="combo" dx="16" fmlaLink="$E$23" fmlaRange="Inventário!$AB$51:$AB$71" noThreeD="1" val="0"/>
</file>

<file path=xl/ctrlProps/ctrlProp448.xml><?xml version="1.0" encoding="utf-8"?>
<formControlPr xmlns="http://schemas.microsoft.com/office/spreadsheetml/2009/9/main" objectType="Drop" dropStyle="combo" dx="16" fmlaLink="$P$23" fmlaRange="Rebanho!$AH$45:$AH$69" noThreeD="1" val="0"/>
</file>

<file path=xl/ctrlProps/ctrlProp449.xml><?xml version="1.0" encoding="utf-8"?>
<formControlPr xmlns="http://schemas.microsoft.com/office/spreadsheetml/2009/9/main" objectType="Drop" dropStyle="combo" dx="16" fmlaLink="$Q$23" fmlaRange="Rebanho!$AH$45:$AH$69" noThreeD="1" val="0"/>
</file>

<file path=xl/ctrlProps/ctrlProp45.xml><?xml version="1.0" encoding="utf-8"?>
<formControlPr xmlns="http://schemas.microsoft.com/office/spreadsheetml/2009/9/main" objectType="Drop" dropStyle="combo" dx="16" fmlaLink="$H$19" fmlaRange="$AB$8:$AB$12" noThreeD="1" val="0"/>
</file>

<file path=xl/ctrlProps/ctrlProp450.xml><?xml version="1.0" encoding="utf-8"?>
<formControlPr xmlns="http://schemas.microsoft.com/office/spreadsheetml/2009/9/main" objectType="Drop" dropStyle="combo" dx="16" fmlaLink="$D$24" fmlaRange="Inventário!$AB$32:$AB$42" noThreeD="1" val="0"/>
</file>

<file path=xl/ctrlProps/ctrlProp451.xml><?xml version="1.0" encoding="utf-8"?>
<formControlPr xmlns="http://schemas.microsoft.com/office/spreadsheetml/2009/9/main" objectType="Drop" dropStyle="combo" dx="16" fmlaLink="$E$24" fmlaRange="Inventário!$AB$51:$AB$71" noThreeD="1" val="0"/>
</file>

<file path=xl/ctrlProps/ctrlProp452.xml><?xml version="1.0" encoding="utf-8"?>
<formControlPr xmlns="http://schemas.microsoft.com/office/spreadsheetml/2009/9/main" objectType="Drop" dropStyle="combo" dx="16" fmlaLink="$P$24" fmlaRange="Rebanho!$AH$45:$AH$69" noThreeD="1" val="0"/>
</file>

<file path=xl/ctrlProps/ctrlProp453.xml><?xml version="1.0" encoding="utf-8"?>
<formControlPr xmlns="http://schemas.microsoft.com/office/spreadsheetml/2009/9/main" objectType="Drop" dropStyle="combo" dx="16" fmlaLink="$Q$24" fmlaRange="Rebanho!$AH$45:$AH$69" noThreeD="1" val="0"/>
</file>

<file path=xl/ctrlProps/ctrlProp454.xml><?xml version="1.0" encoding="utf-8"?>
<formControlPr xmlns="http://schemas.microsoft.com/office/spreadsheetml/2009/9/main" objectType="Drop" dropStyle="combo" dx="16" fmlaLink="$D$25" fmlaRange="Inventário!$AB$32:$AB$42" noThreeD="1" val="0"/>
</file>

<file path=xl/ctrlProps/ctrlProp455.xml><?xml version="1.0" encoding="utf-8"?>
<formControlPr xmlns="http://schemas.microsoft.com/office/spreadsheetml/2009/9/main" objectType="Drop" dropStyle="combo" dx="16" fmlaLink="$E$25" fmlaRange="Inventário!$AB$51:$AB$71" noThreeD="1" val="0"/>
</file>

<file path=xl/ctrlProps/ctrlProp456.xml><?xml version="1.0" encoding="utf-8"?>
<formControlPr xmlns="http://schemas.microsoft.com/office/spreadsheetml/2009/9/main" objectType="Drop" dropStyle="combo" dx="16" fmlaLink="$P$25" fmlaRange="Rebanho!$AH$45:$AH$69" noThreeD="1" val="0"/>
</file>

<file path=xl/ctrlProps/ctrlProp457.xml><?xml version="1.0" encoding="utf-8"?>
<formControlPr xmlns="http://schemas.microsoft.com/office/spreadsheetml/2009/9/main" objectType="Drop" dropStyle="combo" dx="16" fmlaLink="$Q$25" fmlaRange="Rebanho!$AH$45:$AH$69" noThreeD="1" val="0"/>
</file>

<file path=xl/ctrlProps/ctrlProp458.xml><?xml version="1.0" encoding="utf-8"?>
<formControlPr xmlns="http://schemas.microsoft.com/office/spreadsheetml/2009/9/main" objectType="Drop" dropStyle="combo" dx="16" fmlaLink="$D$16" fmlaRange="Inventário!$AB$32:$AB$42" noThreeD="1" sel="2" val="0"/>
</file>

<file path=xl/ctrlProps/ctrlProp459.xml><?xml version="1.0" encoding="utf-8"?>
<formControlPr xmlns="http://schemas.microsoft.com/office/spreadsheetml/2009/9/main" objectType="Drop" dropStyle="combo" dx="16" fmlaLink="$E$16" fmlaRange="Inventário!$AB$51:$AB$71" noThreeD="1" sel="5" val="0"/>
</file>

<file path=xl/ctrlProps/ctrlProp46.xml><?xml version="1.0" encoding="utf-8"?>
<formControlPr xmlns="http://schemas.microsoft.com/office/spreadsheetml/2009/9/main" objectType="Drop" dropStyle="combo" dx="16" fmlaLink="$C$7" fmlaRange="Dados!$B$86:$B$129" noThreeD="1" sel="5" val="0"/>
</file>

<file path=xl/ctrlProps/ctrlProp460.xml><?xml version="1.0" encoding="utf-8"?>
<formControlPr xmlns="http://schemas.microsoft.com/office/spreadsheetml/2009/9/main" objectType="Drop" dropStyle="combo" dx="16" fmlaLink="$P$16" fmlaRange="Rebanho!$AH$45:$AH$69" noThreeD="1" val="0"/>
</file>

<file path=xl/ctrlProps/ctrlProp461.xml><?xml version="1.0" encoding="utf-8"?>
<formControlPr xmlns="http://schemas.microsoft.com/office/spreadsheetml/2009/9/main" objectType="Drop" dropStyle="combo" dx="16" fmlaLink="$Q$16" fmlaRange="Rebanho!$AH$45:$AH$69" noThreeD="1" val="0"/>
</file>

<file path=xl/ctrlProps/ctrlProp462.xml><?xml version="1.0" encoding="utf-8"?>
<formControlPr xmlns="http://schemas.microsoft.com/office/spreadsheetml/2009/9/main" objectType="Drop" dropStyle="combo" dx="16" fmlaLink="$D$17" fmlaRange="Inventário!$AB$32:$AB$42" noThreeD="1" sel="2" val="0"/>
</file>

<file path=xl/ctrlProps/ctrlProp463.xml><?xml version="1.0" encoding="utf-8"?>
<formControlPr xmlns="http://schemas.microsoft.com/office/spreadsheetml/2009/9/main" objectType="Drop" dropStyle="combo" dx="16" fmlaLink="$E$17" fmlaRange="Inventário!$AB$51:$AB$71" noThreeD="1" sel="7" val="0"/>
</file>

<file path=xl/ctrlProps/ctrlProp464.xml><?xml version="1.0" encoding="utf-8"?>
<formControlPr xmlns="http://schemas.microsoft.com/office/spreadsheetml/2009/9/main" objectType="Drop" dropStyle="combo" dx="16" fmlaLink="$P$17" fmlaRange="Rebanho!$AH$45:$AH$69" noThreeD="1" val="0"/>
</file>

<file path=xl/ctrlProps/ctrlProp465.xml><?xml version="1.0" encoding="utf-8"?>
<formControlPr xmlns="http://schemas.microsoft.com/office/spreadsheetml/2009/9/main" objectType="Drop" dropStyle="combo" dx="16" fmlaLink="$Q$17" fmlaRange="Rebanho!$AH$45:$AH$69" noThreeD="1" val="0"/>
</file>

<file path=xl/ctrlProps/ctrlProp466.xml><?xml version="1.0" encoding="utf-8"?>
<formControlPr xmlns="http://schemas.microsoft.com/office/spreadsheetml/2009/9/main" objectType="Drop" dropStyle="combo" dx="16" fmlaLink="$D$18" fmlaRange="Inventário!$AB$32:$AB$42" noThreeD="1" sel="2" val="0"/>
</file>

<file path=xl/ctrlProps/ctrlProp467.xml><?xml version="1.0" encoding="utf-8"?>
<formControlPr xmlns="http://schemas.microsoft.com/office/spreadsheetml/2009/9/main" objectType="Drop" dropStyle="combo" dx="16" fmlaLink="$E$18" fmlaRange="Inventário!$AB$51:$AB$71" noThreeD="1" val="0"/>
</file>

<file path=xl/ctrlProps/ctrlProp468.xml><?xml version="1.0" encoding="utf-8"?>
<formControlPr xmlns="http://schemas.microsoft.com/office/spreadsheetml/2009/9/main" objectType="Drop" dropStyle="combo" dx="16" fmlaLink="$P$18" fmlaRange="Rebanho!$AH$45:$AH$69" noThreeD="1" val="0"/>
</file>

<file path=xl/ctrlProps/ctrlProp469.xml><?xml version="1.0" encoding="utf-8"?>
<formControlPr xmlns="http://schemas.microsoft.com/office/spreadsheetml/2009/9/main" objectType="Drop" dropStyle="combo" dx="16" fmlaLink="$Q$18" fmlaRange="Rebanho!$AH$45:$AH$69" noThreeD="1" val="0"/>
</file>

<file path=xl/ctrlProps/ctrlProp47.xml><?xml version="1.0" encoding="utf-8"?>
<formControlPr xmlns="http://schemas.microsoft.com/office/spreadsheetml/2009/9/main" objectType="Drop" dropStyle="combo" dx="16" fmlaLink="$C$8" fmlaRange="Dados!$B$86:$B$129" noThreeD="1" sel="7" val="0"/>
</file>

<file path=xl/ctrlProps/ctrlProp470.xml><?xml version="1.0" encoding="utf-8"?>
<formControlPr xmlns="http://schemas.microsoft.com/office/spreadsheetml/2009/9/main" objectType="Drop" dropStyle="combo" dx="16" fmlaLink="$D$19" fmlaRange="Inventário!$AB$32:$AB$42" noThreeD="1" val="0"/>
</file>

<file path=xl/ctrlProps/ctrlProp471.xml><?xml version="1.0" encoding="utf-8"?>
<formControlPr xmlns="http://schemas.microsoft.com/office/spreadsheetml/2009/9/main" objectType="Drop" dropStyle="combo" dx="16" fmlaLink="$E$19" fmlaRange="Inventário!$AB$51:$AB$71" noThreeD="1" val="0"/>
</file>

<file path=xl/ctrlProps/ctrlProp472.xml><?xml version="1.0" encoding="utf-8"?>
<formControlPr xmlns="http://schemas.microsoft.com/office/spreadsheetml/2009/9/main" objectType="Drop" dropStyle="combo" dx="16" fmlaLink="$P$19" fmlaRange="Rebanho!$AH$45:$AH$69" noThreeD="1" val="0"/>
</file>

<file path=xl/ctrlProps/ctrlProp473.xml><?xml version="1.0" encoding="utf-8"?>
<formControlPr xmlns="http://schemas.microsoft.com/office/spreadsheetml/2009/9/main" objectType="Drop" dropStyle="combo" dx="16" fmlaLink="$Q$19" fmlaRange="Rebanho!$AH$45:$AH$69" noThreeD="1" val="0"/>
</file>

<file path=xl/ctrlProps/ctrlProp474.xml><?xml version="1.0" encoding="utf-8"?>
<formControlPr xmlns="http://schemas.microsoft.com/office/spreadsheetml/2009/9/main" objectType="Drop" dropStyle="combo" dx="16" fmlaLink="$D$20" fmlaRange="Inventário!$AB$32:$AB$42" noThreeD="1" val="0"/>
</file>

<file path=xl/ctrlProps/ctrlProp475.xml><?xml version="1.0" encoding="utf-8"?>
<formControlPr xmlns="http://schemas.microsoft.com/office/spreadsheetml/2009/9/main" objectType="Drop" dropStyle="combo" dx="16" fmlaLink="$E$20" fmlaRange="Inventário!$AB$51:$AB$71" noThreeD="1" val="0"/>
</file>

<file path=xl/ctrlProps/ctrlProp476.xml><?xml version="1.0" encoding="utf-8"?>
<formControlPr xmlns="http://schemas.microsoft.com/office/spreadsheetml/2009/9/main" objectType="Drop" dropStyle="combo" dx="16" fmlaLink="$P$20" fmlaRange="Rebanho!$AH$45:$AH$69" noThreeD="1" val="0"/>
</file>

<file path=xl/ctrlProps/ctrlProp477.xml><?xml version="1.0" encoding="utf-8"?>
<formControlPr xmlns="http://schemas.microsoft.com/office/spreadsheetml/2009/9/main" objectType="Drop" dropStyle="combo" dx="16" fmlaLink="$Q$20" fmlaRange="Rebanho!$AH$45:$AH$69" noThreeD="1" val="0"/>
</file>

<file path=xl/ctrlProps/ctrlProp478.xml><?xml version="1.0" encoding="utf-8"?>
<formControlPr xmlns="http://schemas.microsoft.com/office/spreadsheetml/2009/9/main" objectType="Drop" dropStyle="combo" dx="16" fmlaLink="$M$40" fmlaRange="Rebanho!$AH$45:$AH$69" noThreeD="1" val="5"/>
</file>

<file path=xl/ctrlProps/ctrlProp479.xml><?xml version="1.0" encoding="utf-8"?>
<formControlPr xmlns="http://schemas.microsoft.com/office/spreadsheetml/2009/9/main" objectType="Drop" dropStyle="combo" dx="16" fmlaLink="$N$40" fmlaRange="Rebanho!$AH$45:$AH$69" noThreeD="1" val="5"/>
</file>

<file path=xl/ctrlProps/ctrlProp48.xml><?xml version="1.0" encoding="utf-8"?>
<formControlPr xmlns="http://schemas.microsoft.com/office/spreadsheetml/2009/9/main" objectType="Drop" dropStyle="combo" dx="16" fmlaLink="$C$9" fmlaRange="Dados!$B$86:$B$129" noThreeD="1" sel="9" val="2"/>
</file>

<file path=xl/ctrlProps/ctrlProp480.xml><?xml version="1.0" encoding="utf-8"?>
<formControlPr xmlns="http://schemas.microsoft.com/office/spreadsheetml/2009/9/main" objectType="Drop" dropStyle="combo" dx="16" fmlaLink="$M$41" fmlaRange="Rebanho!$AH$45:$AH$69" noThreeD="1" val="5"/>
</file>

<file path=xl/ctrlProps/ctrlProp481.xml><?xml version="1.0" encoding="utf-8"?>
<formControlPr xmlns="http://schemas.microsoft.com/office/spreadsheetml/2009/9/main" objectType="Drop" dropStyle="combo" dx="16" fmlaLink="$N$41" fmlaRange="Rebanho!$AH$45:$AH$69" noThreeD="1" val="5"/>
</file>

<file path=xl/ctrlProps/ctrlProp482.xml><?xml version="1.0" encoding="utf-8"?>
<formControlPr xmlns="http://schemas.microsoft.com/office/spreadsheetml/2009/9/main" objectType="Drop" dropStyle="combo" dx="16" fmlaLink="$M$42" fmlaRange="Rebanho!$AH$45:$AH$69" noThreeD="1" val="5"/>
</file>

<file path=xl/ctrlProps/ctrlProp483.xml><?xml version="1.0" encoding="utf-8"?>
<formControlPr xmlns="http://schemas.microsoft.com/office/spreadsheetml/2009/9/main" objectType="Drop" dropStyle="combo" dx="16" fmlaLink="$N$42" fmlaRange="Rebanho!$AH$45:$AH$69" noThreeD="1" val="5"/>
</file>

<file path=xl/ctrlProps/ctrlProp484.xml><?xml version="1.0" encoding="utf-8"?>
<formControlPr xmlns="http://schemas.microsoft.com/office/spreadsheetml/2009/9/main" objectType="Drop" dropStyle="combo" dx="16" fmlaLink="$M$43" fmlaRange="Rebanho!$AH$45:$AH$69" noThreeD="1" val="5"/>
</file>

<file path=xl/ctrlProps/ctrlProp485.xml><?xml version="1.0" encoding="utf-8"?>
<formControlPr xmlns="http://schemas.microsoft.com/office/spreadsheetml/2009/9/main" objectType="Drop" dropStyle="combo" dx="16" fmlaLink="$N$43" fmlaRange="Rebanho!$AH$45:$AH$69" noThreeD="1" val="5"/>
</file>

<file path=xl/ctrlProps/ctrlProp486.xml><?xml version="1.0" encoding="utf-8"?>
<formControlPr xmlns="http://schemas.microsoft.com/office/spreadsheetml/2009/9/main" objectType="Drop" dropStyle="combo" dx="16" fmlaLink="$M$44" fmlaRange="Rebanho!$AH$45:$AH$69" noThreeD="1" val="5"/>
</file>

<file path=xl/ctrlProps/ctrlProp487.xml><?xml version="1.0" encoding="utf-8"?>
<formControlPr xmlns="http://schemas.microsoft.com/office/spreadsheetml/2009/9/main" objectType="Drop" dropStyle="combo" dx="16" fmlaLink="$N$44" fmlaRange="Rebanho!$AH$45:$AH$69" noThreeD="1" val="5"/>
</file>

<file path=xl/ctrlProps/ctrlProp488.xml><?xml version="1.0" encoding="utf-8"?>
<formControlPr xmlns="http://schemas.microsoft.com/office/spreadsheetml/2009/9/main" objectType="Drop" dropStyle="combo" dx="16" fmlaLink="$D$66" fmlaRange="Inventário!$AB$32:$AB$42" noThreeD="1" val="0"/>
</file>

<file path=xl/ctrlProps/ctrlProp489.xml><?xml version="1.0" encoding="utf-8"?>
<formControlPr xmlns="http://schemas.microsoft.com/office/spreadsheetml/2009/9/main" objectType="Drop" dropStyle="combo" dx="16" fmlaLink="$E$66" fmlaRange="Inventário!$AB$51:$AB$71" noThreeD="1" val="0"/>
</file>

<file path=xl/ctrlProps/ctrlProp49.xml><?xml version="1.0" encoding="utf-8"?>
<formControlPr xmlns="http://schemas.microsoft.com/office/spreadsheetml/2009/9/main" objectType="Drop" dropStyle="combo" dx="16" fmlaLink="$C$10" fmlaRange="Dados!$B$86:$B$129" noThreeD="1" sel="12" val="5"/>
</file>

<file path=xl/ctrlProps/ctrlProp490.xml><?xml version="1.0" encoding="utf-8"?>
<formControlPr xmlns="http://schemas.microsoft.com/office/spreadsheetml/2009/9/main" objectType="Drop" dropStyle="combo" dx="16" fmlaLink="$P$66" fmlaRange="Rebanho!$AH$45:$AH$69" noThreeD="1" val="5"/>
</file>

<file path=xl/ctrlProps/ctrlProp491.xml><?xml version="1.0" encoding="utf-8"?>
<formControlPr xmlns="http://schemas.microsoft.com/office/spreadsheetml/2009/9/main" objectType="Drop" dropStyle="combo" dx="16" fmlaLink="$Q$66" fmlaRange="Rebanho!$AH$45:$AH$69" noThreeD="1" val="5"/>
</file>

<file path=xl/ctrlProps/ctrlProp492.xml><?xml version="1.0" encoding="utf-8"?>
<formControlPr xmlns="http://schemas.microsoft.com/office/spreadsheetml/2009/9/main" objectType="Drop" dropStyle="combo" dx="16" fmlaLink="$D$67" fmlaRange="Inventário!$AB$32:$AB$42" noThreeD="1" val="0"/>
</file>

<file path=xl/ctrlProps/ctrlProp493.xml><?xml version="1.0" encoding="utf-8"?>
<formControlPr xmlns="http://schemas.microsoft.com/office/spreadsheetml/2009/9/main" objectType="Drop" dropStyle="combo" dx="16" fmlaLink="$E$67" fmlaRange="Inventário!$AB$51:$AB$71" noThreeD="1" val="0"/>
</file>

<file path=xl/ctrlProps/ctrlProp494.xml><?xml version="1.0" encoding="utf-8"?>
<formControlPr xmlns="http://schemas.microsoft.com/office/spreadsheetml/2009/9/main" objectType="Drop" dropStyle="combo" dx="16" fmlaLink="$P$67" fmlaRange="Rebanho!$AH$45:$AH$69" noThreeD="1" val="5"/>
</file>

<file path=xl/ctrlProps/ctrlProp495.xml><?xml version="1.0" encoding="utf-8"?>
<formControlPr xmlns="http://schemas.microsoft.com/office/spreadsheetml/2009/9/main" objectType="Drop" dropStyle="combo" dx="16" fmlaLink="$Q$67" fmlaRange="Rebanho!$AH$45:$AH$69" noThreeD="1" val="5"/>
</file>

<file path=xl/ctrlProps/ctrlProp496.xml><?xml version="1.0" encoding="utf-8"?>
<formControlPr xmlns="http://schemas.microsoft.com/office/spreadsheetml/2009/9/main" objectType="Drop" dropStyle="combo" dx="16" fmlaLink="$D$68" fmlaRange="Inventário!$AB$32:$AB$42" noThreeD="1" val="0"/>
</file>

<file path=xl/ctrlProps/ctrlProp497.xml><?xml version="1.0" encoding="utf-8"?>
<formControlPr xmlns="http://schemas.microsoft.com/office/spreadsheetml/2009/9/main" objectType="Drop" dropStyle="combo" dx="16" fmlaLink="$E$68" fmlaRange="Inventário!$AB$51:$AB$71" noThreeD="1" val="0"/>
</file>

<file path=xl/ctrlProps/ctrlProp498.xml><?xml version="1.0" encoding="utf-8"?>
<formControlPr xmlns="http://schemas.microsoft.com/office/spreadsheetml/2009/9/main" objectType="Drop" dropStyle="combo" dx="16" fmlaLink="$P$68" fmlaRange="Rebanho!$AH$45:$AH$69" noThreeD="1" val="5"/>
</file>

<file path=xl/ctrlProps/ctrlProp499.xml><?xml version="1.0" encoding="utf-8"?>
<formControlPr xmlns="http://schemas.microsoft.com/office/spreadsheetml/2009/9/main" objectType="Drop" dropStyle="combo" dx="16" fmlaLink="$Q$68" fmlaRange="Rebanho!$AH$45:$AH$69" noThreeD="1" val="5"/>
</file>

<file path=xl/ctrlProps/ctrlProp5.xml><?xml version="1.0" encoding="utf-8"?>
<formControlPr xmlns="http://schemas.microsoft.com/office/spreadsheetml/2009/9/main" objectType="Drop" dropStyle="combo" dx="16" fmlaLink="$H$20" fmlaRange="$AD$15:$AD$39" noThreeD="1" val="0"/>
</file>

<file path=xl/ctrlProps/ctrlProp50.xml><?xml version="1.0" encoding="utf-8"?>
<formControlPr xmlns="http://schemas.microsoft.com/office/spreadsheetml/2009/9/main" objectType="Drop" dropStyle="combo" dx="16" fmlaLink="$C$11" fmlaRange="Dados!$B$86:$B$129" noThreeD="1" sel="16" val="19"/>
</file>

<file path=xl/ctrlProps/ctrlProp500.xml><?xml version="1.0" encoding="utf-8"?>
<formControlPr xmlns="http://schemas.microsoft.com/office/spreadsheetml/2009/9/main" objectType="Drop" dropStyle="combo" dx="16" fmlaLink="$D$69" fmlaRange="Inventário!$AB$32:$AB$42" noThreeD="1" val="0"/>
</file>

<file path=xl/ctrlProps/ctrlProp501.xml><?xml version="1.0" encoding="utf-8"?>
<formControlPr xmlns="http://schemas.microsoft.com/office/spreadsheetml/2009/9/main" objectType="Drop" dropStyle="combo" dx="16" fmlaLink="$E$69" fmlaRange="Inventário!$AB$51:$AB$71" noThreeD="1" val="0"/>
</file>

<file path=xl/ctrlProps/ctrlProp502.xml><?xml version="1.0" encoding="utf-8"?>
<formControlPr xmlns="http://schemas.microsoft.com/office/spreadsheetml/2009/9/main" objectType="Drop" dropStyle="combo" dx="16" fmlaLink="$P$69" fmlaRange="Rebanho!$AH$45:$AH$69" noThreeD="1" val="5"/>
</file>

<file path=xl/ctrlProps/ctrlProp503.xml><?xml version="1.0" encoding="utf-8"?>
<formControlPr xmlns="http://schemas.microsoft.com/office/spreadsheetml/2009/9/main" objectType="Drop" dropStyle="combo" dx="16" fmlaLink="$Q$69" fmlaRange="Rebanho!$AH$45:$AH$69" noThreeD="1" val="5"/>
</file>

<file path=xl/ctrlProps/ctrlProp504.xml><?xml version="1.0" encoding="utf-8"?>
<formControlPr xmlns="http://schemas.microsoft.com/office/spreadsheetml/2009/9/main" objectType="Drop" dropStyle="combo" dx="16" fmlaLink="$D$70" fmlaRange="Inventário!$AB$32:$AB$42" noThreeD="1" val="0"/>
</file>

<file path=xl/ctrlProps/ctrlProp505.xml><?xml version="1.0" encoding="utf-8"?>
<formControlPr xmlns="http://schemas.microsoft.com/office/spreadsheetml/2009/9/main" objectType="Drop" dropStyle="combo" dx="16" fmlaLink="$E$70" fmlaRange="Inventário!$AB$51:$AB$71" noThreeD="1" val="0"/>
</file>

<file path=xl/ctrlProps/ctrlProp506.xml><?xml version="1.0" encoding="utf-8"?>
<formControlPr xmlns="http://schemas.microsoft.com/office/spreadsheetml/2009/9/main" objectType="Drop" dropStyle="combo" dx="16" fmlaLink="$P$70" fmlaRange="Rebanho!$AH$45:$AH$69" noThreeD="1" val="5"/>
</file>

<file path=xl/ctrlProps/ctrlProp507.xml><?xml version="1.0" encoding="utf-8"?>
<formControlPr xmlns="http://schemas.microsoft.com/office/spreadsheetml/2009/9/main" objectType="Drop" dropStyle="combo" dx="16" fmlaLink="$Q$70" fmlaRange="Rebanho!$AH$45:$AH$69" noThreeD="1" val="5"/>
</file>

<file path=xl/ctrlProps/ctrlProp508.xml><?xml version="1.0" encoding="utf-8"?>
<formControlPr xmlns="http://schemas.microsoft.com/office/spreadsheetml/2009/9/main" objectType="Drop" dropStyle="combo" dx="16" fmlaLink="$M$78" fmlaRange="Rebanho!$AH$45:$AH$69" noThreeD="1" val="12"/>
</file>

<file path=xl/ctrlProps/ctrlProp509.xml><?xml version="1.0" encoding="utf-8"?>
<formControlPr xmlns="http://schemas.microsoft.com/office/spreadsheetml/2009/9/main" objectType="Drop" dropStyle="combo" dx="16" fmlaLink="$N$78" fmlaRange="Rebanho!$AH$45:$AH$69" noThreeD="1" val="19"/>
</file>

<file path=xl/ctrlProps/ctrlProp51.xml><?xml version="1.0" encoding="utf-8"?>
<formControlPr xmlns="http://schemas.microsoft.com/office/spreadsheetml/2009/9/main" objectType="Drop" dropStyle="combo" dx="16" fmlaLink="$C$12" fmlaRange="Dados!$B$86:$B$129" noThreeD="1" sel="21" val="10"/>
</file>

<file path=xl/ctrlProps/ctrlProp510.xml><?xml version="1.0" encoding="utf-8"?>
<formControlPr xmlns="http://schemas.microsoft.com/office/spreadsheetml/2009/9/main" objectType="Drop" dropStyle="combo" dx="16" fmlaLink="$M$79" fmlaRange="Rebanho!$AH$45:$AH$69" noThreeD="1" val="12"/>
</file>

<file path=xl/ctrlProps/ctrlProp511.xml><?xml version="1.0" encoding="utf-8"?>
<formControlPr xmlns="http://schemas.microsoft.com/office/spreadsheetml/2009/9/main" objectType="Drop" dropStyle="combo" dx="16" fmlaLink="$N$79" fmlaRange="Rebanho!$AH$45:$AH$69" noThreeD="1" val="19"/>
</file>

<file path=xl/ctrlProps/ctrlProp512.xml><?xml version="1.0" encoding="utf-8"?>
<formControlPr xmlns="http://schemas.microsoft.com/office/spreadsheetml/2009/9/main" objectType="Drop" dropStyle="combo" dx="16" fmlaLink="$M$80" fmlaRange="Rebanho!$AH$45:$AH$69" noThreeD="1" val="12"/>
</file>

<file path=xl/ctrlProps/ctrlProp513.xml><?xml version="1.0" encoding="utf-8"?>
<formControlPr xmlns="http://schemas.microsoft.com/office/spreadsheetml/2009/9/main" objectType="Drop" dropStyle="combo" dx="16" fmlaLink="$N$80" fmlaRange="Rebanho!$AH$45:$AH$69" noThreeD="1" val="19"/>
</file>

<file path=xl/ctrlProps/ctrlProp514.xml><?xml version="1.0" encoding="utf-8"?>
<formControlPr xmlns="http://schemas.microsoft.com/office/spreadsheetml/2009/9/main" objectType="Drop" dropStyle="combo" dx="16" fmlaLink="$M$81" fmlaRange="Rebanho!$AH$45:$AH$69" noThreeD="1" val="12"/>
</file>

<file path=xl/ctrlProps/ctrlProp515.xml><?xml version="1.0" encoding="utf-8"?>
<formControlPr xmlns="http://schemas.microsoft.com/office/spreadsheetml/2009/9/main" objectType="Drop" dropStyle="combo" dx="16" fmlaLink="$N$81" fmlaRange="Rebanho!$AH$45:$AH$69" noThreeD="1" val="19"/>
</file>

<file path=xl/ctrlProps/ctrlProp516.xml><?xml version="1.0" encoding="utf-8"?>
<formControlPr xmlns="http://schemas.microsoft.com/office/spreadsheetml/2009/9/main" objectType="Drop" dropStyle="combo" dx="16" fmlaLink="$M$82" fmlaRange="Rebanho!$AH$45:$AH$69" noThreeD="1" val="12"/>
</file>

<file path=xl/ctrlProps/ctrlProp517.xml><?xml version="1.0" encoding="utf-8"?>
<formControlPr xmlns="http://schemas.microsoft.com/office/spreadsheetml/2009/9/main" objectType="Drop" dropStyle="combo" dx="16" fmlaLink="$N$82" fmlaRange="Rebanho!$AH$45:$AH$69" noThreeD="1" val="19"/>
</file>

<file path=xl/ctrlProps/ctrlProp518.xml><?xml version="1.0" encoding="utf-8"?>
<formControlPr xmlns="http://schemas.microsoft.com/office/spreadsheetml/2009/9/main" objectType="Drop" dropStyle="combo" dx="16" fmlaLink="$C$9" fmlaRange="$Y$9:$Y$10" noThreeD="1" sel="2" val="0"/>
</file>

<file path=xl/ctrlProps/ctrlProp519.xml><?xml version="1.0" encoding="utf-8"?>
<formControlPr xmlns="http://schemas.microsoft.com/office/spreadsheetml/2009/9/main" objectType="Drop" dropStyle="combo" dx="16" fmlaLink="$E$65" fmlaRange="Inventário!$AB$51:$AB$71" noThreeD="1" val="0"/>
</file>

<file path=xl/ctrlProps/ctrlProp52.xml><?xml version="1.0" encoding="utf-8"?>
<formControlPr xmlns="http://schemas.microsoft.com/office/spreadsheetml/2009/9/main" objectType="Drop" dropStyle="combo" dx="16" fmlaLink="$C$13" fmlaRange="Dados!$B$86:$B$129" noThreeD="1" sel="20" val="16"/>
</file>

<file path=xl/ctrlProps/ctrlProp520.xml><?xml version="1.0" encoding="utf-8"?>
<formControlPr xmlns="http://schemas.microsoft.com/office/spreadsheetml/2009/9/main" objectType="Drop" dropStyle="combo" dx="16" fmlaLink="$D$12" fmlaRange="Inventário!$AB$32:$AB$42" noThreeD="1" val="0"/>
</file>

<file path=xl/ctrlProps/ctrlProp521.xml><?xml version="1.0" encoding="utf-8"?>
<formControlPr xmlns="http://schemas.microsoft.com/office/spreadsheetml/2009/9/main" objectType="Drop" dropStyle="combo" dx="16" fmlaLink="$E$12" fmlaRange="Inventário!$AB$51:$AB$71" noThreeD="1" val="0"/>
</file>

<file path=xl/ctrlProps/ctrlProp522.xml><?xml version="1.0" encoding="utf-8"?>
<formControlPr xmlns="http://schemas.microsoft.com/office/spreadsheetml/2009/9/main" objectType="Drop" dropStyle="combo" dx="16" fmlaLink="$D$13" fmlaRange="Inventário!$AB$32:$AB$42" noThreeD="1" val="0"/>
</file>

<file path=xl/ctrlProps/ctrlProp523.xml><?xml version="1.0" encoding="utf-8"?>
<formControlPr xmlns="http://schemas.microsoft.com/office/spreadsheetml/2009/9/main" objectType="Drop" dropStyle="combo" dx="16" fmlaLink="$D$14" fmlaRange="Inventário!$AB$32:$AB$42" noThreeD="1" val="0"/>
</file>

<file path=xl/ctrlProps/ctrlProp524.xml><?xml version="1.0" encoding="utf-8"?>
<formControlPr xmlns="http://schemas.microsoft.com/office/spreadsheetml/2009/9/main" objectType="Drop" dropStyle="combo" dx="16" fmlaLink="$D$15" fmlaRange="Inventário!$AB$32:$AB$42" noThreeD="1" val="0"/>
</file>

<file path=xl/ctrlProps/ctrlProp525.xml><?xml version="1.0" encoding="utf-8"?>
<formControlPr xmlns="http://schemas.microsoft.com/office/spreadsheetml/2009/9/main" objectType="Drop" dropStyle="combo" dx="16" fmlaLink="$D$26" fmlaRange="Inventário!$AB$32:$AB$42" noThreeD="1" val="0"/>
</file>

<file path=xl/ctrlProps/ctrlProp526.xml><?xml version="1.0" encoding="utf-8"?>
<formControlPr xmlns="http://schemas.microsoft.com/office/spreadsheetml/2009/9/main" objectType="Drop" dropStyle="combo" dx="16" fmlaLink="$E$13" fmlaRange="Inventário!$AB$51:$AB$71" noThreeD="1" val="0"/>
</file>

<file path=xl/ctrlProps/ctrlProp527.xml><?xml version="1.0" encoding="utf-8"?>
<formControlPr xmlns="http://schemas.microsoft.com/office/spreadsheetml/2009/9/main" objectType="Drop" dropStyle="combo" dx="16" fmlaLink="$E$14" fmlaRange="Inventário!$AB$51:$AB$71" noThreeD="1" val="0"/>
</file>

<file path=xl/ctrlProps/ctrlProp528.xml><?xml version="1.0" encoding="utf-8"?>
<formControlPr xmlns="http://schemas.microsoft.com/office/spreadsheetml/2009/9/main" objectType="Drop" dropStyle="combo" dx="16" fmlaLink="$E$15" fmlaRange="Inventário!$AB$51:$AB$71" noThreeD="1" val="0"/>
</file>

<file path=xl/ctrlProps/ctrlProp529.xml><?xml version="1.0" encoding="utf-8"?>
<formControlPr xmlns="http://schemas.microsoft.com/office/spreadsheetml/2009/9/main" objectType="Drop" dropStyle="combo" dx="16" fmlaLink="$E$26" fmlaRange="Inventário!$AB$51:$AB$71" noThreeD="1" val="0"/>
</file>

<file path=xl/ctrlProps/ctrlProp53.xml><?xml version="1.0" encoding="utf-8"?>
<formControlPr xmlns="http://schemas.microsoft.com/office/spreadsheetml/2009/9/main" objectType="Drop" dropStyle="combo" dx="16" fmlaLink="$C$14" fmlaRange="Dados!$B$86:$B$129" noThreeD="1" sel="25" val="14"/>
</file>

<file path=xl/ctrlProps/ctrlProp530.xml><?xml version="1.0" encoding="utf-8"?>
<formControlPr xmlns="http://schemas.microsoft.com/office/spreadsheetml/2009/9/main" objectType="Drop" dropStyle="combo" dx="16" fmlaLink="$D$63" fmlaRange="Inventário!$AB$32:$AB$42" noThreeD="1" val="0"/>
</file>

<file path=xl/ctrlProps/ctrlProp531.xml><?xml version="1.0" encoding="utf-8"?>
<formControlPr xmlns="http://schemas.microsoft.com/office/spreadsheetml/2009/9/main" objectType="Drop" dropStyle="combo" dx="16" fmlaLink="$E$63" fmlaRange="Inventário!$AB$51:$AB$71" noThreeD="1" val="0"/>
</file>

<file path=xl/ctrlProps/ctrlProp532.xml><?xml version="1.0" encoding="utf-8"?>
<formControlPr xmlns="http://schemas.microsoft.com/office/spreadsheetml/2009/9/main" objectType="Drop" dropStyle="combo" dx="16" fmlaLink="$D$64" fmlaRange="Inventário!$AB$32:$AB$42" noThreeD="1" val="0"/>
</file>

<file path=xl/ctrlProps/ctrlProp533.xml><?xml version="1.0" encoding="utf-8"?>
<formControlPr xmlns="http://schemas.microsoft.com/office/spreadsheetml/2009/9/main" objectType="Drop" dropStyle="combo" dx="16" fmlaLink="$D$65" fmlaRange="Inventário!$AB$32:$AB$42" noThreeD="1" val="0"/>
</file>

<file path=xl/ctrlProps/ctrlProp534.xml><?xml version="1.0" encoding="utf-8"?>
<formControlPr xmlns="http://schemas.microsoft.com/office/spreadsheetml/2009/9/main" objectType="Drop" dropStyle="combo" dx="16" fmlaLink="$D$71" fmlaRange="Inventário!$AB$32:$AB$42" noThreeD="1" val="0"/>
</file>

<file path=xl/ctrlProps/ctrlProp535.xml><?xml version="1.0" encoding="utf-8"?>
<formControlPr xmlns="http://schemas.microsoft.com/office/spreadsheetml/2009/9/main" objectType="Drop" dropStyle="combo" dx="16" fmlaLink="$D$72" fmlaRange="Inventário!$AB$32:$AB$42" noThreeD="1" val="0"/>
</file>

<file path=xl/ctrlProps/ctrlProp536.xml><?xml version="1.0" encoding="utf-8"?>
<formControlPr xmlns="http://schemas.microsoft.com/office/spreadsheetml/2009/9/main" objectType="Drop" dropStyle="combo" dx="16" fmlaLink="$E$64" fmlaRange="Inventário!$AB$51:$AB$71" noThreeD="1" val="0"/>
</file>

<file path=xl/ctrlProps/ctrlProp537.xml><?xml version="1.0" encoding="utf-8"?>
<formControlPr xmlns="http://schemas.microsoft.com/office/spreadsheetml/2009/9/main" objectType="Drop" dropStyle="combo" dx="16" fmlaLink="$E$65" fmlaRange="Inventário!$AB$51:$AB$71" noThreeD="1" val="0"/>
</file>

<file path=xl/ctrlProps/ctrlProp538.xml><?xml version="1.0" encoding="utf-8"?>
<formControlPr xmlns="http://schemas.microsoft.com/office/spreadsheetml/2009/9/main" objectType="Drop" dropStyle="combo" dx="16" fmlaLink="$E$71" fmlaRange="Inventário!$AB$51:$AB$71" noThreeD="1" val="0"/>
</file>

<file path=xl/ctrlProps/ctrlProp539.xml><?xml version="1.0" encoding="utf-8"?>
<formControlPr xmlns="http://schemas.microsoft.com/office/spreadsheetml/2009/9/main" objectType="Drop" dropStyle="combo" dx="16" fmlaLink="$E$72" fmlaRange="Inventário!$AB$51:$AB$71" noThreeD="1" val="0"/>
</file>

<file path=xl/ctrlProps/ctrlProp54.xml><?xml version="1.0" encoding="utf-8"?>
<formControlPr xmlns="http://schemas.microsoft.com/office/spreadsheetml/2009/9/main" objectType="Drop" dropStyle="combo" dx="16" fmlaLink="$C$15" fmlaRange="Dados!$B$86:$B$129" noThreeD="1" sel="18" val="16"/>
</file>

<file path=xl/ctrlProps/ctrlProp540.xml><?xml version="1.0" encoding="utf-8"?>
<formControlPr xmlns="http://schemas.microsoft.com/office/spreadsheetml/2009/9/main" objectType="Drop" dropStyle="combo" dx="16" fmlaLink="$B$91" fmlaRange="'Mão-de-obra'!$CK$10:$CK$29" noThreeD="1" val="0"/>
</file>

<file path=xl/ctrlProps/ctrlProp541.xml><?xml version="1.0" encoding="utf-8"?>
<formControlPr xmlns="http://schemas.microsoft.com/office/spreadsheetml/2009/9/main" objectType="Drop" dropStyle="combo" dx="16" fmlaLink="$B$92" fmlaRange="'Mão-de-obra'!$CK$10:$CK$29" noThreeD="1" val="0"/>
</file>

<file path=xl/ctrlProps/ctrlProp542.xml><?xml version="1.0" encoding="utf-8"?>
<formControlPr xmlns="http://schemas.microsoft.com/office/spreadsheetml/2009/9/main" objectType="Drop" dropStyle="combo" dx="16" fmlaLink="$B$93" fmlaRange="'Mão-de-obra'!$CK$10:$CK$29" noThreeD="1" val="0"/>
</file>

<file path=xl/ctrlProps/ctrlProp543.xml><?xml version="1.0" encoding="utf-8"?>
<formControlPr xmlns="http://schemas.microsoft.com/office/spreadsheetml/2009/9/main" objectType="Drop" dropStyle="combo" dx="16" fmlaLink="$B$94" fmlaRange="'Mão-de-obra'!$CK$10:$CK$29" noThreeD="1" val="3"/>
</file>

<file path=xl/ctrlProps/ctrlProp544.xml><?xml version="1.0" encoding="utf-8"?>
<formControlPr xmlns="http://schemas.microsoft.com/office/spreadsheetml/2009/9/main" objectType="Drop" dropStyle="combo" dx="16" fmlaLink="$B$95" fmlaRange="'Mão-de-obra'!$CK$10:$CK$29" noThreeD="1" val="0"/>
</file>

<file path=xl/ctrlProps/ctrlProp545.xml><?xml version="1.0" encoding="utf-8"?>
<formControlPr xmlns="http://schemas.microsoft.com/office/spreadsheetml/2009/9/main" objectType="Drop" dropStyle="combo" dx="16" fmlaLink="$P$63" fmlaRange="Rebanho!$AH$45:$AH$69" noThreeD="1" val="0"/>
</file>

<file path=xl/ctrlProps/ctrlProp546.xml><?xml version="1.0" encoding="utf-8"?>
<formControlPr xmlns="http://schemas.microsoft.com/office/spreadsheetml/2009/9/main" objectType="Drop" dropStyle="combo" dx="16" fmlaLink="$B$50" fmlaRange="'Mão-de-obra'!$CK$10:$CK$29" noThreeD="1" val="0"/>
</file>

<file path=xl/ctrlProps/ctrlProp547.xml><?xml version="1.0" encoding="utf-8"?>
<formControlPr xmlns="http://schemas.microsoft.com/office/spreadsheetml/2009/9/main" objectType="Drop" dropStyle="combo" dx="16" fmlaLink="$B$51" fmlaRange="'Mão-de-obra'!$CK$10:$CK$29" noThreeD="1" val="0"/>
</file>

<file path=xl/ctrlProps/ctrlProp548.xml><?xml version="1.0" encoding="utf-8"?>
<formControlPr xmlns="http://schemas.microsoft.com/office/spreadsheetml/2009/9/main" objectType="Drop" dropStyle="combo" dx="16" fmlaLink="$B$52" fmlaRange="'Mão-de-obra'!$CK$10:$CK$29" noThreeD="1" val="0"/>
</file>

<file path=xl/ctrlProps/ctrlProp549.xml><?xml version="1.0" encoding="utf-8"?>
<formControlPr xmlns="http://schemas.microsoft.com/office/spreadsheetml/2009/9/main" objectType="Drop" dropStyle="combo" dx="16" fmlaLink="$B$53" fmlaRange="'Mão-de-obra'!$CK$10:$CK$29" noThreeD="1" val="0"/>
</file>

<file path=xl/ctrlProps/ctrlProp55.xml><?xml version="1.0" encoding="utf-8"?>
<formControlPr xmlns="http://schemas.microsoft.com/office/spreadsheetml/2009/9/main" objectType="Drop" dropStyle="combo" dx="16" fmlaLink="$C$16" fmlaRange="Dados!$B$86:$B$129" noThreeD="1" sel="14" val="10"/>
</file>

<file path=xl/ctrlProps/ctrlProp550.xml><?xml version="1.0" encoding="utf-8"?>
<formControlPr xmlns="http://schemas.microsoft.com/office/spreadsheetml/2009/9/main" objectType="Drop" dropStyle="combo" dx="16" fmlaLink="$B$54" fmlaRange="'Mão-de-obra'!$CK$10:$CK$29" noThreeD="1" val="0"/>
</file>

<file path=xl/ctrlProps/ctrlProp551.xml><?xml version="1.0" encoding="utf-8"?>
<formControlPr xmlns="http://schemas.microsoft.com/office/spreadsheetml/2009/9/main" objectType="Drop" dropStyle="combo" dx="16" fmlaLink="$Q$63" fmlaRange="Rebanho!$AH$45:$AH$69" noThreeD="1" val="0"/>
</file>

<file path=xl/ctrlProps/ctrlProp552.xml><?xml version="1.0" encoding="utf-8"?>
<formControlPr xmlns="http://schemas.microsoft.com/office/spreadsheetml/2009/9/main" objectType="Drop" dropStyle="combo" dx="16" fmlaLink="$P$64" fmlaRange="Rebanho!$AH$45:$AH$69" noThreeD="1" val="0"/>
</file>

<file path=xl/ctrlProps/ctrlProp553.xml><?xml version="1.0" encoding="utf-8"?>
<formControlPr xmlns="http://schemas.microsoft.com/office/spreadsheetml/2009/9/main" objectType="Drop" dropStyle="combo" dx="16" fmlaLink="$P$65" fmlaRange="Rebanho!$AH$45:$AH$69" noThreeD="1" val="5"/>
</file>

<file path=xl/ctrlProps/ctrlProp554.xml><?xml version="1.0" encoding="utf-8"?>
<formControlPr xmlns="http://schemas.microsoft.com/office/spreadsheetml/2009/9/main" objectType="Drop" dropStyle="combo" dx="16" fmlaLink="$P$71" fmlaRange="Rebanho!$AH$45:$AH$69" noThreeD="1" val="5"/>
</file>

<file path=xl/ctrlProps/ctrlProp555.xml><?xml version="1.0" encoding="utf-8"?>
<formControlPr xmlns="http://schemas.microsoft.com/office/spreadsheetml/2009/9/main" objectType="Drop" dropStyle="combo" dx="16" fmlaLink="$P$72" fmlaRange="Rebanho!$AH$45:$AH$69" noThreeD="1" val="5"/>
</file>

<file path=xl/ctrlProps/ctrlProp556.xml><?xml version="1.0" encoding="utf-8"?>
<formControlPr xmlns="http://schemas.microsoft.com/office/spreadsheetml/2009/9/main" objectType="Drop" dropStyle="combo" dx="16" fmlaLink="$Q$64" fmlaRange="Rebanho!$AH$45:$AH$69" noThreeD="1" val="5"/>
</file>

<file path=xl/ctrlProps/ctrlProp557.xml><?xml version="1.0" encoding="utf-8"?>
<formControlPr xmlns="http://schemas.microsoft.com/office/spreadsheetml/2009/9/main" objectType="Drop" dropStyle="combo" dx="16" fmlaLink="$Q$65" fmlaRange="Rebanho!$AH$45:$AH$69" noThreeD="1" val="5"/>
</file>

<file path=xl/ctrlProps/ctrlProp558.xml><?xml version="1.0" encoding="utf-8"?>
<formControlPr xmlns="http://schemas.microsoft.com/office/spreadsheetml/2009/9/main" objectType="Drop" dropStyle="combo" dx="16" fmlaLink="$Q$71" fmlaRange="Rebanho!$AH$45:$AH$69" noThreeD="1" val="5"/>
</file>

<file path=xl/ctrlProps/ctrlProp559.xml><?xml version="1.0" encoding="utf-8"?>
<formControlPr xmlns="http://schemas.microsoft.com/office/spreadsheetml/2009/9/main" objectType="Drop" dropStyle="combo" dx="16" fmlaLink="$Q$72" fmlaRange="Rebanho!$AH$45:$AH$69" noThreeD="1" val="0"/>
</file>

<file path=xl/ctrlProps/ctrlProp56.xml><?xml version="1.0" encoding="utf-8"?>
<formControlPr xmlns="http://schemas.microsoft.com/office/spreadsheetml/2009/9/main" objectType="Drop" dropStyle="combo" dx="16" fmlaLink="$C$17" fmlaRange="Dados!$B$86:$B$129" noThreeD="1" val="9"/>
</file>

<file path=xl/ctrlProps/ctrlProp560.xml><?xml version="1.0" encoding="utf-8"?>
<formControlPr xmlns="http://schemas.microsoft.com/office/spreadsheetml/2009/9/main" objectType="Drop" dropStyle="combo" dx="16" fmlaLink="$M$77" fmlaRange="Rebanho!$AH$45:$AH$69" noThreeD="1" val="12"/>
</file>

<file path=xl/ctrlProps/ctrlProp561.xml><?xml version="1.0" encoding="utf-8"?>
<formControlPr xmlns="http://schemas.microsoft.com/office/spreadsheetml/2009/9/main" objectType="Drop" dropStyle="combo" dx="16" fmlaLink="$M$83" fmlaRange="Rebanho!$AH$45:$AH$69" noThreeD="1" val="5"/>
</file>

<file path=xl/ctrlProps/ctrlProp562.xml><?xml version="1.0" encoding="utf-8"?>
<formControlPr xmlns="http://schemas.microsoft.com/office/spreadsheetml/2009/9/main" objectType="Drop" dropStyle="combo" dx="16" fmlaLink="$M$84" fmlaRange="Rebanho!$AH$45:$AH$69" noThreeD="1" val="0"/>
</file>

<file path=xl/ctrlProps/ctrlProp563.xml><?xml version="1.0" encoding="utf-8"?>
<formControlPr xmlns="http://schemas.microsoft.com/office/spreadsheetml/2009/9/main" objectType="Drop" dropStyle="combo" dx="16" fmlaLink="$M$85" fmlaRange="Rebanho!$AH$45:$AH$69" noThreeD="1" val="5"/>
</file>

<file path=xl/ctrlProps/ctrlProp564.xml><?xml version="1.0" encoding="utf-8"?>
<formControlPr xmlns="http://schemas.microsoft.com/office/spreadsheetml/2009/9/main" objectType="Drop" dropStyle="combo" dx="16" fmlaLink="$M$86" fmlaRange="Rebanho!$AH$45:$AH$69" noThreeD="1" val="5"/>
</file>

<file path=xl/ctrlProps/ctrlProp565.xml><?xml version="1.0" encoding="utf-8"?>
<formControlPr xmlns="http://schemas.microsoft.com/office/spreadsheetml/2009/9/main" objectType="Drop" dropStyle="combo" dx="16" fmlaLink="$N$77" fmlaRange="Rebanho!$AH$45:$AH$69" noThreeD="1" val="19"/>
</file>

<file path=xl/ctrlProps/ctrlProp566.xml><?xml version="1.0" encoding="utf-8"?>
<formControlPr xmlns="http://schemas.microsoft.com/office/spreadsheetml/2009/9/main" objectType="Drop" dropStyle="combo" dx="16" fmlaLink="$N$83" fmlaRange="Rebanho!$AH$45:$AH$69" noThreeD="1" val="5"/>
</file>

<file path=xl/ctrlProps/ctrlProp567.xml><?xml version="1.0" encoding="utf-8"?>
<formControlPr xmlns="http://schemas.microsoft.com/office/spreadsheetml/2009/9/main" objectType="Drop" dropStyle="combo" dx="16" fmlaLink="$N$84" fmlaRange="Rebanho!$AH$45:$AH$69" noThreeD="1" val="5"/>
</file>

<file path=xl/ctrlProps/ctrlProp568.xml><?xml version="1.0" encoding="utf-8"?>
<formControlPr xmlns="http://schemas.microsoft.com/office/spreadsheetml/2009/9/main" objectType="Drop" dropStyle="combo" dx="16" fmlaLink="$N$85" fmlaRange="Rebanho!$AH$45:$AH$69" noThreeD="1" val="5"/>
</file>

<file path=xl/ctrlProps/ctrlProp569.xml><?xml version="1.0" encoding="utf-8"?>
<formControlPr xmlns="http://schemas.microsoft.com/office/spreadsheetml/2009/9/main" objectType="Drop" dropStyle="combo" dx="16" fmlaLink="$N$86" fmlaRange="Rebanho!$AH$45:$AH$69" noThreeD="1" val="5"/>
</file>

<file path=xl/ctrlProps/ctrlProp57.xml><?xml version="1.0" encoding="utf-8"?>
<formControlPr xmlns="http://schemas.microsoft.com/office/spreadsheetml/2009/9/main" objectType="Drop" dropStyle="combo" dx="16" fmlaLink="$C$18" fmlaRange="Dados!$B$86:$B$129" noThreeD="1" sel="12" val="14"/>
</file>

<file path=xl/ctrlProps/ctrlProp570.xml><?xml version="1.0" encoding="utf-8"?>
<formControlPr xmlns="http://schemas.microsoft.com/office/spreadsheetml/2009/9/main" objectType="Drop" dropStyle="combo" dx="16" fmlaLink="$L$91" fmlaRange="Rebanho!$AH$45:$AH$69" noThreeD="1" val="5"/>
</file>

<file path=xl/ctrlProps/ctrlProp571.xml><?xml version="1.0" encoding="utf-8"?>
<formControlPr xmlns="http://schemas.microsoft.com/office/spreadsheetml/2009/9/main" objectType="Drop" dropStyle="combo" dx="16" fmlaLink="$M$91" fmlaRange="Rebanho!$AH$45:$AH$69" noThreeD="1" val="0"/>
</file>

<file path=xl/ctrlProps/ctrlProp572.xml><?xml version="1.0" encoding="utf-8"?>
<formControlPr xmlns="http://schemas.microsoft.com/office/spreadsheetml/2009/9/main" objectType="Drop" dropStyle="combo" dx="16" fmlaLink="$L$92" fmlaRange="Rebanho!$AH$45:$AH$69" noThreeD="1" val="5"/>
</file>

<file path=xl/ctrlProps/ctrlProp573.xml><?xml version="1.0" encoding="utf-8"?>
<formControlPr xmlns="http://schemas.microsoft.com/office/spreadsheetml/2009/9/main" objectType="Drop" dropStyle="combo" dx="16" fmlaLink="$L$93" fmlaRange="Rebanho!$AH$45:$AH$69" noThreeD="1" val="5"/>
</file>

<file path=xl/ctrlProps/ctrlProp574.xml><?xml version="1.0" encoding="utf-8"?>
<formControlPr xmlns="http://schemas.microsoft.com/office/spreadsheetml/2009/9/main" objectType="Drop" dropStyle="combo" dx="16" fmlaLink="$L$94" fmlaRange="Rebanho!$AH$45:$AH$69" noThreeD="1" val="5"/>
</file>

<file path=xl/ctrlProps/ctrlProp575.xml><?xml version="1.0" encoding="utf-8"?>
<formControlPr xmlns="http://schemas.microsoft.com/office/spreadsheetml/2009/9/main" objectType="Drop" dropStyle="combo" dx="16" fmlaLink="$L$95" fmlaRange="Rebanho!$AH$45:$AH$69" noThreeD="1" val="5"/>
</file>

<file path=xl/ctrlProps/ctrlProp576.xml><?xml version="1.0" encoding="utf-8"?>
<formControlPr xmlns="http://schemas.microsoft.com/office/spreadsheetml/2009/9/main" objectType="Drop" dropStyle="combo" dx="16" fmlaLink="$M$92" fmlaRange="Rebanho!$AH$45:$AH$69" noThreeD="1" val="5"/>
</file>

<file path=xl/ctrlProps/ctrlProp577.xml><?xml version="1.0" encoding="utf-8"?>
<formControlPr xmlns="http://schemas.microsoft.com/office/spreadsheetml/2009/9/main" objectType="Drop" dropStyle="combo" dx="16" fmlaLink="$M$93" fmlaRange="Rebanho!$AH$45:$AH$69" noThreeD="1" val="5"/>
</file>

<file path=xl/ctrlProps/ctrlProp578.xml><?xml version="1.0" encoding="utf-8"?>
<formControlPr xmlns="http://schemas.microsoft.com/office/spreadsheetml/2009/9/main" objectType="Drop" dropStyle="combo" dx="16" fmlaLink="$M$94" fmlaRange="Rebanho!$AH$45:$AH$69" noThreeD="1" val="0"/>
</file>

<file path=xl/ctrlProps/ctrlProp579.xml><?xml version="1.0" encoding="utf-8"?>
<formControlPr xmlns="http://schemas.microsoft.com/office/spreadsheetml/2009/9/main" objectType="Drop" dropStyle="combo" dx="16" fmlaLink="$M$95" fmlaRange="Rebanho!$AH$45:$AH$69" noThreeD="1" val="5"/>
</file>

<file path=xl/ctrlProps/ctrlProp58.xml><?xml version="1.0" encoding="utf-8"?>
<formControlPr xmlns="http://schemas.microsoft.com/office/spreadsheetml/2009/9/main" objectType="Drop" dropStyle="combo" dx="16" fmlaLink="$C$19" fmlaRange="Dados!$B$86:$B$129" noThreeD="1" val="19"/>
</file>

<file path=xl/ctrlProps/ctrlProp580.xml><?xml version="1.0" encoding="utf-8"?>
<formControlPr xmlns="http://schemas.microsoft.com/office/spreadsheetml/2009/9/main" objectType="Drop" dropStyle="combo" dx="16" fmlaLink="$P$12" fmlaRange="Rebanho!$AH$45:$AH$69" noThreeD="1" val="0"/>
</file>

<file path=xl/ctrlProps/ctrlProp581.xml><?xml version="1.0" encoding="utf-8"?>
<formControlPr xmlns="http://schemas.microsoft.com/office/spreadsheetml/2009/9/main" objectType="Drop" dropStyle="combo" dx="16" fmlaLink="$Q$12" fmlaRange="Rebanho!$AH$45:$AH$69" noThreeD="1" val="0"/>
</file>

<file path=xl/ctrlProps/ctrlProp582.xml><?xml version="1.0" encoding="utf-8"?>
<formControlPr xmlns="http://schemas.microsoft.com/office/spreadsheetml/2009/9/main" objectType="Drop" dropStyle="combo" dx="16" fmlaLink="$P$13" fmlaRange="Rebanho!$AH$45:$AH$69" noThreeD="1" val="0"/>
</file>

<file path=xl/ctrlProps/ctrlProp583.xml><?xml version="1.0" encoding="utf-8"?>
<formControlPr xmlns="http://schemas.microsoft.com/office/spreadsheetml/2009/9/main" objectType="Drop" dropStyle="combo" dx="16" fmlaLink="$P$14" fmlaRange="Rebanho!$AH$45:$AH$69" noThreeD="1" val="0"/>
</file>

<file path=xl/ctrlProps/ctrlProp584.xml><?xml version="1.0" encoding="utf-8"?>
<formControlPr xmlns="http://schemas.microsoft.com/office/spreadsheetml/2009/9/main" objectType="Drop" dropStyle="combo" dx="16" fmlaLink="$P$15" fmlaRange="Rebanho!$AH$45:$AH$69" noThreeD="1" val="0"/>
</file>

<file path=xl/ctrlProps/ctrlProp585.xml><?xml version="1.0" encoding="utf-8"?>
<formControlPr xmlns="http://schemas.microsoft.com/office/spreadsheetml/2009/9/main" objectType="Drop" dropStyle="combo" dx="16" fmlaLink="$P$26" fmlaRange="Rebanho!$AH$45:$AH$69" noThreeD="1" val="0"/>
</file>

<file path=xl/ctrlProps/ctrlProp586.xml><?xml version="1.0" encoding="utf-8"?>
<formControlPr xmlns="http://schemas.microsoft.com/office/spreadsheetml/2009/9/main" objectType="Drop" dropStyle="combo" dx="16" fmlaLink="$Q$13" fmlaRange="Rebanho!$AH$45:$AH$69" noThreeD="1" val="0"/>
</file>

<file path=xl/ctrlProps/ctrlProp587.xml><?xml version="1.0" encoding="utf-8"?>
<formControlPr xmlns="http://schemas.microsoft.com/office/spreadsheetml/2009/9/main" objectType="Drop" dropStyle="combo" dx="16" fmlaLink="$Q$14" fmlaRange="Rebanho!$AH$45:$AH$69" noThreeD="1" val="0"/>
</file>

<file path=xl/ctrlProps/ctrlProp588.xml><?xml version="1.0" encoding="utf-8"?>
<formControlPr xmlns="http://schemas.microsoft.com/office/spreadsheetml/2009/9/main" objectType="Drop" dropStyle="combo" dx="16" fmlaLink="$Q$15" fmlaRange="Rebanho!$AH$45:$AH$69" noThreeD="1" val="0"/>
</file>

<file path=xl/ctrlProps/ctrlProp589.xml><?xml version="1.0" encoding="utf-8"?>
<formControlPr xmlns="http://schemas.microsoft.com/office/spreadsheetml/2009/9/main" objectType="Drop" dropStyle="combo" dx="16" fmlaLink="$Q$26" fmlaRange="Rebanho!$AH$45:$AH$69" noThreeD="1" val="0"/>
</file>

<file path=xl/ctrlProps/ctrlProp59.xml><?xml version="1.0" encoding="utf-8"?>
<formControlPr xmlns="http://schemas.microsoft.com/office/spreadsheetml/2009/9/main" objectType="Drop" dropStyle="combo" dx="16" fmlaLink="$C$33" fmlaRange="Dados!$C$86:$C$129" noThreeD="1" sel="8" val="7"/>
</file>

<file path=xl/ctrlProps/ctrlProp590.xml><?xml version="1.0" encoding="utf-8"?>
<formControlPr xmlns="http://schemas.microsoft.com/office/spreadsheetml/2009/9/main" objectType="Drop" dropStyle="combo" dx="16" fmlaLink="$M$31" fmlaRange="Rebanho!$AH$45:$AH$69" noThreeD="1" val="12"/>
</file>

<file path=xl/ctrlProps/ctrlProp591.xml><?xml version="1.0" encoding="utf-8"?>
<formControlPr xmlns="http://schemas.microsoft.com/office/spreadsheetml/2009/9/main" objectType="Drop" dropStyle="combo" dx="16" fmlaLink="$N$31" fmlaRange="Rebanho!$AH$45:$AH$69" noThreeD="1" val="0"/>
</file>

<file path=xl/ctrlProps/ctrlProp592.xml><?xml version="1.0" encoding="utf-8"?>
<formControlPr xmlns="http://schemas.microsoft.com/office/spreadsheetml/2009/9/main" objectType="Drop" dropStyle="combo" dx="16" fmlaLink="$M$32" fmlaRange="Rebanho!$AH$45:$AH$69" noThreeD="1" val="5"/>
</file>

<file path=xl/ctrlProps/ctrlProp593.xml><?xml version="1.0" encoding="utf-8"?>
<formControlPr xmlns="http://schemas.microsoft.com/office/spreadsheetml/2009/9/main" objectType="Drop" dropStyle="combo" dx="16" fmlaLink="$M$33" fmlaRange="Rebanho!$AH$45:$AH$69" noThreeD="1" val="12"/>
</file>

<file path=xl/ctrlProps/ctrlProp594.xml><?xml version="1.0" encoding="utf-8"?>
<formControlPr xmlns="http://schemas.microsoft.com/office/spreadsheetml/2009/9/main" objectType="Drop" dropStyle="combo" dx="16" fmlaLink="$M$34" fmlaRange="Rebanho!$AH$45:$AH$69" noThreeD="1" val="5"/>
</file>

<file path=xl/ctrlProps/ctrlProp595.xml><?xml version="1.0" encoding="utf-8"?>
<formControlPr xmlns="http://schemas.microsoft.com/office/spreadsheetml/2009/9/main" objectType="Drop" dropStyle="combo" dx="16" fmlaLink="$M$45" fmlaRange="Rebanho!$AG$47:$AG$73" noThreeD="1" val="5"/>
</file>

<file path=xl/ctrlProps/ctrlProp596.xml><?xml version="1.0" encoding="utf-8"?>
<formControlPr xmlns="http://schemas.microsoft.com/office/spreadsheetml/2009/9/main" objectType="Drop" dropStyle="combo" dx="16" fmlaLink="$N$32" fmlaRange="Rebanho!$AH$45:$AH$69" noThreeD="1" val="5"/>
</file>

<file path=xl/ctrlProps/ctrlProp597.xml><?xml version="1.0" encoding="utf-8"?>
<formControlPr xmlns="http://schemas.microsoft.com/office/spreadsheetml/2009/9/main" objectType="Drop" dropStyle="combo" dx="16" fmlaLink="$N$33" fmlaRange="Rebanho!$AH$45:$AH$69" noThreeD="1" val="5"/>
</file>

<file path=xl/ctrlProps/ctrlProp598.xml><?xml version="1.0" encoding="utf-8"?>
<formControlPr xmlns="http://schemas.microsoft.com/office/spreadsheetml/2009/9/main" objectType="Drop" dropStyle="combo" dx="16" fmlaLink="$N$34" fmlaRange="Rebanho!$AH$45:$AH$69" noThreeD="1" val="5"/>
</file>

<file path=xl/ctrlProps/ctrlProp599.xml><?xml version="1.0" encoding="utf-8"?>
<formControlPr xmlns="http://schemas.microsoft.com/office/spreadsheetml/2009/9/main" objectType="Drop" dropStyle="combo" dx="16" fmlaLink="$N$45" fmlaRange="Rebanho!$AG$47:$AG$73" noThreeD="1" val="5"/>
</file>

<file path=xl/ctrlProps/ctrlProp6.xml><?xml version="1.0" encoding="utf-8"?>
<formControlPr xmlns="http://schemas.microsoft.com/office/spreadsheetml/2009/9/main" objectType="Drop" dropStyle="combo" dx="16" fmlaLink="$H$21" fmlaRange="$AD$15:$AD$39" noThreeD="1" val="0"/>
</file>

<file path=xl/ctrlProps/ctrlProp60.xml><?xml version="1.0" encoding="utf-8"?>
<formControlPr xmlns="http://schemas.microsoft.com/office/spreadsheetml/2009/9/main" objectType="Drop" dropStyle="combo" dx="16" fmlaLink="$C$34" fmlaRange="Dados!$C$86:$C$129" noThreeD="1" sel="4" val="0"/>
</file>

<file path=xl/ctrlProps/ctrlProp600.xml><?xml version="1.0" encoding="utf-8"?>
<formControlPr xmlns="http://schemas.microsoft.com/office/spreadsheetml/2009/9/main" objectType="Drop" dropStyle="combo" dx="16" fmlaLink="$L$50" fmlaRange="Rebanho!$AH$45:$AH$69" noThreeD="1" val="5"/>
</file>

<file path=xl/ctrlProps/ctrlProp601.xml><?xml version="1.0" encoding="utf-8"?>
<formControlPr xmlns="http://schemas.microsoft.com/office/spreadsheetml/2009/9/main" objectType="Drop" dropStyle="combo" dx="16" fmlaLink="$M$50" fmlaRange="Rebanho!$AH$45:$AH$69" noThreeD="1" val="5"/>
</file>

<file path=xl/ctrlProps/ctrlProp602.xml><?xml version="1.0" encoding="utf-8"?>
<formControlPr xmlns="http://schemas.microsoft.com/office/spreadsheetml/2009/9/main" objectType="Drop" dropStyle="combo" dx="16" fmlaLink="$L$51" fmlaRange="Rebanho!$AH$45:$AH$69" noThreeD="1" val="5"/>
</file>

<file path=xl/ctrlProps/ctrlProp603.xml><?xml version="1.0" encoding="utf-8"?>
<formControlPr xmlns="http://schemas.microsoft.com/office/spreadsheetml/2009/9/main" objectType="Drop" dropStyle="combo" dx="16" fmlaLink="$L$52" fmlaRange="Rebanho!$AH$45:$AH$69" noThreeD="1" val="5"/>
</file>

<file path=xl/ctrlProps/ctrlProp604.xml><?xml version="1.0" encoding="utf-8"?>
<formControlPr xmlns="http://schemas.microsoft.com/office/spreadsheetml/2009/9/main" objectType="Drop" dropStyle="combo" dx="16" fmlaLink="$L$53" fmlaRange="Rebanho!$AH$45:$AH$69" noThreeD="1" val="5"/>
</file>

<file path=xl/ctrlProps/ctrlProp605.xml><?xml version="1.0" encoding="utf-8"?>
<formControlPr xmlns="http://schemas.microsoft.com/office/spreadsheetml/2009/9/main" objectType="Drop" dropStyle="combo" dx="16" fmlaLink="$L$54" fmlaRange="Rebanho!$AH$45:$AH$69" noThreeD="1" val="5"/>
</file>

<file path=xl/ctrlProps/ctrlProp606.xml><?xml version="1.0" encoding="utf-8"?>
<formControlPr xmlns="http://schemas.microsoft.com/office/spreadsheetml/2009/9/main" objectType="Drop" dropStyle="combo" dx="16" fmlaLink="$M$51" fmlaRange="Rebanho!$AH$45:$AH$69" noThreeD="1" val="5"/>
</file>

<file path=xl/ctrlProps/ctrlProp607.xml><?xml version="1.0" encoding="utf-8"?>
<formControlPr xmlns="http://schemas.microsoft.com/office/spreadsheetml/2009/9/main" objectType="Drop" dropStyle="combo" dx="16" fmlaLink="$M$52" fmlaRange="Rebanho!$AH$45:$AH$69" noThreeD="1" val="12"/>
</file>

<file path=xl/ctrlProps/ctrlProp608.xml><?xml version="1.0" encoding="utf-8"?>
<formControlPr xmlns="http://schemas.microsoft.com/office/spreadsheetml/2009/9/main" objectType="Drop" dropStyle="combo" dx="16" fmlaLink="$M$53" fmlaRange="Rebanho!$AH$45:$AH$69" noThreeD="1" val="5"/>
</file>

<file path=xl/ctrlProps/ctrlProp609.xml><?xml version="1.0" encoding="utf-8"?>
<formControlPr xmlns="http://schemas.microsoft.com/office/spreadsheetml/2009/9/main" objectType="Drop" dropStyle="combo" dx="16" fmlaLink="$M$54" fmlaRange="Rebanho!$AH$45:$AH$69" noThreeD="1" val="5"/>
</file>

<file path=xl/ctrlProps/ctrlProp61.xml><?xml version="1.0" encoding="utf-8"?>
<formControlPr xmlns="http://schemas.microsoft.com/office/spreadsheetml/2009/9/main" objectType="Drop" dropStyle="combo" dx="16" fmlaLink="$C$35" fmlaRange="Dados!$C$86:$C$129" noThreeD="1" val="0"/>
</file>

<file path=xl/ctrlProps/ctrlProp610.xml><?xml version="1.0" encoding="utf-8"?>
<formControlPr xmlns="http://schemas.microsoft.com/office/spreadsheetml/2009/9/main" objectType="Drop" dropStyle="combo" dx="16" fmlaLink="$M$35" fmlaRange="Rebanho!$AH$45:$AH$69" noThreeD="1" val="5"/>
</file>

<file path=xl/ctrlProps/ctrlProp611.xml><?xml version="1.0" encoding="utf-8"?>
<formControlPr xmlns="http://schemas.microsoft.com/office/spreadsheetml/2009/9/main" objectType="Drop" dropStyle="combo" dx="16" fmlaLink="$N$35" fmlaRange="Rebanho!$AH$45:$AH$69" noThreeD="1" val="5"/>
</file>

<file path=xl/ctrlProps/ctrlProp612.xml><?xml version="1.0" encoding="utf-8"?>
<formControlPr xmlns="http://schemas.microsoft.com/office/spreadsheetml/2009/9/main" objectType="Drop" dropStyle="combo" dx="16" fmlaLink="$M$36" fmlaRange="Rebanho!$AH$45:$AH$69" noThreeD="1" val="5"/>
</file>

<file path=xl/ctrlProps/ctrlProp613.xml><?xml version="1.0" encoding="utf-8"?>
<formControlPr xmlns="http://schemas.microsoft.com/office/spreadsheetml/2009/9/main" objectType="Drop" dropStyle="combo" dx="16" fmlaLink="$N$36" fmlaRange="Rebanho!$AH$45:$AH$69" noThreeD="1" val="5"/>
</file>

<file path=xl/ctrlProps/ctrlProp614.xml><?xml version="1.0" encoding="utf-8"?>
<formControlPr xmlns="http://schemas.microsoft.com/office/spreadsheetml/2009/9/main" objectType="Drop" dropStyle="combo" dx="16" fmlaLink="$M$37" fmlaRange="Rebanho!$AH$45:$AH$69" noThreeD="1" val="5"/>
</file>

<file path=xl/ctrlProps/ctrlProp615.xml><?xml version="1.0" encoding="utf-8"?>
<formControlPr xmlns="http://schemas.microsoft.com/office/spreadsheetml/2009/9/main" objectType="Drop" dropStyle="combo" dx="16" fmlaLink="$N$37" fmlaRange="Rebanho!$AH$45:$AH$69" noThreeD="1" val="5"/>
</file>

<file path=xl/ctrlProps/ctrlProp616.xml><?xml version="1.0" encoding="utf-8"?>
<formControlPr xmlns="http://schemas.microsoft.com/office/spreadsheetml/2009/9/main" objectType="Drop" dropStyle="combo" dx="16" fmlaLink="$M$38" fmlaRange="Rebanho!$AH$45:$AH$69" noThreeD="1" val="5"/>
</file>

<file path=xl/ctrlProps/ctrlProp617.xml><?xml version="1.0" encoding="utf-8"?>
<formControlPr xmlns="http://schemas.microsoft.com/office/spreadsheetml/2009/9/main" objectType="Drop" dropStyle="combo" dx="16" fmlaLink="$N$38" fmlaRange="Rebanho!$AH$45:$AH$69" noThreeD="1" val="5"/>
</file>

<file path=xl/ctrlProps/ctrlProp618.xml><?xml version="1.0" encoding="utf-8"?>
<formControlPr xmlns="http://schemas.microsoft.com/office/spreadsheetml/2009/9/main" objectType="Drop" dropStyle="combo" dx="16" fmlaLink="$M$39" fmlaRange="Rebanho!$AH$45:$AH$69" noThreeD="1" val="5"/>
</file>

<file path=xl/ctrlProps/ctrlProp619.xml><?xml version="1.0" encoding="utf-8"?>
<formControlPr xmlns="http://schemas.microsoft.com/office/spreadsheetml/2009/9/main" objectType="Drop" dropStyle="combo" dx="16" fmlaLink="$N$39" fmlaRange="Rebanho!$AH$45:$AH$69" noThreeD="1" val="5"/>
</file>

<file path=xl/ctrlProps/ctrlProp62.xml><?xml version="1.0" encoding="utf-8"?>
<formControlPr xmlns="http://schemas.microsoft.com/office/spreadsheetml/2009/9/main" objectType="Drop" dropStyle="combo" dx="16" fmlaLink="$C$36" fmlaRange="Dados!$C$86:$C$129" noThreeD="1" val="0"/>
</file>

<file path=xl/ctrlProps/ctrlProp620.xml><?xml version="1.0" encoding="utf-8"?>
<formControlPr xmlns="http://schemas.microsoft.com/office/spreadsheetml/2009/9/main" objectType="Drop" dropStyle="combo" dx="16" fmlaLink="$M$45" fmlaRange="Rebanho!$AH$45:$AH$69" noThreeD="1" val="5"/>
</file>

<file path=xl/ctrlProps/ctrlProp621.xml><?xml version="1.0" encoding="utf-8"?>
<formControlPr xmlns="http://schemas.microsoft.com/office/spreadsheetml/2009/9/main" objectType="Drop" dropStyle="combo" dx="16" fmlaLink="$N$45" fmlaRange="Rebanho!$AH$45:$AH$69" noThreeD="1" val="5"/>
</file>

<file path=xl/ctrlProps/ctrlProp622.xml><?xml version="1.0" encoding="utf-8"?>
<formControlPr xmlns="http://schemas.microsoft.com/office/spreadsheetml/2009/9/main" objectType="Drop" dropStyle="combo" dx="16" fmlaLink="$D$21" fmlaRange="Inventário!$AB$32:$AB$42" noThreeD="1" val="0"/>
</file>

<file path=xl/ctrlProps/ctrlProp623.xml><?xml version="1.0" encoding="utf-8"?>
<formControlPr xmlns="http://schemas.microsoft.com/office/spreadsheetml/2009/9/main" objectType="Drop" dropStyle="combo" dx="16" fmlaLink="$E$21" fmlaRange="Inventário!$AB$51:$AB$71" noThreeD="1" val="0"/>
</file>

<file path=xl/ctrlProps/ctrlProp624.xml><?xml version="1.0" encoding="utf-8"?>
<formControlPr xmlns="http://schemas.microsoft.com/office/spreadsheetml/2009/9/main" objectType="Drop" dropStyle="combo" dx="16" fmlaLink="$P$21" fmlaRange="Rebanho!$AH$45:$AH$69" noThreeD="1" val="0"/>
</file>

<file path=xl/ctrlProps/ctrlProp625.xml><?xml version="1.0" encoding="utf-8"?>
<formControlPr xmlns="http://schemas.microsoft.com/office/spreadsheetml/2009/9/main" objectType="Drop" dropStyle="combo" dx="16" fmlaLink="$Q$21" fmlaRange="Rebanho!$AH$45:$AH$69" noThreeD="1" val="0"/>
</file>

<file path=xl/ctrlProps/ctrlProp626.xml><?xml version="1.0" encoding="utf-8"?>
<formControlPr xmlns="http://schemas.microsoft.com/office/spreadsheetml/2009/9/main" objectType="Drop" dropStyle="combo" dx="16" fmlaLink="$D$22" fmlaRange="Inventário!$AB$32:$AB$42" noThreeD="1" val="0"/>
</file>

<file path=xl/ctrlProps/ctrlProp627.xml><?xml version="1.0" encoding="utf-8"?>
<formControlPr xmlns="http://schemas.microsoft.com/office/spreadsheetml/2009/9/main" objectType="Drop" dropStyle="combo" dx="16" fmlaLink="$E$22" fmlaRange="Inventário!$AB$51:$AB$71" noThreeD="1" val="0"/>
</file>

<file path=xl/ctrlProps/ctrlProp628.xml><?xml version="1.0" encoding="utf-8"?>
<formControlPr xmlns="http://schemas.microsoft.com/office/spreadsheetml/2009/9/main" objectType="Drop" dropStyle="combo" dx="16" fmlaLink="$P$22" fmlaRange="Rebanho!$AH$45:$AH$69" noThreeD="1" val="0"/>
</file>

<file path=xl/ctrlProps/ctrlProp629.xml><?xml version="1.0" encoding="utf-8"?>
<formControlPr xmlns="http://schemas.microsoft.com/office/spreadsheetml/2009/9/main" objectType="Drop" dropStyle="combo" dx="16" fmlaLink="$Q$22" fmlaRange="Rebanho!$AH$45:$AH$69" noThreeD="1" val="0"/>
</file>

<file path=xl/ctrlProps/ctrlProp63.xml><?xml version="1.0" encoding="utf-8"?>
<formControlPr xmlns="http://schemas.microsoft.com/office/spreadsheetml/2009/9/main" objectType="Drop" dropStyle="combo" dx="16" fmlaLink="$C$37" fmlaRange="Dados!$C$86:$C$129" noThreeD="1" val="0"/>
</file>

<file path=xl/ctrlProps/ctrlProp630.xml><?xml version="1.0" encoding="utf-8"?>
<formControlPr xmlns="http://schemas.microsoft.com/office/spreadsheetml/2009/9/main" objectType="Drop" dropStyle="combo" dx="16" fmlaLink="$D$23" fmlaRange="Inventário!$AB$32:$AB$42" noThreeD="1" val="0"/>
</file>

<file path=xl/ctrlProps/ctrlProp631.xml><?xml version="1.0" encoding="utf-8"?>
<formControlPr xmlns="http://schemas.microsoft.com/office/spreadsheetml/2009/9/main" objectType="Drop" dropStyle="combo" dx="16" fmlaLink="$E$23" fmlaRange="Inventário!$AB$51:$AB$71" noThreeD="1" val="0"/>
</file>

<file path=xl/ctrlProps/ctrlProp632.xml><?xml version="1.0" encoding="utf-8"?>
<formControlPr xmlns="http://schemas.microsoft.com/office/spreadsheetml/2009/9/main" objectType="Drop" dropStyle="combo" dx="16" fmlaLink="$P$23" fmlaRange="Rebanho!$AH$45:$AH$69" noThreeD="1" val="0"/>
</file>

<file path=xl/ctrlProps/ctrlProp633.xml><?xml version="1.0" encoding="utf-8"?>
<formControlPr xmlns="http://schemas.microsoft.com/office/spreadsheetml/2009/9/main" objectType="Drop" dropStyle="combo" dx="16" fmlaLink="$Q$23" fmlaRange="Rebanho!$AH$45:$AH$69" noThreeD="1" val="0"/>
</file>

<file path=xl/ctrlProps/ctrlProp634.xml><?xml version="1.0" encoding="utf-8"?>
<formControlPr xmlns="http://schemas.microsoft.com/office/spreadsheetml/2009/9/main" objectType="Drop" dropStyle="combo" dx="16" fmlaLink="$D$24" fmlaRange="Inventário!$AB$32:$AB$42" noThreeD="1" val="0"/>
</file>

<file path=xl/ctrlProps/ctrlProp635.xml><?xml version="1.0" encoding="utf-8"?>
<formControlPr xmlns="http://schemas.microsoft.com/office/spreadsheetml/2009/9/main" objectType="Drop" dropStyle="combo" dx="16" fmlaLink="$E$24" fmlaRange="Inventário!$AB$51:$AB$71" noThreeD="1" val="0"/>
</file>

<file path=xl/ctrlProps/ctrlProp636.xml><?xml version="1.0" encoding="utf-8"?>
<formControlPr xmlns="http://schemas.microsoft.com/office/spreadsheetml/2009/9/main" objectType="Drop" dropStyle="combo" dx="16" fmlaLink="$P$24" fmlaRange="Rebanho!$AH$45:$AH$69" noThreeD="1" val="0"/>
</file>

<file path=xl/ctrlProps/ctrlProp637.xml><?xml version="1.0" encoding="utf-8"?>
<formControlPr xmlns="http://schemas.microsoft.com/office/spreadsheetml/2009/9/main" objectType="Drop" dropStyle="combo" dx="16" fmlaLink="$Q$24" fmlaRange="Rebanho!$AH$45:$AH$69" noThreeD="1" val="0"/>
</file>

<file path=xl/ctrlProps/ctrlProp638.xml><?xml version="1.0" encoding="utf-8"?>
<formControlPr xmlns="http://schemas.microsoft.com/office/spreadsheetml/2009/9/main" objectType="Drop" dropStyle="combo" dx="16" fmlaLink="$D$25" fmlaRange="Inventário!$AB$32:$AB$42" noThreeD="1" val="0"/>
</file>

<file path=xl/ctrlProps/ctrlProp639.xml><?xml version="1.0" encoding="utf-8"?>
<formControlPr xmlns="http://schemas.microsoft.com/office/spreadsheetml/2009/9/main" objectType="Drop" dropStyle="combo" dx="16" fmlaLink="$E$25" fmlaRange="Inventário!$AB$51:$AB$71" noThreeD="1" val="0"/>
</file>

<file path=xl/ctrlProps/ctrlProp64.xml><?xml version="1.0" encoding="utf-8"?>
<formControlPr xmlns="http://schemas.microsoft.com/office/spreadsheetml/2009/9/main" objectType="Drop" dropStyle="combo" dx="16" fmlaLink="$C$38" fmlaRange="Dados!$C$86:$C$129" noThreeD="1" val="0"/>
</file>

<file path=xl/ctrlProps/ctrlProp640.xml><?xml version="1.0" encoding="utf-8"?>
<formControlPr xmlns="http://schemas.microsoft.com/office/spreadsheetml/2009/9/main" objectType="Drop" dropStyle="combo" dx="16" fmlaLink="$P$25" fmlaRange="Rebanho!$AH$45:$AH$69" noThreeD="1" val="0"/>
</file>

<file path=xl/ctrlProps/ctrlProp641.xml><?xml version="1.0" encoding="utf-8"?>
<formControlPr xmlns="http://schemas.microsoft.com/office/spreadsheetml/2009/9/main" objectType="Drop" dropStyle="combo" dx="16" fmlaLink="$Q$25" fmlaRange="Rebanho!$AH$45:$AH$69" noThreeD="1" val="0"/>
</file>

<file path=xl/ctrlProps/ctrlProp642.xml><?xml version="1.0" encoding="utf-8"?>
<formControlPr xmlns="http://schemas.microsoft.com/office/spreadsheetml/2009/9/main" objectType="Drop" dropStyle="combo" dx="16" fmlaLink="$D$16" fmlaRange="Inventário!$AB$32:$AB$42" noThreeD="1" val="0"/>
</file>

<file path=xl/ctrlProps/ctrlProp643.xml><?xml version="1.0" encoding="utf-8"?>
<formControlPr xmlns="http://schemas.microsoft.com/office/spreadsheetml/2009/9/main" objectType="Drop" dropStyle="combo" dx="16" fmlaLink="$E$16" fmlaRange="Inventário!$AB$51:$AB$71" noThreeD="1" val="0"/>
</file>

<file path=xl/ctrlProps/ctrlProp644.xml><?xml version="1.0" encoding="utf-8"?>
<formControlPr xmlns="http://schemas.microsoft.com/office/spreadsheetml/2009/9/main" objectType="Drop" dropStyle="combo" dx="16" fmlaLink="$P$16" fmlaRange="Rebanho!$AH$45:$AH$69" noThreeD="1" val="0"/>
</file>

<file path=xl/ctrlProps/ctrlProp645.xml><?xml version="1.0" encoding="utf-8"?>
<formControlPr xmlns="http://schemas.microsoft.com/office/spreadsheetml/2009/9/main" objectType="Drop" dropStyle="combo" dx="16" fmlaLink="$Q$16" fmlaRange="Rebanho!$AH$45:$AH$69" noThreeD="1" val="0"/>
</file>

<file path=xl/ctrlProps/ctrlProp646.xml><?xml version="1.0" encoding="utf-8"?>
<formControlPr xmlns="http://schemas.microsoft.com/office/spreadsheetml/2009/9/main" objectType="Drop" dropStyle="combo" dx="16" fmlaLink="$D$17" fmlaRange="Inventário!$AB$32:$AB$42" noThreeD="1" val="0"/>
</file>

<file path=xl/ctrlProps/ctrlProp647.xml><?xml version="1.0" encoding="utf-8"?>
<formControlPr xmlns="http://schemas.microsoft.com/office/spreadsheetml/2009/9/main" objectType="Drop" dropStyle="combo" dx="16" fmlaLink="$E$17" fmlaRange="Inventário!$AB$51:$AB$71" noThreeD="1" val="0"/>
</file>

<file path=xl/ctrlProps/ctrlProp648.xml><?xml version="1.0" encoding="utf-8"?>
<formControlPr xmlns="http://schemas.microsoft.com/office/spreadsheetml/2009/9/main" objectType="Drop" dropStyle="combo" dx="16" fmlaLink="$P$17" fmlaRange="Rebanho!$AH$45:$AH$69" noThreeD="1" val="0"/>
</file>

<file path=xl/ctrlProps/ctrlProp649.xml><?xml version="1.0" encoding="utf-8"?>
<formControlPr xmlns="http://schemas.microsoft.com/office/spreadsheetml/2009/9/main" objectType="Drop" dropStyle="combo" dx="16" fmlaLink="$Q$17" fmlaRange="Rebanho!$AH$45:$AH$69" noThreeD="1" val="0"/>
</file>

<file path=xl/ctrlProps/ctrlProp65.xml><?xml version="1.0" encoding="utf-8"?>
<formControlPr xmlns="http://schemas.microsoft.com/office/spreadsheetml/2009/9/main" objectType="Drop" dropStyle="combo" dx="16" fmlaLink="$C$39" fmlaRange="Dados!$C$86:$C$129" noThreeD="1" val="0"/>
</file>

<file path=xl/ctrlProps/ctrlProp650.xml><?xml version="1.0" encoding="utf-8"?>
<formControlPr xmlns="http://schemas.microsoft.com/office/spreadsheetml/2009/9/main" objectType="Drop" dropStyle="combo" dx="16" fmlaLink="$D$18" fmlaRange="Inventário!$AB$32:$AB$42" noThreeD="1" val="0"/>
</file>

<file path=xl/ctrlProps/ctrlProp651.xml><?xml version="1.0" encoding="utf-8"?>
<formControlPr xmlns="http://schemas.microsoft.com/office/spreadsheetml/2009/9/main" objectType="Drop" dropStyle="combo" dx="16" fmlaLink="$E$18" fmlaRange="Inventário!$AB$51:$AB$71" noThreeD="1" val="0"/>
</file>

<file path=xl/ctrlProps/ctrlProp652.xml><?xml version="1.0" encoding="utf-8"?>
<formControlPr xmlns="http://schemas.microsoft.com/office/spreadsheetml/2009/9/main" objectType="Drop" dropStyle="combo" dx="16" fmlaLink="$P$18" fmlaRange="Rebanho!$AH$45:$AH$69" noThreeD="1" val="0"/>
</file>

<file path=xl/ctrlProps/ctrlProp653.xml><?xml version="1.0" encoding="utf-8"?>
<formControlPr xmlns="http://schemas.microsoft.com/office/spreadsheetml/2009/9/main" objectType="Drop" dropStyle="combo" dx="16" fmlaLink="$Q$18" fmlaRange="Rebanho!$AH$45:$AH$69" noThreeD="1" val="0"/>
</file>

<file path=xl/ctrlProps/ctrlProp654.xml><?xml version="1.0" encoding="utf-8"?>
<formControlPr xmlns="http://schemas.microsoft.com/office/spreadsheetml/2009/9/main" objectType="Drop" dropStyle="combo" dx="16" fmlaLink="$D$19" fmlaRange="Inventário!$AB$32:$AB$42" noThreeD="1" val="0"/>
</file>

<file path=xl/ctrlProps/ctrlProp655.xml><?xml version="1.0" encoding="utf-8"?>
<formControlPr xmlns="http://schemas.microsoft.com/office/spreadsheetml/2009/9/main" objectType="Drop" dropStyle="combo" dx="16" fmlaLink="$E$19" fmlaRange="Inventário!$AB$51:$AB$71" noThreeD="1" val="0"/>
</file>

<file path=xl/ctrlProps/ctrlProp656.xml><?xml version="1.0" encoding="utf-8"?>
<formControlPr xmlns="http://schemas.microsoft.com/office/spreadsheetml/2009/9/main" objectType="Drop" dropStyle="combo" dx="16" fmlaLink="$P$19" fmlaRange="Rebanho!$AH$45:$AH$69" noThreeD="1" val="0"/>
</file>

<file path=xl/ctrlProps/ctrlProp657.xml><?xml version="1.0" encoding="utf-8"?>
<formControlPr xmlns="http://schemas.microsoft.com/office/spreadsheetml/2009/9/main" objectType="Drop" dropStyle="combo" dx="16" fmlaLink="$Q$19" fmlaRange="Rebanho!$AH$45:$AH$69" noThreeD="1" val="0"/>
</file>

<file path=xl/ctrlProps/ctrlProp658.xml><?xml version="1.0" encoding="utf-8"?>
<formControlPr xmlns="http://schemas.microsoft.com/office/spreadsheetml/2009/9/main" objectType="Drop" dropStyle="combo" dx="16" fmlaLink="$D$20" fmlaRange="Inventário!$AB$32:$AB$42" noThreeD="1" val="0"/>
</file>

<file path=xl/ctrlProps/ctrlProp659.xml><?xml version="1.0" encoding="utf-8"?>
<formControlPr xmlns="http://schemas.microsoft.com/office/spreadsheetml/2009/9/main" objectType="Drop" dropStyle="combo" dx="16" fmlaLink="$E$20" fmlaRange="Inventário!$AB$51:$AB$71" noThreeD="1" val="0"/>
</file>

<file path=xl/ctrlProps/ctrlProp66.xml><?xml version="1.0" encoding="utf-8"?>
<formControlPr xmlns="http://schemas.microsoft.com/office/spreadsheetml/2009/9/main" objectType="Drop" dropStyle="combo" dx="16" fmlaLink="$C$40" fmlaRange="Dados!$C$86:$C$129" noThreeD="1" val="0"/>
</file>

<file path=xl/ctrlProps/ctrlProp660.xml><?xml version="1.0" encoding="utf-8"?>
<formControlPr xmlns="http://schemas.microsoft.com/office/spreadsheetml/2009/9/main" objectType="Drop" dropStyle="combo" dx="16" fmlaLink="$P$20" fmlaRange="Rebanho!$AH$45:$AH$69" noThreeD="1" val="0"/>
</file>

<file path=xl/ctrlProps/ctrlProp661.xml><?xml version="1.0" encoding="utf-8"?>
<formControlPr xmlns="http://schemas.microsoft.com/office/spreadsheetml/2009/9/main" objectType="Drop" dropStyle="combo" dx="16" fmlaLink="$Q$20" fmlaRange="Rebanho!$AH$45:$AH$69" noThreeD="1" val="0"/>
</file>

<file path=xl/ctrlProps/ctrlProp662.xml><?xml version="1.0" encoding="utf-8"?>
<formControlPr xmlns="http://schemas.microsoft.com/office/spreadsheetml/2009/9/main" objectType="Drop" dropStyle="combo" dx="16" fmlaLink="$M$40" fmlaRange="Rebanho!$AH$45:$AH$69" noThreeD="1" val="5"/>
</file>

<file path=xl/ctrlProps/ctrlProp663.xml><?xml version="1.0" encoding="utf-8"?>
<formControlPr xmlns="http://schemas.microsoft.com/office/spreadsheetml/2009/9/main" objectType="Drop" dropStyle="combo" dx="16" fmlaLink="$N$40" fmlaRange="Rebanho!$AH$45:$AH$69" noThreeD="1" val="5"/>
</file>

<file path=xl/ctrlProps/ctrlProp664.xml><?xml version="1.0" encoding="utf-8"?>
<formControlPr xmlns="http://schemas.microsoft.com/office/spreadsheetml/2009/9/main" objectType="Drop" dropStyle="combo" dx="16" fmlaLink="$M$41" fmlaRange="Rebanho!$AH$45:$AH$69" noThreeD="1" val="5"/>
</file>

<file path=xl/ctrlProps/ctrlProp665.xml><?xml version="1.0" encoding="utf-8"?>
<formControlPr xmlns="http://schemas.microsoft.com/office/spreadsheetml/2009/9/main" objectType="Drop" dropStyle="combo" dx="16" fmlaLink="$N$41" fmlaRange="Rebanho!$AH$45:$AH$69" noThreeD="1" val="5"/>
</file>

<file path=xl/ctrlProps/ctrlProp666.xml><?xml version="1.0" encoding="utf-8"?>
<formControlPr xmlns="http://schemas.microsoft.com/office/spreadsheetml/2009/9/main" objectType="Drop" dropStyle="combo" dx="16" fmlaLink="$M$42" fmlaRange="Rebanho!$AH$45:$AH$69" noThreeD="1" val="5"/>
</file>

<file path=xl/ctrlProps/ctrlProp667.xml><?xml version="1.0" encoding="utf-8"?>
<formControlPr xmlns="http://schemas.microsoft.com/office/spreadsheetml/2009/9/main" objectType="Drop" dropStyle="combo" dx="16" fmlaLink="$N$42" fmlaRange="Rebanho!$AH$45:$AH$69" noThreeD="1" val="5"/>
</file>

<file path=xl/ctrlProps/ctrlProp668.xml><?xml version="1.0" encoding="utf-8"?>
<formControlPr xmlns="http://schemas.microsoft.com/office/spreadsheetml/2009/9/main" objectType="Drop" dropStyle="combo" dx="16" fmlaLink="$M$43" fmlaRange="Rebanho!$AH$45:$AH$69" noThreeD="1" val="5"/>
</file>

<file path=xl/ctrlProps/ctrlProp669.xml><?xml version="1.0" encoding="utf-8"?>
<formControlPr xmlns="http://schemas.microsoft.com/office/spreadsheetml/2009/9/main" objectType="Drop" dropStyle="combo" dx="16" fmlaLink="$N$43" fmlaRange="Rebanho!$AH$45:$AH$69" noThreeD="1" val="5"/>
</file>

<file path=xl/ctrlProps/ctrlProp67.xml><?xml version="1.0" encoding="utf-8"?>
<formControlPr xmlns="http://schemas.microsoft.com/office/spreadsheetml/2009/9/main" objectType="Drop" dropStyle="combo" dx="16" fmlaLink="$C$41" fmlaRange="Dados!$C$86:$C$129" noThreeD="1" val="0"/>
</file>

<file path=xl/ctrlProps/ctrlProp670.xml><?xml version="1.0" encoding="utf-8"?>
<formControlPr xmlns="http://schemas.microsoft.com/office/spreadsheetml/2009/9/main" objectType="Drop" dropStyle="combo" dx="16" fmlaLink="$M$44" fmlaRange="Rebanho!$AH$45:$AH$69" noThreeD="1" val="5"/>
</file>

<file path=xl/ctrlProps/ctrlProp671.xml><?xml version="1.0" encoding="utf-8"?>
<formControlPr xmlns="http://schemas.microsoft.com/office/spreadsheetml/2009/9/main" objectType="Drop" dropStyle="combo" dx="16" fmlaLink="$N$44" fmlaRange="Rebanho!$AH$45:$AH$69" noThreeD="1" val="5"/>
</file>

<file path=xl/ctrlProps/ctrlProp672.xml><?xml version="1.0" encoding="utf-8"?>
<formControlPr xmlns="http://schemas.microsoft.com/office/spreadsheetml/2009/9/main" objectType="Drop" dropStyle="combo" dx="16" fmlaLink="$D$66" fmlaRange="Inventário!$AB$32:$AB$42" noThreeD="1" val="0"/>
</file>

<file path=xl/ctrlProps/ctrlProp673.xml><?xml version="1.0" encoding="utf-8"?>
<formControlPr xmlns="http://schemas.microsoft.com/office/spreadsheetml/2009/9/main" objectType="Drop" dropStyle="combo" dx="16" fmlaLink="$E$66" fmlaRange="Inventário!$AB$51:$AB$71" noThreeD="1" val="0"/>
</file>

<file path=xl/ctrlProps/ctrlProp674.xml><?xml version="1.0" encoding="utf-8"?>
<formControlPr xmlns="http://schemas.microsoft.com/office/spreadsheetml/2009/9/main" objectType="Drop" dropStyle="combo" dx="16" fmlaLink="$P$66" fmlaRange="Rebanho!$AH$45:$AH$69" noThreeD="1" val="5"/>
</file>

<file path=xl/ctrlProps/ctrlProp675.xml><?xml version="1.0" encoding="utf-8"?>
<formControlPr xmlns="http://schemas.microsoft.com/office/spreadsheetml/2009/9/main" objectType="Drop" dropStyle="combo" dx="16" fmlaLink="$Q$66" fmlaRange="Rebanho!$AH$45:$AH$69" noThreeD="1" val="5"/>
</file>

<file path=xl/ctrlProps/ctrlProp676.xml><?xml version="1.0" encoding="utf-8"?>
<formControlPr xmlns="http://schemas.microsoft.com/office/spreadsheetml/2009/9/main" objectType="Drop" dropStyle="combo" dx="16" fmlaLink="$D$67" fmlaRange="Inventário!$AB$32:$AB$42" noThreeD="1" val="0"/>
</file>

<file path=xl/ctrlProps/ctrlProp677.xml><?xml version="1.0" encoding="utf-8"?>
<formControlPr xmlns="http://schemas.microsoft.com/office/spreadsheetml/2009/9/main" objectType="Drop" dropStyle="combo" dx="16" fmlaLink="$E$67" fmlaRange="Inventário!$AB$51:$AB$71" noThreeD="1" val="0"/>
</file>

<file path=xl/ctrlProps/ctrlProp678.xml><?xml version="1.0" encoding="utf-8"?>
<formControlPr xmlns="http://schemas.microsoft.com/office/spreadsheetml/2009/9/main" objectType="Drop" dropStyle="combo" dx="16" fmlaLink="$P$67" fmlaRange="Rebanho!$AH$45:$AH$69" noThreeD="1" val="5"/>
</file>

<file path=xl/ctrlProps/ctrlProp679.xml><?xml version="1.0" encoding="utf-8"?>
<formControlPr xmlns="http://schemas.microsoft.com/office/spreadsheetml/2009/9/main" objectType="Drop" dropStyle="combo" dx="16" fmlaLink="$Q$67" fmlaRange="Rebanho!$AH$45:$AH$69" noThreeD="1" val="5"/>
</file>

<file path=xl/ctrlProps/ctrlProp68.xml><?xml version="1.0" encoding="utf-8"?>
<formControlPr xmlns="http://schemas.microsoft.com/office/spreadsheetml/2009/9/main" objectType="Drop" dropStyle="combo" dx="16" fmlaLink="$C$42" fmlaRange="Dados!$C$86:$C$129" noThreeD="1" val="0"/>
</file>

<file path=xl/ctrlProps/ctrlProp680.xml><?xml version="1.0" encoding="utf-8"?>
<formControlPr xmlns="http://schemas.microsoft.com/office/spreadsheetml/2009/9/main" objectType="Drop" dropStyle="combo" dx="16" fmlaLink="$D$68" fmlaRange="Inventário!$AB$32:$AB$42" noThreeD="1" val="0"/>
</file>

<file path=xl/ctrlProps/ctrlProp681.xml><?xml version="1.0" encoding="utf-8"?>
<formControlPr xmlns="http://schemas.microsoft.com/office/spreadsheetml/2009/9/main" objectType="Drop" dropStyle="combo" dx="16" fmlaLink="$E$68" fmlaRange="Inventário!$AB$51:$AB$71" noThreeD="1" val="0"/>
</file>

<file path=xl/ctrlProps/ctrlProp682.xml><?xml version="1.0" encoding="utf-8"?>
<formControlPr xmlns="http://schemas.microsoft.com/office/spreadsheetml/2009/9/main" objectType="Drop" dropStyle="combo" dx="16" fmlaLink="$P$68" fmlaRange="Rebanho!$AH$45:$AH$69" noThreeD="1" val="5"/>
</file>

<file path=xl/ctrlProps/ctrlProp683.xml><?xml version="1.0" encoding="utf-8"?>
<formControlPr xmlns="http://schemas.microsoft.com/office/spreadsheetml/2009/9/main" objectType="Drop" dropStyle="combo" dx="16" fmlaLink="$Q$68" fmlaRange="Rebanho!$AH$45:$AH$69" noThreeD="1" val="5"/>
</file>

<file path=xl/ctrlProps/ctrlProp684.xml><?xml version="1.0" encoding="utf-8"?>
<formControlPr xmlns="http://schemas.microsoft.com/office/spreadsheetml/2009/9/main" objectType="Drop" dropStyle="combo" dx="16" fmlaLink="$D$69" fmlaRange="Inventário!$AB$32:$AB$42" noThreeD="1" val="0"/>
</file>

<file path=xl/ctrlProps/ctrlProp685.xml><?xml version="1.0" encoding="utf-8"?>
<formControlPr xmlns="http://schemas.microsoft.com/office/spreadsheetml/2009/9/main" objectType="Drop" dropStyle="combo" dx="16" fmlaLink="$E$69" fmlaRange="Inventário!$AB$51:$AB$71" noThreeD="1" val="0"/>
</file>

<file path=xl/ctrlProps/ctrlProp686.xml><?xml version="1.0" encoding="utf-8"?>
<formControlPr xmlns="http://schemas.microsoft.com/office/spreadsheetml/2009/9/main" objectType="Drop" dropStyle="combo" dx="16" fmlaLink="$P$69" fmlaRange="Rebanho!$AH$45:$AH$69" noThreeD="1" val="5"/>
</file>

<file path=xl/ctrlProps/ctrlProp687.xml><?xml version="1.0" encoding="utf-8"?>
<formControlPr xmlns="http://schemas.microsoft.com/office/spreadsheetml/2009/9/main" objectType="Drop" dropStyle="combo" dx="16" fmlaLink="$Q$69" fmlaRange="Rebanho!$AH$45:$AH$69" noThreeD="1" val="5"/>
</file>

<file path=xl/ctrlProps/ctrlProp688.xml><?xml version="1.0" encoding="utf-8"?>
<formControlPr xmlns="http://schemas.microsoft.com/office/spreadsheetml/2009/9/main" objectType="Drop" dropStyle="combo" dx="16" fmlaLink="$D$70" fmlaRange="Inventário!$AB$32:$AB$42" noThreeD="1" val="0"/>
</file>

<file path=xl/ctrlProps/ctrlProp689.xml><?xml version="1.0" encoding="utf-8"?>
<formControlPr xmlns="http://schemas.microsoft.com/office/spreadsheetml/2009/9/main" objectType="Drop" dropStyle="combo" dx="16" fmlaLink="$E$70" fmlaRange="Inventário!$AB$51:$AB$71" noThreeD="1" val="0"/>
</file>

<file path=xl/ctrlProps/ctrlProp69.xml><?xml version="1.0" encoding="utf-8"?>
<formControlPr xmlns="http://schemas.microsoft.com/office/spreadsheetml/2009/9/main" objectType="Drop" dropStyle="combo" dx="16" fmlaLink="$H$33" fmlaRange="$AB$8:$AB$12" noThreeD="1" val="0"/>
</file>

<file path=xl/ctrlProps/ctrlProp690.xml><?xml version="1.0" encoding="utf-8"?>
<formControlPr xmlns="http://schemas.microsoft.com/office/spreadsheetml/2009/9/main" objectType="Drop" dropStyle="combo" dx="16" fmlaLink="$P$70" fmlaRange="Rebanho!$AH$45:$AH$69" noThreeD="1" val="5"/>
</file>

<file path=xl/ctrlProps/ctrlProp691.xml><?xml version="1.0" encoding="utf-8"?>
<formControlPr xmlns="http://schemas.microsoft.com/office/spreadsheetml/2009/9/main" objectType="Drop" dropStyle="combo" dx="16" fmlaLink="$Q$70" fmlaRange="Rebanho!$AH$45:$AH$69" noThreeD="1" val="5"/>
</file>

<file path=xl/ctrlProps/ctrlProp692.xml><?xml version="1.0" encoding="utf-8"?>
<formControlPr xmlns="http://schemas.microsoft.com/office/spreadsheetml/2009/9/main" objectType="Drop" dropStyle="combo" dx="16" fmlaLink="$M$78" fmlaRange="Rebanho!$AH$45:$AH$69" noThreeD="1" val="12"/>
</file>

<file path=xl/ctrlProps/ctrlProp693.xml><?xml version="1.0" encoding="utf-8"?>
<formControlPr xmlns="http://schemas.microsoft.com/office/spreadsheetml/2009/9/main" objectType="Drop" dropStyle="combo" dx="16" fmlaLink="$N$78" fmlaRange="Rebanho!$AH$45:$AH$69" noThreeD="1" val="19"/>
</file>

<file path=xl/ctrlProps/ctrlProp694.xml><?xml version="1.0" encoding="utf-8"?>
<formControlPr xmlns="http://schemas.microsoft.com/office/spreadsheetml/2009/9/main" objectType="Drop" dropStyle="combo" dx="16" fmlaLink="$M$79" fmlaRange="Rebanho!$AH$45:$AH$69" noThreeD="1" val="12"/>
</file>

<file path=xl/ctrlProps/ctrlProp695.xml><?xml version="1.0" encoding="utf-8"?>
<formControlPr xmlns="http://schemas.microsoft.com/office/spreadsheetml/2009/9/main" objectType="Drop" dropStyle="combo" dx="16" fmlaLink="$N$79" fmlaRange="Rebanho!$AH$45:$AH$69" noThreeD="1" val="19"/>
</file>

<file path=xl/ctrlProps/ctrlProp696.xml><?xml version="1.0" encoding="utf-8"?>
<formControlPr xmlns="http://schemas.microsoft.com/office/spreadsheetml/2009/9/main" objectType="Drop" dropStyle="combo" dx="16" fmlaLink="$M$80" fmlaRange="Rebanho!$AH$45:$AH$69" noThreeD="1" val="12"/>
</file>

<file path=xl/ctrlProps/ctrlProp697.xml><?xml version="1.0" encoding="utf-8"?>
<formControlPr xmlns="http://schemas.microsoft.com/office/spreadsheetml/2009/9/main" objectType="Drop" dropStyle="combo" dx="16" fmlaLink="$N$80" fmlaRange="Rebanho!$AH$45:$AH$69" noThreeD="1" val="19"/>
</file>

<file path=xl/ctrlProps/ctrlProp698.xml><?xml version="1.0" encoding="utf-8"?>
<formControlPr xmlns="http://schemas.microsoft.com/office/spreadsheetml/2009/9/main" objectType="Drop" dropStyle="combo" dx="16" fmlaLink="$M$81" fmlaRange="Rebanho!$AH$45:$AH$69" noThreeD="1" val="12"/>
</file>

<file path=xl/ctrlProps/ctrlProp699.xml><?xml version="1.0" encoding="utf-8"?>
<formControlPr xmlns="http://schemas.microsoft.com/office/spreadsheetml/2009/9/main" objectType="Drop" dropStyle="combo" dx="16" fmlaLink="$N$81" fmlaRange="Rebanho!$AH$45:$AH$69" noThreeD="1" val="19"/>
</file>

<file path=xl/ctrlProps/ctrlProp7.xml><?xml version="1.0" encoding="utf-8"?>
<formControlPr xmlns="http://schemas.microsoft.com/office/spreadsheetml/2009/9/main" objectType="Drop" dropStyle="combo" dx="16" fmlaLink="$I$21" fmlaRange="$AD$15:$AD$39" noThreeD="1" val="0"/>
</file>

<file path=xl/ctrlProps/ctrlProp70.xml><?xml version="1.0" encoding="utf-8"?>
<formControlPr xmlns="http://schemas.microsoft.com/office/spreadsheetml/2009/9/main" objectType="Drop" dropStyle="combo" dx="16" fmlaLink="$H$34" fmlaRange="$AB$8:$AB$12" noThreeD="1" sel="0" val="0"/>
</file>

<file path=xl/ctrlProps/ctrlProp700.xml><?xml version="1.0" encoding="utf-8"?>
<formControlPr xmlns="http://schemas.microsoft.com/office/spreadsheetml/2009/9/main" objectType="Drop" dropStyle="combo" dx="16" fmlaLink="$M$82" fmlaRange="Rebanho!$AH$45:$AH$69" noThreeD="1" val="12"/>
</file>

<file path=xl/ctrlProps/ctrlProp701.xml><?xml version="1.0" encoding="utf-8"?>
<formControlPr xmlns="http://schemas.microsoft.com/office/spreadsheetml/2009/9/main" objectType="Drop" dropStyle="combo" dx="16" fmlaLink="$N$82" fmlaRange="Rebanho!$AH$45:$AH$69" noThreeD="1" val="19"/>
</file>

<file path=xl/ctrlProps/ctrlProp702.xml><?xml version="1.0" encoding="utf-8"?>
<formControlPr xmlns="http://schemas.microsoft.com/office/spreadsheetml/2009/9/main" objectType="Drop" dropStyle="combo" dx="16" fmlaLink="$C$9" fmlaRange="$Y$9:$Y$10" noThreeD="1" val="0"/>
</file>

<file path=xl/ctrlProps/ctrlProp703.xml><?xml version="1.0" encoding="utf-8"?>
<formControlPr xmlns="http://schemas.microsoft.com/office/spreadsheetml/2009/9/main" objectType="Drop" dropStyle="combo" dx="16" fmlaLink="$B$91" fmlaRange="'Mão-de-obra'!$CK$10:$CK$29" noThreeD="1" val="0"/>
</file>

<file path=xl/ctrlProps/ctrlProp704.xml><?xml version="1.0" encoding="utf-8"?>
<formControlPr xmlns="http://schemas.microsoft.com/office/spreadsheetml/2009/9/main" objectType="Drop" dropStyle="combo" dx="16" fmlaLink="$B$92" fmlaRange="'Mão-de-obra'!$CK$10:$CK$29" noThreeD="1" val="0"/>
</file>

<file path=xl/ctrlProps/ctrlProp705.xml><?xml version="1.0" encoding="utf-8"?>
<formControlPr xmlns="http://schemas.microsoft.com/office/spreadsheetml/2009/9/main" objectType="Drop" dropStyle="combo" dx="16" fmlaLink="$B$93" fmlaRange="'Mão-de-obra'!$CK$10:$CK$29" noThreeD="1" val="0"/>
</file>

<file path=xl/ctrlProps/ctrlProp706.xml><?xml version="1.0" encoding="utf-8"?>
<formControlPr xmlns="http://schemas.microsoft.com/office/spreadsheetml/2009/9/main" objectType="Drop" dropStyle="combo" dx="16" fmlaLink="$B$94" fmlaRange="'Mão-de-obra'!$CK$10:$CK$29" noThreeD="1" val="3"/>
</file>

<file path=xl/ctrlProps/ctrlProp707.xml><?xml version="1.0" encoding="utf-8"?>
<formControlPr xmlns="http://schemas.microsoft.com/office/spreadsheetml/2009/9/main" objectType="Drop" dropStyle="combo" dx="16" fmlaLink="$B$95" fmlaRange="'Mão-de-obra'!$CK$10:$CK$29" noThreeD="1" val="0"/>
</file>

<file path=xl/ctrlProps/ctrlProp708.xml><?xml version="1.0" encoding="utf-8"?>
<formControlPr xmlns="http://schemas.microsoft.com/office/spreadsheetml/2009/9/main" objectType="Drop" dropStyle="combo" dx="16" fmlaLink="$C$11" fmlaRange="Dados!$B$133:$B$145" noThreeD="1" sel="8" val="0"/>
</file>

<file path=xl/ctrlProps/ctrlProp709.xml><?xml version="1.0" encoding="utf-8"?>
<formControlPr xmlns="http://schemas.microsoft.com/office/spreadsheetml/2009/9/main" objectType="Drop" dropStyle="combo" dx="16" fmlaLink="$C$21" fmlaRange="Dados!$B$133:$B$145" noThreeD="1" val="0"/>
</file>

<file path=xl/ctrlProps/ctrlProp71.xml><?xml version="1.0" encoding="utf-8"?>
<formControlPr xmlns="http://schemas.microsoft.com/office/spreadsheetml/2009/9/main" objectType="Drop" dropStyle="combo" dx="16" fmlaLink="$H$35" fmlaRange="$AB$8:$AB$12" noThreeD="1" sel="0" val="0"/>
</file>

<file path=xl/ctrlProps/ctrlProp710.xml><?xml version="1.0" encoding="utf-8"?>
<formControlPr xmlns="http://schemas.microsoft.com/office/spreadsheetml/2009/9/main" objectType="Drop" dropStyle="combo" dx="16" fmlaLink="$C$22" fmlaRange="Dados!$B$133:$B$145" noThreeD="1" val="0"/>
</file>

<file path=xl/ctrlProps/ctrlProp711.xml><?xml version="1.0" encoding="utf-8"?>
<formControlPr xmlns="http://schemas.microsoft.com/office/spreadsheetml/2009/9/main" objectType="Drop" dropStyle="combo" dx="16" fmlaLink="$C$23" fmlaRange="Dados!$B$133:$B$145" noThreeD="1" val="0"/>
</file>

<file path=xl/ctrlProps/ctrlProp712.xml><?xml version="1.0" encoding="utf-8"?>
<formControlPr xmlns="http://schemas.microsoft.com/office/spreadsheetml/2009/9/main" objectType="Drop" dropStyle="combo" dx="16" fmlaLink="$C$24" fmlaRange="Dados!$B$133:$B$145" noThreeD="1" val="0"/>
</file>

<file path=xl/ctrlProps/ctrlProp713.xml><?xml version="1.0" encoding="utf-8"?>
<formControlPr xmlns="http://schemas.microsoft.com/office/spreadsheetml/2009/9/main" objectType="Drop" dropStyle="combo" dx="16" fmlaLink="$C$25" fmlaRange="Dados!$B$133:$B$145" noThreeD="1" val="0"/>
</file>

<file path=xl/ctrlProps/ctrlProp714.xml><?xml version="1.0" encoding="utf-8"?>
<formControlPr xmlns="http://schemas.microsoft.com/office/spreadsheetml/2009/9/main" objectType="Drop" dropStyle="combo" dx="16" fmlaLink="$C$26" fmlaRange="Dados!$B$133:$B$145" noThreeD="1" val="5"/>
</file>

<file path=xl/ctrlProps/ctrlProp715.xml><?xml version="1.0" encoding="utf-8"?>
<formControlPr xmlns="http://schemas.microsoft.com/office/spreadsheetml/2009/9/main" objectType="Drop" dropStyle="combo" dx="16" fmlaLink="$C$27" fmlaRange="Dados!$B$133:$B$145" noThreeD="1" val="0"/>
</file>

<file path=xl/ctrlProps/ctrlProp716.xml><?xml version="1.0" encoding="utf-8"?>
<formControlPr xmlns="http://schemas.microsoft.com/office/spreadsheetml/2009/9/main" objectType="Drop" dropStyle="combo" dx="16" fmlaLink="$C$28" fmlaRange="Dados!$B$133:$B$145" noThreeD="1" val="0"/>
</file>

<file path=xl/ctrlProps/ctrlProp717.xml><?xml version="1.0" encoding="utf-8"?>
<formControlPr xmlns="http://schemas.microsoft.com/office/spreadsheetml/2009/9/main" objectType="Drop" dropStyle="combo" dx="16" fmlaLink="$C$29" fmlaRange="Dados!$B$133:$B$145" noThreeD="1" val="0"/>
</file>

<file path=xl/ctrlProps/ctrlProp718.xml><?xml version="1.0" encoding="utf-8"?>
<formControlPr xmlns="http://schemas.microsoft.com/office/spreadsheetml/2009/9/main" objectType="Drop" dropStyle="combo" dx="16" fmlaLink="$C$12" fmlaRange="Dados!$B$133:$B$145" noThreeD="1" sel="12" val="5"/>
</file>

<file path=xl/ctrlProps/ctrlProp719.xml><?xml version="1.0" encoding="utf-8"?>
<formControlPr xmlns="http://schemas.microsoft.com/office/spreadsheetml/2009/9/main" objectType="Drop" dropStyle="combo" dx="16" fmlaLink="$C$13" fmlaRange="Dados!$B$133:$B$145" noThreeD="1" val="0"/>
</file>

<file path=xl/ctrlProps/ctrlProp72.xml><?xml version="1.0" encoding="utf-8"?>
<formControlPr xmlns="http://schemas.microsoft.com/office/spreadsheetml/2009/9/main" objectType="Drop" dropStyle="combo" dx="16" fmlaLink="$H$36" fmlaRange="$AB$8:$AB$12" noThreeD="1" sel="0" val="0"/>
</file>

<file path=xl/ctrlProps/ctrlProp720.xml><?xml version="1.0" encoding="utf-8"?>
<formControlPr xmlns="http://schemas.microsoft.com/office/spreadsheetml/2009/9/main" objectType="Drop" dropStyle="combo" dx="16" fmlaLink="$C$14" fmlaRange="Dados!$B$133:$B$145" noThreeD="1" val="5"/>
</file>

<file path=xl/ctrlProps/ctrlProp721.xml><?xml version="1.0" encoding="utf-8"?>
<formControlPr xmlns="http://schemas.microsoft.com/office/spreadsheetml/2009/9/main" objectType="Drop" dropStyle="combo" dx="16" fmlaLink="$C$15" fmlaRange="Dados!$B$133:$B$145" noThreeD="1" val="0"/>
</file>

<file path=xl/ctrlProps/ctrlProp722.xml><?xml version="1.0" encoding="utf-8"?>
<formControlPr xmlns="http://schemas.microsoft.com/office/spreadsheetml/2009/9/main" objectType="Drop" dropStyle="combo" dx="16" fmlaLink="$C$16" fmlaRange="Dados!$B$133:$B$145" noThreeD="1" val="0"/>
</file>

<file path=xl/ctrlProps/ctrlProp723.xml><?xml version="1.0" encoding="utf-8"?>
<formControlPr xmlns="http://schemas.microsoft.com/office/spreadsheetml/2009/9/main" objectType="Drop" dropStyle="combo" dx="16" fmlaLink="$C$17" fmlaRange="Dados!$B$133:$B$145" noThreeD="1" val="0"/>
</file>

<file path=xl/ctrlProps/ctrlProp724.xml><?xml version="1.0" encoding="utf-8"?>
<formControlPr xmlns="http://schemas.microsoft.com/office/spreadsheetml/2009/9/main" objectType="Drop" dropStyle="combo" dx="16" fmlaLink="$C$18" fmlaRange="Dados!$B$133:$B$145" noThreeD="1" val="5"/>
</file>

<file path=xl/ctrlProps/ctrlProp725.xml><?xml version="1.0" encoding="utf-8"?>
<formControlPr xmlns="http://schemas.microsoft.com/office/spreadsheetml/2009/9/main" objectType="Drop" dropStyle="combo" dx="16" fmlaLink="$C$19" fmlaRange="Dados!$B$133:$B$145" noThreeD="1" val="0"/>
</file>

<file path=xl/ctrlProps/ctrlProp726.xml><?xml version="1.0" encoding="utf-8"?>
<formControlPr xmlns="http://schemas.microsoft.com/office/spreadsheetml/2009/9/main" objectType="Drop" dropStyle="combo" dx="16" fmlaLink="$C$20" fmlaRange="Dados!$B$133:$B$145" noThreeD="1" val="0"/>
</file>

<file path=xl/ctrlProps/ctrlProp727.xml><?xml version="1.0" encoding="utf-8"?>
<formControlPr xmlns="http://schemas.microsoft.com/office/spreadsheetml/2009/9/main" objectType="Drop" dropLines="15" dropStyle="combo" dx="16" fmlaLink="$H$7" fmlaRange="Rebanho!$AO$45:$AO$62" noThreeD="1" val="0"/>
</file>

<file path=xl/ctrlProps/ctrlProp728.xml><?xml version="1.0" encoding="utf-8"?>
<formControlPr xmlns="http://schemas.microsoft.com/office/spreadsheetml/2009/9/main" objectType="Drop" dropStyle="combo" dx="16" fmlaLink="$C$44" fmlaRange="Inventário!$AB$32:$AB$42" noThreeD="1" sel="3" val="0"/>
</file>

<file path=xl/ctrlProps/ctrlProp729.xml><?xml version="1.0" encoding="utf-8"?>
<formControlPr xmlns="http://schemas.microsoft.com/office/spreadsheetml/2009/9/main" objectType="Drop" dropStyle="combo" dx="16" fmlaLink="$D$44" fmlaRange="Inventário!$AB$51:$AB$71" noThreeD="1" sel="4" val="0"/>
</file>

<file path=xl/ctrlProps/ctrlProp73.xml><?xml version="1.0" encoding="utf-8"?>
<formControlPr xmlns="http://schemas.microsoft.com/office/spreadsheetml/2009/9/main" objectType="Drop" dropStyle="combo" dx="16" fmlaLink="$H$37" fmlaRange="$AB$8:$AB$12" noThreeD="1" sel="0" val="0"/>
</file>

<file path=xl/ctrlProps/ctrlProp730.xml><?xml version="1.0" encoding="utf-8"?>
<formControlPr xmlns="http://schemas.microsoft.com/office/spreadsheetml/2009/9/main" objectType="Drop" dropStyle="combo" dx="16" fmlaLink="$D$52" fmlaRange="'Mão-de-obra'!$CK$10:$CK$29" noThreeD="1" val="0"/>
</file>

<file path=xl/ctrlProps/ctrlProp731.xml><?xml version="1.0" encoding="utf-8"?>
<formControlPr xmlns="http://schemas.microsoft.com/office/spreadsheetml/2009/9/main" objectType="Drop" dropStyle="combo" dx="16" fmlaLink="$D$53" fmlaRange="'Mão-de-obra'!$CK$10:$CK$29" noThreeD="1" val="0"/>
</file>

<file path=xl/ctrlProps/ctrlProp732.xml><?xml version="1.0" encoding="utf-8"?>
<formControlPr xmlns="http://schemas.microsoft.com/office/spreadsheetml/2009/9/main" objectType="Drop" dropStyle="combo" dx="16" fmlaLink="$D$54" fmlaRange="'Mão-de-obra'!$CK$10:$CK$29" noThreeD="1" val="0"/>
</file>

<file path=xl/ctrlProps/ctrlProp733.xml><?xml version="1.0" encoding="utf-8"?>
<formControlPr xmlns="http://schemas.microsoft.com/office/spreadsheetml/2009/9/main" objectType="Drop" dropStyle="combo" dx="16" fmlaLink="$D$55" fmlaRange="'Mão-de-obra'!$CK$10:$CK$29" noThreeD="1" val="0"/>
</file>

<file path=xl/ctrlProps/ctrlProp734.xml><?xml version="1.0" encoding="utf-8"?>
<formControlPr xmlns="http://schemas.microsoft.com/office/spreadsheetml/2009/9/main" objectType="Drop" dropStyle="combo" dx="16" fmlaLink="$D$56" fmlaRange="'Mão-de-obra'!$CK$10:$CK$29" noThreeD="1" val="0"/>
</file>

<file path=xl/ctrlProps/ctrlProp735.xml><?xml version="1.0" encoding="utf-8"?>
<formControlPr xmlns="http://schemas.microsoft.com/office/spreadsheetml/2009/9/main" objectType="Drop" dropStyle="combo" dx="16" fmlaLink="$C$45" fmlaRange="Inventário!$AB$32:$AB$42" noThreeD="1" val="0"/>
</file>

<file path=xl/ctrlProps/ctrlProp736.xml><?xml version="1.0" encoding="utf-8"?>
<formControlPr xmlns="http://schemas.microsoft.com/office/spreadsheetml/2009/9/main" objectType="Drop" dropStyle="combo" dx="16" fmlaLink="$C$46" fmlaRange="Inventário!$AB$32:$AB$42" noThreeD="1" val="0"/>
</file>

<file path=xl/ctrlProps/ctrlProp737.xml><?xml version="1.0" encoding="utf-8"?>
<formControlPr xmlns="http://schemas.microsoft.com/office/spreadsheetml/2009/9/main" objectType="Drop" dropStyle="combo" dx="16" fmlaLink="$C$47" fmlaRange="Inventário!$AB$32:$AB$42" noThreeD="1" val="0"/>
</file>

<file path=xl/ctrlProps/ctrlProp738.xml><?xml version="1.0" encoding="utf-8"?>
<formControlPr xmlns="http://schemas.microsoft.com/office/spreadsheetml/2009/9/main" objectType="Drop" dropStyle="combo" dx="16" fmlaLink="$D$45" fmlaRange="Inventário!$AB$51:$AB$71" noThreeD="1" val="0"/>
</file>

<file path=xl/ctrlProps/ctrlProp739.xml><?xml version="1.0" encoding="utf-8"?>
<formControlPr xmlns="http://schemas.microsoft.com/office/spreadsheetml/2009/9/main" objectType="Drop" dropStyle="combo" dx="16" fmlaLink="$D$46" fmlaRange="Inventário!$AB$51:$AB$71" noThreeD="1" val="0"/>
</file>

<file path=xl/ctrlProps/ctrlProp74.xml><?xml version="1.0" encoding="utf-8"?>
<formControlPr xmlns="http://schemas.microsoft.com/office/spreadsheetml/2009/9/main" objectType="Drop" dropStyle="combo" dx="16" fmlaLink="$H$38" fmlaRange="$AB$8:$AB$12" noThreeD="1" sel="0" val="0"/>
</file>

<file path=xl/ctrlProps/ctrlProp740.xml><?xml version="1.0" encoding="utf-8"?>
<formControlPr xmlns="http://schemas.microsoft.com/office/spreadsheetml/2009/9/main" objectType="Drop" dropStyle="combo" dx="16" fmlaLink="$D$47" fmlaRange="Inventário!$AB$51:$AB$71" noThreeD="1" val="0"/>
</file>

<file path=xl/ctrlProps/ctrlProp741.xml><?xml version="1.0" encoding="utf-8"?>
<formControlPr xmlns="http://schemas.microsoft.com/office/spreadsheetml/2009/9/main" objectType="Drop" dropStyle="combo" dx="16" fmlaLink="$C$7" fmlaRange="Dados!$Q$14:$Q$81" noThreeD="1" val="30"/>
</file>

<file path=xl/ctrlProps/ctrlProp742.xml><?xml version="1.0" encoding="utf-8"?>
<formControlPr xmlns="http://schemas.microsoft.com/office/spreadsheetml/2009/9/main" objectType="Drop" dropStyle="combo" dx="16" fmlaLink="$C$8" fmlaRange="Dados!$Q$14:$Q$81" noThreeD="1" sel="12" val="0"/>
</file>

<file path=xl/ctrlProps/ctrlProp743.xml><?xml version="1.0" encoding="utf-8"?>
<formControlPr xmlns="http://schemas.microsoft.com/office/spreadsheetml/2009/9/main" objectType="Drop" dropStyle="combo" dx="16" fmlaLink="$C$9" fmlaRange="Dados!$Q$14:$Q$81" noThreeD="1" sel="12" val="19"/>
</file>

<file path=xl/ctrlProps/ctrlProp744.xml><?xml version="1.0" encoding="utf-8"?>
<formControlPr xmlns="http://schemas.microsoft.com/office/spreadsheetml/2009/9/main" objectType="Drop" dropStyle="combo" dx="16" fmlaLink="$C$10" fmlaRange="Dados!$Q$14:$Q$81" noThreeD="1" sel="12" val="19"/>
</file>

<file path=xl/ctrlProps/ctrlProp745.xml><?xml version="1.0" encoding="utf-8"?>
<formControlPr xmlns="http://schemas.microsoft.com/office/spreadsheetml/2009/9/main" objectType="Drop" dropStyle="combo" dx="16" fmlaLink="$C$11" fmlaRange="Dados!$Q$14:$Q$81" noThreeD="1" val="36"/>
</file>

<file path=xl/ctrlProps/ctrlProp746.xml><?xml version="1.0" encoding="utf-8"?>
<formControlPr xmlns="http://schemas.microsoft.com/office/spreadsheetml/2009/9/main" objectType="Drop" dropStyle="combo" dx="16" fmlaLink="$C$12" fmlaRange="Dados!$Q$14:$Q$81" noThreeD="1" sel="38" val="0"/>
</file>

<file path=xl/ctrlProps/ctrlProp747.xml><?xml version="1.0" encoding="utf-8"?>
<formControlPr xmlns="http://schemas.microsoft.com/office/spreadsheetml/2009/9/main" objectType="Drop" dropStyle="combo" dx="16" fmlaLink="$C$13" fmlaRange="Dados!$Q$14:$Q$81" noThreeD="1" sel="38" val="32"/>
</file>

<file path=xl/ctrlProps/ctrlProp748.xml><?xml version="1.0" encoding="utf-8"?>
<formControlPr xmlns="http://schemas.microsoft.com/office/spreadsheetml/2009/9/main" objectType="Drop" dropStyle="combo" dx="16" fmlaLink="$C$14" fmlaRange="Dados!$Q$14:$Q$81" noThreeD="1" sel="38" val="0"/>
</file>

<file path=xl/ctrlProps/ctrlProp749.xml><?xml version="1.0" encoding="utf-8"?>
<formControlPr xmlns="http://schemas.microsoft.com/office/spreadsheetml/2009/9/main" objectType="Drop" dropStyle="combo" dx="16" fmlaLink="$C$15" fmlaRange="Dados!$Q$14:$Q$81" noThreeD="1" val="0"/>
</file>

<file path=xl/ctrlProps/ctrlProp75.xml><?xml version="1.0" encoding="utf-8"?>
<formControlPr xmlns="http://schemas.microsoft.com/office/spreadsheetml/2009/9/main" objectType="Drop" dropStyle="combo" dx="16" fmlaLink="$H$39" fmlaRange="$AB$8:$AB$12" noThreeD="1" val="0"/>
</file>

<file path=xl/ctrlProps/ctrlProp750.xml><?xml version="1.0" encoding="utf-8"?>
<formControlPr xmlns="http://schemas.microsoft.com/office/spreadsheetml/2009/9/main" objectType="Drop" dropStyle="combo" dx="16" fmlaLink="$S$7" fmlaRange="Rebanho!$AH$45:$AH$69" noThreeD="1" val="0"/>
</file>

<file path=xl/ctrlProps/ctrlProp751.xml><?xml version="1.0" encoding="utf-8"?>
<formControlPr xmlns="http://schemas.microsoft.com/office/spreadsheetml/2009/9/main" objectType="Drop" dropStyle="combo" dx="16" fmlaLink="$T$7" fmlaRange="Rebanho!$AH$45:$AH$69" noThreeD="1" val="0"/>
</file>

<file path=xl/ctrlProps/ctrlProp752.xml><?xml version="1.0" encoding="utf-8"?>
<formControlPr xmlns="http://schemas.microsoft.com/office/spreadsheetml/2009/9/main" objectType="Drop" dropStyle="combo" dx="16" fmlaLink="$S$8" fmlaRange="Rebanho!$AH$45:$AH$69" noThreeD="1" val="5"/>
</file>

<file path=xl/ctrlProps/ctrlProp753.xml><?xml version="1.0" encoding="utf-8"?>
<formControlPr xmlns="http://schemas.microsoft.com/office/spreadsheetml/2009/9/main" objectType="Drop" dropStyle="combo" dx="16" fmlaLink="$S$9" fmlaRange="Rebanho!$AH$45:$AH$69" noThreeD="1" val="5"/>
</file>

<file path=xl/ctrlProps/ctrlProp754.xml><?xml version="1.0" encoding="utf-8"?>
<formControlPr xmlns="http://schemas.microsoft.com/office/spreadsheetml/2009/9/main" objectType="Drop" dropStyle="combo" dx="16" fmlaLink="$S$10" fmlaRange="Rebanho!$AH$45:$AH$69" noThreeD="1" val="5"/>
</file>

<file path=xl/ctrlProps/ctrlProp755.xml><?xml version="1.0" encoding="utf-8"?>
<formControlPr xmlns="http://schemas.microsoft.com/office/spreadsheetml/2009/9/main" objectType="Drop" dropStyle="combo" dx="16" fmlaLink="$S$11" fmlaRange="Rebanho!$AH$45:$AH$69" noThreeD="1" val="5"/>
</file>

<file path=xl/ctrlProps/ctrlProp756.xml><?xml version="1.0" encoding="utf-8"?>
<formControlPr xmlns="http://schemas.microsoft.com/office/spreadsheetml/2009/9/main" objectType="Drop" dropStyle="combo" dx="16" fmlaLink="$S$12" fmlaRange="Rebanho!$AH$45:$AH$69" noThreeD="1" val="5"/>
</file>

<file path=xl/ctrlProps/ctrlProp757.xml><?xml version="1.0" encoding="utf-8"?>
<formControlPr xmlns="http://schemas.microsoft.com/office/spreadsheetml/2009/9/main" objectType="Drop" dropStyle="combo" dx="16" fmlaLink="$S$13" fmlaRange="Rebanho!$AH$45:$AH$69" noThreeD="1" val="17"/>
</file>

<file path=xl/ctrlProps/ctrlProp758.xml><?xml version="1.0" encoding="utf-8"?>
<formControlPr xmlns="http://schemas.microsoft.com/office/spreadsheetml/2009/9/main" objectType="Drop" dropStyle="combo" dx="16" fmlaLink="$S$14" fmlaRange="Rebanho!$AH$45:$AH$69" noThreeD="1" val="5"/>
</file>

<file path=xl/ctrlProps/ctrlProp759.xml><?xml version="1.0" encoding="utf-8"?>
<formControlPr xmlns="http://schemas.microsoft.com/office/spreadsheetml/2009/9/main" objectType="Drop" dropStyle="combo" dx="16" fmlaLink="$S$15" fmlaRange="Rebanho!$AH$45:$AH$69" noThreeD="1" val="5"/>
</file>

<file path=xl/ctrlProps/ctrlProp76.xml><?xml version="1.0" encoding="utf-8"?>
<formControlPr xmlns="http://schemas.microsoft.com/office/spreadsheetml/2009/9/main" objectType="Drop" dropStyle="combo" dx="16" fmlaLink="$H$40" fmlaRange="$AB$8:$AB$12" noThreeD="1" val="0"/>
</file>

<file path=xl/ctrlProps/ctrlProp760.xml><?xml version="1.0" encoding="utf-8"?>
<formControlPr xmlns="http://schemas.microsoft.com/office/spreadsheetml/2009/9/main" objectType="Drop" dropStyle="combo" dx="16" fmlaLink="$T$8" fmlaRange="Rebanho!$AH$45:$AH$69" noThreeD="1" val="5"/>
</file>

<file path=xl/ctrlProps/ctrlProp761.xml><?xml version="1.0" encoding="utf-8"?>
<formControlPr xmlns="http://schemas.microsoft.com/office/spreadsheetml/2009/9/main" objectType="Drop" dropStyle="combo" dx="16" fmlaLink="$T$9" fmlaRange="Rebanho!$AH$45:$AH$69" noThreeD="1" val="5"/>
</file>

<file path=xl/ctrlProps/ctrlProp762.xml><?xml version="1.0" encoding="utf-8"?>
<formControlPr xmlns="http://schemas.microsoft.com/office/spreadsheetml/2009/9/main" objectType="Drop" dropStyle="combo" dx="16" fmlaLink="$T$10" fmlaRange="Rebanho!$AH$45:$AH$69" noThreeD="1" val="5"/>
</file>

<file path=xl/ctrlProps/ctrlProp763.xml><?xml version="1.0" encoding="utf-8"?>
<formControlPr xmlns="http://schemas.microsoft.com/office/spreadsheetml/2009/9/main" objectType="Drop" dropStyle="combo" dx="16" fmlaLink="$T$11" fmlaRange="Rebanho!$AH$45:$AH$69" noThreeD="1" val="5"/>
</file>

<file path=xl/ctrlProps/ctrlProp764.xml><?xml version="1.0" encoding="utf-8"?>
<formControlPr xmlns="http://schemas.microsoft.com/office/spreadsheetml/2009/9/main" objectType="Drop" dropStyle="combo" dx="16" fmlaLink="$T$12" fmlaRange="Rebanho!$AH$45:$AH$69" noThreeD="1" val="5"/>
</file>

<file path=xl/ctrlProps/ctrlProp765.xml><?xml version="1.0" encoding="utf-8"?>
<formControlPr xmlns="http://schemas.microsoft.com/office/spreadsheetml/2009/9/main" objectType="Drop" dropStyle="combo" dx="16" fmlaLink="$T$13" fmlaRange="Rebanho!$AH$45:$AH$69" noThreeD="1" val="5"/>
</file>

<file path=xl/ctrlProps/ctrlProp766.xml><?xml version="1.0" encoding="utf-8"?>
<formControlPr xmlns="http://schemas.microsoft.com/office/spreadsheetml/2009/9/main" objectType="Drop" dropStyle="combo" dx="16" fmlaLink="$T$14" fmlaRange="Rebanho!$AH$45:$AH$69" noThreeD="1" val="5"/>
</file>

<file path=xl/ctrlProps/ctrlProp767.xml><?xml version="1.0" encoding="utf-8"?>
<formControlPr xmlns="http://schemas.microsoft.com/office/spreadsheetml/2009/9/main" objectType="Drop" dropStyle="combo" dx="16" fmlaLink="$T$15" fmlaRange="Rebanho!$AH$45:$AH$69" noThreeD="1" val="5"/>
</file>

<file path=xl/ctrlProps/ctrlProp768.xml><?xml version="1.0" encoding="utf-8"?>
<formControlPr xmlns="http://schemas.microsoft.com/office/spreadsheetml/2009/9/main" objectType="Drop" dropStyle="combo" dx="16" fmlaLink="$I$52" fmlaRange="Rebanho!$AH$45:$AH$69" noThreeD="1" val="0"/>
</file>

<file path=xl/ctrlProps/ctrlProp769.xml><?xml version="1.0" encoding="utf-8"?>
<formControlPr xmlns="http://schemas.microsoft.com/office/spreadsheetml/2009/9/main" objectType="Drop" dropStyle="combo" dx="16" fmlaLink="$J$52" fmlaRange="Rebanho!$AH$45:$AH$69" noThreeD="1" val="4"/>
</file>

<file path=xl/ctrlProps/ctrlProp77.xml><?xml version="1.0" encoding="utf-8"?>
<formControlPr xmlns="http://schemas.microsoft.com/office/spreadsheetml/2009/9/main" objectType="Drop" dropStyle="combo" dx="16" fmlaLink="$H$41" fmlaRange="$AB$8:$AB$12" noThreeD="1" val="0"/>
</file>

<file path=xl/ctrlProps/ctrlProp770.xml><?xml version="1.0" encoding="utf-8"?>
<formControlPr xmlns="http://schemas.microsoft.com/office/spreadsheetml/2009/9/main" objectType="Drop" dropStyle="combo" dx="16" fmlaLink="$I$53" fmlaRange="Rebanho!$AH$45:$AH$69" noThreeD="1" val="0"/>
</file>

<file path=xl/ctrlProps/ctrlProp771.xml><?xml version="1.0" encoding="utf-8"?>
<formControlPr xmlns="http://schemas.microsoft.com/office/spreadsheetml/2009/9/main" objectType="Drop" dropStyle="combo" dx="16" fmlaLink="$I$54" fmlaRange="Rebanho!$AH$45:$AH$69" noThreeD="1" val="0"/>
</file>

<file path=xl/ctrlProps/ctrlProp772.xml><?xml version="1.0" encoding="utf-8"?>
<formControlPr xmlns="http://schemas.microsoft.com/office/spreadsheetml/2009/9/main" objectType="Drop" dropStyle="combo" dx="16" fmlaLink="$I$55" fmlaRange="Rebanho!$AH$45:$AH$69" noThreeD="1" val="0"/>
</file>

<file path=xl/ctrlProps/ctrlProp773.xml><?xml version="1.0" encoding="utf-8"?>
<formControlPr xmlns="http://schemas.microsoft.com/office/spreadsheetml/2009/9/main" objectType="Drop" dropStyle="combo" dx="16" fmlaLink="$I$56" fmlaRange="Rebanho!$AH$45:$AH$69" noThreeD="1" val="0"/>
</file>

<file path=xl/ctrlProps/ctrlProp774.xml><?xml version="1.0" encoding="utf-8"?>
<formControlPr xmlns="http://schemas.microsoft.com/office/spreadsheetml/2009/9/main" objectType="Drop" dropStyle="combo" dx="16" fmlaLink="$J$53" fmlaRange="Rebanho!$AH$45:$AH$69" noThreeD="1" val="5"/>
</file>

<file path=xl/ctrlProps/ctrlProp775.xml><?xml version="1.0" encoding="utf-8"?>
<formControlPr xmlns="http://schemas.microsoft.com/office/spreadsheetml/2009/9/main" objectType="Drop" dropStyle="combo" dx="16" fmlaLink="$J$54" fmlaRange="Rebanho!$AH$45:$AH$69" noThreeD="1" val="0"/>
</file>

<file path=xl/ctrlProps/ctrlProp776.xml><?xml version="1.0" encoding="utf-8"?>
<formControlPr xmlns="http://schemas.microsoft.com/office/spreadsheetml/2009/9/main" objectType="Drop" dropStyle="combo" dx="16" fmlaLink="$J$55" fmlaRange="Rebanho!$AH$45:$AH$69" noThreeD="1" val="0"/>
</file>

<file path=xl/ctrlProps/ctrlProp777.xml><?xml version="1.0" encoding="utf-8"?>
<formControlPr xmlns="http://schemas.microsoft.com/office/spreadsheetml/2009/9/main" objectType="Drop" dropStyle="combo" dx="16" fmlaLink="$J$56" fmlaRange="Rebanho!$AH$45:$AH$69" noThreeD="1" val="0"/>
</file>

<file path=xl/ctrlProps/ctrlProp778.xml><?xml version="1.0" encoding="utf-8"?>
<formControlPr xmlns="http://schemas.microsoft.com/office/spreadsheetml/2009/9/main" objectType="Drop" dropLines="15" dropStyle="combo" dx="16" fmlaLink="$H$8" fmlaRange="Rebanho!$AO$45:$AO$62" noThreeD="1" sel="3" val="3"/>
</file>

<file path=xl/ctrlProps/ctrlProp779.xml><?xml version="1.0" encoding="utf-8"?>
<formControlPr xmlns="http://schemas.microsoft.com/office/spreadsheetml/2009/9/main" objectType="Drop" dropLines="15" dropStyle="combo" dx="16" fmlaLink="$H$9" fmlaRange="Rebanho!$AO$45:$AO$62" noThreeD="1" sel="4" val="3"/>
</file>

<file path=xl/ctrlProps/ctrlProp78.xml><?xml version="1.0" encoding="utf-8"?>
<formControlPr xmlns="http://schemas.microsoft.com/office/spreadsheetml/2009/9/main" objectType="Drop" dropStyle="combo" dx="16" fmlaLink="$H$42" fmlaRange="$AB$8:$AB$12" noThreeD="1" val="0"/>
</file>

<file path=xl/ctrlProps/ctrlProp780.xml><?xml version="1.0" encoding="utf-8"?>
<formControlPr xmlns="http://schemas.microsoft.com/office/spreadsheetml/2009/9/main" objectType="Drop" dropLines="15" dropStyle="combo" dx="16" fmlaLink="$H$10" fmlaRange="Rebanho!$AO$45:$AO$62" noThreeD="1" sel="5" val="3"/>
</file>

<file path=xl/ctrlProps/ctrlProp781.xml><?xml version="1.0" encoding="utf-8"?>
<formControlPr xmlns="http://schemas.microsoft.com/office/spreadsheetml/2009/9/main" objectType="Drop" dropLines="15" dropStyle="combo" dx="16" fmlaLink="$H$11" fmlaRange="Rebanho!$AO$45:$AO$62" noThreeD="1" val="0"/>
</file>

<file path=xl/ctrlProps/ctrlProp782.xml><?xml version="1.0" encoding="utf-8"?>
<formControlPr xmlns="http://schemas.microsoft.com/office/spreadsheetml/2009/9/main" objectType="Drop" dropLines="15" dropStyle="combo" dx="16" fmlaLink="$H$12" fmlaRange="Rebanho!$AO$45:$AO$62" noThreeD="1" sel="3" val="0"/>
</file>

<file path=xl/ctrlProps/ctrlProp783.xml><?xml version="1.0" encoding="utf-8"?>
<formControlPr xmlns="http://schemas.microsoft.com/office/spreadsheetml/2009/9/main" objectType="Drop" dropLines="15" dropStyle="combo" dx="16" fmlaLink="$H$13" fmlaRange="Rebanho!$AO$45:$AO$62" noThreeD="1" sel="4" val="0"/>
</file>

<file path=xl/ctrlProps/ctrlProp784.xml><?xml version="1.0" encoding="utf-8"?>
<formControlPr xmlns="http://schemas.microsoft.com/office/spreadsheetml/2009/9/main" objectType="Drop" dropLines="15" dropStyle="combo" dx="16" fmlaLink="$H$14" fmlaRange="Rebanho!$AO$45:$AO$62" noThreeD="1" sel="5" val="0"/>
</file>

<file path=xl/ctrlProps/ctrlProp785.xml><?xml version="1.0" encoding="utf-8"?>
<formControlPr xmlns="http://schemas.microsoft.com/office/spreadsheetml/2009/9/main" objectType="Drop" dropLines="15" dropStyle="combo" dx="16" fmlaLink="$H$15" fmlaRange="Rebanho!$AO$45:$AO$62" noThreeD="1" val="0"/>
</file>

<file path=xl/ctrlProps/ctrlProp786.xml><?xml version="1.0" encoding="utf-8"?>
<formControlPr xmlns="http://schemas.microsoft.com/office/spreadsheetml/2009/9/main" objectType="Drop" dropStyle="combo" dx="16" fmlaLink="$C$16" fmlaRange="Dados!$Q$14:$Q$81" noThreeD="1" val="30"/>
</file>

<file path=xl/ctrlProps/ctrlProp787.xml><?xml version="1.0" encoding="utf-8"?>
<formControlPr xmlns="http://schemas.microsoft.com/office/spreadsheetml/2009/9/main" objectType="Drop" dropStyle="combo" dx="16" fmlaLink="$C$17" fmlaRange="Dados!$Q$14:$Q$81" noThreeD="1" val="0"/>
</file>

<file path=xl/ctrlProps/ctrlProp788.xml><?xml version="1.0" encoding="utf-8"?>
<formControlPr xmlns="http://schemas.microsoft.com/office/spreadsheetml/2009/9/main" objectType="Drop" dropStyle="combo" dx="16" fmlaLink="$C$18" fmlaRange="Dados!$Q$14:$Q$81" noThreeD="1" val="0"/>
</file>

<file path=xl/ctrlProps/ctrlProp789.xml><?xml version="1.0" encoding="utf-8"?>
<formControlPr xmlns="http://schemas.microsoft.com/office/spreadsheetml/2009/9/main" objectType="Drop" dropStyle="combo" dx="16" fmlaLink="$C$19" fmlaRange="Dados!$Q$14:$Q$81" noThreeD="1" val="30"/>
</file>

<file path=xl/ctrlProps/ctrlProp79.xml><?xml version="1.0" encoding="utf-8"?>
<formControlPr xmlns="http://schemas.microsoft.com/office/spreadsheetml/2009/9/main" objectType="Drop" dropStyle="combo" dx="16" fmlaLink="$C$52" fmlaRange="Dados!$F$86:$F$129" noThreeD="1" sel="12" val="7"/>
</file>

<file path=xl/ctrlProps/ctrlProp790.xml><?xml version="1.0" encoding="utf-8"?>
<formControlPr xmlns="http://schemas.microsoft.com/office/spreadsheetml/2009/9/main" objectType="Drop" dropStyle="combo" dx="16" fmlaLink="$C$20" fmlaRange="Dados!$Q$14:$Q$81" noThreeD="1" val="0"/>
</file>

<file path=xl/ctrlProps/ctrlProp791.xml><?xml version="1.0" encoding="utf-8"?>
<formControlPr xmlns="http://schemas.microsoft.com/office/spreadsheetml/2009/9/main" objectType="Drop" dropStyle="combo" dx="16" fmlaLink="$C$21" fmlaRange="Dados!$Q$14:$Q$81" noThreeD="1" val="0"/>
</file>

<file path=xl/ctrlProps/ctrlProp792.xml><?xml version="1.0" encoding="utf-8"?>
<formControlPr xmlns="http://schemas.microsoft.com/office/spreadsheetml/2009/9/main" objectType="Drop" dropStyle="combo" dx="16" fmlaLink="$C$22" fmlaRange="Dados!$Q$14:$Q$81" noThreeD="1" val="0"/>
</file>

<file path=xl/ctrlProps/ctrlProp793.xml><?xml version="1.0" encoding="utf-8"?>
<formControlPr xmlns="http://schemas.microsoft.com/office/spreadsheetml/2009/9/main" objectType="Drop" dropStyle="combo" dx="16" fmlaLink="$C$23" fmlaRange="Dados!$Q$14:$Q$81" noThreeD="1" val="0"/>
</file>

<file path=xl/ctrlProps/ctrlProp794.xml><?xml version="1.0" encoding="utf-8"?>
<formControlPr xmlns="http://schemas.microsoft.com/office/spreadsheetml/2009/9/main" objectType="Drop" dropStyle="combo" dx="16" fmlaLink="$C$24" fmlaRange="Dados!$Q$14:$Q$81" noThreeD="1" val="0"/>
</file>

<file path=xl/ctrlProps/ctrlProp795.xml><?xml version="1.0" encoding="utf-8"?>
<formControlPr xmlns="http://schemas.microsoft.com/office/spreadsheetml/2009/9/main" objectType="Drop" dropLines="15" dropStyle="combo" dx="16" fmlaLink="$H$16" fmlaRange="Rebanho!$AO$45:$AO$62" noThreeD="1" val="0"/>
</file>

<file path=xl/ctrlProps/ctrlProp796.xml><?xml version="1.0" encoding="utf-8"?>
<formControlPr xmlns="http://schemas.microsoft.com/office/spreadsheetml/2009/9/main" objectType="Drop" dropLines="15" dropStyle="combo" dx="16" fmlaLink="$H$17" fmlaRange="Rebanho!$AO$45:$AO$62" noThreeD="1" val="3"/>
</file>

<file path=xl/ctrlProps/ctrlProp797.xml><?xml version="1.0" encoding="utf-8"?>
<formControlPr xmlns="http://schemas.microsoft.com/office/spreadsheetml/2009/9/main" objectType="Drop" dropLines="15" dropStyle="combo" dx="16" fmlaLink="$H$18" fmlaRange="Rebanho!$AO$45:$AO$62" noThreeD="1" val="0"/>
</file>

<file path=xl/ctrlProps/ctrlProp798.xml><?xml version="1.0" encoding="utf-8"?>
<formControlPr xmlns="http://schemas.microsoft.com/office/spreadsheetml/2009/9/main" objectType="Drop" dropLines="15" dropStyle="combo" dx="16" fmlaLink="$H$19" fmlaRange="Rebanho!$AO$45:$AO$62" noThreeD="1" val="0"/>
</file>

<file path=xl/ctrlProps/ctrlProp799.xml><?xml version="1.0" encoding="utf-8"?>
<formControlPr xmlns="http://schemas.microsoft.com/office/spreadsheetml/2009/9/main" objectType="Drop" dropLines="15" dropStyle="combo" dx="16" fmlaLink="$H$20" fmlaRange="Rebanho!$AO$45:$AO$62" noThreeD="1" val="0"/>
</file>

<file path=xl/ctrlProps/ctrlProp8.xml><?xml version="1.0" encoding="utf-8"?>
<formControlPr xmlns="http://schemas.microsoft.com/office/spreadsheetml/2009/9/main" objectType="Drop" dropStyle="combo" dx="16" fmlaLink="$H$22" fmlaRange="$AD$15:$AD$39" noThreeD="1" val="0"/>
</file>

<file path=xl/ctrlProps/ctrlProp80.xml><?xml version="1.0" encoding="utf-8"?>
<formControlPr xmlns="http://schemas.microsoft.com/office/spreadsheetml/2009/9/main" objectType="Drop" dropStyle="combo" dx="16" fmlaLink="$C$53" fmlaRange="Dados!$F$86:$F$129" noThreeD="1" sel="11" val="7"/>
</file>

<file path=xl/ctrlProps/ctrlProp800.xml><?xml version="1.0" encoding="utf-8"?>
<formControlPr xmlns="http://schemas.microsoft.com/office/spreadsheetml/2009/9/main" objectType="Drop" dropLines="15" dropStyle="combo" dx="16" fmlaLink="$H$21" fmlaRange="Rebanho!$AO$45:$AO$62" noThreeD="1" val="10"/>
</file>

<file path=xl/ctrlProps/ctrlProp801.xml><?xml version="1.0" encoding="utf-8"?>
<formControlPr xmlns="http://schemas.microsoft.com/office/spreadsheetml/2009/9/main" objectType="Drop" dropLines="15" dropStyle="combo" dx="16" fmlaLink="$H$22" fmlaRange="Rebanho!$AO$45:$AO$62" noThreeD="1" val="0"/>
</file>

<file path=xl/ctrlProps/ctrlProp802.xml><?xml version="1.0" encoding="utf-8"?>
<formControlPr xmlns="http://schemas.microsoft.com/office/spreadsheetml/2009/9/main" objectType="Drop" dropLines="15" dropStyle="combo" dx="16" fmlaLink="$H$23" fmlaRange="Rebanho!$AO$45:$AO$62" noThreeD="1" val="0"/>
</file>

<file path=xl/ctrlProps/ctrlProp803.xml><?xml version="1.0" encoding="utf-8"?>
<formControlPr xmlns="http://schemas.microsoft.com/office/spreadsheetml/2009/9/main" objectType="Drop" dropLines="15" dropStyle="combo" dx="16" fmlaLink="$H$24" fmlaRange="Rebanho!$AO$45:$AO$62" noThreeD="1" val="4"/>
</file>

<file path=xl/ctrlProps/ctrlProp804.xml><?xml version="1.0" encoding="utf-8"?>
<formControlPr xmlns="http://schemas.microsoft.com/office/spreadsheetml/2009/9/main" objectType="Drop" dropStyle="combo" dx="16" fmlaLink="$S$16" fmlaRange="Rebanho!$AH$45:$AH$69" noThreeD="1" val="5"/>
</file>

<file path=xl/ctrlProps/ctrlProp805.xml><?xml version="1.0" encoding="utf-8"?>
<formControlPr xmlns="http://schemas.microsoft.com/office/spreadsheetml/2009/9/main" objectType="Drop" dropStyle="combo" dx="16" fmlaLink="$S$17" fmlaRange="Rebanho!$AH$45:$AH$69" noThreeD="1" val="5"/>
</file>

<file path=xl/ctrlProps/ctrlProp806.xml><?xml version="1.0" encoding="utf-8"?>
<formControlPr xmlns="http://schemas.microsoft.com/office/spreadsheetml/2009/9/main" objectType="Drop" dropStyle="combo" dx="16" fmlaLink="$S$18" fmlaRange="Rebanho!$AH$45:$AH$69" noThreeD="1" val="5"/>
</file>

<file path=xl/ctrlProps/ctrlProp807.xml><?xml version="1.0" encoding="utf-8"?>
<formControlPr xmlns="http://schemas.microsoft.com/office/spreadsheetml/2009/9/main" objectType="Drop" dropStyle="combo" dx="16" fmlaLink="$S$19" fmlaRange="Rebanho!$AH$45:$AH$69" noThreeD="1" val="5"/>
</file>

<file path=xl/ctrlProps/ctrlProp808.xml><?xml version="1.0" encoding="utf-8"?>
<formControlPr xmlns="http://schemas.microsoft.com/office/spreadsheetml/2009/9/main" objectType="Drop" dropStyle="combo" dx="16" fmlaLink="$S$20" fmlaRange="Rebanho!$AH$45:$AH$69" noThreeD="1" val="5"/>
</file>

<file path=xl/ctrlProps/ctrlProp809.xml><?xml version="1.0" encoding="utf-8"?>
<formControlPr xmlns="http://schemas.microsoft.com/office/spreadsheetml/2009/9/main" objectType="Drop" dropStyle="combo" dx="16" fmlaLink="$S$21" fmlaRange="Rebanho!$AH$45:$AH$69" noThreeD="1" val="5"/>
</file>

<file path=xl/ctrlProps/ctrlProp81.xml><?xml version="1.0" encoding="utf-8"?>
<formControlPr xmlns="http://schemas.microsoft.com/office/spreadsheetml/2009/9/main" objectType="Drop" dropStyle="combo" dx="16" fmlaLink="$C$54" fmlaRange="Dados!$F$86:$F$129" noThreeD="1" sel="4" val="2"/>
</file>

<file path=xl/ctrlProps/ctrlProp810.xml><?xml version="1.0" encoding="utf-8"?>
<formControlPr xmlns="http://schemas.microsoft.com/office/spreadsheetml/2009/9/main" objectType="Drop" dropStyle="combo" dx="16" fmlaLink="$S$22" fmlaRange="Rebanho!$AH$45:$AH$69" noThreeD="1" val="5"/>
</file>

<file path=xl/ctrlProps/ctrlProp811.xml><?xml version="1.0" encoding="utf-8"?>
<formControlPr xmlns="http://schemas.microsoft.com/office/spreadsheetml/2009/9/main" objectType="Drop" dropStyle="combo" dx="16" fmlaLink="$S$23" fmlaRange="Rebanho!$AH$45:$AH$69" noThreeD="1" val="12"/>
</file>

<file path=xl/ctrlProps/ctrlProp812.xml><?xml version="1.0" encoding="utf-8"?>
<formControlPr xmlns="http://schemas.microsoft.com/office/spreadsheetml/2009/9/main" objectType="Drop" dropStyle="combo" dx="16" fmlaLink="$S$24" fmlaRange="Rebanho!$AH$45:$AH$69" noThreeD="1" val="12"/>
</file>

<file path=xl/ctrlProps/ctrlProp813.xml><?xml version="1.0" encoding="utf-8"?>
<formControlPr xmlns="http://schemas.microsoft.com/office/spreadsheetml/2009/9/main" objectType="Drop" dropStyle="combo" dx="16" fmlaLink="$T$16" fmlaRange="Rebanho!$AH$45:$AH$69" noThreeD="1" val="12"/>
</file>

<file path=xl/ctrlProps/ctrlProp814.xml><?xml version="1.0" encoding="utf-8"?>
<formControlPr xmlns="http://schemas.microsoft.com/office/spreadsheetml/2009/9/main" objectType="Drop" dropStyle="combo" dx="16" fmlaLink="$T$17" fmlaRange="Rebanho!$AH$45:$AH$69" noThreeD="1" val="5"/>
</file>

<file path=xl/ctrlProps/ctrlProp815.xml><?xml version="1.0" encoding="utf-8"?>
<formControlPr xmlns="http://schemas.microsoft.com/office/spreadsheetml/2009/9/main" objectType="Drop" dropStyle="combo" dx="16" fmlaLink="$T$18" fmlaRange="Rebanho!$AH$45:$AH$69" noThreeD="1" val="5"/>
</file>

<file path=xl/ctrlProps/ctrlProp816.xml><?xml version="1.0" encoding="utf-8"?>
<formControlPr xmlns="http://schemas.microsoft.com/office/spreadsheetml/2009/9/main" objectType="Drop" dropStyle="combo" dx="16" fmlaLink="$T$19" fmlaRange="Rebanho!$AH$45:$AH$69" noThreeD="1" val="5"/>
</file>

<file path=xl/ctrlProps/ctrlProp817.xml><?xml version="1.0" encoding="utf-8"?>
<formControlPr xmlns="http://schemas.microsoft.com/office/spreadsheetml/2009/9/main" objectType="Drop" dropStyle="combo" dx="16" fmlaLink="$T$20" fmlaRange="Rebanho!$AH$45:$AH$69" noThreeD="1" val="5"/>
</file>

<file path=xl/ctrlProps/ctrlProp818.xml><?xml version="1.0" encoding="utf-8"?>
<formControlPr xmlns="http://schemas.microsoft.com/office/spreadsheetml/2009/9/main" objectType="Drop" dropStyle="combo" dx="16" fmlaLink="$T$21" fmlaRange="Rebanho!$AH$45:$AH$69" noThreeD="1" val="5"/>
</file>

<file path=xl/ctrlProps/ctrlProp819.xml><?xml version="1.0" encoding="utf-8"?>
<formControlPr xmlns="http://schemas.microsoft.com/office/spreadsheetml/2009/9/main" objectType="Drop" dropStyle="combo" dx="16" fmlaLink="$T$22" fmlaRange="Rebanho!$AH$45:$AH$69" noThreeD="1" val="5"/>
</file>

<file path=xl/ctrlProps/ctrlProp82.xml><?xml version="1.0" encoding="utf-8"?>
<formControlPr xmlns="http://schemas.microsoft.com/office/spreadsheetml/2009/9/main" objectType="Drop" dropStyle="combo" dx="16" fmlaLink="$C$55" fmlaRange="Dados!$F$86:$F$129" noThreeD="1" sel="24" val="18"/>
</file>

<file path=xl/ctrlProps/ctrlProp820.xml><?xml version="1.0" encoding="utf-8"?>
<formControlPr xmlns="http://schemas.microsoft.com/office/spreadsheetml/2009/9/main" objectType="Drop" dropStyle="combo" dx="16" fmlaLink="$T$23" fmlaRange="Rebanho!$AH$45:$AH$69" noThreeD="1" val="5"/>
</file>

<file path=xl/ctrlProps/ctrlProp821.xml><?xml version="1.0" encoding="utf-8"?>
<formControlPr xmlns="http://schemas.microsoft.com/office/spreadsheetml/2009/9/main" objectType="Drop" dropStyle="combo" dx="16" fmlaLink="$T$24" fmlaRange="Rebanho!$AH$45:$AH$69" noThreeD="1" val="12"/>
</file>

<file path=xl/ctrlProps/ctrlProp822.xml><?xml version="1.0" encoding="utf-8"?>
<formControlPr xmlns="http://schemas.microsoft.com/office/spreadsheetml/2009/9/main" objectType="Drop" dropStyle="combo" dx="16" fmlaLink="$C$24" fmlaRange="Dados!$Q$14:$Q$81" noThreeD="1" val="34"/>
</file>

<file path=xl/ctrlProps/ctrlProp823.xml><?xml version="1.0" encoding="utf-8"?>
<formControlPr xmlns="http://schemas.microsoft.com/office/spreadsheetml/2009/9/main" objectType="Drop" dropStyle="combo" dx="16" fmlaLink="$C$24" fmlaRange="Dados!$Q$14:$Q$81" noThreeD="1" val="0"/>
</file>

<file path=xl/ctrlProps/ctrlProp824.xml><?xml version="1.0" encoding="utf-8"?>
<formControlPr xmlns="http://schemas.microsoft.com/office/spreadsheetml/2009/9/main" objectType="Drop" dropLines="15" dropStyle="combo" dx="16" fmlaLink="$H$25" fmlaRange="Rebanho!$AO$45:$AO$62" noThreeD="1" val="4"/>
</file>

<file path=xl/ctrlProps/ctrlProp825.xml><?xml version="1.0" encoding="utf-8"?>
<formControlPr xmlns="http://schemas.microsoft.com/office/spreadsheetml/2009/9/main" objectType="Drop" dropStyle="combo" dx="16" fmlaLink="$S$25" fmlaRange="Rebanho!$AH$45:$AH$69" noThreeD="1" val="12"/>
</file>

<file path=xl/ctrlProps/ctrlProp826.xml><?xml version="1.0" encoding="utf-8"?>
<formControlPr xmlns="http://schemas.microsoft.com/office/spreadsheetml/2009/9/main" objectType="Drop" dropStyle="combo" dx="16" fmlaLink="$T$25" fmlaRange="Rebanho!$AH$45:$AH$69" noThreeD="1" val="12"/>
</file>

<file path=xl/ctrlProps/ctrlProp827.xml><?xml version="1.0" encoding="utf-8"?>
<formControlPr xmlns="http://schemas.microsoft.com/office/spreadsheetml/2009/9/main" objectType="Drop" dropStyle="combo" dx="16" fmlaLink="$C$25" fmlaRange="Dados!$Q$14:$Q$81" noThreeD="1" val="0"/>
</file>

<file path=xl/ctrlProps/ctrlProp828.xml><?xml version="1.0" encoding="utf-8"?>
<formControlPr xmlns="http://schemas.microsoft.com/office/spreadsheetml/2009/9/main" objectType="Drop" dropStyle="combo" dx="16" fmlaLink="$C$24" fmlaRange="Dados!$Q$14:$Q$81" noThreeD="1" val="0"/>
</file>

<file path=xl/ctrlProps/ctrlProp829.xml><?xml version="1.0" encoding="utf-8"?>
<formControlPr xmlns="http://schemas.microsoft.com/office/spreadsheetml/2009/9/main" objectType="Drop" dropLines="15" dropStyle="combo" dx="16" fmlaLink="$H$26" fmlaRange="Rebanho!$AO$45:$AO$62" noThreeD="1" val="4"/>
</file>

<file path=xl/ctrlProps/ctrlProp83.xml><?xml version="1.0" encoding="utf-8"?>
<formControlPr xmlns="http://schemas.microsoft.com/office/spreadsheetml/2009/9/main" objectType="Drop" dropStyle="combo" dx="16" fmlaLink="$C$56" fmlaRange="Dados!$F$86:$F$129" noThreeD="1" sel="18" val="12"/>
</file>

<file path=xl/ctrlProps/ctrlProp830.xml><?xml version="1.0" encoding="utf-8"?>
<formControlPr xmlns="http://schemas.microsoft.com/office/spreadsheetml/2009/9/main" objectType="Drop" dropStyle="combo" dx="16" fmlaLink="$S$26" fmlaRange="Rebanho!$AH$45:$AH$69" noThreeD="1" val="12"/>
</file>

<file path=xl/ctrlProps/ctrlProp831.xml><?xml version="1.0" encoding="utf-8"?>
<formControlPr xmlns="http://schemas.microsoft.com/office/spreadsheetml/2009/9/main" objectType="Drop" dropStyle="combo" dx="16" fmlaLink="$T$26" fmlaRange="Rebanho!$AH$45:$AH$69" noThreeD="1" val="12"/>
</file>

<file path=xl/ctrlProps/ctrlProp832.xml><?xml version="1.0" encoding="utf-8"?>
<formControlPr xmlns="http://schemas.microsoft.com/office/spreadsheetml/2009/9/main" objectType="Drop" dropStyle="combo" dx="16" fmlaLink="$C$23" fmlaRange="Dados!$Q$14:$Q$81" noThreeD="1" val="0"/>
</file>

<file path=xl/ctrlProps/ctrlProp833.xml><?xml version="1.0" encoding="utf-8"?>
<formControlPr xmlns="http://schemas.microsoft.com/office/spreadsheetml/2009/9/main" objectType="Drop" dropStyle="combo" dx="16" fmlaLink="$C$26" fmlaRange="Dados!$Q$14:$Q$81" noThreeD="1" val="0"/>
</file>

<file path=xl/ctrlProps/ctrlProp834.xml><?xml version="1.0" encoding="utf-8"?>
<formControlPr xmlns="http://schemas.microsoft.com/office/spreadsheetml/2009/9/main" objectType="Drop" dropStyle="combo" dx="16" fmlaLink="$C$24" fmlaRange="Dados!$Q$14:$Q$81" noThreeD="1" val="0"/>
</file>

<file path=xl/ctrlProps/ctrlProp835.xml><?xml version="1.0" encoding="utf-8"?>
<formControlPr xmlns="http://schemas.microsoft.com/office/spreadsheetml/2009/9/main" objectType="Drop" dropLines="15" dropStyle="combo" dx="16" fmlaLink="$H$27" fmlaRange="Rebanho!$AO$45:$AO$62" noThreeD="1" val="4"/>
</file>

<file path=xl/ctrlProps/ctrlProp836.xml><?xml version="1.0" encoding="utf-8"?>
<formControlPr xmlns="http://schemas.microsoft.com/office/spreadsheetml/2009/9/main" objectType="Drop" dropStyle="combo" dx="16" fmlaLink="$S$27" fmlaRange="Rebanho!$AH$45:$AH$69" noThreeD="1" val="12"/>
</file>

<file path=xl/ctrlProps/ctrlProp837.xml><?xml version="1.0" encoding="utf-8"?>
<formControlPr xmlns="http://schemas.microsoft.com/office/spreadsheetml/2009/9/main" objectType="Drop" dropStyle="combo" dx="16" fmlaLink="$T$27" fmlaRange="Rebanho!$AH$45:$AH$69" noThreeD="1" val="12"/>
</file>

<file path=xl/ctrlProps/ctrlProp838.xml><?xml version="1.0" encoding="utf-8"?>
<formControlPr xmlns="http://schemas.microsoft.com/office/spreadsheetml/2009/9/main" objectType="Drop" dropStyle="combo" dx="16" fmlaLink="$C$23" fmlaRange="Dados!$Q$14:$Q$81" noThreeD="1" val="0"/>
</file>

<file path=xl/ctrlProps/ctrlProp839.xml><?xml version="1.0" encoding="utf-8"?>
<formControlPr xmlns="http://schemas.microsoft.com/office/spreadsheetml/2009/9/main" objectType="Drop" dropStyle="combo" dx="16" fmlaLink="$C$27" fmlaRange="Dados!$Q$14:$Q$81" noThreeD="1" val="0"/>
</file>

<file path=xl/ctrlProps/ctrlProp84.xml><?xml version="1.0" encoding="utf-8"?>
<formControlPr xmlns="http://schemas.microsoft.com/office/spreadsheetml/2009/9/main" objectType="Drop" dropStyle="combo" dx="16" fmlaLink="$C$57" fmlaRange="Dados!$F$86:$F$129" noThreeD="1" sel="17" val="16"/>
</file>

<file path=xl/ctrlProps/ctrlProp840.xml><?xml version="1.0" encoding="utf-8"?>
<formControlPr xmlns="http://schemas.microsoft.com/office/spreadsheetml/2009/9/main" objectType="Drop" dropStyle="combo" dx="16" fmlaLink="$C$24" fmlaRange="Dados!$Q$14:$Q$81" noThreeD="1" val="0"/>
</file>

<file path=xl/ctrlProps/ctrlProp841.xml><?xml version="1.0" encoding="utf-8"?>
<formControlPr xmlns="http://schemas.microsoft.com/office/spreadsheetml/2009/9/main" objectType="Drop" dropLines="15" dropStyle="combo" dx="16" fmlaLink="$H$28" fmlaRange="Rebanho!$AO$45:$AO$62" noThreeD="1" val="4"/>
</file>

<file path=xl/ctrlProps/ctrlProp842.xml><?xml version="1.0" encoding="utf-8"?>
<formControlPr xmlns="http://schemas.microsoft.com/office/spreadsheetml/2009/9/main" objectType="Drop" dropStyle="combo" dx="16" fmlaLink="$S$28" fmlaRange="Rebanho!$AH$45:$AH$69" noThreeD="1" val="12"/>
</file>

<file path=xl/ctrlProps/ctrlProp843.xml><?xml version="1.0" encoding="utf-8"?>
<formControlPr xmlns="http://schemas.microsoft.com/office/spreadsheetml/2009/9/main" objectType="Drop" dropStyle="combo" dx="16" fmlaLink="$T$28" fmlaRange="Rebanho!$AH$45:$AH$69" noThreeD="1" val="12"/>
</file>

<file path=xl/ctrlProps/ctrlProp844.xml><?xml version="1.0" encoding="utf-8"?>
<formControlPr xmlns="http://schemas.microsoft.com/office/spreadsheetml/2009/9/main" objectType="Drop" dropStyle="combo" dx="16" fmlaLink="$C$23" fmlaRange="Dados!$Q$14:$Q$81" noThreeD="1" val="0"/>
</file>

<file path=xl/ctrlProps/ctrlProp845.xml><?xml version="1.0" encoding="utf-8"?>
<formControlPr xmlns="http://schemas.microsoft.com/office/spreadsheetml/2009/9/main" objectType="Drop" dropStyle="combo" dx="16" fmlaLink="$C$28" fmlaRange="Dados!$Q$14:$Q$81" noThreeD="1" val="0"/>
</file>

<file path=xl/ctrlProps/ctrlProp846.xml><?xml version="1.0" encoding="utf-8"?>
<formControlPr xmlns="http://schemas.microsoft.com/office/spreadsheetml/2009/9/main" objectType="Drop" dropStyle="combo" dx="16" fmlaLink="$C$24" fmlaRange="Dados!$Q$14:$Q$81" noThreeD="1" val="0"/>
</file>

<file path=xl/ctrlProps/ctrlProp847.xml><?xml version="1.0" encoding="utf-8"?>
<formControlPr xmlns="http://schemas.microsoft.com/office/spreadsheetml/2009/9/main" objectType="Drop" dropLines="15" dropStyle="combo" dx="16" fmlaLink="$H$29" fmlaRange="Rebanho!$AO$45:$AO$62" noThreeD="1" val="0"/>
</file>

<file path=xl/ctrlProps/ctrlProp848.xml><?xml version="1.0" encoding="utf-8"?>
<formControlPr xmlns="http://schemas.microsoft.com/office/spreadsheetml/2009/9/main" objectType="Drop" dropStyle="combo" dx="16" fmlaLink="$S$29" fmlaRange="Rebanho!$AH$45:$AH$69" noThreeD="1" val="12"/>
</file>

<file path=xl/ctrlProps/ctrlProp849.xml><?xml version="1.0" encoding="utf-8"?>
<formControlPr xmlns="http://schemas.microsoft.com/office/spreadsheetml/2009/9/main" objectType="Drop" dropStyle="combo" dx="16" fmlaLink="$T$29" fmlaRange="Rebanho!$AH$45:$AH$69" noThreeD="1" val="12"/>
</file>

<file path=xl/ctrlProps/ctrlProp85.xml><?xml version="1.0" encoding="utf-8"?>
<formControlPr xmlns="http://schemas.microsoft.com/office/spreadsheetml/2009/9/main" objectType="Drop" dropStyle="combo" dx="16" fmlaLink="$C$58" fmlaRange="Dados!$F$86:$F$129" noThreeD="1" sel="3" val="2"/>
</file>

<file path=xl/ctrlProps/ctrlProp850.xml><?xml version="1.0" encoding="utf-8"?>
<formControlPr xmlns="http://schemas.microsoft.com/office/spreadsheetml/2009/9/main" objectType="Drop" dropStyle="combo" dx="16" fmlaLink="$C$23" fmlaRange="Dados!$Q$14:$Q$81" noThreeD="1" val="0"/>
</file>

<file path=xl/ctrlProps/ctrlProp851.xml><?xml version="1.0" encoding="utf-8"?>
<formControlPr xmlns="http://schemas.microsoft.com/office/spreadsheetml/2009/9/main" objectType="Drop" dropStyle="combo" dx="16" fmlaLink="$C$29" fmlaRange="Dados!$Q$14:$Q$81" noThreeD="1" val="0"/>
</file>

<file path=xl/ctrlProps/ctrlProp852.xml><?xml version="1.0" encoding="utf-8"?>
<formControlPr xmlns="http://schemas.microsoft.com/office/spreadsheetml/2009/9/main" objectType="Drop" dropStyle="combo" dx="16" fmlaLink="$C$24" fmlaRange="Dados!$Q$14:$Q$81" noThreeD="1" val="0"/>
</file>

<file path=xl/ctrlProps/ctrlProp853.xml><?xml version="1.0" encoding="utf-8"?>
<formControlPr xmlns="http://schemas.microsoft.com/office/spreadsheetml/2009/9/main" objectType="Drop" dropLines="15" dropStyle="combo" dx="16" fmlaLink="$H$30" fmlaRange="Rebanho!$AO$45:$AO$62" noThreeD="1" val="4"/>
</file>

<file path=xl/ctrlProps/ctrlProp854.xml><?xml version="1.0" encoding="utf-8"?>
<formControlPr xmlns="http://schemas.microsoft.com/office/spreadsheetml/2009/9/main" objectType="Drop" dropStyle="combo" dx="16" fmlaLink="$S$30" fmlaRange="Rebanho!$AH$45:$AH$69" noThreeD="1" val="12"/>
</file>

<file path=xl/ctrlProps/ctrlProp855.xml><?xml version="1.0" encoding="utf-8"?>
<formControlPr xmlns="http://schemas.microsoft.com/office/spreadsheetml/2009/9/main" objectType="Drop" dropStyle="combo" dx="16" fmlaLink="$T$30" fmlaRange="Rebanho!$AH$45:$AH$69" noThreeD="1" val="12"/>
</file>

<file path=xl/ctrlProps/ctrlProp856.xml><?xml version="1.0" encoding="utf-8"?>
<formControlPr xmlns="http://schemas.microsoft.com/office/spreadsheetml/2009/9/main" objectType="Drop" dropStyle="combo" dx="16" fmlaLink="$C$23" fmlaRange="Dados!$Q$14:$Q$81" noThreeD="1" val="0"/>
</file>

<file path=xl/ctrlProps/ctrlProp857.xml><?xml version="1.0" encoding="utf-8"?>
<formControlPr xmlns="http://schemas.microsoft.com/office/spreadsheetml/2009/9/main" objectType="Drop" dropStyle="combo" dx="16" fmlaLink="$C$30" fmlaRange="Dados!$Q$14:$Q$81" noThreeD="1" val="0"/>
</file>

<file path=xl/ctrlProps/ctrlProp858.xml><?xml version="1.0" encoding="utf-8"?>
<formControlPr xmlns="http://schemas.microsoft.com/office/spreadsheetml/2009/9/main" objectType="Drop" dropStyle="combo" dx="16" fmlaLink="$C$24" fmlaRange="Dados!$Q$14:$Q$81" noThreeD="1" val="0"/>
</file>

<file path=xl/ctrlProps/ctrlProp859.xml><?xml version="1.0" encoding="utf-8"?>
<formControlPr xmlns="http://schemas.microsoft.com/office/spreadsheetml/2009/9/main" objectType="Drop" dropLines="15" dropStyle="combo" dx="16" fmlaLink="$H$34" fmlaRange="Rebanho!$AO$45:$AO$62" noThreeD="1" val="4"/>
</file>

<file path=xl/ctrlProps/ctrlProp86.xml><?xml version="1.0" encoding="utf-8"?>
<formControlPr xmlns="http://schemas.microsoft.com/office/spreadsheetml/2009/9/main" objectType="Drop" dropStyle="combo" dx="16" fmlaLink="$C$59" fmlaRange="Dados!$F$86:$F$129" noThreeD="1" sel="4" val="2"/>
</file>

<file path=xl/ctrlProps/ctrlProp860.xml><?xml version="1.0" encoding="utf-8"?>
<formControlPr xmlns="http://schemas.microsoft.com/office/spreadsheetml/2009/9/main" objectType="Drop" dropStyle="combo" dx="16" fmlaLink="$S$34" fmlaRange="Rebanho!$AH$45:$AH$69" noThreeD="1" val="12"/>
</file>

<file path=xl/ctrlProps/ctrlProp861.xml><?xml version="1.0" encoding="utf-8"?>
<formControlPr xmlns="http://schemas.microsoft.com/office/spreadsheetml/2009/9/main" objectType="Drop" dropStyle="combo" dx="16" fmlaLink="$T$35" fmlaRange="Rebanho!$AH$45:$AH$69" noThreeD="1" val="12"/>
</file>

<file path=xl/ctrlProps/ctrlProp862.xml><?xml version="1.0" encoding="utf-8"?>
<formControlPr xmlns="http://schemas.microsoft.com/office/spreadsheetml/2009/9/main" objectType="Drop" dropStyle="combo" dx="16" fmlaLink="$C$23" fmlaRange="Dados!$Q$14:$Q$81" noThreeD="1" val="0"/>
</file>

<file path=xl/ctrlProps/ctrlProp863.xml><?xml version="1.0" encoding="utf-8"?>
<formControlPr xmlns="http://schemas.microsoft.com/office/spreadsheetml/2009/9/main" objectType="Drop" dropStyle="combo" dx="16" fmlaLink="$C$34" fmlaRange="Dados!$Q$14:$Q$81" noThreeD="1" val="0"/>
</file>

<file path=xl/ctrlProps/ctrlProp864.xml><?xml version="1.0" encoding="utf-8"?>
<formControlPr xmlns="http://schemas.microsoft.com/office/spreadsheetml/2009/9/main" objectType="Drop" dropStyle="combo" dx="16" fmlaLink="$C$24" fmlaRange="Dados!$Q$14:$Q$81" noThreeD="1" val="0"/>
</file>

<file path=xl/ctrlProps/ctrlProp865.xml><?xml version="1.0" encoding="utf-8"?>
<formControlPr xmlns="http://schemas.microsoft.com/office/spreadsheetml/2009/9/main" objectType="Drop" dropLines="15" dropStyle="combo" dx="16" fmlaLink="$H$35" fmlaRange="Rebanho!$AO$45:$AO$62" noThreeD="1" val="4"/>
</file>

<file path=xl/ctrlProps/ctrlProp866.xml><?xml version="1.0" encoding="utf-8"?>
<formControlPr xmlns="http://schemas.microsoft.com/office/spreadsheetml/2009/9/main" objectType="Drop" dropStyle="combo" dx="16" fmlaLink="$S$35" fmlaRange="Rebanho!$AH$45:$AH$69" noThreeD="1" val="12"/>
</file>

<file path=xl/ctrlProps/ctrlProp867.xml><?xml version="1.0" encoding="utf-8"?>
<formControlPr xmlns="http://schemas.microsoft.com/office/spreadsheetml/2009/9/main" objectType="Drop" dropStyle="combo" dx="16" fmlaLink="$T$35" fmlaRange="Rebanho!$AH$45:$AH$69" noThreeD="1" val="12"/>
</file>

<file path=xl/ctrlProps/ctrlProp868.xml><?xml version="1.0" encoding="utf-8"?>
<formControlPr xmlns="http://schemas.microsoft.com/office/spreadsheetml/2009/9/main" objectType="Drop" dropStyle="combo" dx="16" fmlaLink="$C$23" fmlaRange="Dados!$Q$14:$Q$81" noThreeD="1" val="0"/>
</file>

<file path=xl/ctrlProps/ctrlProp869.xml><?xml version="1.0" encoding="utf-8"?>
<formControlPr xmlns="http://schemas.microsoft.com/office/spreadsheetml/2009/9/main" objectType="Drop" dropStyle="combo" dx="16" fmlaLink="$C$35" fmlaRange="Dados!$Q$14:$Q$81" noThreeD="1" val="0"/>
</file>

<file path=xl/ctrlProps/ctrlProp87.xml><?xml version="1.0" encoding="utf-8"?>
<formControlPr xmlns="http://schemas.microsoft.com/office/spreadsheetml/2009/9/main" objectType="Drop" dropStyle="combo" dx="16" fmlaLink="$C$60" fmlaRange="Dados!$F$86:$F$129" noThreeD="1" val="0"/>
</file>

<file path=xl/ctrlProps/ctrlProp870.xml><?xml version="1.0" encoding="utf-8"?>
<formControlPr xmlns="http://schemas.microsoft.com/office/spreadsheetml/2009/9/main" objectType="Drop" dropStyle="combo" dx="16" fmlaLink="$C$24" fmlaRange="Dados!$Q$14:$Q$81" noThreeD="1" val="0"/>
</file>

<file path=xl/ctrlProps/ctrlProp871.xml><?xml version="1.0" encoding="utf-8"?>
<formControlPr xmlns="http://schemas.microsoft.com/office/spreadsheetml/2009/9/main" objectType="Drop" dropLines="15" dropStyle="combo" dx="16" fmlaLink="$H$36" fmlaRange="Rebanho!$AO$45:$AO$62" noThreeD="1" val="4"/>
</file>

<file path=xl/ctrlProps/ctrlProp872.xml><?xml version="1.0" encoding="utf-8"?>
<formControlPr xmlns="http://schemas.microsoft.com/office/spreadsheetml/2009/9/main" objectType="Drop" dropStyle="combo" dx="16" fmlaLink="$S$36" fmlaRange="Rebanho!$AH$45:$AH$69" noThreeD="1" val="12"/>
</file>

<file path=xl/ctrlProps/ctrlProp873.xml><?xml version="1.0" encoding="utf-8"?>
<formControlPr xmlns="http://schemas.microsoft.com/office/spreadsheetml/2009/9/main" objectType="Drop" dropStyle="combo" dx="16" fmlaLink="$T$36" fmlaRange="Rebanho!$AH$45:$AH$69" noThreeD="1" val="12"/>
</file>

<file path=xl/ctrlProps/ctrlProp874.xml><?xml version="1.0" encoding="utf-8"?>
<formControlPr xmlns="http://schemas.microsoft.com/office/spreadsheetml/2009/9/main" objectType="Drop" dropStyle="combo" dx="16" fmlaLink="$C$23" fmlaRange="Dados!$Q$14:$Q$81" noThreeD="1" val="0"/>
</file>

<file path=xl/ctrlProps/ctrlProp875.xml><?xml version="1.0" encoding="utf-8"?>
<formControlPr xmlns="http://schemas.microsoft.com/office/spreadsheetml/2009/9/main" objectType="Drop" dropStyle="combo" dx="16" fmlaLink="$C$36" fmlaRange="Dados!$Q$14:$Q$81" noThreeD="1" val="0"/>
</file>

<file path=xl/ctrlProps/ctrlProp876.xml><?xml version="1.0" encoding="utf-8"?>
<formControlPr xmlns="http://schemas.microsoft.com/office/spreadsheetml/2009/9/main" objectType="Drop" dropStyle="combo" dx="16" fmlaLink="$C$24" fmlaRange="Dados!$Q$14:$Q$81" noThreeD="1" val="0"/>
</file>

<file path=xl/ctrlProps/ctrlProp877.xml><?xml version="1.0" encoding="utf-8"?>
<formControlPr xmlns="http://schemas.microsoft.com/office/spreadsheetml/2009/9/main" objectType="Drop" dropLines="15" dropStyle="combo" dx="16" fmlaLink="$H$37" fmlaRange="Rebanho!$AO$45:$AO$62" noThreeD="1" val="3"/>
</file>

<file path=xl/ctrlProps/ctrlProp878.xml><?xml version="1.0" encoding="utf-8"?>
<formControlPr xmlns="http://schemas.microsoft.com/office/spreadsheetml/2009/9/main" objectType="Drop" dropStyle="combo" dx="16" fmlaLink="$S$37" fmlaRange="Rebanho!$AH$45:$AH$69" noThreeD="1" val="12"/>
</file>

<file path=xl/ctrlProps/ctrlProp879.xml><?xml version="1.0" encoding="utf-8"?>
<formControlPr xmlns="http://schemas.microsoft.com/office/spreadsheetml/2009/9/main" objectType="Drop" dropStyle="combo" dx="16" fmlaLink="$T$37" fmlaRange="Rebanho!$AH$45:$AH$69" noThreeD="1" val="12"/>
</file>

<file path=xl/ctrlProps/ctrlProp88.xml><?xml version="1.0" encoding="utf-8"?>
<formControlPr xmlns="http://schemas.microsoft.com/office/spreadsheetml/2009/9/main" objectType="Drop" dropStyle="combo" dx="16" fmlaLink="$C$61" fmlaRange="Dados!$F$86:$F$129" noThreeD="1" val="17"/>
</file>

<file path=xl/ctrlProps/ctrlProp880.xml><?xml version="1.0" encoding="utf-8"?>
<formControlPr xmlns="http://schemas.microsoft.com/office/spreadsheetml/2009/9/main" objectType="Drop" dropStyle="combo" dx="16" fmlaLink="$C$23" fmlaRange="Dados!$Q$14:$Q$81" noThreeD="1" val="0"/>
</file>

<file path=xl/ctrlProps/ctrlProp881.xml><?xml version="1.0" encoding="utf-8"?>
<formControlPr xmlns="http://schemas.microsoft.com/office/spreadsheetml/2009/9/main" objectType="Drop" dropStyle="combo" dx="16" fmlaLink="$C$37" fmlaRange="Dados!$Q$14:$Q$81" noThreeD="1" val="0"/>
</file>

<file path=xl/ctrlProps/ctrlProp882.xml><?xml version="1.0" encoding="utf-8"?>
<formControlPr xmlns="http://schemas.microsoft.com/office/spreadsheetml/2009/9/main" objectType="Drop" dropStyle="combo" dx="16" fmlaLink="$C$24" fmlaRange="Dados!$Q$14:$Q$81" noThreeD="1" val="0"/>
</file>

<file path=xl/ctrlProps/ctrlProp883.xml><?xml version="1.0" encoding="utf-8"?>
<formControlPr xmlns="http://schemas.microsoft.com/office/spreadsheetml/2009/9/main" objectType="Drop" dropLines="15" dropStyle="combo" dx="16" fmlaLink="$H$38" fmlaRange="Rebanho!$AO$45:$AO$62" noThreeD="1" val="4"/>
</file>

<file path=xl/ctrlProps/ctrlProp884.xml><?xml version="1.0" encoding="utf-8"?>
<formControlPr xmlns="http://schemas.microsoft.com/office/spreadsheetml/2009/9/main" objectType="Drop" dropStyle="combo" dx="16" fmlaLink="$S$38" fmlaRange="Rebanho!$AH$45:$AH$69" noThreeD="1" val="12"/>
</file>

<file path=xl/ctrlProps/ctrlProp885.xml><?xml version="1.0" encoding="utf-8"?>
<formControlPr xmlns="http://schemas.microsoft.com/office/spreadsheetml/2009/9/main" objectType="Drop" dropStyle="combo" dx="16" fmlaLink="$T$38" fmlaRange="Rebanho!$AH$45:$AH$69" noThreeD="1" val="12"/>
</file>

<file path=xl/ctrlProps/ctrlProp886.xml><?xml version="1.0" encoding="utf-8"?>
<formControlPr xmlns="http://schemas.microsoft.com/office/spreadsheetml/2009/9/main" objectType="Drop" dropStyle="combo" dx="16" fmlaLink="$C$23" fmlaRange="Dados!$Q$14:$Q$81" noThreeD="1" val="0"/>
</file>

<file path=xl/ctrlProps/ctrlProp887.xml><?xml version="1.0" encoding="utf-8"?>
<formControlPr xmlns="http://schemas.microsoft.com/office/spreadsheetml/2009/9/main" objectType="Drop" dropStyle="combo" dx="16" fmlaLink="$C$38" fmlaRange="Dados!$Q$14:$Q$81" noThreeD="1" val="0"/>
</file>

<file path=xl/ctrlProps/ctrlProp888.xml><?xml version="1.0" encoding="utf-8"?>
<formControlPr xmlns="http://schemas.microsoft.com/office/spreadsheetml/2009/9/main" objectType="Drop" dropStyle="combo" dx="16" fmlaLink="$C$24" fmlaRange="Dados!$Q$14:$Q$81" noThreeD="1" val="0"/>
</file>

<file path=xl/ctrlProps/ctrlProp889.xml><?xml version="1.0" encoding="utf-8"?>
<formControlPr xmlns="http://schemas.microsoft.com/office/spreadsheetml/2009/9/main" objectType="Drop" dropLines="15" dropStyle="combo" dx="16" fmlaLink="$H$39" fmlaRange="Rebanho!$AO$45:$AO$62" noThreeD="1" val="4"/>
</file>

<file path=xl/ctrlProps/ctrlProp89.xml><?xml version="1.0" encoding="utf-8"?>
<formControlPr xmlns="http://schemas.microsoft.com/office/spreadsheetml/2009/9/main" objectType="Drop" dropStyle="combo" dx="16" fmlaLink="$C$62" fmlaRange="Dados!$F$86:$F$129" noThreeD="1" val="0"/>
</file>

<file path=xl/ctrlProps/ctrlProp890.xml><?xml version="1.0" encoding="utf-8"?>
<formControlPr xmlns="http://schemas.microsoft.com/office/spreadsheetml/2009/9/main" objectType="Drop" dropStyle="combo" dx="16" fmlaLink="$S$39" fmlaRange="Rebanho!$AH$45:$AH$69" noThreeD="1" val="12"/>
</file>

<file path=xl/ctrlProps/ctrlProp891.xml><?xml version="1.0" encoding="utf-8"?>
<formControlPr xmlns="http://schemas.microsoft.com/office/spreadsheetml/2009/9/main" objectType="Drop" dropStyle="combo" dx="16" fmlaLink="$T$39" fmlaRange="Rebanho!$AH$45:$AH$69" noThreeD="1" val="12"/>
</file>

<file path=xl/ctrlProps/ctrlProp892.xml><?xml version="1.0" encoding="utf-8"?>
<formControlPr xmlns="http://schemas.microsoft.com/office/spreadsheetml/2009/9/main" objectType="Drop" dropStyle="combo" dx="16" fmlaLink="$C$39" fmlaRange="Dados!$Q$14:$Q$81" noThreeD="1" val="0"/>
</file>

<file path=xl/ctrlProps/ctrlProp893.xml><?xml version="1.0" encoding="utf-8"?>
<formControlPr xmlns="http://schemas.microsoft.com/office/spreadsheetml/2009/9/main" objectType="Drop" dropStyle="combo" dx="16" fmlaLink="$C$24" fmlaRange="Dados!$Q$14:$Q$81" noThreeD="1" val="0"/>
</file>

<file path=xl/ctrlProps/ctrlProp894.xml><?xml version="1.0" encoding="utf-8"?>
<formControlPr xmlns="http://schemas.microsoft.com/office/spreadsheetml/2009/9/main" objectType="Drop" dropStyle="combo" dx="16" fmlaLink="$C$23" fmlaRange="Dados!$Q$14:$Q$81" noThreeD="1" val="0"/>
</file>

<file path=xl/ctrlProps/ctrlProp895.xml><?xml version="1.0" encoding="utf-8"?>
<formControlPr xmlns="http://schemas.microsoft.com/office/spreadsheetml/2009/9/main" objectType="Drop" dropStyle="combo" dx="16" fmlaLink="$C$38" fmlaRange="Dados!$Q$14:$Q$81" noThreeD="1" val="0"/>
</file>

<file path=xl/ctrlProps/ctrlProp896.xml><?xml version="1.0" encoding="utf-8"?>
<formControlPr xmlns="http://schemas.microsoft.com/office/spreadsheetml/2009/9/main" objectType="Drop" dropStyle="combo" dx="16" fmlaLink="$C$24" fmlaRange="Dados!$Q$14:$Q$81" noThreeD="1" val="0"/>
</file>

<file path=xl/ctrlProps/ctrlProp897.xml><?xml version="1.0" encoding="utf-8"?>
<formControlPr xmlns="http://schemas.microsoft.com/office/spreadsheetml/2009/9/main" objectType="Drop" dropLines="15" dropStyle="combo" dx="16" fmlaLink="$H$40" fmlaRange="Rebanho!$AO$45:$AO$62" noThreeD="1" val="4"/>
</file>

<file path=xl/ctrlProps/ctrlProp898.xml><?xml version="1.0" encoding="utf-8"?>
<formControlPr xmlns="http://schemas.microsoft.com/office/spreadsheetml/2009/9/main" objectType="Drop" dropStyle="combo" dx="16" fmlaLink="$S$40" fmlaRange="Rebanho!$AH$45:$AH$69" noThreeD="1" val="12"/>
</file>

<file path=xl/ctrlProps/ctrlProp899.xml><?xml version="1.0" encoding="utf-8"?>
<formControlPr xmlns="http://schemas.microsoft.com/office/spreadsheetml/2009/9/main" objectType="Drop" dropStyle="combo" dx="16" fmlaLink="$T$40" fmlaRange="Rebanho!$AH$45:$AH$69" noThreeD="1" val="12"/>
</file>

<file path=xl/ctrlProps/ctrlProp9.xml><?xml version="1.0" encoding="utf-8"?>
<formControlPr xmlns="http://schemas.microsoft.com/office/spreadsheetml/2009/9/main" objectType="Drop" dropStyle="combo" dx="16" fmlaLink="$I$22" fmlaRange="$AD$15:$AD$39" noThreeD="1" val="0"/>
</file>

<file path=xl/ctrlProps/ctrlProp90.xml><?xml version="1.0" encoding="utf-8"?>
<formControlPr xmlns="http://schemas.microsoft.com/office/spreadsheetml/2009/9/main" objectType="Drop" dropStyle="combo" dx="16" fmlaLink="$C$63" fmlaRange="Dados!$F$86:$F$129" noThreeD="1" val="0"/>
</file>

<file path=xl/ctrlProps/ctrlProp900.xml><?xml version="1.0" encoding="utf-8"?>
<formControlPr xmlns="http://schemas.microsoft.com/office/spreadsheetml/2009/9/main" objectType="Drop" dropStyle="combo" dx="16" fmlaLink="$C$40" fmlaRange="Dados!$Q$14:$Q$81" noThreeD="1" val="0"/>
</file>

<file path=xl/ctrlProps/ctrlProp901.xml><?xml version="1.0" encoding="utf-8"?>
<formControlPr xmlns="http://schemas.microsoft.com/office/spreadsheetml/2009/9/main" objectType="Drop" dropStyle="combo" dx="16" fmlaLink="$C$32" fmlaRange="Dados!$Q$14:$Q$81" noThreeD="1" val="0"/>
</file>

<file path=xl/ctrlProps/ctrlProp902.xml><?xml version="1.0" encoding="utf-8"?>
<formControlPr xmlns="http://schemas.microsoft.com/office/spreadsheetml/2009/9/main" objectType="Drop" dropStyle="combo" dx="16" fmlaLink="$C$33" fmlaRange="Dados!$Q$14:$Q$81" noThreeD="1" val="0"/>
</file>

<file path=xl/ctrlProps/ctrlProp903.xml><?xml version="1.0" encoding="utf-8"?>
<formControlPr xmlns="http://schemas.microsoft.com/office/spreadsheetml/2009/9/main" objectType="Drop" dropStyle="combo" dx="16" fmlaLink="$C$31" fmlaRange="Dados!$Q$14:$Q$81" noThreeD="1" val="0"/>
</file>

<file path=xl/ctrlProps/ctrlProp904.xml><?xml version="1.0" encoding="utf-8"?>
<formControlPr xmlns="http://schemas.microsoft.com/office/spreadsheetml/2009/9/main" objectType="Drop" dropLines="15" dropStyle="combo" dx="16" fmlaLink="$H$31" fmlaRange="Rebanho!$AO$45:$AO$62" noThreeD="1" val="0"/>
</file>

<file path=xl/ctrlProps/ctrlProp905.xml><?xml version="1.0" encoding="utf-8"?>
<formControlPr xmlns="http://schemas.microsoft.com/office/spreadsheetml/2009/9/main" objectType="Drop" dropLines="15" dropStyle="combo" dx="16" fmlaLink="$H$32" fmlaRange="Rebanho!$AO$45:$AO$62" noThreeD="1" val="4"/>
</file>

<file path=xl/ctrlProps/ctrlProp906.xml><?xml version="1.0" encoding="utf-8"?>
<formControlPr xmlns="http://schemas.microsoft.com/office/spreadsheetml/2009/9/main" objectType="Drop" dropLines="15" dropStyle="combo" dx="16" fmlaLink="$H$33" fmlaRange="Rebanho!$AO$45:$AO$62" noThreeD="1" val="4"/>
</file>

<file path=xl/ctrlProps/ctrlProp907.xml><?xml version="1.0" encoding="utf-8"?>
<formControlPr xmlns="http://schemas.microsoft.com/office/spreadsheetml/2009/9/main" objectType="Drop" dropStyle="combo" dx="16" fmlaLink="$S$31" fmlaRange="Rebanho!$AH$45:$AH$69" noThreeD="1" val="12"/>
</file>

<file path=xl/ctrlProps/ctrlProp908.xml><?xml version="1.0" encoding="utf-8"?>
<formControlPr xmlns="http://schemas.microsoft.com/office/spreadsheetml/2009/9/main" objectType="Drop" dropStyle="combo" dx="16" fmlaLink="$S$32" fmlaRange="Rebanho!$AH$45:$AH$69" noThreeD="1" val="12"/>
</file>

<file path=xl/ctrlProps/ctrlProp909.xml><?xml version="1.0" encoding="utf-8"?>
<formControlPr xmlns="http://schemas.microsoft.com/office/spreadsheetml/2009/9/main" objectType="Drop" dropStyle="combo" dx="16" fmlaLink="$S$33" fmlaRange="Rebanho!$AH$45:$AH$69" noThreeD="1" val="12"/>
</file>

<file path=xl/ctrlProps/ctrlProp91.xml><?xml version="1.0" encoding="utf-8"?>
<formControlPr xmlns="http://schemas.microsoft.com/office/spreadsheetml/2009/9/main" objectType="Drop" dropStyle="combo" dx="16" fmlaLink="$C$64" fmlaRange="Dados!$F$86:$F$129" noThreeD="1" val="16"/>
</file>

<file path=xl/ctrlProps/ctrlProp910.xml><?xml version="1.0" encoding="utf-8"?>
<formControlPr xmlns="http://schemas.microsoft.com/office/spreadsheetml/2009/9/main" objectType="Drop" dropStyle="combo" dx="16" fmlaLink="$T$31" fmlaRange="Rebanho!$AH$45:$AH$69" noThreeD="1" val="12"/>
</file>

<file path=xl/ctrlProps/ctrlProp911.xml><?xml version="1.0" encoding="utf-8"?>
<formControlPr xmlns="http://schemas.microsoft.com/office/spreadsheetml/2009/9/main" objectType="Drop" dropStyle="combo" dx="16" fmlaLink="$T$32" fmlaRange="Rebanho!$AH$45:$AH$69" noThreeD="1" val="12"/>
</file>

<file path=xl/ctrlProps/ctrlProp912.xml><?xml version="1.0" encoding="utf-8"?>
<formControlPr xmlns="http://schemas.microsoft.com/office/spreadsheetml/2009/9/main" objectType="Drop" dropStyle="combo" dx="16" fmlaLink="$T$33" fmlaRange="Rebanho!$AH$45:$AH$69" noThreeD="1" val="12"/>
</file>

<file path=xl/ctrlProps/ctrlProp913.xml><?xml version="1.0" encoding="utf-8"?>
<formControlPr xmlns="http://schemas.microsoft.com/office/spreadsheetml/2009/9/main" objectType="Drop" dropStyle="combo" dx="16" fmlaLink="$I$44" fmlaRange="Rebanho!$AH$45:$AH$69" noThreeD="1" val="0"/>
</file>

<file path=xl/ctrlProps/ctrlProp914.xml><?xml version="1.0" encoding="utf-8"?>
<formControlPr xmlns="http://schemas.microsoft.com/office/spreadsheetml/2009/9/main" objectType="Drop" dropStyle="combo" dx="16" fmlaLink="$I$45" fmlaRange="Rebanho!$AH$45:$AH$69" noThreeD="1" val="0"/>
</file>

<file path=xl/ctrlProps/ctrlProp915.xml><?xml version="1.0" encoding="utf-8"?>
<formControlPr xmlns="http://schemas.microsoft.com/office/spreadsheetml/2009/9/main" objectType="Drop" dropStyle="combo" dx="16" fmlaLink="$I$46" fmlaRange="Rebanho!$AH$45:$AH$69" noThreeD="1" val="0"/>
</file>

<file path=xl/ctrlProps/ctrlProp916.xml><?xml version="1.0" encoding="utf-8"?>
<formControlPr xmlns="http://schemas.microsoft.com/office/spreadsheetml/2009/9/main" objectType="Drop" dropStyle="combo" dx="16" fmlaLink="$I$47" fmlaRange="Rebanho!$AH$45:$AH$69" noThreeD="1" val="0"/>
</file>

<file path=xl/ctrlProps/ctrlProp917.xml><?xml version="1.0" encoding="utf-8"?>
<formControlPr xmlns="http://schemas.microsoft.com/office/spreadsheetml/2009/9/main" objectType="Drop" dropStyle="combo" dx="16" fmlaLink="$I$44" fmlaRange="Rebanho!$AH$45:$AH$69" noThreeD="1" val="0"/>
</file>

<file path=xl/ctrlProps/ctrlProp918.xml><?xml version="1.0" encoding="utf-8"?>
<formControlPr xmlns="http://schemas.microsoft.com/office/spreadsheetml/2009/9/main" objectType="Drop" dropStyle="combo" dx="16" fmlaLink="$I$44" fmlaRange="Rebanho!$AH$45:$AH$69" noThreeD="1" val="0"/>
</file>

<file path=xl/ctrlProps/ctrlProp919.xml><?xml version="1.0" encoding="utf-8"?>
<formControlPr xmlns="http://schemas.microsoft.com/office/spreadsheetml/2009/9/main" objectType="Drop" dropStyle="combo" dx="16" fmlaLink="$I$44" fmlaRange="Rebanho!$AH$45:$AH$69" noThreeD="1" val="0"/>
</file>

<file path=xl/ctrlProps/ctrlProp92.xml><?xml version="1.0" encoding="utf-8"?>
<formControlPr xmlns="http://schemas.microsoft.com/office/spreadsheetml/2009/9/main" objectType="Drop" dropStyle="combo" dx="16" fmlaLink="$C$65" fmlaRange="Dados!$F$86:$F$129" noThreeD="1" val="0"/>
</file>

<file path=xl/ctrlProps/ctrlProp920.xml><?xml version="1.0" encoding="utf-8"?>
<formControlPr xmlns="http://schemas.microsoft.com/office/spreadsheetml/2009/9/main" objectType="Drop" dropStyle="combo" dx="16" fmlaLink="$I$44" fmlaRange="Rebanho!$AH$45:$AH$69" noThreeD="1" val="0"/>
</file>

<file path=xl/ctrlProps/ctrlProp921.xml><?xml version="1.0" encoding="utf-8"?>
<formControlPr xmlns="http://schemas.microsoft.com/office/spreadsheetml/2009/9/main" objectType="Drop" dropLines="15" dropStyle="combo" dx="16" fmlaLink="$H$7" fmlaRange="Rebanho!$AO$45:$AO$62" noThreeD="1" sel="6" val="0"/>
</file>

<file path=xl/ctrlProps/ctrlProp922.xml><?xml version="1.0" encoding="utf-8"?>
<formControlPr xmlns="http://schemas.microsoft.com/office/spreadsheetml/2009/9/main" objectType="Drop" dropStyle="combo" dx="16" fmlaLink="$C$29" fmlaRange="Inventário!$AB$32:$AB$42" noThreeD="1" sel="3" val="0"/>
</file>

<file path=xl/ctrlProps/ctrlProp923.xml><?xml version="1.0" encoding="utf-8"?>
<formControlPr xmlns="http://schemas.microsoft.com/office/spreadsheetml/2009/9/main" objectType="Drop" dropStyle="combo" dx="16" fmlaLink="$D$29" fmlaRange="Inventário!$AB$51:$AB$71" noThreeD="1" sel="4" val="0"/>
</file>

<file path=xl/ctrlProps/ctrlProp924.xml><?xml version="1.0" encoding="utf-8"?>
<formControlPr xmlns="http://schemas.microsoft.com/office/spreadsheetml/2009/9/main" objectType="Drop" dropStyle="combo" dx="16" fmlaLink="$D$37" fmlaRange="'Mão-de-obra'!$CK$10:$CK$29" noThreeD="1" val="0"/>
</file>

<file path=xl/ctrlProps/ctrlProp925.xml><?xml version="1.0" encoding="utf-8"?>
<formControlPr xmlns="http://schemas.microsoft.com/office/spreadsheetml/2009/9/main" objectType="Drop" dropStyle="combo" dx="16" fmlaLink="$D$38" fmlaRange="'Mão-de-obra'!$CK$10:$CK$29" noThreeD="1" val="0"/>
</file>

<file path=xl/ctrlProps/ctrlProp926.xml><?xml version="1.0" encoding="utf-8"?>
<formControlPr xmlns="http://schemas.microsoft.com/office/spreadsheetml/2009/9/main" objectType="Drop" dropStyle="combo" dx="16" fmlaLink="$D$39" fmlaRange="'Mão-de-obra'!$CK$10:$CK$29" noThreeD="1" val="0"/>
</file>

<file path=xl/ctrlProps/ctrlProp927.xml><?xml version="1.0" encoding="utf-8"?>
<formControlPr xmlns="http://schemas.microsoft.com/office/spreadsheetml/2009/9/main" objectType="Drop" dropStyle="combo" dx="16" fmlaLink="$D$40" fmlaRange="'Mão-de-obra'!$CK$10:$CK$29" noThreeD="1" val="0"/>
</file>

<file path=xl/ctrlProps/ctrlProp928.xml><?xml version="1.0" encoding="utf-8"?>
<formControlPr xmlns="http://schemas.microsoft.com/office/spreadsheetml/2009/9/main" objectType="Drop" dropStyle="combo" dx="16" fmlaLink="$D$41" fmlaRange="'Mão-de-obra'!$CK$10:$CK$29" noThreeD="1" val="0"/>
</file>

<file path=xl/ctrlProps/ctrlProp929.xml><?xml version="1.0" encoding="utf-8"?>
<formControlPr xmlns="http://schemas.microsoft.com/office/spreadsheetml/2009/9/main" objectType="Drop" dropStyle="combo" dx="16" fmlaLink="$C$30" fmlaRange="Inventário!$AB$32:$AB$42" noThreeD="1" val="0"/>
</file>

<file path=xl/ctrlProps/ctrlProp93.xml><?xml version="1.0" encoding="utf-8"?>
<formControlPr xmlns="http://schemas.microsoft.com/office/spreadsheetml/2009/9/main" objectType="Drop" dropStyle="combo" dx="16" fmlaLink="$C$66" fmlaRange="Dados!$F$86:$F$129" noThreeD="1" val="0"/>
</file>

<file path=xl/ctrlProps/ctrlProp930.xml><?xml version="1.0" encoding="utf-8"?>
<formControlPr xmlns="http://schemas.microsoft.com/office/spreadsheetml/2009/9/main" objectType="Drop" dropStyle="combo" dx="16" fmlaLink="$C$31" fmlaRange="Inventário!$AB$32:$AB$42" noThreeD="1" val="0"/>
</file>

<file path=xl/ctrlProps/ctrlProp931.xml><?xml version="1.0" encoding="utf-8"?>
<formControlPr xmlns="http://schemas.microsoft.com/office/spreadsheetml/2009/9/main" objectType="Drop" dropStyle="combo" dx="16" fmlaLink="$C$32" fmlaRange="Inventário!$AB$32:$AB$42" noThreeD="1" val="0"/>
</file>

<file path=xl/ctrlProps/ctrlProp932.xml><?xml version="1.0" encoding="utf-8"?>
<formControlPr xmlns="http://schemas.microsoft.com/office/spreadsheetml/2009/9/main" objectType="Drop" dropStyle="combo" dx="16" fmlaLink="$D$30" fmlaRange="Inventário!$AB$51:$AB$71" noThreeD="1" val="0"/>
</file>

<file path=xl/ctrlProps/ctrlProp933.xml><?xml version="1.0" encoding="utf-8"?>
<formControlPr xmlns="http://schemas.microsoft.com/office/spreadsheetml/2009/9/main" objectType="Drop" dropStyle="combo" dx="16" fmlaLink="$D$31" fmlaRange="Inventário!$AB$51:$AB$71" noThreeD="1" val="0"/>
</file>

<file path=xl/ctrlProps/ctrlProp934.xml><?xml version="1.0" encoding="utf-8"?>
<formControlPr xmlns="http://schemas.microsoft.com/office/spreadsheetml/2009/9/main" objectType="Drop" dropStyle="combo" dx="16" fmlaLink="$D$32" fmlaRange="Inventário!$AB$51:$AB$71" noThreeD="1" val="0"/>
</file>

<file path=xl/ctrlProps/ctrlProp935.xml><?xml version="1.0" encoding="utf-8"?>
<formControlPr xmlns="http://schemas.microsoft.com/office/spreadsheetml/2009/9/main" objectType="Drop" dropStyle="combo" dx="16" fmlaLink="$C$7" fmlaRange="Dados!$AQ$14:$AQ$81" noThreeD="1" sel="8" val="6"/>
</file>

<file path=xl/ctrlProps/ctrlProp936.xml><?xml version="1.0" encoding="utf-8"?>
<formControlPr xmlns="http://schemas.microsoft.com/office/spreadsheetml/2009/9/main" objectType="Drop" dropStyle="combo" dx="16" fmlaLink="$C$8" fmlaRange="Dados!$AQ$14:$AQ$81" noThreeD="1" val="0"/>
</file>

<file path=xl/ctrlProps/ctrlProp937.xml><?xml version="1.0" encoding="utf-8"?>
<formControlPr xmlns="http://schemas.microsoft.com/office/spreadsheetml/2009/9/main" objectType="Drop" dropStyle="combo" dx="16" fmlaLink="$C$9" fmlaRange="Dados!$AQ$14:$AQ$81" noThreeD="1" val="2"/>
</file>

<file path=xl/ctrlProps/ctrlProp938.xml><?xml version="1.0" encoding="utf-8"?>
<formControlPr xmlns="http://schemas.microsoft.com/office/spreadsheetml/2009/9/main" objectType="Drop" dropStyle="combo" dx="16" fmlaLink="$C$10" fmlaRange="Dados!$AQ$14:$AQ$81" noThreeD="1" val="0"/>
</file>

<file path=xl/ctrlProps/ctrlProp939.xml><?xml version="1.0" encoding="utf-8"?>
<formControlPr xmlns="http://schemas.microsoft.com/office/spreadsheetml/2009/9/main" objectType="Drop" dropStyle="combo" dx="16" fmlaLink="$C$11" fmlaRange="Dados!$AQ$14:$AQ$81" noThreeD="1" val="3"/>
</file>

<file path=xl/ctrlProps/ctrlProp94.xml><?xml version="1.0" encoding="utf-8"?>
<formControlPr xmlns="http://schemas.microsoft.com/office/spreadsheetml/2009/9/main" objectType="Drop" dropStyle="combo" dx="16" fmlaLink="$C$67" fmlaRange="Dados!$F$86:$F$129" noThreeD="1" val="0"/>
</file>

<file path=xl/ctrlProps/ctrlProp940.xml><?xml version="1.0" encoding="utf-8"?>
<formControlPr xmlns="http://schemas.microsoft.com/office/spreadsheetml/2009/9/main" objectType="Drop" dropStyle="combo" dx="16" fmlaLink="$C$12" fmlaRange="Dados!$AQ$14:$AQ$81" noThreeD="1" val="12"/>
</file>

<file path=xl/ctrlProps/ctrlProp941.xml><?xml version="1.0" encoding="utf-8"?>
<formControlPr xmlns="http://schemas.microsoft.com/office/spreadsheetml/2009/9/main" objectType="Drop" dropStyle="combo" dx="16" fmlaLink="$C$13" fmlaRange="Dados!$AQ$14:$AQ$81" noThreeD="1" val="0"/>
</file>

<file path=xl/ctrlProps/ctrlProp942.xml><?xml version="1.0" encoding="utf-8"?>
<formControlPr xmlns="http://schemas.microsoft.com/office/spreadsheetml/2009/9/main" objectType="Drop" dropStyle="combo" dx="16" fmlaLink="$C$14" fmlaRange="Dados!$AQ$14:$AQ$81" noThreeD="1" val="0"/>
</file>

<file path=xl/ctrlProps/ctrlProp943.xml><?xml version="1.0" encoding="utf-8"?>
<formControlPr xmlns="http://schemas.microsoft.com/office/spreadsheetml/2009/9/main" objectType="Drop" dropStyle="combo" dx="16" fmlaLink="$C$15" fmlaRange="Dados!$AQ$14:$AQ$81" noThreeD="1" val="0"/>
</file>

<file path=xl/ctrlProps/ctrlProp944.xml><?xml version="1.0" encoding="utf-8"?>
<formControlPr xmlns="http://schemas.microsoft.com/office/spreadsheetml/2009/9/main" objectType="Drop" dropStyle="combo" dx="16" fmlaLink="$Q$7" fmlaRange="Rebanho!$AH$45:$AH$69" noThreeD="1" val="0"/>
</file>

<file path=xl/ctrlProps/ctrlProp945.xml><?xml version="1.0" encoding="utf-8"?>
<formControlPr xmlns="http://schemas.microsoft.com/office/spreadsheetml/2009/9/main" objectType="Drop" dropStyle="combo" dx="16" fmlaLink="$R$7" fmlaRange="Rebanho!$AH$45:$AH$69" noThreeD="1" val="0"/>
</file>

<file path=xl/ctrlProps/ctrlProp946.xml><?xml version="1.0" encoding="utf-8"?>
<formControlPr xmlns="http://schemas.microsoft.com/office/spreadsheetml/2009/9/main" objectType="Drop" dropStyle="combo" dx="16" fmlaLink="$Q$8" fmlaRange="Rebanho!$AH$45:$AH$69" noThreeD="1" val="5"/>
</file>

<file path=xl/ctrlProps/ctrlProp947.xml><?xml version="1.0" encoding="utf-8"?>
<formControlPr xmlns="http://schemas.microsoft.com/office/spreadsheetml/2009/9/main" objectType="Drop" dropStyle="combo" dx="16" fmlaLink="$Q$9" fmlaRange="Rebanho!$AH$45:$AH$69" noThreeD="1" val="5"/>
</file>

<file path=xl/ctrlProps/ctrlProp948.xml><?xml version="1.0" encoding="utf-8"?>
<formControlPr xmlns="http://schemas.microsoft.com/office/spreadsheetml/2009/9/main" objectType="Drop" dropStyle="combo" dx="16" fmlaLink="$Q$10" fmlaRange="Rebanho!$AH$45:$AH$69" noThreeD="1" val="5"/>
</file>

<file path=xl/ctrlProps/ctrlProp949.xml><?xml version="1.0" encoding="utf-8"?>
<formControlPr xmlns="http://schemas.microsoft.com/office/spreadsheetml/2009/9/main" objectType="Drop" dropStyle="combo" dx="16" fmlaLink="$Q$11" fmlaRange="Rebanho!$AH$45:$AH$69" noThreeD="1" val="5"/>
</file>

<file path=xl/ctrlProps/ctrlProp95.xml><?xml version="1.0" encoding="utf-8"?>
<formControlPr xmlns="http://schemas.microsoft.com/office/spreadsheetml/2009/9/main" objectType="Drop" dropStyle="combo" dx="16" fmlaLink="$C$71" fmlaRange="Dados!$F$86:$F$129" noThreeD="1" val="0"/>
</file>

<file path=xl/ctrlProps/ctrlProp950.xml><?xml version="1.0" encoding="utf-8"?>
<formControlPr xmlns="http://schemas.microsoft.com/office/spreadsheetml/2009/9/main" objectType="Drop" dropStyle="combo" dx="16" fmlaLink="$Q$12" fmlaRange="Rebanho!$AH$45:$AH$69" noThreeD="1" val="5"/>
</file>

<file path=xl/ctrlProps/ctrlProp951.xml><?xml version="1.0" encoding="utf-8"?>
<formControlPr xmlns="http://schemas.microsoft.com/office/spreadsheetml/2009/9/main" objectType="Drop" dropStyle="combo" dx="16" fmlaLink="$Q$13" fmlaRange="Rebanho!$AH$45:$AH$69" noThreeD="1" val="5"/>
</file>

<file path=xl/ctrlProps/ctrlProp952.xml><?xml version="1.0" encoding="utf-8"?>
<formControlPr xmlns="http://schemas.microsoft.com/office/spreadsheetml/2009/9/main" objectType="Drop" dropStyle="combo" dx="16" fmlaLink="$Q$14" fmlaRange="Rebanho!$AH$45:$AH$69" noThreeD="1" val="5"/>
</file>

<file path=xl/ctrlProps/ctrlProp953.xml><?xml version="1.0" encoding="utf-8"?>
<formControlPr xmlns="http://schemas.microsoft.com/office/spreadsheetml/2009/9/main" objectType="Drop" dropStyle="combo" dx="16" fmlaLink="$Q$15" fmlaRange="Rebanho!$AH$45:$AH$69" noThreeD="1" val="5"/>
</file>

<file path=xl/ctrlProps/ctrlProp954.xml><?xml version="1.0" encoding="utf-8"?>
<formControlPr xmlns="http://schemas.microsoft.com/office/spreadsheetml/2009/9/main" objectType="Drop" dropStyle="combo" dx="16" fmlaLink="$R$8" fmlaRange="Rebanho!$AH$45:$AH$69" noThreeD="1" val="5"/>
</file>

<file path=xl/ctrlProps/ctrlProp955.xml><?xml version="1.0" encoding="utf-8"?>
<formControlPr xmlns="http://schemas.microsoft.com/office/spreadsheetml/2009/9/main" objectType="Drop" dropStyle="combo" dx="16" fmlaLink="$R$9" fmlaRange="Rebanho!$AH$45:$AH$69" noThreeD="1" val="5"/>
</file>

<file path=xl/ctrlProps/ctrlProp956.xml><?xml version="1.0" encoding="utf-8"?>
<formControlPr xmlns="http://schemas.microsoft.com/office/spreadsheetml/2009/9/main" objectType="Drop" dropStyle="combo" dx="16" fmlaLink="$R$10" fmlaRange="Rebanho!$AH$45:$AH$69" noThreeD="1" val="5"/>
</file>

<file path=xl/ctrlProps/ctrlProp957.xml><?xml version="1.0" encoding="utf-8"?>
<formControlPr xmlns="http://schemas.microsoft.com/office/spreadsheetml/2009/9/main" objectType="Drop" dropStyle="combo" dx="16" fmlaLink="$R$11" fmlaRange="Rebanho!$AH$45:$AH$69" noThreeD="1" val="5"/>
</file>

<file path=xl/ctrlProps/ctrlProp958.xml><?xml version="1.0" encoding="utf-8"?>
<formControlPr xmlns="http://schemas.microsoft.com/office/spreadsheetml/2009/9/main" objectType="Drop" dropStyle="combo" dx="16" fmlaLink="$R$12" fmlaRange="Rebanho!$AH$45:$AH$69" noThreeD="1" val="5"/>
</file>

<file path=xl/ctrlProps/ctrlProp959.xml><?xml version="1.0" encoding="utf-8"?>
<formControlPr xmlns="http://schemas.microsoft.com/office/spreadsheetml/2009/9/main" objectType="Drop" dropStyle="combo" dx="16" fmlaLink="$R$13" fmlaRange="Rebanho!$AH$45:$AH$69" noThreeD="1" val="5"/>
</file>

<file path=xl/ctrlProps/ctrlProp96.xml><?xml version="1.0" encoding="utf-8"?>
<formControlPr xmlns="http://schemas.microsoft.com/office/spreadsheetml/2009/9/main" objectType="Drop" dropStyle="combo" dx="16" fmlaLink="$H$52" fmlaRange="$AB$8:$AB$12" noThreeD="1" val="0"/>
</file>

<file path=xl/ctrlProps/ctrlProp960.xml><?xml version="1.0" encoding="utf-8"?>
<formControlPr xmlns="http://schemas.microsoft.com/office/spreadsheetml/2009/9/main" objectType="Drop" dropStyle="combo" dx="16" fmlaLink="$R$14" fmlaRange="Rebanho!$AH$45:$AH$69" noThreeD="1" val="5"/>
</file>

<file path=xl/ctrlProps/ctrlProp961.xml><?xml version="1.0" encoding="utf-8"?>
<formControlPr xmlns="http://schemas.microsoft.com/office/spreadsheetml/2009/9/main" objectType="Drop" dropStyle="combo" dx="16" fmlaLink="$R$15" fmlaRange="Rebanho!$AH$45:$AH$69" noThreeD="1" val="5"/>
</file>

<file path=xl/ctrlProps/ctrlProp962.xml><?xml version="1.0" encoding="utf-8"?>
<formControlPr xmlns="http://schemas.microsoft.com/office/spreadsheetml/2009/9/main" objectType="Drop" dropStyle="combo" dx="16" fmlaLink="$I$29" fmlaRange="Rebanho!$AH$45:$AH$69" noThreeD="1" val="5"/>
</file>

<file path=xl/ctrlProps/ctrlProp963.xml><?xml version="1.0" encoding="utf-8"?>
<formControlPr xmlns="http://schemas.microsoft.com/office/spreadsheetml/2009/9/main" objectType="Drop" dropStyle="combo" dx="16" fmlaLink="$J$29" fmlaRange="Rebanho!$AH$45:$AH$69" noThreeD="1" val="0"/>
</file>

<file path=xl/ctrlProps/ctrlProp964.xml><?xml version="1.0" encoding="utf-8"?>
<formControlPr xmlns="http://schemas.microsoft.com/office/spreadsheetml/2009/9/main" objectType="Drop" dropStyle="combo" dx="16" fmlaLink="$I$30" fmlaRange="Rebanho!$AH$45:$AH$69" noThreeD="1" val="5"/>
</file>

<file path=xl/ctrlProps/ctrlProp965.xml><?xml version="1.0" encoding="utf-8"?>
<formControlPr xmlns="http://schemas.microsoft.com/office/spreadsheetml/2009/9/main" objectType="Drop" dropStyle="combo" dx="16" fmlaLink="$I$31" fmlaRange="Rebanho!$AH$45:$AH$69" noThreeD="1" val="5"/>
</file>

<file path=xl/ctrlProps/ctrlProp966.xml><?xml version="1.0" encoding="utf-8"?>
<formControlPr xmlns="http://schemas.microsoft.com/office/spreadsheetml/2009/9/main" objectType="Drop" dropStyle="combo" dx="16" fmlaLink="$I$32" fmlaRange="Rebanho!$AH$45:$AH$69" noThreeD="1" val="0"/>
</file>

<file path=xl/ctrlProps/ctrlProp967.xml><?xml version="1.0" encoding="utf-8"?>
<formControlPr xmlns="http://schemas.microsoft.com/office/spreadsheetml/2009/9/main" objectType="Drop" dropStyle="combo" dx="16" fmlaLink="$J$30" fmlaRange="Rebanho!$AH$45:$AH$69" noThreeD="1" val="0"/>
</file>

<file path=xl/ctrlProps/ctrlProp968.xml><?xml version="1.0" encoding="utf-8"?>
<formControlPr xmlns="http://schemas.microsoft.com/office/spreadsheetml/2009/9/main" objectType="Drop" dropStyle="combo" dx="16" fmlaLink="$J$31" fmlaRange="Rebanho!$AH$45:$AH$69" noThreeD="1" val="5"/>
</file>

<file path=xl/ctrlProps/ctrlProp969.xml><?xml version="1.0" encoding="utf-8"?>
<formControlPr xmlns="http://schemas.microsoft.com/office/spreadsheetml/2009/9/main" objectType="Drop" dropStyle="combo" dx="16" fmlaLink="$J$32" fmlaRange="Rebanho!$AH$45:$AH$69" noThreeD="1" val="3"/>
</file>

<file path=xl/ctrlProps/ctrlProp97.xml><?xml version="1.0" encoding="utf-8"?>
<formControlPr xmlns="http://schemas.microsoft.com/office/spreadsheetml/2009/9/main" objectType="Drop" dropStyle="combo" dx="16" fmlaLink="$H$53" fmlaRange="$AB$8:$AB$12" noThreeD="1" val="0"/>
</file>

<file path=xl/ctrlProps/ctrlProp970.xml><?xml version="1.0" encoding="utf-8"?>
<formControlPr xmlns="http://schemas.microsoft.com/office/spreadsheetml/2009/9/main" objectType="Drop" dropStyle="combo" dx="16" fmlaLink="$I$37" fmlaRange="Rebanho!$AH$45:$AH$69" noThreeD="1" val="0"/>
</file>

<file path=xl/ctrlProps/ctrlProp971.xml><?xml version="1.0" encoding="utf-8"?>
<formControlPr xmlns="http://schemas.microsoft.com/office/spreadsheetml/2009/9/main" objectType="Drop" dropStyle="combo" dx="16" fmlaLink="$J$37" fmlaRange="Rebanho!$AH$45:$AH$69" noThreeD="1" val="4"/>
</file>

<file path=xl/ctrlProps/ctrlProp972.xml><?xml version="1.0" encoding="utf-8"?>
<formControlPr xmlns="http://schemas.microsoft.com/office/spreadsheetml/2009/9/main" objectType="Drop" dropStyle="combo" dx="16" fmlaLink="$I$38" fmlaRange="Rebanho!$AH$45:$AH$69" noThreeD="1" val="0"/>
</file>

<file path=xl/ctrlProps/ctrlProp973.xml><?xml version="1.0" encoding="utf-8"?>
<formControlPr xmlns="http://schemas.microsoft.com/office/spreadsheetml/2009/9/main" objectType="Drop" dropStyle="combo" dx="16" fmlaLink="$I$39" fmlaRange="Rebanho!$AH$45:$AH$69" noThreeD="1" val="0"/>
</file>

<file path=xl/ctrlProps/ctrlProp974.xml><?xml version="1.0" encoding="utf-8"?>
<formControlPr xmlns="http://schemas.microsoft.com/office/spreadsheetml/2009/9/main" objectType="Drop" dropStyle="combo" dx="16" fmlaLink="$I$40" fmlaRange="Rebanho!$AH$45:$AH$69" noThreeD="1" val="0"/>
</file>

<file path=xl/ctrlProps/ctrlProp975.xml><?xml version="1.0" encoding="utf-8"?>
<formControlPr xmlns="http://schemas.microsoft.com/office/spreadsheetml/2009/9/main" objectType="Drop" dropStyle="combo" dx="16" fmlaLink="$I$41" fmlaRange="Rebanho!$AH$45:$AH$69" noThreeD="1" val="0"/>
</file>

<file path=xl/ctrlProps/ctrlProp976.xml><?xml version="1.0" encoding="utf-8"?>
<formControlPr xmlns="http://schemas.microsoft.com/office/spreadsheetml/2009/9/main" objectType="Drop" dropStyle="combo" dx="16" fmlaLink="$J$38" fmlaRange="Rebanho!$AH$45:$AH$69" noThreeD="1" val="5"/>
</file>

<file path=xl/ctrlProps/ctrlProp977.xml><?xml version="1.0" encoding="utf-8"?>
<formControlPr xmlns="http://schemas.microsoft.com/office/spreadsheetml/2009/9/main" objectType="Drop" dropStyle="combo" dx="16" fmlaLink="$J$39" fmlaRange="Rebanho!$AH$45:$AH$69" noThreeD="1" val="0"/>
</file>

<file path=xl/ctrlProps/ctrlProp978.xml><?xml version="1.0" encoding="utf-8"?>
<formControlPr xmlns="http://schemas.microsoft.com/office/spreadsheetml/2009/9/main" objectType="Drop" dropStyle="combo" dx="16" fmlaLink="$J$40" fmlaRange="Rebanho!$AH$45:$AH$69" noThreeD="1" val="0"/>
</file>

<file path=xl/ctrlProps/ctrlProp979.xml><?xml version="1.0" encoding="utf-8"?>
<formControlPr xmlns="http://schemas.microsoft.com/office/spreadsheetml/2009/9/main" objectType="Drop" dropStyle="combo" dx="16" fmlaLink="$J$41" fmlaRange="Rebanho!$AH$45:$AH$69" noThreeD="1" val="0"/>
</file>

<file path=xl/ctrlProps/ctrlProp98.xml><?xml version="1.0" encoding="utf-8"?>
<formControlPr xmlns="http://schemas.microsoft.com/office/spreadsheetml/2009/9/main" objectType="Drop" dropStyle="combo" dx="16" fmlaLink="$H$54" fmlaRange="$AB$8:$AB$12" noThreeD="1" val="0"/>
</file>

<file path=xl/ctrlProps/ctrlProp980.xml><?xml version="1.0" encoding="utf-8"?>
<formControlPr xmlns="http://schemas.microsoft.com/office/spreadsheetml/2009/9/main" objectType="Drop" dropLines="15" dropStyle="combo" dx="16" fmlaLink="$H$8" fmlaRange="Rebanho!$AO$45:$AO$62" noThreeD="1" val="0"/>
</file>

<file path=xl/ctrlProps/ctrlProp981.xml><?xml version="1.0" encoding="utf-8"?>
<formControlPr xmlns="http://schemas.microsoft.com/office/spreadsheetml/2009/9/main" objectType="Drop" dropLines="15" dropStyle="combo" dx="16" fmlaLink="$H$9" fmlaRange="Rebanho!$AO$45:$AO$62" noThreeD="1" val="0"/>
</file>

<file path=xl/ctrlProps/ctrlProp982.xml><?xml version="1.0" encoding="utf-8"?>
<formControlPr xmlns="http://schemas.microsoft.com/office/spreadsheetml/2009/9/main" objectType="Drop" dropLines="15" dropStyle="combo" dx="16" fmlaLink="$H$10" fmlaRange="Rebanho!$AO$45:$AO$62" noThreeD="1" val="0"/>
</file>

<file path=xl/ctrlProps/ctrlProp983.xml><?xml version="1.0" encoding="utf-8"?>
<formControlPr xmlns="http://schemas.microsoft.com/office/spreadsheetml/2009/9/main" objectType="Drop" dropLines="15" dropStyle="combo" dx="16" fmlaLink="$H$11" fmlaRange="Rebanho!$AO$45:$AO$62" noThreeD="1" val="0"/>
</file>

<file path=xl/ctrlProps/ctrlProp984.xml><?xml version="1.0" encoding="utf-8"?>
<formControlPr xmlns="http://schemas.microsoft.com/office/spreadsheetml/2009/9/main" objectType="Drop" dropLines="15" dropStyle="combo" dx="16" fmlaLink="$H$12" fmlaRange="Rebanho!$AO$45:$AO$62" noThreeD="1" val="0"/>
</file>

<file path=xl/ctrlProps/ctrlProp985.xml><?xml version="1.0" encoding="utf-8"?>
<formControlPr xmlns="http://schemas.microsoft.com/office/spreadsheetml/2009/9/main" objectType="Drop" dropLines="15" dropStyle="combo" dx="16" fmlaLink="$H$13" fmlaRange="Rebanho!$AO$45:$AO$62" noThreeD="1" val="0"/>
</file>

<file path=xl/ctrlProps/ctrlProp986.xml><?xml version="1.0" encoding="utf-8"?>
<formControlPr xmlns="http://schemas.microsoft.com/office/spreadsheetml/2009/9/main" objectType="Drop" dropLines="15" dropStyle="combo" dx="16" fmlaLink="$H$14" fmlaRange="Rebanho!$AO$45:$AO$62" noThreeD="1" val="4"/>
</file>

<file path=xl/ctrlProps/ctrlProp987.xml><?xml version="1.0" encoding="utf-8"?>
<formControlPr xmlns="http://schemas.microsoft.com/office/spreadsheetml/2009/9/main" objectType="Drop" dropLines="15" dropStyle="combo" dx="16" fmlaLink="$H$15" fmlaRange="Rebanho!$AO$45:$AO$62" noThreeD="1" val="0"/>
</file>

<file path=xl/ctrlProps/ctrlProp988.xml><?xml version="1.0" encoding="utf-8"?>
<formControlPr xmlns="http://schemas.microsoft.com/office/spreadsheetml/2009/9/main" objectType="Drop" dropStyle="combo" dx="16" fmlaLink="$C$16" fmlaRange="Dados!$AQ$14:$AQ$81" noThreeD="1" val="0"/>
</file>

<file path=xl/ctrlProps/ctrlProp989.xml><?xml version="1.0" encoding="utf-8"?>
<formControlPr xmlns="http://schemas.microsoft.com/office/spreadsheetml/2009/9/main" objectType="Drop" dropStyle="combo" dx="16" fmlaLink="$C$17" fmlaRange="Dados!$AQ$14:$AQ$81" noThreeD="1" val="0"/>
</file>

<file path=xl/ctrlProps/ctrlProp99.xml><?xml version="1.0" encoding="utf-8"?>
<formControlPr xmlns="http://schemas.microsoft.com/office/spreadsheetml/2009/9/main" objectType="Drop" dropStyle="combo" dx="16" fmlaLink="$H$55" fmlaRange="$AB$8:$AB$12" noThreeD="1" val="0"/>
</file>

<file path=xl/ctrlProps/ctrlProp990.xml><?xml version="1.0" encoding="utf-8"?>
<formControlPr xmlns="http://schemas.microsoft.com/office/spreadsheetml/2009/9/main" objectType="Drop" dropStyle="combo" dx="16" fmlaLink="$C$18" fmlaRange="Dados!$AQ$14:$AQ$81" noThreeD="1" val="0"/>
</file>

<file path=xl/ctrlProps/ctrlProp991.xml><?xml version="1.0" encoding="utf-8"?>
<formControlPr xmlns="http://schemas.microsoft.com/office/spreadsheetml/2009/9/main" objectType="Drop" dropStyle="combo" dx="16" fmlaLink="$C$19" fmlaRange="Dados!$AQ$14:$AQ$81" noThreeD="1" val="0"/>
</file>

<file path=xl/ctrlProps/ctrlProp992.xml><?xml version="1.0" encoding="utf-8"?>
<formControlPr xmlns="http://schemas.microsoft.com/office/spreadsheetml/2009/9/main" objectType="Drop" dropStyle="combo" dx="16" fmlaLink="$C$20" fmlaRange="Dados!$AQ$14:$AQ$81" noThreeD="1" val="0"/>
</file>

<file path=xl/ctrlProps/ctrlProp993.xml><?xml version="1.0" encoding="utf-8"?>
<formControlPr xmlns="http://schemas.microsoft.com/office/spreadsheetml/2009/9/main" objectType="Drop" dropStyle="combo" dx="16" fmlaLink="$C$21" fmlaRange="Dados!$AQ$14:$AQ$81" noThreeD="1" val="0"/>
</file>

<file path=xl/ctrlProps/ctrlProp994.xml><?xml version="1.0" encoding="utf-8"?>
<formControlPr xmlns="http://schemas.microsoft.com/office/spreadsheetml/2009/9/main" objectType="Drop" dropStyle="combo" dx="16" fmlaLink="$C$22" fmlaRange="Dados!$AQ$14:$AQ$81" noThreeD="1" val="0"/>
</file>

<file path=xl/ctrlProps/ctrlProp995.xml><?xml version="1.0" encoding="utf-8"?>
<formControlPr xmlns="http://schemas.microsoft.com/office/spreadsheetml/2009/9/main" objectType="Drop" dropStyle="combo" dx="16" fmlaLink="$C$23" fmlaRange="Dados!$AQ$14:$AQ$81" noThreeD="1" val="0"/>
</file>

<file path=xl/ctrlProps/ctrlProp996.xml><?xml version="1.0" encoding="utf-8"?>
<formControlPr xmlns="http://schemas.microsoft.com/office/spreadsheetml/2009/9/main" objectType="Drop" dropStyle="combo" dx="16" fmlaLink="$C$24" fmlaRange="Dados!$AQ$14:$AQ$81" noThreeD="1" val="0"/>
</file>

<file path=xl/ctrlProps/ctrlProp997.xml><?xml version="1.0" encoding="utf-8"?>
<formControlPr xmlns="http://schemas.microsoft.com/office/spreadsheetml/2009/9/main" objectType="Drop" dropLines="15" dropStyle="combo" dx="16" fmlaLink="$H$16" fmlaRange="Rebanho!$AO$45:$AO$62" noThreeD="1" val="0"/>
</file>

<file path=xl/ctrlProps/ctrlProp998.xml><?xml version="1.0" encoding="utf-8"?>
<formControlPr xmlns="http://schemas.microsoft.com/office/spreadsheetml/2009/9/main" objectType="Drop" dropLines="15" dropStyle="combo" dx="16" fmlaLink="$H$17" fmlaRange="Rebanho!$AO$45:$AO$62" noThreeD="1" val="0"/>
</file>

<file path=xl/ctrlProps/ctrlProp999.xml><?xml version="1.0" encoding="utf-8"?>
<formControlPr xmlns="http://schemas.microsoft.com/office/spreadsheetml/2009/9/main" objectType="Drop" dropLines="15" dropStyle="combo" dx="16" fmlaLink="$H$18" fmlaRange="Rebanho!$AO$45:$AO$62" noThreeD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0</xdr:row>
      <xdr:rowOff>104775</xdr:rowOff>
    </xdr:from>
    <xdr:to>
      <xdr:col>3</xdr:col>
      <xdr:colOff>9525</xdr:colOff>
      <xdr:row>10</xdr:row>
      <xdr:rowOff>114300</xdr:rowOff>
    </xdr:to>
    <xdr:pic>
      <xdr:nvPicPr>
        <xdr:cNvPr id="2475377" name="Picture 128" descr="LOGOTIPO FINA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1550" y="104775"/>
          <a:ext cx="181927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17</xdr:row>
          <xdr:rowOff>180975</xdr:rowOff>
        </xdr:from>
        <xdr:to>
          <xdr:col>4</xdr:col>
          <xdr:colOff>0</xdr:colOff>
          <xdr:row>19</xdr:row>
          <xdr:rowOff>9525</xdr:rowOff>
        </xdr:to>
        <xdr:sp macro="" textlink="">
          <xdr:nvSpPr>
            <xdr:cNvPr id="1446913" name="Drop Down 1" hidden="1">
              <a:extLst>
                <a:ext uri="{63B3BB69-23CF-44E3-9099-C40C66FF867C}">
                  <a14:compatExt spid="_x0000_s1446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13</xdr:row>
          <xdr:rowOff>0</xdr:rowOff>
        </xdr:from>
        <xdr:to>
          <xdr:col>8</xdr:col>
          <xdr:colOff>28575</xdr:colOff>
          <xdr:row>14</xdr:row>
          <xdr:rowOff>19050</xdr:rowOff>
        </xdr:to>
        <xdr:sp macro="" textlink="">
          <xdr:nvSpPr>
            <xdr:cNvPr id="1446914" name="Drop Down 2" hidden="1">
              <a:extLst>
                <a:ext uri="{63B3BB69-23CF-44E3-9099-C40C66FF867C}">
                  <a14:compatExt spid="_x0000_s1446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28575</xdr:colOff>
          <xdr:row>13</xdr:row>
          <xdr:rowOff>0</xdr:rowOff>
        </xdr:from>
        <xdr:to>
          <xdr:col>9</xdr:col>
          <xdr:colOff>0</xdr:colOff>
          <xdr:row>14</xdr:row>
          <xdr:rowOff>19050</xdr:rowOff>
        </xdr:to>
        <xdr:sp macro="" textlink="">
          <xdr:nvSpPr>
            <xdr:cNvPr id="1446916" name="Drop Down 4" hidden="1">
              <a:extLst>
                <a:ext uri="{63B3BB69-23CF-44E3-9099-C40C66FF867C}">
                  <a14:compatExt spid="_x0000_s1446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28575</xdr:colOff>
          <xdr:row>17</xdr:row>
          <xdr:rowOff>9525</xdr:rowOff>
        </xdr:from>
        <xdr:to>
          <xdr:col>9</xdr:col>
          <xdr:colOff>0</xdr:colOff>
          <xdr:row>18</xdr:row>
          <xdr:rowOff>28575</xdr:rowOff>
        </xdr:to>
        <xdr:sp macro="" textlink="">
          <xdr:nvSpPr>
            <xdr:cNvPr id="1446917" name="Drop Down 5" hidden="1">
              <a:extLst>
                <a:ext uri="{63B3BB69-23CF-44E3-9099-C40C66FF867C}">
                  <a14:compatExt spid="_x0000_s1446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19</xdr:row>
          <xdr:rowOff>9525</xdr:rowOff>
        </xdr:from>
        <xdr:to>
          <xdr:col>8</xdr:col>
          <xdr:colOff>28575</xdr:colOff>
          <xdr:row>20</xdr:row>
          <xdr:rowOff>28575</xdr:rowOff>
        </xdr:to>
        <xdr:sp macro="" textlink="">
          <xdr:nvSpPr>
            <xdr:cNvPr id="1446918" name="Drop Down 6" hidden="1">
              <a:extLst>
                <a:ext uri="{63B3BB69-23CF-44E3-9099-C40C66FF867C}">
                  <a14:compatExt spid="_x0000_s1446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20</xdr:row>
          <xdr:rowOff>9525</xdr:rowOff>
        </xdr:from>
        <xdr:to>
          <xdr:col>8</xdr:col>
          <xdr:colOff>28575</xdr:colOff>
          <xdr:row>21</xdr:row>
          <xdr:rowOff>28575</xdr:rowOff>
        </xdr:to>
        <xdr:sp macro="" textlink="">
          <xdr:nvSpPr>
            <xdr:cNvPr id="1446919" name="Drop Down 7" hidden="1">
              <a:extLst>
                <a:ext uri="{63B3BB69-23CF-44E3-9099-C40C66FF867C}">
                  <a14:compatExt spid="_x0000_s1446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28575</xdr:colOff>
          <xdr:row>20</xdr:row>
          <xdr:rowOff>9525</xdr:rowOff>
        </xdr:from>
        <xdr:to>
          <xdr:col>9</xdr:col>
          <xdr:colOff>0</xdr:colOff>
          <xdr:row>21</xdr:row>
          <xdr:rowOff>28575</xdr:rowOff>
        </xdr:to>
        <xdr:sp macro="" textlink="">
          <xdr:nvSpPr>
            <xdr:cNvPr id="1446920" name="Drop Down 8" hidden="1">
              <a:extLst>
                <a:ext uri="{63B3BB69-23CF-44E3-9099-C40C66FF867C}">
                  <a14:compatExt spid="_x0000_s1446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21</xdr:row>
          <xdr:rowOff>9525</xdr:rowOff>
        </xdr:from>
        <xdr:to>
          <xdr:col>8</xdr:col>
          <xdr:colOff>28575</xdr:colOff>
          <xdr:row>22</xdr:row>
          <xdr:rowOff>28575</xdr:rowOff>
        </xdr:to>
        <xdr:sp macro="" textlink="">
          <xdr:nvSpPr>
            <xdr:cNvPr id="1446921" name="Drop Down 9" hidden="1">
              <a:extLst>
                <a:ext uri="{63B3BB69-23CF-44E3-9099-C40C66FF867C}">
                  <a14:compatExt spid="_x0000_s1446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28575</xdr:colOff>
          <xdr:row>21</xdr:row>
          <xdr:rowOff>9525</xdr:rowOff>
        </xdr:from>
        <xdr:to>
          <xdr:col>9</xdr:col>
          <xdr:colOff>0</xdr:colOff>
          <xdr:row>22</xdr:row>
          <xdr:rowOff>28575</xdr:rowOff>
        </xdr:to>
        <xdr:sp macro="" textlink="">
          <xdr:nvSpPr>
            <xdr:cNvPr id="1446922" name="Drop Down 10" hidden="1">
              <a:extLst>
                <a:ext uri="{63B3BB69-23CF-44E3-9099-C40C66FF867C}">
                  <a14:compatExt spid="_x0000_s1446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17</xdr:row>
          <xdr:rowOff>9525</xdr:rowOff>
        </xdr:from>
        <xdr:to>
          <xdr:col>8</xdr:col>
          <xdr:colOff>28575</xdr:colOff>
          <xdr:row>18</xdr:row>
          <xdr:rowOff>28575</xdr:rowOff>
        </xdr:to>
        <xdr:sp macro="" textlink="">
          <xdr:nvSpPr>
            <xdr:cNvPr id="1446923" name="Drop Down 11" hidden="1">
              <a:extLst>
                <a:ext uri="{63B3BB69-23CF-44E3-9099-C40C66FF867C}">
                  <a14:compatExt spid="_x0000_s1446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18</xdr:row>
          <xdr:rowOff>9525</xdr:rowOff>
        </xdr:from>
        <xdr:to>
          <xdr:col>8</xdr:col>
          <xdr:colOff>28575</xdr:colOff>
          <xdr:row>19</xdr:row>
          <xdr:rowOff>28575</xdr:rowOff>
        </xdr:to>
        <xdr:sp macro="" textlink="">
          <xdr:nvSpPr>
            <xdr:cNvPr id="1446924" name="Drop Down 12" hidden="1">
              <a:extLst>
                <a:ext uri="{63B3BB69-23CF-44E3-9099-C40C66FF867C}">
                  <a14:compatExt spid="_x0000_s1446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28575</xdr:colOff>
          <xdr:row>18</xdr:row>
          <xdr:rowOff>9525</xdr:rowOff>
        </xdr:from>
        <xdr:to>
          <xdr:col>9</xdr:col>
          <xdr:colOff>0</xdr:colOff>
          <xdr:row>19</xdr:row>
          <xdr:rowOff>28575</xdr:rowOff>
        </xdr:to>
        <xdr:sp macro="" textlink="">
          <xdr:nvSpPr>
            <xdr:cNvPr id="1446925" name="Drop Down 13" hidden="1">
              <a:extLst>
                <a:ext uri="{63B3BB69-23CF-44E3-9099-C40C66FF867C}">
                  <a14:compatExt spid="_x0000_s14469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28575</xdr:colOff>
          <xdr:row>19</xdr:row>
          <xdr:rowOff>19050</xdr:rowOff>
        </xdr:from>
        <xdr:to>
          <xdr:col>9</xdr:col>
          <xdr:colOff>0</xdr:colOff>
          <xdr:row>20</xdr:row>
          <xdr:rowOff>38100</xdr:rowOff>
        </xdr:to>
        <xdr:sp macro="" textlink="">
          <xdr:nvSpPr>
            <xdr:cNvPr id="1446926" name="Drop Down 14" hidden="1">
              <a:extLst>
                <a:ext uri="{63B3BB69-23CF-44E3-9099-C40C66FF867C}">
                  <a14:compatExt spid="_x0000_s14469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28575</xdr:colOff>
          <xdr:row>16</xdr:row>
          <xdr:rowOff>9525</xdr:rowOff>
        </xdr:from>
        <xdr:to>
          <xdr:col>9</xdr:col>
          <xdr:colOff>0</xdr:colOff>
          <xdr:row>17</xdr:row>
          <xdr:rowOff>28575</xdr:rowOff>
        </xdr:to>
        <xdr:sp macro="" textlink="">
          <xdr:nvSpPr>
            <xdr:cNvPr id="1446927" name="Drop Down 15" hidden="1">
              <a:extLst>
                <a:ext uri="{63B3BB69-23CF-44E3-9099-C40C66FF867C}">
                  <a14:compatExt spid="_x0000_s14469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16</xdr:row>
          <xdr:rowOff>9525</xdr:rowOff>
        </xdr:from>
        <xdr:to>
          <xdr:col>8</xdr:col>
          <xdr:colOff>28575</xdr:colOff>
          <xdr:row>17</xdr:row>
          <xdr:rowOff>28575</xdr:rowOff>
        </xdr:to>
        <xdr:sp macro="" textlink="">
          <xdr:nvSpPr>
            <xdr:cNvPr id="1446928" name="Drop Down 16" hidden="1">
              <a:extLst>
                <a:ext uri="{63B3BB69-23CF-44E3-9099-C40C66FF867C}">
                  <a14:compatExt spid="_x0000_s14469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15</xdr:row>
          <xdr:rowOff>9525</xdr:rowOff>
        </xdr:from>
        <xdr:to>
          <xdr:col>8</xdr:col>
          <xdr:colOff>28575</xdr:colOff>
          <xdr:row>16</xdr:row>
          <xdr:rowOff>28575</xdr:rowOff>
        </xdr:to>
        <xdr:sp macro="" textlink="">
          <xdr:nvSpPr>
            <xdr:cNvPr id="1446929" name="Drop Down 17" hidden="1">
              <a:extLst>
                <a:ext uri="{63B3BB69-23CF-44E3-9099-C40C66FF867C}">
                  <a14:compatExt spid="_x0000_s1446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28575</xdr:colOff>
          <xdr:row>15</xdr:row>
          <xdr:rowOff>9525</xdr:rowOff>
        </xdr:from>
        <xdr:to>
          <xdr:col>9</xdr:col>
          <xdr:colOff>0</xdr:colOff>
          <xdr:row>16</xdr:row>
          <xdr:rowOff>28575</xdr:rowOff>
        </xdr:to>
        <xdr:sp macro="" textlink="">
          <xdr:nvSpPr>
            <xdr:cNvPr id="1446930" name="Drop Down 18" hidden="1">
              <a:extLst>
                <a:ext uri="{63B3BB69-23CF-44E3-9099-C40C66FF867C}">
                  <a14:compatExt spid="_x0000_s1446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28575</xdr:colOff>
          <xdr:row>14</xdr:row>
          <xdr:rowOff>0</xdr:rowOff>
        </xdr:from>
        <xdr:to>
          <xdr:col>9</xdr:col>
          <xdr:colOff>0</xdr:colOff>
          <xdr:row>15</xdr:row>
          <xdr:rowOff>19050</xdr:rowOff>
        </xdr:to>
        <xdr:sp macro="" textlink="">
          <xdr:nvSpPr>
            <xdr:cNvPr id="1446931" name="Drop Down 19" hidden="1">
              <a:extLst>
                <a:ext uri="{63B3BB69-23CF-44E3-9099-C40C66FF867C}">
                  <a14:compatExt spid="_x0000_s1446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14</xdr:row>
          <xdr:rowOff>9525</xdr:rowOff>
        </xdr:from>
        <xdr:to>
          <xdr:col>8</xdr:col>
          <xdr:colOff>28575</xdr:colOff>
          <xdr:row>15</xdr:row>
          <xdr:rowOff>28575</xdr:rowOff>
        </xdr:to>
        <xdr:sp macro="" textlink="">
          <xdr:nvSpPr>
            <xdr:cNvPr id="1446932" name="Drop Down 20" hidden="1">
              <a:extLst>
                <a:ext uri="{63B3BB69-23CF-44E3-9099-C40C66FF867C}">
                  <a14:compatExt spid="_x0000_s1446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13</xdr:row>
          <xdr:rowOff>0</xdr:rowOff>
        </xdr:from>
        <xdr:to>
          <xdr:col>7</xdr:col>
          <xdr:colOff>0</xdr:colOff>
          <xdr:row>14</xdr:row>
          <xdr:rowOff>19050</xdr:rowOff>
        </xdr:to>
        <xdr:sp macro="" textlink="">
          <xdr:nvSpPr>
            <xdr:cNvPr id="1447410" name="Drop Down 498" hidden="1">
              <a:extLst>
                <a:ext uri="{63B3BB69-23CF-44E3-9099-C40C66FF867C}">
                  <a14:compatExt spid="_x0000_s1447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</xdr:row>
          <xdr:rowOff>19050</xdr:rowOff>
        </xdr:from>
        <xdr:to>
          <xdr:col>7</xdr:col>
          <xdr:colOff>0</xdr:colOff>
          <xdr:row>15</xdr:row>
          <xdr:rowOff>38100</xdr:rowOff>
        </xdr:to>
        <xdr:sp macro="" textlink="">
          <xdr:nvSpPr>
            <xdr:cNvPr id="1447412" name="Drop Down 500" hidden="1">
              <a:extLst>
                <a:ext uri="{63B3BB69-23CF-44E3-9099-C40C66FF867C}">
                  <a14:compatExt spid="_x0000_s1447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18</xdr:row>
          <xdr:rowOff>9525</xdr:rowOff>
        </xdr:from>
        <xdr:to>
          <xdr:col>7</xdr:col>
          <xdr:colOff>0</xdr:colOff>
          <xdr:row>19</xdr:row>
          <xdr:rowOff>28575</xdr:rowOff>
        </xdr:to>
        <xdr:sp macro="" textlink="">
          <xdr:nvSpPr>
            <xdr:cNvPr id="1447413" name="Drop Down 501" hidden="1">
              <a:extLst>
                <a:ext uri="{63B3BB69-23CF-44E3-9099-C40C66FF867C}">
                  <a14:compatExt spid="_x0000_s1447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19</xdr:row>
          <xdr:rowOff>19050</xdr:rowOff>
        </xdr:from>
        <xdr:to>
          <xdr:col>7</xdr:col>
          <xdr:colOff>0</xdr:colOff>
          <xdr:row>20</xdr:row>
          <xdr:rowOff>38100</xdr:rowOff>
        </xdr:to>
        <xdr:sp macro="" textlink="">
          <xdr:nvSpPr>
            <xdr:cNvPr id="1447414" name="Drop Down 502" hidden="1">
              <a:extLst>
                <a:ext uri="{63B3BB69-23CF-44E3-9099-C40C66FF867C}">
                  <a14:compatExt spid="_x0000_s1447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20</xdr:row>
          <xdr:rowOff>19050</xdr:rowOff>
        </xdr:from>
        <xdr:to>
          <xdr:col>7</xdr:col>
          <xdr:colOff>0</xdr:colOff>
          <xdr:row>21</xdr:row>
          <xdr:rowOff>38100</xdr:rowOff>
        </xdr:to>
        <xdr:sp macro="" textlink="">
          <xdr:nvSpPr>
            <xdr:cNvPr id="1447415" name="Drop Down 503" hidden="1">
              <a:extLst>
                <a:ext uri="{63B3BB69-23CF-44E3-9099-C40C66FF867C}">
                  <a14:compatExt spid="_x0000_s1447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21</xdr:row>
          <xdr:rowOff>19050</xdr:rowOff>
        </xdr:from>
        <xdr:to>
          <xdr:col>7</xdr:col>
          <xdr:colOff>0</xdr:colOff>
          <xdr:row>22</xdr:row>
          <xdr:rowOff>38100</xdr:rowOff>
        </xdr:to>
        <xdr:sp macro="" textlink="">
          <xdr:nvSpPr>
            <xdr:cNvPr id="1447416" name="Drop Down 504" hidden="1">
              <a:extLst>
                <a:ext uri="{63B3BB69-23CF-44E3-9099-C40C66FF867C}">
                  <a14:compatExt spid="_x0000_s1447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16</xdr:row>
          <xdr:rowOff>9525</xdr:rowOff>
        </xdr:from>
        <xdr:to>
          <xdr:col>7</xdr:col>
          <xdr:colOff>0</xdr:colOff>
          <xdr:row>17</xdr:row>
          <xdr:rowOff>28575</xdr:rowOff>
        </xdr:to>
        <xdr:sp macro="" textlink="">
          <xdr:nvSpPr>
            <xdr:cNvPr id="1447417" name="Drop Down 505" hidden="1">
              <a:extLst>
                <a:ext uri="{63B3BB69-23CF-44E3-9099-C40C66FF867C}">
                  <a14:compatExt spid="_x0000_s1447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17</xdr:row>
          <xdr:rowOff>0</xdr:rowOff>
        </xdr:from>
        <xdr:to>
          <xdr:col>7</xdr:col>
          <xdr:colOff>0</xdr:colOff>
          <xdr:row>18</xdr:row>
          <xdr:rowOff>19050</xdr:rowOff>
        </xdr:to>
        <xdr:sp macro="" textlink="">
          <xdr:nvSpPr>
            <xdr:cNvPr id="1447418" name="Drop Down 506" hidden="1">
              <a:extLst>
                <a:ext uri="{63B3BB69-23CF-44E3-9099-C40C66FF867C}">
                  <a14:compatExt spid="_x0000_s1447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15</xdr:row>
          <xdr:rowOff>9525</xdr:rowOff>
        </xdr:from>
        <xdr:to>
          <xdr:col>7</xdr:col>
          <xdr:colOff>0</xdr:colOff>
          <xdr:row>16</xdr:row>
          <xdr:rowOff>28575</xdr:rowOff>
        </xdr:to>
        <xdr:sp macro="" textlink="">
          <xdr:nvSpPr>
            <xdr:cNvPr id="1447419" name="Drop Down 507" hidden="1">
              <a:extLst>
                <a:ext uri="{63B3BB69-23CF-44E3-9099-C40C66FF867C}">
                  <a14:compatExt spid="_x0000_s1447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5</xdr:row>
          <xdr:rowOff>314325</xdr:rowOff>
        </xdr:from>
        <xdr:to>
          <xdr:col>14</xdr:col>
          <xdr:colOff>19050</xdr:colOff>
          <xdr:row>7</xdr:row>
          <xdr:rowOff>0</xdr:rowOff>
        </xdr:to>
        <xdr:sp macro="" textlink="">
          <xdr:nvSpPr>
            <xdr:cNvPr id="1447769" name="Drop Down 857" hidden="1">
              <a:extLst>
                <a:ext uri="{63B3BB69-23CF-44E3-9099-C40C66FF867C}">
                  <a14:compatExt spid="_x0000_s1447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5</xdr:row>
          <xdr:rowOff>314325</xdr:rowOff>
        </xdr:from>
        <xdr:to>
          <xdr:col>14</xdr:col>
          <xdr:colOff>28575</xdr:colOff>
          <xdr:row>7</xdr:row>
          <xdr:rowOff>0</xdr:rowOff>
        </xdr:to>
        <xdr:sp macro="" textlink="">
          <xdr:nvSpPr>
            <xdr:cNvPr id="1447774" name="Drop Down 862" hidden="1">
              <a:extLst>
                <a:ext uri="{63B3BB69-23CF-44E3-9099-C40C66FF867C}">
                  <a14:compatExt spid="_x0000_s1447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7</xdr:row>
          <xdr:rowOff>0</xdr:rowOff>
        </xdr:from>
        <xdr:to>
          <xdr:col>5</xdr:col>
          <xdr:colOff>0</xdr:colOff>
          <xdr:row>8</xdr:row>
          <xdr:rowOff>0</xdr:rowOff>
        </xdr:to>
        <xdr:sp macro="" textlink="">
          <xdr:nvSpPr>
            <xdr:cNvPr id="35874" name="Drop Down 34" hidden="1">
              <a:extLst>
                <a:ext uri="{63B3BB69-23CF-44E3-9099-C40C66FF867C}">
                  <a14:compatExt spid="_x0000_s35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5</xdr:col>
          <xdr:colOff>0</xdr:colOff>
          <xdr:row>9</xdr:row>
          <xdr:rowOff>0</xdr:rowOff>
        </xdr:to>
        <xdr:sp macro="" textlink="">
          <xdr:nvSpPr>
            <xdr:cNvPr id="35910" name="Drop Down 70" hidden="1">
              <a:extLst>
                <a:ext uri="{63B3BB69-23CF-44E3-9099-C40C66FF867C}">
                  <a14:compatExt spid="_x0000_s35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9</xdr:row>
          <xdr:rowOff>0</xdr:rowOff>
        </xdr:from>
        <xdr:to>
          <xdr:col>5</xdr:col>
          <xdr:colOff>0</xdr:colOff>
          <xdr:row>10</xdr:row>
          <xdr:rowOff>0</xdr:rowOff>
        </xdr:to>
        <xdr:sp macro="" textlink="">
          <xdr:nvSpPr>
            <xdr:cNvPr id="35911" name="Drop Down 71" hidden="1">
              <a:extLst>
                <a:ext uri="{63B3BB69-23CF-44E3-9099-C40C66FF867C}">
                  <a14:compatExt spid="_x0000_s35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10</xdr:row>
          <xdr:rowOff>0</xdr:rowOff>
        </xdr:from>
        <xdr:to>
          <xdr:col>5</xdr:col>
          <xdr:colOff>0</xdr:colOff>
          <xdr:row>11</xdr:row>
          <xdr:rowOff>0</xdr:rowOff>
        </xdr:to>
        <xdr:sp macro="" textlink="">
          <xdr:nvSpPr>
            <xdr:cNvPr id="35912" name="Drop Down 72" hidden="1">
              <a:extLst>
                <a:ext uri="{63B3BB69-23CF-44E3-9099-C40C66FF867C}">
                  <a14:compatExt spid="_x0000_s35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</xdr:row>
          <xdr:rowOff>0</xdr:rowOff>
        </xdr:from>
        <xdr:to>
          <xdr:col>5</xdr:col>
          <xdr:colOff>0</xdr:colOff>
          <xdr:row>12</xdr:row>
          <xdr:rowOff>0</xdr:rowOff>
        </xdr:to>
        <xdr:sp macro="" textlink="">
          <xdr:nvSpPr>
            <xdr:cNvPr id="35913" name="Drop Down 73" hidden="1">
              <a:extLst>
                <a:ext uri="{63B3BB69-23CF-44E3-9099-C40C66FF867C}">
                  <a14:compatExt spid="_x0000_s35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12</xdr:row>
          <xdr:rowOff>0</xdr:rowOff>
        </xdr:from>
        <xdr:to>
          <xdr:col>5</xdr:col>
          <xdr:colOff>0</xdr:colOff>
          <xdr:row>13</xdr:row>
          <xdr:rowOff>0</xdr:rowOff>
        </xdr:to>
        <xdr:sp macro="" textlink="">
          <xdr:nvSpPr>
            <xdr:cNvPr id="35914" name="Drop Down 74" hidden="1">
              <a:extLst>
                <a:ext uri="{63B3BB69-23CF-44E3-9099-C40C66FF867C}">
                  <a14:compatExt spid="_x0000_s35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5</xdr:col>
          <xdr:colOff>0</xdr:colOff>
          <xdr:row>18</xdr:row>
          <xdr:rowOff>0</xdr:rowOff>
        </xdr:to>
        <xdr:sp macro="" textlink="">
          <xdr:nvSpPr>
            <xdr:cNvPr id="35927" name="Drop Down 87" hidden="1">
              <a:extLst>
                <a:ext uri="{63B3BB69-23CF-44E3-9099-C40C66FF867C}">
                  <a14:compatExt spid="_x0000_s359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18</xdr:row>
          <xdr:rowOff>0</xdr:rowOff>
        </xdr:from>
        <xdr:to>
          <xdr:col>5</xdr:col>
          <xdr:colOff>0</xdr:colOff>
          <xdr:row>19</xdr:row>
          <xdr:rowOff>0</xdr:rowOff>
        </xdr:to>
        <xdr:sp macro="" textlink="">
          <xdr:nvSpPr>
            <xdr:cNvPr id="35945" name="Drop Down 105" hidden="1">
              <a:extLst>
                <a:ext uri="{63B3BB69-23CF-44E3-9099-C40C66FF867C}">
                  <a14:compatExt spid="_x0000_s35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26</xdr:row>
          <xdr:rowOff>0</xdr:rowOff>
        </xdr:from>
        <xdr:to>
          <xdr:col>5</xdr:col>
          <xdr:colOff>0</xdr:colOff>
          <xdr:row>27</xdr:row>
          <xdr:rowOff>0</xdr:rowOff>
        </xdr:to>
        <xdr:sp macro="" textlink="">
          <xdr:nvSpPr>
            <xdr:cNvPr id="35973" name="Drop Down 133" hidden="1">
              <a:extLst>
                <a:ext uri="{63B3BB69-23CF-44E3-9099-C40C66FF867C}">
                  <a14:compatExt spid="_x0000_s35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27</xdr:row>
          <xdr:rowOff>0</xdr:rowOff>
        </xdr:from>
        <xdr:to>
          <xdr:col>5</xdr:col>
          <xdr:colOff>0</xdr:colOff>
          <xdr:row>28</xdr:row>
          <xdr:rowOff>0</xdr:rowOff>
        </xdr:to>
        <xdr:sp macro="" textlink="">
          <xdr:nvSpPr>
            <xdr:cNvPr id="35991" name="Drop Down 151" hidden="1">
              <a:extLst>
                <a:ext uri="{63B3BB69-23CF-44E3-9099-C40C66FF867C}">
                  <a14:compatExt spid="_x0000_s35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28</xdr:row>
          <xdr:rowOff>0</xdr:rowOff>
        </xdr:from>
        <xdr:to>
          <xdr:col>5</xdr:col>
          <xdr:colOff>0</xdr:colOff>
          <xdr:row>29</xdr:row>
          <xdr:rowOff>0</xdr:rowOff>
        </xdr:to>
        <xdr:sp macro="" textlink="">
          <xdr:nvSpPr>
            <xdr:cNvPr id="35992" name="Drop Down 152" hidden="1">
              <a:extLst>
                <a:ext uri="{63B3BB69-23CF-44E3-9099-C40C66FF867C}">
                  <a14:compatExt spid="_x0000_s35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35</xdr:row>
          <xdr:rowOff>0</xdr:rowOff>
        </xdr:from>
        <xdr:to>
          <xdr:col>5</xdr:col>
          <xdr:colOff>0</xdr:colOff>
          <xdr:row>36</xdr:row>
          <xdr:rowOff>0</xdr:rowOff>
        </xdr:to>
        <xdr:sp macro="" textlink="">
          <xdr:nvSpPr>
            <xdr:cNvPr id="35993" name="Drop Down 153" hidden="1">
              <a:extLst>
                <a:ext uri="{63B3BB69-23CF-44E3-9099-C40C66FF867C}">
                  <a14:compatExt spid="_x0000_s35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7</xdr:row>
          <xdr:rowOff>0</xdr:rowOff>
        </xdr:from>
        <xdr:to>
          <xdr:col>10</xdr:col>
          <xdr:colOff>0</xdr:colOff>
          <xdr:row>8</xdr:row>
          <xdr:rowOff>0</xdr:rowOff>
        </xdr:to>
        <xdr:sp macro="" textlink="">
          <xdr:nvSpPr>
            <xdr:cNvPr id="36043" name="Drop Down 203" hidden="1">
              <a:extLst>
                <a:ext uri="{63B3BB69-23CF-44E3-9099-C40C66FF867C}">
                  <a14:compatExt spid="_x0000_s36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7</xdr:row>
          <xdr:rowOff>0</xdr:rowOff>
        </xdr:from>
        <xdr:to>
          <xdr:col>11</xdr:col>
          <xdr:colOff>0</xdr:colOff>
          <xdr:row>8</xdr:row>
          <xdr:rowOff>0</xdr:rowOff>
        </xdr:to>
        <xdr:sp macro="" textlink="">
          <xdr:nvSpPr>
            <xdr:cNvPr id="36044" name="Drop Down 204" hidden="1">
              <a:extLst>
                <a:ext uri="{63B3BB69-23CF-44E3-9099-C40C66FF867C}">
                  <a14:compatExt spid="_x0000_s36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8</xdr:row>
          <xdr:rowOff>0</xdr:rowOff>
        </xdr:from>
        <xdr:to>
          <xdr:col>10</xdr:col>
          <xdr:colOff>0</xdr:colOff>
          <xdr:row>9</xdr:row>
          <xdr:rowOff>0</xdr:rowOff>
        </xdr:to>
        <xdr:sp macro="" textlink="">
          <xdr:nvSpPr>
            <xdr:cNvPr id="36045" name="Drop Down 205" hidden="1">
              <a:extLst>
                <a:ext uri="{63B3BB69-23CF-44E3-9099-C40C66FF867C}">
                  <a14:compatExt spid="_x0000_s36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9</xdr:row>
          <xdr:rowOff>0</xdr:rowOff>
        </xdr:from>
        <xdr:to>
          <xdr:col>10</xdr:col>
          <xdr:colOff>0</xdr:colOff>
          <xdr:row>10</xdr:row>
          <xdr:rowOff>0</xdr:rowOff>
        </xdr:to>
        <xdr:sp macro="" textlink="">
          <xdr:nvSpPr>
            <xdr:cNvPr id="36046" name="Drop Down 206" hidden="1">
              <a:extLst>
                <a:ext uri="{63B3BB69-23CF-44E3-9099-C40C66FF867C}">
                  <a14:compatExt spid="_x0000_s36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10</xdr:row>
          <xdr:rowOff>0</xdr:rowOff>
        </xdr:from>
        <xdr:to>
          <xdr:col>10</xdr:col>
          <xdr:colOff>0</xdr:colOff>
          <xdr:row>11</xdr:row>
          <xdr:rowOff>0</xdr:rowOff>
        </xdr:to>
        <xdr:sp macro="" textlink="">
          <xdr:nvSpPr>
            <xdr:cNvPr id="36047" name="Drop Down 207" hidden="1">
              <a:extLst>
                <a:ext uri="{63B3BB69-23CF-44E3-9099-C40C66FF867C}">
                  <a14:compatExt spid="_x0000_s36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11</xdr:row>
          <xdr:rowOff>0</xdr:rowOff>
        </xdr:from>
        <xdr:to>
          <xdr:col>10</xdr:col>
          <xdr:colOff>0</xdr:colOff>
          <xdr:row>12</xdr:row>
          <xdr:rowOff>0</xdr:rowOff>
        </xdr:to>
        <xdr:sp macro="" textlink="">
          <xdr:nvSpPr>
            <xdr:cNvPr id="36048" name="Drop Down 208" hidden="1">
              <a:extLst>
                <a:ext uri="{63B3BB69-23CF-44E3-9099-C40C66FF867C}">
                  <a14:compatExt spid="_x0000_s36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12</xdr:row>
          <xdr:rowOff>0</xdr:rowOff>
        </xdr:from>
        <xdr:to>
          <xdr:col>10</xdr:col>
          <xdr:colOff>0</xdr:colOff>
          <xdr:row>13</xdr:row>
          <xdr:rowOff>0</xdr:rowOff>
        </xdr:to>
        <xdr:sp macro="" textlink="">
          <xdr:nvSpPr>
            <xdr:cNvPr id="36049" name="Drop Down 209" hidden="1">
              <a:extLst>
                <a:ext uri="{63B3BB69-23CF-44E3-9099-C40C66FF867C}">
                  <a14:compatExt spid="_x0000_s36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8</xdr:row>
          <xdr:rowOff>0</xdr:rowOff>
        </xdr:from>
        <xdr:to>
          <xdr:col>11</xdr:col>
          <xdr:colOff>0</xdr:colOff>
          <xdr:row>9</xdr:row>
          <xdr:rowOff>0</xdr:rowOff>
        </xdr:to>
        <xdr:sp macro="" textlink="">
          <xdr:nvSpPr>
            <xdr:cNvPr id="36050" name="Drop Down 210" hidden="1">
              <a:extLst>
                <a:ext uri="{63B3BB69-23CF-44E3-9099-C40C66FF867C}">
                  <a14:compatExt spid="_x0000_s36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9</xdr:row>
          <xdr:rowOff>0</xdr:rowOff>
        </xdr:from>
        <xdr:to>
          <xdr:col>11</xdr:col>
          <xdr:colOff>0</xdr:colOff>
          <xdr:row>10</xdr:row>
          <xdr:rowOff>0</xdr:rowOff>
        </xdr:to>
        <xdr:sp macro="" textlink="">
          <xdr:nvSpPr>
            <xdr:cNvPr id="36051" name="Drop Down 211" hidden="1">
              <a:extLst>
                <a:ext uri="{63B3BB69-23CF-44E3-9099-C40C66FF867C}">
                  <a14:compatExt spid="_x0000_s36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10</xdr:row>
          <xdr:rowOff>0</xdr:rowOff>
        </xdr:from>
        <xdr:to>
          <xdr:col>11</xdr:col>
          <xdr:colOff>0</xdr:colOff>
          <xdr:row>11</xdr:row>
          <xdr:rowOff>0</xdr:rowOff>
        </xdr:to>
        <xdr:sp macro="" textlink="">
          <xdr:nvSpPr>
            <xdr:cNvPr id="36052" name="Drop Down 212" hidden="1">
              <a:extLst>
                <a:ext uri="{63B3BB69-23CF-44E3-9099-C40C66FF867C}">
                  <a14:compatExt spid="_x0000_s36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11</xdr:row>
          <xdr:rowOff>0</xdr:rowOff>
        </xdr:from>
        <xdr:to>
          <xdr:col>11</xdr:col>
          <xdr:colOff>0</xdr:colOff>
          <xdr:row>12</xdr:row>
          <xdr:rowOff>0</xdr:rowOff>
        </xdr:to>
        <xdr:sp macro="" textlink="">
          <xdr:nvSpPr>
            <xdr:cNvPr id="36053" name="Drop Down 213" hidden="1">
              <a:extLst>
                <a:ext uri="{63B3BB69-23CF-44E3-9099-C40C66FF867C}">
                  <a14:compatExt spid="_x0000_s36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12</xdr:row>
          <xdr:rowOff>0</xdr:rowOff>
        </xdr:from>
        <xdr:to>
          <xdr:col>11</xdr:col>
          <xdr:colOff>0</xdr:colOff>
          <xdr:row>13</xdr:row>
          <xdr:rowOff>0</xdr:rowOff>
        </xdr:to>
        <xdr:sp macro="" textlink="">
          <xdr:nvSpPr>
            <xdr:cNvPr id="36054" name="Drop Down 214" hidden="1">
              <a:extLst>
                <a:ext uri="{63B3BB69-23CF-44E3-9099-C40C66FF867C}">
                  <a14:compatExt spid="_x0000_s36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17</xdr:row>
          <xdr:rowOff>0</xdr:rowOff>
        </xdr:from>
        <xdr:to>
          <xdr:col>10</xdr:col>
          <xdr:colOff>0</xdr:colOff>
          <xdr:row>18</xdr:row>
          <xdr:rowOff>0</xdr:rowOff>
        </xdr:to>
        <xdr:sp macro="" textlink="">
          <xdr:nvSpPr>
            <xdr:cNvPr id="36055" name="Drop Down 215" hidden="1">
              <a:extLst>
                <a:ext uri="{63B3BB69-23CF-44E3-9099-C40C66FF867C}">
                  <a14:compatExt spid="_x0000_s36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17</xdr:row>
          <xdr:rowOff>0</xdr:rowOff>
        </xdr:from>
        <xdr:to>
          <xdr:col>11</xdr:col>
          <xdr:colOff>0</xdr:colOff>
          <xdr:row>18</xdr:row>
          <xdr:rowOff>0</xdr:rowOff>
        </xdr:to>
        <xdr:sp macro="" textlink="">
          <xdr:nvSpPr>
            <xdr:cNvPr id="36056" name="Drop Down 216" hidden="1">
              <a:extLst>
                <a:ext uri="{63B3BB69-23CF-44E3-9099-C40C66FF867C}">
                  <a14:compatExt spid="_x0000_s36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18</xdr:row>
          <xdr:rowOff>0</xdr:rowOff>
        </xdr:from>
        <xdr:to>
          <xdr:col>10</xdr:col>
          <xdr:colOff>0</xdr:colOff>
          <xdr:row>19</xdr:row>
          <xdr:rowOff>0</xdr:rowOff>
        </xdr:to>
        <xdr:sp macro="" textlink="">
          <xdr:nvSpPr>
            <xdr:cNvPr id="36057" name="Drop Down 217" hidden="1">
              <a:extLst>
                <a:ext uri="{63B3BB69-23CF-44E3-9099-C40C66FF867C}">
                  <a14:compatExt spid="_x0000_s36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18</xdr:row>
          <xdr:rowOff>0</xdr:rowOff>
        </xdr:from>
        <xdr:to>
          <xdr:col>11</xdr:col>
          <xdr:colOff>0</xdr:colOff>
          <xdr:row>19</xdr:row>
          <xdr:rowOff>0</xdr:rowOff>
        </xdr:to>
        <xdr:sp macro="" textlink="">
          <xdr:nvSpPr>
            <xdr:cNvPr id="36058" name="Drop Down 218" hidden="1">
              <a:extLst>
                <a:ext uri="{63B3BB69-23CF-44E3-9099-C40C66FF867C}">
                  <a14:compatExt spid="_x0000_s36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26</xdr:row>
          <xdr:rowOff>0</xdr:rowOff>
        </xdr:from>
        <xdr:to>
          <xdr:col>10</xdr:col>
          <xdr:colOff>0</xdr:colOff>
          <xdr:row>27</xdr:row>
          <xdr:rowOff>0</xdr:rowOff>
        </xdr:to>
        <xdr:sp macro="" textlink="">
          <xdr:nvSpPr>
            <xdr:cNvPr id="36059" name="Drop Down 219" hidden="1">
              <a:extLst>
                <a:ext uri="{63B3BB69-23CF-44E3-9099-C40C66FF867C}">
                  <a14:compatExt spid="_x0000_s36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26</xdr:row>
          <xdr:rowOff>0</xdr:rowOff>
        </xdr:from>
        <xdr:to>
          <xdr:col>11</xdr:col>
          <xdr:colOff>0</xdr:colOff>
          <xdr:row>27</xdr:row>
          <xdr:rowOff>0</xdr:rowOff>
        </xdr:to>
        <xdr:sp macro="" textlink="">
          <xdr:nvSpPr>
            <xdr:cNvPr id="36060" name="Drop Down 220" hidden="1">
              <a:extLst>
                <a:ext uri="{63B3BB69-23CF-44E3-9099-C40C66FF867C}">
                  <a14:compatExt spid="_x0000_s36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27</xdr:row>
          <xdr:rowOff>0</xdr:rowOff>
        </xdr:from>
        <xdr:to>
          <xdr:col>10</xdr:col>
          <xdr:colOff>0</xdr:colOff>
          <xdr:row>28</xdr:row>
          <xdr:rowOff>0</xdr:rowOff>
        </xdr:to>
        <xdr:sp macro="" textlink="">
          <xdr:nvSpPr>
            <xdr:cNvPr id="36061" name="Drop Down 221" hidden="1">
              <a:extLst>
                <a:ext uri="{63B3BB69-23CF-44E3-9099-C40C66FF867C}">
                  <a14:compatExt spid="_x0000_s36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28</xdr:row>
          <xdr:rowOff>0</xdr:rowOff>
        </xdr:from>
        <xdr:to>
          <xdr:col>10</xdr:col>
          <xdr:colOff>0</xdr:colOff>
          <xdr:row>29</xdr:row>
          <xdr:rowOff>0</xdr:rowOff>
        </xdr:to>
        <xdr:sp macro="" textlink="">
          <xdr:nvSpPr>
            <xdr:cNvPr id="36062" name="Drop Down 222" hidden="1">
              <a:extLst>
                <a:ext uri="{63B3BB69-23CF-44E3-9099-C40C66FF867C}">
                  <a14:compatExt spid="_x0000_s36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35</xdr:row>
          <xdr:rowOff>0</xdr:rowOff>
        </xdr:from>
        <xdr:to>
          <xdr:col>10</xdr:col>
          <xdr:colOff>0</xdr:colOff>
          <xdr:row>36</xdr:row>
          <xdr:rowOff>0</xdr:rowOff>
        </xdr:to>
        <xdr:sp macro="" textlink="">
          <xdr:nvSpPr>
            <xdr:cNvPr id="36063" name="Drop Down 223" hidden="1">
              <a:extLst>
                <a:ext uri="{63B3BB69-23CF-44E3-9099-C40C66FF867C}">
                  <a14:compatExt spid="_x0000_s36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27</xdr:row>
          <xdr:rowOff>0</xdr:rowOff>
        </xdr:from>
        <xdr:to>
          <xdr:col>11</xdr:col>
          <xdr:colOff>0</xdr:colOff>
          <xdr:row>28</xdr:row>
          <xdr:rowOff>0</xdr:rowOff>
        </xdr:to>
        <xdr:sp macro="" textlink="">
          <xdr:nvSpPr>
            <xdr:cNvPr id="36064" name="Drop Down 224" hidden="1">
              <a:extLst>
                <a:ext uri="{63B3BB69-23CF-44E3-9099-C40C66FF867C}">
                  <a14:compatExt spid="_x0000_s36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28</xdr:row>
          <xdr:rowOff>0</xdr:rowOff>
        </xdr:from>
        <xdr:to>
          <xdr:col>11</xdr:col>
          <xdr:colOff>0</xdr:colOff>
          <xdr:row>29</xdr:row>
          <xdr:rowOff>0</xdr:rowOff>
        </xdr:to>
        <xdr:sp macro="" textlink="">
          <xdr:nvSpPr>
            <xdr:cNvPr id="36065" name="Drop Down 225" hidden="1">
              <a:extLst>
                <a:ext uri="{63B3BB69-23CF-44E3-9099-C40C66FF867C}">
                  <a14:compatExt spid="_x0000_s36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35</xdr:row>
          <xdr:rowOff>0</xdr:rowOff>
        </xdr:from>
        <xdr:to>
          <xdr:col>11</xdr:col>
          <xdr:colOff>0</xdr:colOff>
          <xdr:row>36</xdr:row>
          <xdr:rowOff>0</xdr:rowOff>
        </xdr:to>
        <xdr:sp macro="" textlink="">
          <xdr:nvSpPr>
            <xdr:cNvPr id="36066" name="Drop Down 226" hidden="1">
              <a:extLst>
                <a:ext uri="{63B3BB69-23CF-44E3-9099-C40C66FF867C}">
                  <a14:compatExt spid="_x0000_s36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49</xdr:row>
          <xdr:rowOff>0</xdr:rowOff>
        </xdr:from>
        <xdr:to>
          <xdr:col>10</xdr:col>
          <xdr:colOff>0</xdr:colOff>
          <xdr:row>50</xdr:row>
          <xdr:rowOff>0</xdr:rowOff>
        </xdr:to>
        <xdr:sp macro="" textlink="">
          <xdr:nvSpPr>
            <xdr:cNvPr id="36071" name="Drop Down 231" hidden="1">
              <a:extLst>
                <a:ext uri="{63B3BB69-23CF-44E3-9099-C40C66FF867C}">
                  <a14:compatExt spid="_x0000_s36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49</xdr:row>
          <xdr:rowOff>0</xdr:rowOff>
        </xdr:from>
        <xdr:to>
          <xdr:col>11</xdr:col>
          <xdr:colOff>0</xdr:colOff>
          <xdr:row>50</xdr:row>
          <xdr:rowOff>0</xdr:rowOff>
        </xdr:to>
        <xdr:sp macro="" textlink="">
          <xdr:nvSpPr>
            <xdr:cNvPr id="36072" name="Drop Down 232" hidden="1">
              <a:extLst>
                <a:ext uri="{63B3BB69-23CF-44E3-9099-C40C66FF867C}">
                  <a14:compatExt spid="_x0000_s36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50</xdr:row>
          <xdr:rowOff>0</xdr:rowOff>
        </xdr:from>
        <xdr:to>
          <xdr:col>11</xdr:col>
          <xdr:colOff>0</xdr:colOff>
          <xdr:row>51</xdr:row>
          <xdr:rowOff>0</xdr:rowOff>
        </xdr:to>
        <xdr:sp macro="" textlink="">
          <xdr:nvSpPr>
            <xdr:cNvPr id="36073" name="Drop Down 233" hidden="1">
              <a:extLst>
                <a:ext uri="{63B3BB69-23CF-44E3-9099-C40C66FF867C}">
                  <a14:compatExt spid="_x0000_s36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51</xdr:row>
          <xdr:rowOff>0</xdr:rowOff>
        </xdr:from>
        <xdr:to>
          <xdr:col>11</xdr:col>
          <xdr:colOff>0</xdr:colOff>
          <xdr:row>52</xdr:row>
          <xdr:rowOff>0</xdr:rowOff>
        </xdr:to>
        <xdr:sp macro="" textlink="">
          <xdr:nvSpPr>
            <xdr:cNvPr id="36074" name="Drop Down 234" hidden="1">
              <a:extLst>
                <a:ext uri="{63B3BB69-23CF-44E3-9099-C40C66FF867C}">
                  <a14:compatExt spid="_x0000_s36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52</xdr:row>
          <xdr:rowOff>0</xdr:rowOff>
        </xdr:from>
        <xdr:to>
          <xdr:col>11</xdr:col>
          <xdr:colOff>0</xdr:colOff>
          <xdr:row>53</xdr:row>
          <xdr:rowOff>0</xdr:rowOff>
        </xdr:to>
        <xdr:sp macro="" textlink="">
          <xdr:nvSpPr>
            <xdr:cNvPr id="36075" name="Drop Down 235" hidden="1">
              <a:extLst>
                <a:ext uri="{63B3BB69-23CF-44E3-9099-C40C66FF867C}">
                  <a14:compatExt spid="_x0000_s36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50</xdr:row>
          <xdr:rowOff>0</xdr:rowOff>
        </xdr:from>
        <xdr:to>
          <xdr:col>10</xdr:col>
          <xdr:colOff>0</xdr:colOff>
          <xdr:row>51</xdr:row>
          <xdr:rowOff>0</xdr:rowOff>
        </xdr:to>
        <xdr:sp macro="" textlink="">
          <xdr:nvSpPr>
            <xdr:cNvPr id="36076" name="Drop Down 236" hidden="1">
              <a:extLst>
                <a:ext uri="{63B3BB69-23CF-44E3-9099-C40C66FF867C}">
                  <a14:compatExt spid="_x0000_s36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51</xdr:row>
          <xdr:rowOff>0</xdr:rowOff>
        </xdr:from>
        <xdr:to>
          <xdr:col>10</xdr:col>
          <xdr:colOff>0</xdr:colOff>
          <xdr:row>52</xdr:row>
          <xdr:rowOff>0</xdr:rowOff>
        </xdr:to>
        <xdr:sp macro="" textlink="">
          <xdr:nvSpPr>
            <xdr:cNvPr id="36077" name="Drop Down 237" hidden="1">
              <a:extLst>
                <a:ext uri="{63B3BB69-23CF-44E3-9099-C40C66FF867C}">
                  <a14:compatExt spid="_x0000_s36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52</xdr:row>
          <xdr:rowOff>0</xdr:rowOff>
        </xdr:from>
        <xdr:to>
          <xdr:col>10</xdr:col>
          <xdr:colOff>0</xdr:colOff>
          <xdr:row>53</xdr:row>
          <xdr:rowOff>0</xdr:rowOff>
        </xdr:to>
        <xdr:sp macro="" textlink="">
          <xdr:nvSpPr>
            <xdr:cNvPr id="36078" name="Drop Down 238" hidden="1">
              <a:extLst>
                <a:ext uri="{63B3BB69-23CF-44E3-9099-C40C66FF867C}">
                  <a14:compatExt spid="_x0000_s36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19</xdr:row>
          <xdr:rowOff>0</xdr:rowOff>
        </xdr:from>
        <xdr:to>
          <xdr:col>5</xdr:col>
          <xdr:colOff>0</xdr:colOff>
          <xdr:row>20</xdr:row>
          <xdr:rowOff>0</xdr:rowOff>
        </xdr:to>
        <xdr:sp macro="" textlink="">
          <xdr:nvSpPr>
            <xdr:cNvPr id="36079" name="Drop Down 239" hidden="1">
              <a:extLst>
                <a:ext uri="{63B3BB69-23CF-44E3-9099-C40C66FF867C}">
                  <a14:compatExt spid="_x0000_s36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5</xdr:col>
          <xdr:colOff>0</xdr:colOff>
          <xdr:row>21</xdr:row>
          <xdr:rowOff>0</xdr:rowOff>
        </xdr:to>
        <xdr:sp macro="" textlink="">
          <xdr:nvSpPr>
            <xdr:cNvPr id="36080" name="Drop Down 240" hidden="1">
              <a:extLst>
                <a:ext uri="{63B3BB69-23CF-44E3-9099-C40C66FF867C}">
                  <a14:compatExt spid="_x0000_s36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21</xdr:row>
          <xdr:rowOff>0</xdr:rowOff>
        </xdr:from>
        <xdr:to>
          <xdr:col>5</xdr:col>
          <xdr:colOff>0</xdr:colOff>
          <xdr:row>22</xdr:row>
          <xdr:rowOff>0</xdr:rowOff>
        </xdr:to>
        <xdr:sp macro="" textlink="">
          <xdr:nvSpPr>
            <xdr:cNvPr id="36081" name="Drop Down 241" hidden="1">
              <a:extLst>
                <a:ext uri="{63B3BB69-23CF-44E3-9099-C40C66FF867C}">
                  <a14:compatExt spid="_x0000_s36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19</xdr:row>
          <xdr:rowOff>0</xdr:rowOff>
        </xdr:from>
        <xdr:to>
          <xdr:col>10</xdr:col>
          <xdr:colOff>0</xdr:colOff>
          <xdr:row>20</xdr:row>
          <xdr:rowOff>0</xdr:rowOff>
        </xdr:to>
        <xdr:sp macro="" textlink="">
          <xdr:nvSpPr>
            <xdr:cNvPr id="36082" name="Drop Down 242" hidden="1">
              <a:extLst>
                <a:ext uri="{63B3BB69-23CF-44E3-9099-C40C66FF867C}">
                  <a14:compatExt spid="_x0000_s36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20</xdr:row>
          <xdr:rowOff>0</xdr:rowOff>
        </xdr:from>
        <xdr:to>
          <xdr:col>10</xdr:col>
          <xdr:colOff>0</xdr:colOff>
          <xdr:row>21</xdr:row>
          <xdr:rowOff>0</xdr:rowOff>
        </xdr:to>
        <xdr:sp macro="" textlink="">
          <xdr:nvSpPr>
            <xdr:cNvPr id="36083" name="Drop Down 243" hidden="1">
              <a:extLst>
                <a:ext uri="{63B3BB69-23CF-44E3-9099-C40C66FF867C}">
                  <a14:compatExt spid="_x0000_s36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21</xdr:row>
          <xdr:rowOff>0</xdr:rowOff>
        </xdr:from>
        <xdr:to>
          <xdr:col>10</xdr:col>
          <xdr:colOff>0</xdr:colOff>
          <xdr:row>22</xdr:row>
          <xdr:rowOff>0</xdr:rowOff>
        </xdr:to>
        <xdr:sp macro="" textlink="">
          <xdr:nvSpPr>
            <xdr:cNvPr id="36084" name="Drop Down 244" hidden="1">
              <a:extLst>
                <a:ext uri="{63B3BB69-23CF-44E3-9099-C40C66FF867C}">
                  <a14:compatExt spid="_x0000_s36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19</xdr:row>
          <xdr:rowOff>0</xdr:rowOff>
        </xdr:from>
        <xdr:to>
          <xdr:col>11</xdr:col>
          <xdr:colOff>0</xdr:colOff>
          <xdr:row>20</xdr:row>
          <xdr:rowOff>0</xdr:rowOff>
        </xdr:to>
        <xdr:sp macro="" textlink="">
          <xdr:nvSpPr>
            <xdr:cNvPr id="36085" name="Drop Down 245" hidden="1">
              <a:extLst>
                <a:ext uri="{63B3BB69-23CF-44E3-9099-C40C66FF867C}">
                  <a14:compatExt spid="_x0000_s36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20</xdr:row>
          <xdr:rowOff>0</xdr:rowOff>
        </xdr:from>
        <xdr:to>
          <xdr:col>11</xdr:col>
          <xdr:colOff>0</xdr:colOff>
          <xdr:row>21</xdr:row>
          <xdr:rowOff>0</xdr:rowOff>
        </xdr:to>
        <xdr:sp macro="" textlink="">
          <xdr:nvSpPr>
            <xdr:cNvPr id="36086" name="Drop Down 246" hidden="1">
              <a:extLst>
                <a:ext uri="{63B3BB69-23CF-44E3-9099-C40C66FF867C}">
                  <a14:compatExt spid="_x0000_s36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21</xdr:row>
          <xdr:rowOff>0</xdr:rowOff>
        </xdr:from>
        <xdr:to>
          <xdr:col>11</xdr:col>
          <xdr:colOff>0</xdr:colOff>
          <xdr:row>22</xdr:row>
          <xdr:rowOff>0</xdr:rowOff>
        </xdr:to>
        <xdr:sp macro="" textlink="">
          <xdr:nvSpPr>
            <xdr:cNvPr id="36087" name="Drop Down 247" hidden="1">
              <a:extLst>
                <a:ext uri="{63B3BB69-23CF-44E3-9099-C40C66FF867C}">
                  <a14:compatExt spid="_x0000_s36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30</xdr:row>
          <xdr:rowOff>0</xdr:rowOff>
        </xdr:from>
        <xdr:to>
          <xdr:col>5</xdr:col>
          <xdr:colOff>0</xdr:colOff>
          <xdr:row>31</xdr:row>
          <xdr:rowOff>0</xdr:rowOff>
        </xdr:to>
        <xdr:sp macro="" textlink="">
          <xdr:nvSpPr>
            <xdr:cNvPr id="36088" name="Drop Down 248" hidden="1">
              <a:extLst>
                <a:ext uri="{63B3BB69-23CF-44E3-9099-C40C66FF867C}">
                  <a14:compatExt spid="_x0000_s36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30</xdr:row>
          <xdr:rowOff>0</xdr:rowOff>
        </xdr:from>
        <xdr:to>
          <xdr:col>10</xdr:col>
          <xdr:colOff>0</xdr:colOff>
          <xdr:row>31</xdr:row>
          <xdr:rowOff>0</xdr:rowOff>
        </xdr:to>
        <xdr:sp macro="" textlink="">
          <xdr:nvSpPr>
            <xdr:cNvPr id="36089" name="Drop Down 249" hidden="1">
              <a:extLst>
                <a:ext uri="{63B3BB69-23CF-44E3-9099-C40C66FF867C}">
                  <a14:compatExt spid="_x0000_s36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30</xdr:row>
          <xdr:rowOff>0</xdr:rowOff>
        </xdr:from>
        <xdr:to>
          <xdr:col>11</xdr:col>
          <xdr:colOff>0</xdr:colOff>
          <xdr:row>31</xdr:row>
          <xdr:rowOff>0</xdr:rowOff>
        </xdr:to>
        <xdr:sp macro="" textlink="">
          <xdr:nvSpPr>
            <xdr:cNvPr id="36090" name="Drop Down 250" hidden="1">
              <a:extLst>
                <a:ext uri="{63B3BB69-23CF-44E3-9099-C40C66FF867C}">
                  <a14:compatExt spid="_x0000_s36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29</xdr:row>
          <xdr:rowOff>0</xdr:rowOff>
        </xdr:from>
        <xdr:to>
          <xdr:col>5</xdr:col>
          <xdr:colOff>0</xdr:colOff>
          <xdr:row>30</xdr:row>
          <xdr:rowOff>0</xdr:rowOff>
        </xdr:to>
        <xdr:sp macro="" textlink="">
          <xdr:nvSpPr>
            <xdr:cNvPr id="36091" name="Drop Down 251" hidden="1">
              <a:extLst>
                <a:ext uri="{63B3BB69-23CF-44E3-9099-C40C66FF867C}">
                  <a14:compatExt spid="_x0000_s36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29</xdr:row>
          <xdr:rowOff>0</xdr:rowOff>
        </xdr:from>
        <xdr:to>
          <xdr:col>10</xdr:col>
          <xdr:colOff>0</xdr:colOff>
          <xdr:row>30</xdr:row>
          <xdr:rowOff>0</xdr:rowOff>
        </xdr:to>
        <xdr:sp macro="" textlink="">
          <xdr:nvSpPr>
            <xdr:cNvPr id="36092" name="Drop Down 252" hidden="1">
              <a:extLst>
                <a:ext uri="{63B3BB69-23CF-44E3-9099-C40C66FF867C}">
                  <a14:compatExt spid="_x0000_s36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29</xdr:row>
          <xdr:rowOff>0</xdr:rowOff>
        </xdr:from>
        <xdr:to>
          <xdr:col>11</xdr:col>
          <xdr:colOff>0</xdr:colOff>
          <xdr:row>30</xdr:row>
          <xdr:rowOff>0</xdr:rowOff>
        </xdr:to>
        <xdr:sp macro="" textlink="">
          <xdr:nvSpPr>
            <xdr:cNvPr id="36093" name="Drop Down 253" hidden="1">
              <a:extLst>
                <a:ext uri="{63B3BB69-23CF-44E3-9099-C40C66FF867C}">
                  <a14:compatExt spid="_x0000_s36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32</xdr:row>
          <xdr:rowOff>0</xdr:rowOff>
        </xdr:from>
        <xdr:to>
          <xdr:col>5</xdr:col>
          <xdr:colOff>0</xdr:colOff>
          <xdr:row>33</xdr:row>
          <xdr:rowOff>0</xdr:rowOff>
        </xdr:to>
        <xdr:sp macro="" textlink="">
          <xdr:nvSpPr>
            <xdr:cNvPr id="36096" name="Drop Down 256" hidden="1">
              <a:extLst>
                <a:ext uri="{63B3BB69-23CF-44E3-9099-C40C66FF867C}">
                  <a14:compatExt spid="_x0000_s36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33</xdr:row>
          <xdr:rowOff>0</xdr:rowOff>
        </xdr:from>
        <xdr:to>
          <xdr:col>5</xdr:col>
          <xdr:colOff>0</xdr:colOff>
          <xdr:row>34</xdr:row>
          <xdr:rowOff>0</xdr:rowOff>
        </xdr:to>
        <xdr:sp macro="" textlink="">
          <xdr:nvSpPr>
            <xdr:cNvPr id="36097" name="Drop Down 257" hidden="1">
              <a:extLst>
                <a:ext uri="{63B3BB69-23CF-44E3-9099-C40C66FF867C}">
                  <a14:compatExt spid="_x0000_s36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34</xdr:row>
          <xdr:rowOff>0</xdr:rowOff>
        </xdr:from>
        <xdr:to>
          <xdr:col>5</xdr:col>
          <xdr:colOff>0</xdr:colOff>
          <xdr:row>35</xdr:row>
          <xdr:rowOff>0</xdr:rowOff>
        </xdr:to>
        <xdr:sp macro="" textlink="">
          <xdr:nvSpPr>
            <xdr:cNvPr id="36098" name="Drop Down 258" hidden="1">
              <a:extLst>
                <a:ext uri="{63B3BB69-23CF-44E3-9099-C40C66FF867C}">
                  <a14:compatExt spid="_x0000_s36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31</xdr:row>
          <xdr:rowOff>0</xdr:rowOff>
        </xdr:from>
        <xdr:to>
          <xdr:col>5</xdr:col>
          <xdr:colOff>0</xdr:colOff>
          <xdr:row>32</xdr:row>
          <xdr:rowOff>0</xdr:rowOff>
        </xdr:to>
        <xdr:sp macro="" textlink="">
          <xdr:nvSpPr>
            <xdr:cNvPr id="36099" name="Drop Down 259" hidden="1">
              <a:extLst>
                <a:ext uri="{63B3BB69-23CF-44E3-9099-C40C66FF867C}">
                  <a14:compatExt spid="_x0000_s36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32</xdr:row>
          <xdr:rowOff>0</xdr:rowOff>
        </xdr:from>
        <xdr:to>
          <xdr:col>10</xdr:col>
          <xdr:colOff>0</xdr:colOff>
          <xdr:row>33</xdr:row>
          <xdr:rowOff>0</xdr:rowOff>
        </xdr:to>
        <xdr:sp macro="" textlink="">
          <xdr:nvSpPr>
            <xdr:cNvPr id="36100" name="Drop Down 260" hidden="1">
              <a:extLst>
                <a:ext uri="{63B3BB69-23CF-44E3-9099-C40C66FF867C}">
                  <a14:compatExt spid="_x0000_s36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33</xdr:row>
          <xdr:rowOff>0</xdr:rowOff>
        </xdr:from>
        <xdr:to>
          <xdr:col>10</xdr:col>
          <xdr:colOff>0</xdr:colOff>
          <xdr:row>34</xdr:row>
          <xdr:rowOff>0</xdr:rowOff>
        </xdr:to>
        <xdr:sp macro="" textlink="">
          <xdr:nvSpPr>
            <xdr:cNvPr id="36101" name="Drop Down 261" hidden="1">
              <a:extLst>
                <a:ext uri="{63B3BB69-23CF-44E3-9099-C40C66FF867C}">
                  <a14:compatExt spid="_x0000_s36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34</xdr:row>
          <xdr:rowOff>0</xdr:rowOff>
        </xdr:from>
        <xdr:to>
          <xdr:col>10</xdr:col>
          <xdr:colOff>0</xdr:colOff>
          <xdr:row>35</xdr:row>
          <xdr:rowOff>0</xdr:rowOff>
        </xdr:to>
        <xdr:sp macro="" textlink="">
          <xdr:nvSpPr>
            <xdr:cNvPr id="36102" name="Drop Down 262" hidden="1">
              <a:extLst>
                <a:ext uri="{63B3BB69-23CF-44E3-9099-C40C66FF867C}">
                  <a14:compatExt spid="_x0000_s36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31</xdr:row>
          <xdr:rowOff>0</xdr:rowOff>
        </xdr:from>
        <xdr:to>
          <xdr:col>10</xdr:col>
          <xdr:colOff>0</xdr:colOff>
          <xdr:row>32</xdr:row>
          <xdr:rowOff>0</xdr:rowOff>
        </xdr:to>
        <xdr:sp macro="" textlink="">
          <xdr:nvSpPr>
            <xdr:cNvPr id="36103" name="Drop Down 263" hidden="1">
              <a:extLst>
                <a:ext uri="{63B3BB69-23CF-44E3-9099-C40C66FF867C}">
                  <a14:compatExt spid="_x0000_s36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31</xdr:row>
          <xdr:rowOff>0</xdr:rowOff>
        </xdr:from>
        <xdr:to>
          <xdr:col>11</xdr:col>
          <xdr:colOff>0</xdr:colOff>
          <xdr:row>32</xdr:row>
          <xdr:rowOff>0</xdr:rowOff>
        </xdr:to>
        <xdr:sp macro="" textlink="">
          <xdr:nvSpPr>
            <xdr:cNvPr id="36104" name="Drop Down 264" hidden="1">
              <a:extLst>
                <a:ext uri="{63B3BB69-23CF-44E3-9099-C40C66FF867C}">
                  <a14:compatExt spid="_x0000_s36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32</xdr:row>
          <xdr:rowOff>0</xdr:rowOff>
        </xdr:from>
        <xdr:to>
          <xdr:col>11</xdr:col>
          <xdr:colOff>0</xdr:colOff>
          <xdr:row>33</xdr:row>
          <xdr:rowOff>0</xdr:rowOff>
        </xdr:to>
        <xdr:sp macro="" textlink="">
          <xdr:nvSpPr>
            <xdr:cNvPr id="36105" name="Drop Down 265" hidden="1">
              <a:extLst>
                <a:ext uri="{63B3BB69-23CF-44E3-9099-C40C66FF867C}">
                  <a14:compatExt spid="_x0000_s36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33</xdr:row>
          <xdr:rowOff>0</xdr:rowOff>
        </xdr:from>
        <xdr:to>
          <xdr:col>11</xdr:col>
          <xdr:colOff>0</xdr:colOff>
          <xdr:row>34</xdr:row>
          <xdr:rowOff>0</xdr:rowOff>
        </xdr:to>
        <xdr:sp macro="" textlink="">
          <xdr:nvSpPr>
            <xdr:cNvPr id="36106" name="Drop Down 266" hidden="1">
              <a:extLst>
                <a:ext uri="{63B3BB69-23CF-44E3-9099-C40C66FF867C}">
                  <a14:compatExt spid="_x0000_s36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34</xdr:row>
          <xdr:rowOff>0</xdr:rowOff>
        </xdr:from>
        <xdr:to>
          <xdr:col>11</xdr:col>
          <xdr:colOff>0</xdr:colOff>
          <xdr:row>35</xdr:row>
          <xdr:rowOff>0</xdr:rowOff>
        </xdr:to>
        <xdr:sp macro="" textlink="">
          <xdr:nvSpPr>
            <xdr:cNvPr id="36107" name="Drop Down 267" hidden="1">
              <a:extLst>
                <a:ext uri="{63B3BB69-23CF-44E3-9099-C40C66FF867C}">
                  <a14:compatExt spid="_x0000_s36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40</xdr:row>
          <xdr:rowOff>0</xdr:rowOff>
        </xdr:from>
        <xdr:to>
          <xdr:col>10</xdr:col>
          <xdr:colOff>0</xdr:colOff>
          <xdr:row>41</xdr:row>
          <xdr:rowOff>0</xdr:rowOff>
        </xdr:to>
        <xdr:sp macro="" textlink="">
          <xdr:nvSpPr>
            <xdr:cNvPr id="36108" name="Drop Down 268" hidden="1">
              <a:extLst>
                <a:ext uri="{63B3BB69-23CF-44E3-9099-C40C66FF867C}">
                  <a14:compatExt spid="_x0000_s36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40</xdr:row>
          <xdr:rowOff>0</xdr:rowOff>
        </xdr:from>
        <xdr:to>
          <xdr:col>11</xdr:col>
          <xdr:colOff>0</xdr:colOff>
          <xdr:row>41</xdr:row>
          <xdr:rowOff>0</xdr:rowOff>
        </xdr:to>
        <xdr:sp macro="" textlink="">
          <xdr:nvSpPr>
            <xdr:cNvPr id="36109" name="Drop Down 269" hidden="1">
              <a:extLst>
                <a:ext uri="{63B3BB69-23CF-44E3-9099-C40C66FF867C}">
                  <a14:compatExt spid="_x0000_s36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42</xdr:row>
          <xdr:rowOff>0</xdr:rowOff>
        </xdr:from>
        <xdr:to>
          <xdr:col>11</xdr:col>
          <xdr:colOff>0</xdr:colOff>
          <xdr:row>43</xdr:row>
          <xdr:rowOff>0</xdr:rowOff>
        </xdr:to>
        <xdr:sp macro="" textlink="">
          <xdr:nvSpPr>
            <xdr:cNvPr id="36110" name="Drop Down 270" hidden="1">
              <a:extLst>
                <a:ext uri="{63B3BB69-23CF-44E3-9099-C40C66FF867C}">
                  <a14:compatExt spid="_x0000_s36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43</xdr:row>
          <xdr:rowOff>0</xdr:rowOff>
        </xdr:from>
        <xdr:to>
          <xdr:col>11</xdr:col>
          <xdr:colOff>0</xdr:colOff>
          <xdr:row>44</xdr:row>
          <xdr:rowOff>0</xdr:rowOff>
        </xdr:to>
        <xdr:sp macro="" textlink="">
          <xdr:nvSpPr>
            <xdr:cNvPr id="36111" name="Drop Down 271" hidden="1">
              <a:extLst>
                <a:ext uri="{63B3BB69-23CF-44E3-9099-C40C66FF867C}">
                  <a14:compatExt spid="_x0000_s36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44</xdr:row>
          <xdr:rowOff>0</xdr:rowOff>
        </xdr:from>
        <xdr:to>
          <xdr:col>11</xdr:col>
          <xdr:colOff>0</xdr:colOff>
          <xdr:row>45</xdr:row>
          <xdr:rowOff>0</xdr:rowOff>
        </xdr:to>
        <xdr:sp macro="" textlink="">
          <xdr:nvSpPr>
            <xdr:cNvPr id="36112" name="Drop Down 272" hidden="1">
              <a:extLst>
                <a:ext uri="{63B3BB69-23CF-44E3-9099-C40C66FF867C}">
                  <a14:compatExt spid="_x0000_s36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42</xdr:row>
          <xdr:rowOff>0</xdr:rowOff>
        </xdr:from>
        <xdr:to>
          <xdr:col>10</xdr:col>
          <xdr:colOff>0</xdr:colOff>
          <xdr:row>43</xdr:row>
          <xdr:rowOff>0</xdr:rowOff>
        </xdr:to>
        <xdr:sp macro="" textlink="">
          <xdr:nvSpPr>
            <xdr:cNvPr id="36113" name="Drop Down 273" hidden="1">
              <a:extLst>
                <a:ext uri="{63B3BB69-23CF-44E3-9099-C40C66FF867C}">
                  <a14:compatExt spid="_x0000_s36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43</xdr:row>
          <xdr:rowOff>0</xdr:rowOff>
        </xdr:from>
        <xdr:to>
          <xdr:col>10</xdr:col>
          <xdr:colOff>0</xdr:colOff>
          <xdr:row>44</xdr:row>
          <xdr:rowOff>0</xdr:rowOff>
        </xdr:to>
        <xdr:sp macro="" textlink="">
          <xdr:nvSpPr>
            <xdr:cNvPr id="36114" name="Drop Down 274" hidden="1">
              <a:extLst>
                <a:ext uri="{63B3BB69-23CF-44E3-9099-C40C66FF867C}">
                  <a14:compatExt spid="_x0000_s36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44</xdr:row>
          <xdr:rowOff>0</xdr:rowOff>
        </xdr:from>
        <xdr:to>
          <xdr:col>10</xdr:col>
          <xdr:colOff>0</xdr:colOff>
          <xdr:row>45</xdr:row>
          <xdr:rowOff>0</xdr:rowOff>
        </xdr:to>
        <xdr:sp macro="" textlink="">
          <xdr:nvSpPr>
            <xdr:cNvPr id="36115" name="Drop Down 275" hidden="1">
              <a:extLst>
                <a:ext uri="{63B3BB69-23CF-44E3-9099-C40C66FF867C}">
                  <a14:compatExt spid="_x0000_s36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41</xdr:row>
          <xdr:rowOff>0</xdr:rowOff>
        </xdr:from>
        <xdr:to>
          <xdr:col>10</xdr:col>
          <xdr:colOff>0</xdr:colOff>
          <xdr:row>42</xdr:row>
          <xdr:rowOff>0</xdr:rowOff>
        </xdr:to>
        <xdr:sp macro="" textlink="">
          <xdr:nvSpPr>
            <xdr:cNvPr id="36116" name="Drop Down 276" hidden="1">
              <a:extLst>
                <a:ext uri="{63B3BB69-23CF-44E3-9099-C40C66FF867C}">
                  <a14:compatExt spid="_x0000_s36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41</xdr:row>
          <xdr:rowOff>0</xdr:rowOff>
        </xdr:from>
        <xdr:to>
          <xdr:col>11</xdr:col>
          <xdr:colOff>9525</xdr:colOff>
          <xdr:row>42</xdr:row>
          <xdr:rowOff>0</xdr:rowOff>
        </xdr:to>
        <xdr:sp macro="" textlink="">
          <xdr:nvSpPr>
            <xdr:cNvPr id="36117" name="Drop Down 277" hidden="1">
              <a:extLst>
                <a:ext uri="{63B3BB69-23CF-44E3-9099-C40C66FF867C}">
                  <a14:compatExt spid="_x0000_s36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42</xdr:row>
          <xdr:rowOff>9525</xdr:rowOff>
        </xdr:from>
        <xdr:to>
          <xdr:col>5</xdr:col>
          <xdr:colOff>9525</xdr:colOff>
          <xdr:row>43</xdr:row>
          <xdr:rowOff>9525</xdr:rowOff>
        </xdr:to>
        <xdr:sp macro="" textlink="">
          <xdr:nvSpPr>
            <xdr:cNvPr id="36118" name="Drop Down 278" hidden="1">
              <a:extLst>
                <a:ext uri="{63B3BB69-23CF-44E3-9099-C40C66FF867C}">
                  <a14:compatExt spid="_x0000_s36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43</xdr:row>
          <xdr:rowOff>9525</xdr:rowOff>
        </xdr:from>
        <xdr:to>
          <xdr:col>5</xdr:col>
          <xdr:colOff>9525</xdr:colOff>
          <xdr:row>44</xdr:row>
          <xdr:rowOff>9525</xdr:rowOff>
        </xdr:to>
        <xdr:sp macro="" textlink="">
          <xdr:nvSpPr>
            <xdr:cNvPr id="36119" name="Drop Down 279" hidden="1">
              <a:extLst>
                <a:ext uri="{63B3BB69-23CF-44E3-9099-C40C66FF867C}">
                  <a14:compatExt spid="_x0000_s36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44</xdr:row>
          <xdr:rowOff>9525</xdr:rowOff>
        </xdr:from>
        <xdr:to>
          <xdr:col>5</xdr:col>
          <xdr:colOff>9525</xdr:colOff>
          <xdr:row>45</xdr:row>
          <xdr:rowOff>9525</xdr:rowOff>
        </xdr:to>
        <xdr:sp macro="" textlink="">
          <xdr:nvSpPr>
            <xdr:cNvPr id="36120" name="Drop Down 280" hidden="1">
              <a:extLst>
                <a:ext uri="{63B3BB69-23CF-44E3-9099-C40C66FF867C}">
                  <a14:compatExt spid="_x0000_s36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41</xdr:row>
          <xdr:rowOff>9525</xdr:rowOff>
        </xdr:from>
        <xdr:to>
          <xdr:col>5</xdr:col>
          <xdr:colOff>9525</xdr:colOff>
          <xdr:row>42</xdr:row>
          <xdr:rowOff>9525</xdr:rowOff>
        </xdr:to>
        <xdr:sp macro="" textlink="">
          <xdr:nvSpPr>
            <xdr:cNvPr id="36121" name="Drop Down 281" hidden="1">
              <a:extLst>
                <a:ext uri="{63B3BB69-23CF-44E3-9099-C40C66FF867C}">
                  <a14:compatExt spid="_x0000_s36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40</xdr:row>
          <xdr:rowOff>9525</xdr:rowOff>
        </xdr:from>
        <xdr:to>
          <xdr:col>5</xdr:col>
          <xdr:colOff>9525</xdr:colOff>
          <xdr:row>41</xdr:row>
          <xdr:rowOff>9525</xdr:rowOff>
        </xdr:to>
        <xdr:sp macro="" textlink="">
          <xdr:nvSpPr>
            <xdr:cNvPr id="36122" name="Drop Down 282" hidden="1">
              <a:extLst>
                <a:ext uri="{63B3BB69-23CF-44E3-9099-C40C66FF867C}">
                  <a14:compatExt spid="_x0000_s36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904875</xdr:colOff>
      <xdr:row>94</xdr:row>
      <xdr:rowOff>76200</xdr:rowOff>
    </xdr:from>
    <xdr:to>
      <xdr:col>12</xdr:col>
      <xdr:colOff>57150</xdr:colOff>
      <xdr:row>122</xdr:row>
      <xdr:rowOff>85725</xdr:rowOff>
    </xdr:to>
    <xdr:graphicFrame macro="">
      <xdr:nvGraphicFramePr>
        <xdr:cNvPr id="326003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26192</xdr:colOff>
      <xdr:row>127</xdr:row>
      <xdr:rowOff>107156</xdr:rowOff>
    </xdr:from>
    <xdr:to>
      <xdr:col>10</xdr:col>
      <xdr:colOff>607217</xdr:colOff>
      <xdr:row>148</xdr:row>
      <xdr:rowOff>145256</xdr:rowOff>
    </xdr:to>
    <xdr:graphicFrame macro="">
      <xdr:nvGraphicFramePr>
        <xdr:cNvPr id="326003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66675</xdr:colOff>
      <xdr:row>157</xdr:row>
      <xdr:rowOff>0</xdr:rowOff>
    </xdr:from>
    <xdr:to>
      <xdr:col>3</xdr:col>
      <xdr:colOff>323850</xdr:colOff>
      <xdr:row>172</xdr:row>
      <xdr:rowOff>0</xdr:rowOff>
    </xdr:to>
    <xdr:graphicFrame macro="">
      <xdr:nvGraphicFramePr>
        <xdr:cNvPr id="3260035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192</xdr:row>
      <xdr:rowOff>114300</xdr:rowOff>
    </xdr:from>
    <xdr:to>
      <xdr:col>7</xdr:col>
      <xdr:colOff>866775</xdr:colOff>
      <xdr:row>215</xdr:row>
      <xdr:rowOff>85725</xdr:rowOff>
    </xdr:to>
    <xdr:graphicFrame macro="">
      <xdr:nvGraphicFramePr>
        <xdr:cNvPr id="3260036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619125</xdr:colOff>
      <xdr:row>157</xdr:row>
      <xdr:rowOff>0</xdr:rowOff>
    </xdr:from>
    <xdr:to>
      <xdr:col>7</xdr:col>
      <xdr:colOff>1152525</xdr:colOff>
      <xdr:row>171</xdr:row>
      <xdr:rowOff>152400</xdr:rowOff>
    </xdr:to>
    <xdr:graphicFrame macro="">
      <xdr:nvGraphicFramePr>
        <xdr:cNvPr id="3260037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304800</xdr:colOff>
      <xdr:row>151</xdr:row>
      <xdr:rowOff>38100</xdr:rowOff>
    </xdr:from>
    <xdr:to>
      <xdr:col>12</xdr:col>
      <xdr:colOff>114300</xdr:colOff>
      <xdr:row>175</xdr:row>
      <xdr:rowOff>142875</xdr:rowOff>
    </xdr:to>
    <xdr:graphicFrame macro="">
      <xdr:nvGraphicFramePr>
        <xdr:cNvPr id="3260038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38100</xdr:colOff>
      <xdr:row>151</xdr:row>
      <xdr:rowOff>38100</xdr:rowOff>
    </xdr:from>
    <xdr:to>
      <xdr:col>14</xdr:col>
      <xdr:colOff>1543050</xdr:colOff>
      <xdr:row>175</xdr:row>
      <xdr:rowOff>142875</xdr:rowOff>
    </xdr:to>
    <xdr:graphicFrame macro="">
      <xdr:nvGraphicFramePr>
        <xdr:cNvPr id="3260039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1628775</xdr:colOff>
      <xdr:row>151</xdr:row>
      <xdr:rowOff>19050</xdr:rowOff>
    </xdr:from>
    <xdr:to>
      <xdr:col>18</xdr:col>
      <xdr:colOff>1428750</xdr:colOff>
      <xdr:row>175</xdr:row>
      <xdr:rowOff>133350</xdr:rowOff>
    </xdr:to>
    <xdr:graphicFrame macro="">
      <xdr:nvGraphicFramePr>
        <xdr:cNvPr id="3260040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656379" cy="5966810"/>
    <xdr:graphicFrame macro="">
      <xdr:nvGraphicFramePr>
        <xdr:cNvPr id="2" name="Gráfico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609599</xdr:colOff>
      <xdr:row>14</xdr:row>
      <xdr:rowOff>85725</xdr:rowOff>
    </xdr:from>
    <xdr:ext cx="4572001" cy="3536866"/>
    <xdr:sp macro="" textlink="">
      <xdr:nvSpPr>
        <xdr:cNvPr id="2" name="CaixaDeTexto 1"/>
        <xdr:cNvSpPr txBox="1"/>
      </xdr:nvSpPr>
      <xdr:spPr>
        <a:xfrm>
          <a:off x="5619749" y="2886075"/>
          <a:ext cx="4572001" cy="3536866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pPr algn="ctr"/>
          <a:r>
            <a:rPr lang="pt-BR" sz="1100" b="1"/>
            <a:t>Isenção do ITR</a:t>
          </a:r>
        </a:p>
        <a:p>
          <a:pPr algn="just"/>
          <a:r>
            <a:rPr lang="pt-BR" sz="1100" b="1"/>
            <a:t>a) </a:t>
          </a:r>
          <a:r>
            <a:rPr lang="pt-BR" sz="1100"/>
            <a:t>imune por ser pequena gleba rural (imóvel com área igual ou inferior a 100 ha, se localizado na Amazônia Ocidental ou no Pantanal; </a:t>
          </a:r>
        </a:p>
        <a:p>
          <a:pPr algn="just"/>
          <a:r>
            <a:rPr lang="pt-BR" sz="1100"/>
            <a:t>a 50 ha, se no Polígono das Secas ou na Amazônia Oriental; e a 30 ha, se em qualquer outro município), que o proprietário explora,  </a:t>
          </a:r>
        </a:p>
        <a:p>
          <a:pPr algn="just"/>
          <a:r>
            <a:rPr lang="pt-BR" sz="1100"/>
            <a:t>vedado arrendamento, comodato ou parceria, e ele não possui qualquer outro imóvel rural ou urbano;</a:t>
          </a:r>
        </a:p>
        <a:p>
          <a:pPr algn="just"/>
          <a:r>
            <a:rPr lang="pt-BR" sz="1100" b="1"/>
            <a:t>b)</a:t>
          </a:r>
          <a:r>
            <a:rPr lang="pt-BR" sz="1100"/>
            <a:t> isento por ser parte de um conjunto de imóveis de um mesmo proprietário, cuja soma das áreas não ultrapassa os limites da pequena </a:t>
          </a:r>
        </a:p>
        <a:p>
          <a:pPr algn="just"/>
          <a:r>
            <a:rPr lang="pt-BR" sz="1100"/>
            <a:t>gleba rural, que os explora, só ou com sua família, admitida ajuda eventual de terceiros e vedado arrendamento, comodato ou </a:t>
          </a:r>
        </a:p>
        <a:p>
          <a:pPr algn="just"/>
          <a:r>
            <a:rPr lang="pt-BR" sz="1100"/>
            <a:t>parceria, e ele não possui qualquer imóvel urbano;</a:t>
          </a:r>
        </a:p>
        <a:p>
          <a:pPr algn="just"/>
          <a:r>
            <a:rPr lang="pt-BR" sz="1100" b="1"/>
            <a:t>c) </a:t>
          </a:r>
          <a:r>
            <a:rPr lang="pt-BR" sz="1100"/>
            <a:t>isento por estar compreendido em programa ofi cial de reforma agrária, caracterizado pelas autoridades competentes como </a:t>
          </a:r>
        </a:p>
        <a:p>
          <a:pPr algn="just"/>
          <a:r>
            <a:rPr lang="pt-BR" sz="1100"/>
            <a:t>assentamento, cuja fração ideal por família assentada não ultrapassa os limites da pequena gleba rural, com titulação em nome </a:t>
          </a:r>
        </a:p>
        <a:p>
          <a:pPr algn="just"/>
          <a:r>
            <a:rPr lang="pt-BR" sz="1100"/>
            <a:t>coletivo, explorado por associação ou cooperativa de produção, vedado arrendamento, comodato ou parceria, e nenhum assentado </a:t>
          </a:r>
        </a:p>
        <a:p>
          <a:pPr algn="just"/>
          <a:r>
            <a:rPr lang="pt-BR" sz="1100"/>
            <a:t>seja possuidor, individual ou coletivamente, de qualquer outro imóvel rural ou urbano;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0</xdr:rowOff>
        </xdr:from>
        <xdr:to>
          <xdr:col>3</xdr:col>
          <xdr:colOff>0</xdr:colOff>
          <xdr:row>6</xdr:row>
          <xdr:rowOff>0</xdr:rowOff>
        </xdr:to>
        <xdr:sp macro="" textlink="">
          <xdr:nvSpPr>
            <xdr:cNvPr id="28686" name="Drop Down 14" hidden="1">
              <a:extLst>
                <a:ext uri="{63B3BB69-23CF-44E3-9099-C40C66FF867C}">
                  <a14:compatExt spid="_x0000_s28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</xdr:row>
          <xdr:rowOff>0</xdr:rowOff>
        </xdr:from>
        <xdr:to>
          <xdr:col>8</xdr:col>
          <xdr:colOff>0</xdr:colOff>
          <xdr:row>6</xdr:row>
          <xdr:rowOff>0</xdr:rowOff>
        </xdr:to>
        <xdr:sp macro="" textlink="">
          <xdr:nvSpPr>
            <xdr:cNvPr id="28687" name="Drop Down 15" hidden="1">
              <a:extLst>
                <a:ext uri="{63B3BB69-23CF-44E3-9099-C40C66FF867C}">
                  <a14:compatExt spid="_x0000_s28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</xdr:row>
          <xdr:rowOff>0</xdr:rowOff>
        </xdr:from>
        <xdr:to>
          <xdr:col>8</xdr:col>
          <xdr:colOff>0</xdr:colOff>
          <xdr:row>7</xdr:row>
          <xdr:rowOff>0</xdr:rowOff>
        </xdr:to>
        <xdr:sp macro="" textlink="">
          <xdr:nvSpPr>
            <xdr:cNvPr id="28702" name="Drop Down 30" hidden="1">
              <a:extLst>
                <a:ext uri="{63B3BB69-23CF-44E3-9099-C40C66FF867C}">
                  <a14:compatExt spid="_x0000_s28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7</xdr:row>
          <xdr:rowOff>0</xdr:rowOff>
        </xdr:from>
        <xdr:to>
          <xdr:col>8</xdr:col>
          <xdr:colOff>0</xdr:colOff>
          <xdr:row>8</xdr:row>
          <xdr:rowOff>0</xdr:rowOff>
        </xdr:to>
        <xdr:sp macro="" textlink="">
          <xdr:nvSpPr>
            <xdr:cNvPr id="28703" name="Drop Down 31" hidden="1">
              <a:extLst>
                <a:ext uri="{63B3BB69-23CF-44E3-9099-C40C66FF867C}">
                  <a14:compatExt spid="_x0000_s28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</xdr:row>
          <xdr:rowOff>0</xdr:rowOff>
        </xdr:from>
        <xdr:to>
          <xdr:col>8</xdr:col>
          <xdr:colOff>0</xdr:colOff>
          <xdr:row>9</xdr:row>
          <xdr:rowOff>0</xdr:rowOff>
        </xdr:to>
        <xdr:sp macro="" textlink="">
          <xdr:nvSpPr>
            <xdr:cNvPr id="28704" name="Drop Down 32" hidden="1">
              <a:extLst>
                <a:ext uri="{63B3BB69-23CF-44E3-9099-C40C66FF867C}">
                  <a14:compatExt spid="_x0000_s28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9</xdr:row>
          <xdr:rowOff>0</xdr:rowOff>
        </xdr:from>
        <xdr:to>
          <xdr:col>8</xdr:col>
          <xdr:colOff>0</xdr:colOff>
          <xdr:row>10</xdr:row>
          <xdr:rowOff>0</xdr:rowOff>
        </xdr:to>
        <xdr:sp macro="" textlink="">
          <xdr:nvSpPr>
            <xdr:cNvPr id="28705" name="Drop Down 33" hidden="1">
              <a:extLst>
                <a:ext uri="{63B3BB69-23CF-44E3-9099-C40C66FF867C}">
                  <a14:compatExt spid="_x0000_s28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10</xdr:row>
          <xdr:rowOff>0</xdr:rowOff>
        </xdr:from>
        <xdr:to>
          <xdr:col>8</xdr:col>
          <xdr:colOff>0</xdr:colOff>
          <xdr:row>11</xdr:row>
          <xdr:rowOff>0</xdr:rowOff>
        </xdr:to>
        <xdr:sp macro="" textlink="">
          <xdr:nvSpPr>
            <xdr:cNvPr id="28706" name="Drop Down 34" hidden="1">
              <a:extLst>
                <a:ext uri="{63B3BB69-23CF-44E3-9099-C40C66FF867C}">
                  <a14:compatExt spid="_x0000_s28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11</xdr:row>
          <xdr:rowOff>0</xdr:rowOff>
        </xdr:from>
        <xdr:to>
          <xdr:col>8</xdr:col>
          <xdr:colOff>0</xdr:colOff>
          <xdr:row>12</xdr:row>
          <xdr:rowOff>0</xdr:rowOff>
        </xdr:to>
        <xdr:sp macro="" textlink="">
          <xdr:nvSpPr>
            <xdr:cNvPr id="28707" name="Drop Down 35" hidden="1">
              <a:extLst>
                <a:ext uri="{63B3BB69-23CF-44E3-9099-C40C66FF867C}">
                  <a14:compatExt spid="_x0000_s28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12</xdr:row>
          <xdr:rowOff>0</xdr:rowOff>
        </xdr:from>
        <xdr:to>
          <xdr:col>8</xdr:col>
          <xdr:colOff>0</xdr:colOff>
          <xdr:row>13</xdr:row>
          <xdr:rowOff>0</xdr:rowOff>
        </xdr:to>
        <xdr:sp macro="" textlink="">
          <xdr:nvSpPr>
            <xdr:cNvPr id="28708" name="Drop Down 36" hidden="1">
              <a:extLst>
                <a:ext uri="{63B3BB69-23CF-44E3-9099-C40C66FF867C}">
                  <a14:compatExt spid="_x0000_s28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13</xdr:row>
          <xdr:rowOff>0</xdr:rowOff>
        </xdr:from>
        <xdr:to>
          <xdr:col>8</xdr:col>
          <xdr:colOff>0</xdr:colOff>
          <xdr:row>14</xdr:row>
          <xdr:rowOff>0</xdr:rowOff>
        </xdr:to>
        <xdr:sp macro="" textlink="">
          <xdr:nvSpPr>
            <xdr:cNvPr id="28709" name="Drop Down 37" hidden="1">
              <a:extLst>
                <a:ext uri="{63B3BB69-23CF-44E3-9099-C40C66FF867C}">
                  <a14:compatExt spid="_x0000_s28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14</xdr:row>
          <xdr:rowOff>0</xdr:rowOff>
        </xdr:from>
        <xdr:to>
          <xdr:col>8</xdr:col>
          <xdr:colOff>0</xdr:colOff>
          <xdr:row>15</xdr:row>
          <xdr:rowOff>0</xdr:rowOff>
        </xdr:to>
        <xdr:sp macro="" textlink="">
          <xdr:nvSpPr>
            <xdr:cNvPr id="28710" name="Drop Down 38" hidden="1">
              <a:extLst>
                <a:ext uri="{63B3BB69-23CF-44E3-9099-C40C66FF867C}">
                  <a14:compatExt spid="_x0000_s28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15</xdr:row>
          <xdr:rowOff>0</xdr:rowOff>
        </xdr:from>
        <xdr:to>
          <xdr:col>8</xdr:col>
          <xdr:colOff>0</xdr:colOff>
          <xdr:row>16</xdr:row>
          <xdr:rowOff>0</xdr:rowOff>
        </xdr:to>
        <xdr:sp macro="" textlink="">
          <xdr:nvSpPr>
            <xdr:cNvPr id="28711" name="Drop Down 39" hidden="1">
              <a:extLst>
                <a:ext uri="{63B3BB69-23CF-44E3-9099-C40C66FF867C}">
                  <a14:compatExt spid="_x0000_s28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16</xdr:row>
          <xdr:rowOff>0</xdr:rowOff>
        </xdr:from>
        <xdr:to>
          <xdr:col>8</xdr:col>
          <xdr:colOff>0</xdr:colOff>
          <xdr:row>17</xdr:row>
          <xdr:rowOff>0</xdr:rowOff>
        </xdr:to>
        <xdr:sp macro="" textlink="">
          <xdr:nvSpPr>
            <xdr:cNvPr id="28712" name="Drop Down 40" hidden="1">
              <a:extLst>
                <a:ext uri="{63B3BB69-23CF-44E3-9099-C40C66FF867C}">
                  <a14:compatExt spid="_x0000_s28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17</xdr:row>
          <xdr:rowOff>0</xdr:rowOff>
        </xdr:from>
        <xdr:to>
          <xdr:col>8</xdr:col>
          <xdr:colOff>0</xdr:colOff>
          <xdr:row>18</xdr:row>
          <xdr:rowOff>0</xdr:rowOff>
        </xdr:to>
        <xdr:sp macro="" textlink="">
          <xdr:nvSpPr>
            <xdr:cNvPr id="28713" name="Drop Down 41" hidden="1">
              <a:extLst>
                <a:ext uri="{63B3BB69-23CF-44E3-9099-C40C66FF867C}">
                  <a14:compatExt spid="_x0000_s28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18</xdr:row>
          <xdr:rowOff>0</xdr:rowOff>
        </xdr:from>
        <xdr:to>
          <xdr:col>8</xdr:col>
          <xdr:colOff>0</xdr:colOff>
          <xdr:row>19</xdr:row>
          <xdr:rowOff>0</xdr:rowOff>
        </xdr:to>
        <xdr:sp macro="" textlink="">
          <xdr:nvSpPr>
            <xdr:cNvPr id="28714" name="Drop Down 42" hidden="1">
              <a:extLst>
                <a:ext uri="{63B3BB69-23CF-44E3-9099-C40C66FF867C}">
                  <a14:compatExt spid="_x0000_s28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0</xdr:rowOff>
        </xdr:from>
        <xdr:to>
          <xdr:col>3</xdr:col>
          <xdr:colOff>0</xdr:colOff>
          <xdr:row>7</xdr:row>
          <xdr:rowOff>0</xdr:rowOff>
        </xdr:to>
        <xdr:sp macro="" textlink="">
          <xdr:nvSpPr>
            <xdr:cNvPr id="28715" name="Drop Down 43" hidden="1">
              <a:extLst>
                <a:ext uri="{63B3BB69-23CF-44E3-9099-C40C66FF867C}">
                  <a14:compatExt spid="_x0000_s28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0</xdr:rowOff>
        </xdr:from>
        <xdr:to>
          <xdr:col>3</xdr:col>
          <xdr:colOff>0</xdr:colOff>
          <xdr:row>8</xdr:row>
          <xdr:rowOff>0</xdr:rowOff>
        </xdr:to>
        <xdr:sp macro="" textlink="">
          <xdr:nvSpPr>
            <xdr:cNvPr id="28716" name="Drop Down 44" hidden="1">
              <a:extLst>
                <a:ext uri="{63B3BB69-23CF-44E3-9099-C40C66FF867C}">
                  <a14:compatExt spid="_x0000_s28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</xdr:row>
          <xdr:rowOff>0</xdr:rowOff>
        </xdr:from>
        <xdr:to>
          <xdr:col>3</xdr:col>
          <xdr:colOff>0</xdr:colOff>
          <xdr:row>9</xdr:row>
          <xdr:rowOff>0</xdr:rowOff>
        </xdr:to>
        <xdr:sp macro="" textlink="">
          <xdr:nvSpPr>
            <xdr:cNvPr id="28717" name="Drop Down 45" hidden="1">
              <a:extLst>
                <a:ext uri="{63B3BB69-23CF-44E3-9099-C40C66FF867C}">
                  <a14:compatExt spid="_x0000_s28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0</xdr:rowOff>
        </xdr:from>
        <xdr:to>
          <xdr:col>3</xdr:col>
          <xdr:colOff>0</xdr:colOff>
          <xdr:row>10</xdr:row>
          <xdr:rowOff>0</xdr:rowOff>
        </xdr:to>
        <xdr:sp macro="" textlink="">
          <xdr:nvSpPr>
            <xdr:cNvPr id="28718" name="Drop Down 46" hidden="1">
              <a:extLst>
                <a:ext uri="{63B3BB69-23CF-44E3-9099-C40C66FF867C}">
                  <a14:compatExt spid="_x0000_s28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</xdr:row>
          <xdr:rowOff>0</xdr:rowOff>
        </xdr:from>
        <xdr:to>
          <xdr:col>3</xdr:col>
          <xdr:colOff>0</xdr:colOff>
          <xdr:row>11</xdr:row>
          <xdr:rowOff>0</xdr:rowOff>
        </xdr:to>
        <xdr:sp macro="" textlink="">
          <xdr:nvSpPr>
            <xdr:cNvPr id="28719" name="Drop Down 47" hidden="1">
              <a:extLst>
                <a:ext uri="{63B3BB69-23CF-44E3-9099-C40C66FF867C}">
                  <a14:compatExt spid="_x0000_s28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</xdr:row>
          <xdr:rowOff>0</xdr:rowOff>
        </xdr:from>
        <xdr:to>
          <xdr:col>3</xdr:col>
          <xdr:colOff>0</xdr:colOff>
          <xdr:row>12</xdr:row>
          <xdr:rowOff>0</xdr:rowOff>
        </xdr:to>
        <xdr:sp macro="" textlink="">
          <xdr:nvSpPr>
            <xdr:cNvPr id="28720" name="Drop Down 48" hidden="1">
              <a:extLst>
                <a:ext uri="{63B3BB69-23CF-44E3-9099-C40C66FF867C}">
                  <a14:compatExt spid="_x0000_s28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</xdr:row>
          <xdr:rowOff>0</xdr:rowOff>
        </xdr:from>
        <xdr:to>
          <xdr:col>3</xdr:col>
          <xdr:colOff>0</xdr:colOff>
          <xdr:row>13</xdr:row>
          <xdr:rowOff>0</xdr:rowOff>
        </xdr:to>
        <xdr:sp macro="" textlink="">
          <xdr:nvSpPr>
            <xdr:cNvPr id="28721" name="Drop Down 49" hidden="1">
              <a:extLst>
                <a:ext uri="{63B3BB69-23CF-44E3-9099-C40C66FF867C}">
                  <a14:compatExt spid="_x0000_s28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3</xdr:col>
          <xdr:colOff>0</xdr:colOff>
          <xdr:row>14</xdr:row>
          <xdr:rowOff>0</xdr:rowOff>
        </xdr:to>
        <xdr:sp macro="" textlink="">
          <xdr:nvSpPr>
            <xdr:cNvPr id="28722" name="Drop Down 50" hidden="1">
              <a:extLst>
                <a:ext uri="{63B3BB69-23CF-44E3-9099-C40C66FF867C}">
                  <a14:compatExt spid="_x0000_s28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</xdr:row>
          <xdr:rowOff>0</xdr:rowOff>
        </xdr:from>
        <xdr:to>
          <xdr:col>3</xdr:col>
          <xdr:colOff>0</xdr:colOff>
          <xdr:row>15</xdr:row>
          <xdr:rowOff>0</xdr:rowOff>
        </xdr:to>
        <xdr:sp macro="" textlink="">
          <xdr:nvSpPr>
            <xdr:cNvPr id="28723" name="Drop Down 51" hidden="1">
              <a:extLst>
                <a:ext uri="{63B3BB69-23CF-44E3-9099-C40C66FF867C}">
                  <a14:compatExt spid="_x0000_s28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0</xdr:rowOff>
        </xdr:from>
        <xdr:to>
          <xdr:col>3</xdr:col>
          <xdr:colOff>0</xdr:colOff>
          <xdr:row>16</xdr:row>
          <xdr:rowOff>0</xdr:rowOff>
        </xdr:to>
        <xdr:sp macro="" textlink="">
          <xdr:nvSpPr>
            <xdr:cNvPr id="28724" name="Drop Down 52" hidden="1">
              <a:extLst>
                <a:ext uri="{63B3BB69-23CF-44E3-9099-C40C66FF867C}">
                  <a14:compatExt spid="_x0000_s28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16</xdr:row>
          <xdr:rowOff>0</xdr:rowOff>
        </xdr:from>
        <xdr:to>
          <xdr:col>3</xdr:col>
          <xdr:colOff>0</xdr:colOff>
          <xdr:row>17</xdr:row>
          <xdr:rowOff>0</xdr:rowOff>
        </xdr:to>
        <xdr:sp macro="" textlink="">
          <xdr:nvSpPr>
            <xdr:cNvPr id="28725" name="Drop Down 53" hidden="1">
              <a:extLst>
                <a:ext uri="{63B3BB69-23CF-44E3-9099-C40C66FF867C}">
                  <a14:compatExt spid="_x0000_s28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17</xdr:row>
          <xdr:rowOff>0</xdr:rowOff>
        </xdr:from>
        <xdr:to>
          <xdr:col>3</xdr:col>
          <xdr:colOff>0</xdr:colOff>
          <xdr:row>18</xdr:row>
          <xdr:rowOff>0</xdr:rowOff>
        </xdr:to>
        <xdr:sp macro="" textlink="">
          <xdr:nvSpPr>
            <xdr:cNvPr id="28726" name="Drop Down 54" hidden="1">
              <a:extLst>
                <a:ext uri="{63B3BB69-23CF-44E3-9099-C40C66FF867C}">
                  <a14:compatExt spid="_x0000_s28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18</xdr:row>
          <xdr:rowOff>0</xdr:rowOff>
        </xdr:from>
        <xdr:to>
          <xdr:col>3</xdr:col>
          <xdr:colOff>0</xdr:colOff>
          <xdr:row>19</xdr:row>
          <xdr:rowOff>0</xdr:rowOff>
        </xdr:to>
        <xdr:sp macro="" textlink="">
          <xdr:nvSpPr>
            <xdr:cNvPr id="28727" name="Drop Down 55" hidden="1">
              <a:extLst>
                <a:ext uri="{63B3BB69-23CF-44E3-9099-C40C66FF867C}">
                  <a14:compatExt spid="_x0000_s28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32</xdr:row>
          <xdr:rowOff>0</xdr:rowOff>
        </xdr:from>
        <xdr:to>
          <xdr:col>3</xdr:col>
          <xdr:colOff>0</xdr:colOff>
          <xdr:row>33</xdr:row>
          <xdr:rowOff>0</xdr:rowOff>
        </xdr:to>
        <xdr:sp macro="" textlink="">
          <xdr:nvSpPr>
            <xdr:cNvPr id="28728" name="Drop Down 56" hidden="1">
              <a:extLst>
                <a:ext uri="{63B3BB69-23CF-44E3-9099-C40C66FF867C}">
                  <a14:compatExt spid="_x0000_s28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33</xdr:row>
          <xdr:rowOff>0</xdr:rowOff>
        </xdr:from>
        <xdr:to>
          <xdr:col>3</xdr:col>
          <xdr:colOff>0</xdr:colOff>
          <xdr:row>34</xdr:row>
          <xdr:rowOff>0</xdr:rowOff>
        </xdr:to>
        <xdr:sp macro="" textlink="">
          <xdr:nvSpPr>
            <xdr:cNvPr id="28729" name="Drop Down 57" hidden="1">
              <a:extLst>
                <a:ext uri="{63B3BB69-23CF-44E3-9099-C40C66FF867C}">
                  <a14:compatExt spid="_x0000_s28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34</xdr:row>
          <xdr:rowOff>0</xdr:rowOff>
        </xdr:from>
        <xdr:to>
          <xdr:col>3</xdr:col>
          <xdr:colOff>0</xdr:colOff>
          <xdr:row>35</xdr:row>
          <xdr:rowOff>0</xdr:rowOff>
        </xdr:to>
        <xdr:sp macro="" textlink="">
          <xdr:nvSpPr>
            <xdr:cNvPr id="28730" name="Drop Down 58" hidden="1">
              <a:extLst>
                <a:ext uri="{63B3BB69-23CF-44E3-9099-C40C66FF867C}">
                  <a14:compatExt spid="_x0000_s28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35</xdr:row>
          <xdr:rowOff>0</xdr:rowOff>
        </xdr:from>
        <xdr:to>
          <xdr:col>3</xdr:col>
          <xdr:colOff>0</xdr:colOff>
          <xdr:row>36</xdr:row>
          <xdr:rowOff>0</xdr:rowOff>
        </xdr:to>
        <xdr:sp macro="" textlink="">
          <xdr:nvSpPr>
            <xdr:cNvPr id="28731" name="Drop Down 59" hidden="1">
              <a:extLst>
                <a:ext uri="{63B3BB69-23CF-44E3-9099-C40C66FF867C}">
                  <a14:compatExt spid="_x0000_s28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36</xdr:row>
          <xdr:rowOff>0</xdr:rowOff>
        </xdr:from>
        <xdr:to>
          <xdr:col>3</xdr:col>
          <xdr:colOff>0</xdr:colOff>
          <xdr:row>37</xdr:row>
          <xdr:rowOff>0</xdr:rowOff>
        </xdr:to>
        <xdr:sp macro="" textlink="">
          <xdr:nvSpPr>
            <xdr:cNvPr id="28732" name="Drop Down 60" hidden="1">
              <a:extLst>
                <a:ext uri="{63B3BB69-23CF-44E3-9099-C40C66FF867C}">
                  <a14:compatExt spid="_x0000_s28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37</xdr:row>
          <xdr:rowOff>0</xdr:rowOff>
        </xdr:from>
        <xdr:to>
          <xdr:col>3</xdr:col>
          <xdr:colOff>0</xdr:colOff>
          <xdr:row>38</xdr:row>
          <xdr:rowOff>0</xdr:rowOff>
        </xdr:to>
        <xdr:sp macro="" textlink="">
          <xdr:nvSpPr>
            <xdr:cNvPr id="28733" name="Drop Down 61" hidden="1">
              <a:extLst>
                <a:ext uri="{63B3BB69-23CF-44E3-9099-C40C66FF867C}">
                  <a14:compatExt spid="_x0000_s28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38</xdr:row>
          <xdr:rowOff>0</xdr:rowOff>
        </xdr:from>
        <xdr:to>
          <xdr:col>3</xdr:col>
          <xdr:colOff>0</xdr:colOff>
          <xdr:row>39</xdr:row>
          <xdr:rowOff>0</xdr:rowOff>
        </xdr:to>
        <xdr:sp macro="" textlink="">
          <xdr:nvSpPr>
            <xdr:cNvPr id="28734" name="Drop Down 62" hidden="1">
              <a:extLst>
                <a:ext uri="{63B3BB69-23CF-44E3-9099-C40C66FF867C}">
                  <a14:compatExt spid="_x0000_s28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39</xdr:row>
          <xdr:rowOff>0</xdr:rowOff>
        </xdr:from>
        <xdr:to>
          <xdr:col>3</xdr:col>
          <xdr:colOff>0</xdr:colOff>
          <xdr:row>40</xdr:row>
          <xdr:rowOff>0</xdr:rowOff>
        </xdr:to>
        <xdr:sp macro="" textlink="">
          <xdr:nvSpPr>
            <xdr:cNvPr id="28735" name="Drop Down 63" hidden="1">
              <a:extLst>
                <a:ext uri="{63B3BB69-23CF-44E3-9099-C40C66FF867C}">
                  <a14:compatExt spid="_x0000_s28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40</xdr:row>
          <xdr:rowOff>0</xdr:rowOff>
        </xdr:from>
        <xdr:to>
          <xdr:col>3</xdr:col>
          <xdr:colOff>0</xdr:colOff>
          <xdr:row>41</xdr:row>
          <xdr:rowOff>0</xdr:rowOff>
        </xdr:to>
        <xdr:sp macro="" textlink="">
          <xdr:nvSpPr>
            <xdr:cNvPr id="28736" name="Drop Down 64" hidden="1">
              <a:extLst>
                <a:ext uri="{63B3BB69-23CF-44E3-9099-C40C66FF867C}">
                  <a14:compatExt spid="_x0000_s28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</xdr:row>
          <xdr:rowOff>0</xdr:rowOff>
        </xdr:from>
        <xdr:to>
          <xdr:col>3</xdr:col>
          <xdr:colOff>0</xdr:colOff>
          <xdr:row>42</xdr:row>
          <xdr:rowOff>0</xdr:rowOff>
        </xdr:to>
        <xdr:sp macro="" textlink="">
          <xdr:nvSpPr>
            <xdr:cNvPr id="28737" name="Drop Down 65" hidden="1">
              <a:extLst>
                <a:ext uri="{63B3BB69-23CF-44E3-9099-C40C66FF867C}">
                  <a14:compatExt spid="_x0000_s28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32</xdr:row>
          <xdr:rowOff>0</xdr:rowOff>
        </xdr:from>
        <xdr:to>
          <xdr:col>8</xdr:col>
          <xdr:colOff>0</xdr:colOff>
          <xdr:row>33</xdr:row>
          <xdr:rowOff>0</xdr:rowOff>
        </xdr:to>
        <xdr:sp macro="" textlink="">
          <xdr:nvSpPr>
            <xdr:cNvPr id="28738" name="Drop Down 66" hidden="1">
              <a:extLst>
                <a:ext uri="{63B3BB69-23CF-44E3-9099-C40C66FF867C}">
                  <a14:compatExt spid="_x0000_s28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33</xdr:row>
          <xdr:rowOff>0</xdr:rowOff>
        </xdr:from>
        <xdr:to>
          <xdr:col>8</xdr:col>
          <xdr:colOff>0</xdr:colOff>
          <xdr:row>34</xdr:row>
          <xdr:rowOff>0</xdr:rowOff>
        </xdr:to>
        <xdr:sp macro="" textlink="">
          <xdr:nvSpPr>
            <xdr:cNvPr id="28739" name="Drop Down 67" hidden="1">
              <a:extLst>
                <a:ext uri="{63B3BB69-23CF-44E3-9099-C40C66FF867C}">
                  <a14:compatExt spid="_x0000_s28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34</xdr:row>
          <xdr:rowOff>0</xdr:rowOff>
        </xdr:from>
        <xdr:to>
          <xdr:col>8</xdr:col>
          <xdr:colOff>0</xdr:colOff>
          <xdr:row>35</xdr:row>
          <xdr:rowOff>0</xdr:rowOff>
        </xdr:to>
        <xdr:sp macro="" textlink="">
          <xdr:nvSpPr>
            <xdr:cNvPr id="28740" name="Drop Down 68" hidden="1">
              <a:extLst>
                <a:ext uri="{63B3BB69-23CF-44E3-9099-C40C66FF867C}">
                  <a14:compatExt spid="_x0000_s28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35</xdr:row>
          <xdr:rowOff>0</xdr:rowOff>
        </xdr:from>
        <xdr:to>
          <xdr:col>8</xdr:col>
          <xdr:colOff>0</xdr:colOff>
          <xdr:row>36</xdr:row>
          <xdr:rowOff>0</xdr:rowOff>
        </xdr:to>
        <xdr:sp macro="" textlink="">
          <xdr:nvSpPr>
            <xdr:cNvPr id="28741" name="Drop Down 69" hidden="1">
              <a:extLst>
                <a:ext uri="{63B3BB69-23CF-44E3-9099-C40C66FF867C}">
                  <a14:compatExt spid="_x0000_s287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36</xdr:row>
          <xdr:rowOff>0</xdr:rowOff>
        </xdr:from>
        <xdr:to>
          <xdr:col>8</xdr:col>
          <xdr:colOff>0</xdr:colOff>
          <xdr:row>37</xdr:row>
          <xdr:rowOff>0</xdr:rowOff>
        </xdr:to>
        <xdr:sp macro="" textlink="">
          <xdr:nvSpPr>
            <xdr:cNvPr id="28742" name="Drop Down 70" hidden="1">
              <a:extLst>
                <a:ext uri="{63B3BB69-23CF-44E3-9099-C40C66FF867C}">
                  <a14:compatExt spid="_x0000_s287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37</xdr:row>
          <xdr:rowOff>0</xdr:rowOff>
        </xdr:from>
        <xdr:to>
          <xdr:col>8</xdr:col>
          <xdr:colOff>0</xdr:colOff>
          <xdr:row>38</xdr:row>
          <xdr:rowOff>0</xdr:rowOff>
        </xdr:to>
        <xdr:sp macro="" textlink="">
          <xdr:nvSpPr>
            <xdr:cNvPr id="28743" name="Drop Down 71" hidden="1">
              <a:extLst>
                <a:ext uri="{63B3BB69-23CF-44E3-9099-C40C66FF867C}">
                  <a14:compatExt spid="_x0000_s28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38</xdr:row>
          <xdr:rowOff>0</xdr:rowOff>
        </xdr:from>
        <xdr:to>
          <xdr:col>8</xdr:col>
          <xdr:colOff>0</xdr:colOff>
          <xdr:row>39</xdr:row>
          <xdr:rowOff>0</xdr:rowOff>
        </xdr:to>
        <xdr:sp macro="" textlink="">
          <xdr:nvSpPr>
            <xdr:cNvPr id="28744" name="Drop Down 72" hidden="1">
              <a:extLst>
                <a:ext uri="{63B3BB69-23CF-44E3-9099-C40C66FF867C}">
                  <a14:compatExt spid="_x0000_s28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39</xdr:row>
          <xdr:rowOff>0</xdr:rowOff>
        </xdr:from>
        <xdr:to>
          <xdr:col>8</xdr:col>
          <xdr:colOff>0</xdr:colOff>
          <xdr:row>40</xdr:row>
          <xdr:rowOff>0</xdr:rowOff>
        </xdr:to>
        <xdr:sp macro="" textlink="">
          <xdr:nvSpPr>
            <xdr:cNvPr id="28745" name="Drop Down 73" hidden="1">
              <a:extLst>
                <a:ext uri="{63B3BB69-23CF-44E3-9099-C40C66FF867C}">
                  <a14:compatExt spid="_x0000_s28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40</xdr:row>
          <xdr:rowOff>0</xdr:rowOff>
        </xdr:from>
        <xdr:to>
          <xdr:col>8</xdr:col>
          <xdr:colOff>0</xdr:colOff>
          <xdr:row>41</xdr:row>
          <xdr:rowOff>0</xdr:rowOff>
        </xdr:to>
        <xdr:sp macro="" textlink="">
          <xdr:nvSpPr>
            <xdr:cNvPr id="28746" name="Drop Down 74" hidden="1">
              <a:extLst>
                <a:ext uri="{63B3BB69-23CF-44E3-9099-C40C66FF867C}">
                  <a14:compatExt spid="_x0000_s28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41</xdr:row>
          <xdr:rowOff>0</xdr:rowOff>
        </xdr:from>
        <xdr:to>
          <xdr:col>8</xdr:col>
          <xdr:colOff>0</xdr:colOff>
          <xdr:row>42</xdr:row>
          <xdr:rowOff>0</xdr:rowOff>
        </xdr:to>
        <xdr:sp macro="" textlink="">
          <xdr:nvSpPr>
            <xdr:cNvPr id="28747" name="Drop Down 75" hidden="1">
              <a:extLst>
                <a:ext uri="{63B3BB69-23CF-44E3-9099-C40C66FF867C}">
                  <a14:compatExt spid="_x0000_s28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51</xdr:row>
          <xdr:rowOff>0</xdr:rowOff>
        </xdr:from>
        <xdr:to>
          <xdr:col>3</xdr:col>
          <xdr:colOff>0</xdr:colOff>
          <xdr:row>52</xdr:row>
          <xdr:rowOff>0</xdr:rowOff>
        </xdr:to>
        <xdr:sp macro="" textlink="">
          <xdr:nvSpPr>
            <xdr:cNvPr id="28748" name="Drop Down 76" hidden="1">
              <a:extLst>
                <a:ext uri="{63B3BB69-23CF-44E3-9099-C40C66FF867C}">
                  <a14:compatExt spid="_x0000_s28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52</xdr:row>
          <xdr:rowOff>0</xdr:rowOff>
        </xdr:from>
        <xdr:to>
          <xdr:col>3</xdr:col>
          <xdr:colOff>0</xdr:colOff>
          <xdr:row>53</xdr:row>
          <xdr:rowOff>0</xdr:rowOff>
        </xdr:to>
        <xdr:sp macro="" textlink="">
          <xdr:nvSpPr>
            <xdr:cNvPr id="28749" name="Drop Down 77" hidden="1">
              <a:extLst>
                <a:ext uri="{63B3BB69-23CF-44E3-9099-C40C66FF867C}">
                  <a14:compatExt spid="_x0000_s28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53</xdr:row>
          <xdr:rowOff>0</xdr:rowOff>
        </xdr:from>
        <xdr:to>
          <xdr:col>3</xdr:col>
          <xdr:colOff>0</xdr:colOff>
          <xdr:row>54</xdr:row>
          <xdr:rowOff>0</xdr:rowOff>
        </xdr:to>
        <xdr:sp macro="" textlink="">
          <xdr:nvSpPr>
            <xdr:cNvPr id="28750" name="Drop Down 78" hidden="1">
              <a:extLst>
                <a:ext uri="{63B3BB69-23CF-44E3-9099-C40C66FF867C}">
                  <a14:compatExt spid="_x0000_s28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54</xdr:row>
          <xdr:rowOff>0</xdr:rowOff>
        </xdr:from>
        <xdr:to>
          <xdr:col>3</xdr:col>
          <xdr:colOff>0</xdr:colOff>
          <xdr:row>55</xdr:row>
          <xdr:rowOff>0</xdr:rowOff>
        </xdr:to>
        <xdr:sp macro="" textlink="">
          <xdr:nvSpPr>
            <xdr:cNvPr id="28751" name="Drop Down 79" hidden="1">
              <a:extLst>
                <a:ext uri="{63B3BB69-23CF-44E3-9099-C40C66FF867C}">
                  <a14:compatExt spid="_x0000_s28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0</xdr:colOff>
          <xdr:row>56</xdr:row>
          <xdr:rowOff>0</xdr:rowOff>
        </xdr:to>
        <xdr:sp macro="" textlink="">
          <xdr:nvSpPr>
            <xdr:cNvPr id="28752" name="Drop Down 80" hidden="1">
              <a:extLst>
                <a:ext uri="{63B3BB69-23CF-44E3-9099-C40C66FF867C}">
                  <a14:compatExt spid="_x0000_s28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56</xdr:row>
          <xdr:rowOff>0</xdr:rowOff>
        </xdr:from>
        <xdr:to>
          <xdr:col>3</xdr:col>
          <xdr:colOff>0</xdr:colOff>
          <xdr:row>57</xdr:row>
          <xdr:rowOff>0</xdr:rowOff>
        </xdr:to>
        <xdr:sp macro="" textlink="">
          <xdr:nvSpPr>
            <xdr:cNvPr id="28753" name="Drop Down 81" hidden="1">
              <a:extLst>
                <a:ext uri="{63B3BB69-23CF-44E3-9099-C40C66FF867C}">
                  <a14:compatExt spid="_x0000_s28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57</xdr:row>
          <xdr:rowOff>0</xdr:rowOff>
        </xdr:from>
        <xdr:to>
          <xdr:col>3</xdr:col>
          <xdr:colOff>0</xdr:colOff>
          <xdr:row>58</xdr:row>
          <xdr:rowOff>0</xdr:rowOff>
        </xdr:to>
        <xdr:sp macro="" textlink="">
          <xdr:nvSpPr>
            <xdr:cNvPr id="28754" name="Drop Down 82" hidden="1">
              <a:extLst>
                <a:ext uri="{63B3BB69-23CF-44E3-9099-C40C66FF867C}">
                  <a14:compatExt spid="_x0000_s28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58</xdr:row>
          <xdr:rowOff>0</xdr:rowOff>
        </xdr:from>
        <xdr:to>
          <xdr:col>3</xdr:col>
          <xdr:colOff>0</xdr:colOff>
          <xdr:row>59</xdr:row>
          <xdr:rowOff>0</xdr:rowOff>
        </xdr:to>
        <xdr:sp macro="" textlink="">
          <xdr:nvSpPr>
            <xdr:cNvPr id="28755" name="Drop Down 83" hidden="1">
              <a:extLst>
                <a:ext uri="{63B3BB69-23CF-44E3-9099-C40C66FF867C}">
                  <a14:compatExt spid="_x0000_s28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59</xdr:row>
          <xdr:rowOff>0</xdr:rowOff>
        </xdr:from>
        <xdr:to>
          <xdr:col>3</xdr:col>
          <xdr:colOff>0</xdr:colOff>
          <xdr:row>60</xdr:row>
          <xdr:rowOff>0</xdr:rowOff>
        </xdr:to>
        <xdr:sp macro="" textlink="">
          <xdr:nvSpPr>
            <xdr:cNvPr id="28756" name="Drop Down 84" hidden="1">
              <a:extLst>
                <a:ext uri="{63B3BB69-23CF-44E3-9099-C40C66FF867C}">
                  <a14:compatExt spid="_x0000_s28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60</xdr:row>
          <xdr:rowOff>0</xdr:rowOff>
        </xdr:from>
        <xdr:to>
          <xdr:col>3</xdr:col>
          <xdr:colOff>0</xdr:colOff>
          <xdr:row>61</xdr:row>
          <xdr:rowOff>0</xdr:rowOff>
        </xdr:to>
        <xdr:sp macro="" textlink="">
          <xdr:nvSpPr>
            <xdr:cNvPr id="28757" name="Drop Down 85" hidden="1">
              <a:extLst>
                <a:ext uri="{63B3BB69-23CF-44E3-9099-C40C66FF867C}">
                  <a14:compatExt spid="_x0000_s28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61</xdr:row>
          <xdr:rowOff>0</xdr:rowOff>
        </xdr:from>
        <xdr:to>
          <xdr:col>3</xdr:col>
          <xdr:colOff>0</xdr:colOff>
          <xdr:row>62</xdr:row>
          <xdr:rowOff>0</xdr:rowOff>
        </xdr:to>
        <xdr:sp macro="" textlink="">
          <xdr:nvSpPr>
            <xdr:cNvPr id="28758" name="Drop Down 86" hidden="1">
              <a:extLst>
                <a:ext uri="{63B3BB69-23CF-44E3-9099-C40C66FF867C}">
                  <a14:compatExt spid="_x0000_s28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62</xdr:row>
          <xdr:rowOff>0</xdr:rowOff>
        </xdr:from>
        <xdr:to>
          <xdr:col>3</xdr:col>
          <xdr:colOff>0</xdr:colOff>
          <xdr:row>63</xdr:row>
          <xdr:rowOff>0</xdr:rowOff>
        </xdr:to>
        <xdr:sp macro="" textlink="">
          <xdr:nvSpPr>
            <xdr:cNvPr id="28759" name="Drop Down 87" hidden="1">
              <a:extLst>
                <a:ext uri="{63B3BB69-23CF-44E3-9099-C40C66FF867C}">
                  <a14:compatExt spid="_x0000_s28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63</xdr:row>
          <xdr:rowOff>0</xdr:rowOff>
        </xdr:from>
        <xdr:to>
          <xdr:col>3</xdr:col>
          <xdr:colOff>0</xdr:colOff>
          <xdr:row>64</xdr:row>
          <xdr:rowOff>0</xdr:rowOff>
        </xdr:to>
        <xdr:sp macro="" textlink="">
          <xdr:nvSpPr>
            <xdr:cNvPr id="28760" name="Drop Down 88" hidden="1">
              <a:extLst>
                <a:ext uri="{63B3BB69-23CF-44E3-9099-C40C66FF867C}">
                  <a14:compatExt spid="_x0000_s28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64</xdr:row>
          <xdr:rowOff>0</xdr:rowOff>
        </xdr:from>
        <xdr:to>
          <xdr:col>3</xdr:col>
          <xdr:colOff>0</xdr:colOff>
          <xdr:row>65</xdr:row>
          <xdr:rowOff>0</xdr:rowOff>
        </xdr:to>
        <xdr:sp macro="" textlink="">
          <xdr:nvSpPr>
            <xdr:cNvPr id="28761" name="Drop Down 89" hidden="1">
              <a:extLst>
                <a:ext uri="{63B3BB69-23CF-44E3-9099-C40C66FF867C}">
                  <a14:compatExt spid="_x0000_s28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65</xdr:row>
          <xdr:rowOff>0</xdr:rowOff>
        </xdr:from>
        <xdr:to>
          <xdr:col>3</xdr:col>
          <xdr:colOff>0</xdr:colOff>
          <xdr:row>66</xdr:row>
          <xdr:rowOff>0</xdr:rowOff>
        </xdr:to>
        <xdr:sp macro="" textlink="">
          <xdr:nvSpPr>
            <xdr:cNvPr id="28762" name="Drop Down 90" hidden="1">
              <a:extLst>
                <a:ext uri="{63B3BB69-23CF-44E3-9099-C40C66FF867C}">
                  <a14:compatExt spid="_x0000_s28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66</xdr:row>
          <xdr:rowOff>0</xdr:rowOff>
        </xdr:from>
        <xdr:to>
          <xdr:col>3</xdr:col>
          <xdr:colOff>0</xdr:colOff>
          <xdr:row>67</xdr:row>
          <xdr:rowOff>0</xdr:rowOff>
        </xdr:to>
        <xdr:sp macro="" textlink="">
          <xdr:nvSpPr>
            <xdr:cNvPr id="28763" name="Drop Down 91" hidden="1">
              <a:extLst>
                <a:ext uri="{63B3BB69-23CF-44E3-9099-C40C66FF867C}">
                  <a14:compatExt spid="_x0000_s28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70</xdr:row>
          <xdr:rowOff>0</xdr:rowOff>
        </xdr:from>
        <xdr:to>
          <xdr:col>3</xdr:col>
          <xdr:colOff>0</xdr:colOff>
          <xdr:row>71</xdr:row>
          <xdr:rowOff>0</xdr:rowOff>
        </xdr:to>
        <xdr:sp macro="" textlink="">
          <xdr:nvSpPr>
            <xdr:cNvPr id="28764" name="Drop Down 92" hidden="1">
              <a:extLst>
                <a:ext uri="{63B3BB69-23CF-44E3-9099-C40C66FF867C}">
                  <a14:compatExt spid="_x0000_s28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</xdr:row>
          <xdr:rowOff>0</xdr:rowOff>
        </xdr:from>
        <xdr:to>
          <xdr:col>8</xdr:col>
          <xdr:colOff>0</xdr:colOff>
          <xdr:row>52</xdr:row>
          <xdr:rowOff>0</xdr:rowOff>
        </xdr:to>
        <xdr:sp macro="" textlink="">
          <xdr:nvSpPr>
            <xdr:cNvPr id="28765" name="Drop Down 93" hidden="1">
              <a:extLst>
                <a:ext uri="{63B3BB69-23CF-44E3-9099-C40C66FF867C}">
                  <a14:compatExt spid="_x0000_s28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52</xdr:row>
          <xdr:rowOff>0</xdr:rowOff>
        </xdr:from>
        <xdr:to>
          <xdr:col>8</xdr:col>
          <xdr:colOff>0</xdr:colOff>
          <xdr:row>53</xdr:row>
          <xdr:rowOff>0</xdr:rowOff>
        </xdr:to>
        <xdr:sp macro="" textlink="">
          <xdr:nvSpPr>
            <xdr:cNvPr id="28766" name="Drop Down 94" hidden="1">
              <a:extLst>
                <a:ext uri="{63B3BB69-23CF-44E3-9099-C40C66FF867C}">
                  <a14:compatExt spid="_x0000_s28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53</xdr:row>
          <xdr:rowOff>0</xdr:rowOff>
        </xdr:from>
        <xdr:to>
          <xdr:col>8</xdr:col>
          <xdr:colOff>0</xdr:colOff>
          <xdr:row>54</xdr:row>
          <xdr:rowOff>0</xdr:rowOff>
        </xdr:to>
        <xdr:sp macro="" textlink="">
          <xdr:nvSpPr>
            <xdr:cNvPr id="28767" name="Drop Down 95" hidden="1">
              <a:extLst>
                <a:ext uri="{63B3BB69-23CF-44E3-9099-C40C66FF867C}">
                  <a14:compatExt spid="_x0000_s28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54</xdr:row>
          <xdr:rowOff>0</xdr:rowOff>
        </xdr:from>
        <xdr:to>
          <xdr:col>8</xdr:col>
          <xdr:colOff>0</xdr:colOff>
          <xdr:row>55</xdr:row>
          <xdr:rowOff>0</xdr:rowOff>
        </xdr:to>
        <xdr:sp macro="" textlink="">
          <xdr:nvSpPr>
            <xdr:cNvPr id="28768" name="Drop Down 96" hidden="1">
              <a:extLst>
                <a:ext uri="{63B3BB69-23CF-44E3-9099-C40C66FF867C}">
                  <a14:compatExt spid="_x0000_s28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55</xdr:row>
          <xdr:rowOff>0</xdr:rowOff>
        </xdr:from>
        <xdr:to>
          <xdr:col>8</xdr:col>
          <xdr:colOff>0</xdr:colOff>
          <xdr:row>56</xdr:row>
          <xdr:rowOff>0</xdr:rowOff>
        </xdr:to>
        <xdr:sp macro="" textlink="">
          <xdr:nvSpPr>
            <xdr:cNvPr id="28769" name="Drop Down 97" hidden="1">
              <a:extLst>
                <a:ext uri="{63B3BB69-23CF-44E3-9099-C40C66FF867C}">
                  <a14:compatExt spid="_x0000_s28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56</xdr:row>
          <xdr:rowOff>0</xdr:rowOff>
        </xdr:from>
        <xdr:to>
          <xdr:col>8</xdr:col>
          <xdr:colOff>0</xdr:colOff>
          <xdr:row>57</xdr:row>
          <xdr:rowOff>0</xdr:rowOff>
        </xdr:to>
        <xdr:sp macro="" textlink="">
          <xdr:nvSpPr>
            <xdr:cNvPr id="28770" name="Drop Down 98" hidden="1">
              <a:extLst>
                <a:ext uri="{63B3BB69-23CF-44E3-9099-C40C66FF867C}">
                  <a14:compatExt spid="_x0000_s28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57</xdr:row>
          <xdr:rowOff>0</xdr:rowOff>
        </xdr:from>
        <xdr:to>
          <xdr:col>8</xdr:col>
          <xdr:colOff>0</xdr:colOff>
          <xdr:row>58</xdr:row>
          <xdr:rowOff>0</xdr:rowOff>
        </xdr:to>
        <xdr:sp macro="" textlink="">
          <xdr:nvSpPr>
            <xdr:cNvPr id="28771" name="Drop Down 99" hidden="1">
              <a:extLst>
                <a:ext uri="{63B3BB69-23CF-44E3-9099-C40C66FF867C}">
                  <a14:compatExt spid="_x0000_s28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58</xdr:row>
          <xdr:rowOff>0</xdr:rowOff>
        </xdr:from>
        <xdr:to>
          <xdr:col>8</xdr:col>
          <xdr:colOff>0</xdr:colOff>
          <xdr:row>59</xdr:row>
          <xdr:rowOff>0</xdr:rowOff>
        </xdr:to>
        <xdr:sp macro="" textlink="">
          <xdr:nvSpPr>
            <xdr:cNvPr id="28772" name="Drop Down 100" hidden="1">
              <a:extLst>
                <a:ext uri="{63B3BB69-23CF-44E3-9099-C40C66FF867C}">
                  <a14:compatExt spid="_x0000_s28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59</xdr:row>
          <xdr:rowOff>0</xdr:rowOff>
        </xdr:from>
        <xdr:to>
          <xdr:col>8</xdr:col>
          <xdr:colOff>0</xdr:colOff>
          <xdr:row>60</xdr:row>
          <xdr:rowOff>0</xdr:rowOff>
        </xdr:to>
        <xdr:sp macro="" textlink="">
          <xdr:nvSpPr>
            <xdr:cNvPr id="28773" name="Drop Down 101" hidden="1">
              <a:extLst>
                <a:ext uri="{63B3BB69-23CF-44E3-9099-C40C66FF867C}">
                  <a14:compatExt spid="_x0000_s28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60</xdr:row>
          <xdr:rowOff>0</xdr:rowOff>
        </xdr:from>
        <xdr:to>
          <xdr:col>8</xdr:col>
          <xdr:colOff>0</xdr:colOff>
          <xdr:row>61</xdr:row>
          <xdr:rowOff>0</xdr:rowOff>
        </xdr:to>
        <xdr:sp macro="" textlink="">
          <xdr:nvSpPr>
            <xdr:cNvPr id="28774" name="Drop Down 102" hidden="1">
              <a:extLst>
                <a:ext uri="{63B3BB69-23CF-44E3-9099-C40C66FF867C}">
                  <a14:compatExt spid="_x0000_s28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61</xdr:row>
          <xdr:rowOff>0</xdr:rowOff>
        </xdr:from>
        <xdr:to>
          <xdr:col>8</xdr:col>
          <xdr:colOff>0</xdr:colOff>
          <xdr:row>62</xdr:row>
          <xdr:rowOff>0</xdr:rowOff>
        </xdr:to>
        <xdr:sp macro="" textlink="">
          <xdr:nvSpPr>
            <xdr:cNvPr id="28775" name="Drop Down 103" hidden="1">
              <a:extLst>
                <a:ext uri="{63B3BB69-23CF-44E3-9099-C40C66FF867C}">
                  <a14:compatExt spid="_x0000_s28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62</xdr:row>
          <xdr:rowOff>0</xdr:rowOff>
        </xdr:from>
        <xdr:to>
          <xdr:col>8</xdr:col>
          <xdr:colOff>0</xdr:colOff>
          <xdr:row>63</xdr:row>
          <xdr:rowOff>0</xdr:rowOff>
        </xdr:to>
        <xdr:sp macro="" textlink="">
          <xdr:nvSpPr>
            <xdr:cNvPr id="28776" name="Drop Down 104" hidden="1">
              <a:extLst>
                <a:ext uri="{63B3BB69-23CF-44E3-9099-C40C66FF867C}">
                  <a14:compatExt spid="_x0000_s28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63</xdr:row>
          <xdr:rowOff>0</xdr:rowOff>
        </xdr:from>
        <xdr:to>
          <xdr:col>8</xdr:col>
          <xdr:colOff>0</xdr:colOff>
          <xdr:row>64</xdr:row>
          <xdr:rowOff>0</xdr:rowOff>
        </xdr:to>
        <xdr:sp macro="" textlink="">
          <xdr:nvSpPr>
            <xdr:cNvPr id="28777" name="Drop Down 105" hidden="1">
              <a:extLst>
                <a:ext uri="{63B3BB69-23CF-44E3-9099-C40C66FF867C}">
                  <a14:compatExt spid="_x0000_s28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64</xdr:row>
          <xdr:rowOff>0</xdr:rowOff>
        </xdr:from>
        <xdr:to>
          <xdr:col>8</xdr:col>
          <xdr:colOff>0</xdr:colOff>
          <xdr:row>65</xdr:row>
          <xdr:rowOff>0</xdr:rowOff>
        </xdr:to>
        <xdr:sp macro="" textlink="">
          <xdr:nvSpPr>
            <xdr:cNvPr id="28778" name="Drop Down 106" hidden="1">
              <a:extLst>
                <a:ext uri="{63B3BB69-23CF-44E3-9099-C40C66FF867C}">
                  <a14:compatExt spid="_x0000_s28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65</xdr:row>
          <xdr:rowOff>0</xdr:rowOff>
        </xdr:from>
        <xdr:to>
          <xdr:col>8</xdr:col>
          <xdr:colOff>0</xdr:colOff>
          <xdr:row>66</xdr:row>
          <xdr:rowOff>0</xdr:rowOff>
        </xdr:to>
        <xdr:sp macro="" textlink="">
          <xdr:nvSpPr>
            <xdr:cNvPr id="28779" name="Drop Down 107" hidden="1">
              <a:extLst>
                <a:ext uri="{63B3BB69-23CF-44E3-9099-C40C66FF867C}">
                  <a14:compatExt spid="_x0000_s28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0</xdr:colOff>
          <xdr:row>67</xdr:row>
          <xdr:rowOff>0</xdr:rowOff>
        </xdr:to>
        <xdr:sp macro="" textlink="">
          <xdr:nvSpPr>
            <xdr:cNvPr id="28780" name="Drop Down 108" hidden="1">
              <a:extLst>
                <a:ext uri="{63B3BB69-23CF-44E3-9099-C40C66FF867C}">
                  <a14:compatExt spid="_x0000_s28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70</xdr:row>
          <xdr:rowOff>0</xdr:rowOff>
        </xdr:from>
        <xdr:to>
          <xdr:col>8</xdr:col>
          <xdr:colOff>0</xdr:colOff>
          <xdr:row>71</xdr:row>
          <xdr:rowOff>0</xdr:rowOff>
        </xdr:to>
        <xdr:sp macro="" textlink="">
          <xdr:nvSpPr>
            <xdr:cNvPr id="28781" name="Drop Down 109" hidden="1">
              <a:extLst>
                <a:ext uri="{63B3BB69-23CF-44E3-9099-C40C66FF867C}">
                  <a14:compatExt spid="_x0000_s287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79</xdr:row>
          <xdr:rowOff>0</xdr:rowOff>
        </xdr:from>
        <xdr:to>
          <xdr:col>3</xdr:col>
          <xdr:colOff>0</xdr:colOff>
          <xdr:row>80</xdr:row>
          <xdr:rowOff>0</xdr:rowOff>
        </xdr:to>
        <xdr:sp macro="" textlink="">
          <xdr:nvSpPr>
            <xdr:cNvPr id="28782" name="Drop Down 110" hidden="1">
              <a:extLst>
                <a:ext uri="{63B3BB69-23CF-44E3-9099-C40C66FF867C}">
                  <a14:compatExt spid="_x0000_s287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79</xdr:row>
          <xdr:rowOff>0</xdr:rowOff>
        </xdr:from>
        <xdr:to>
          <xdr:col>8</xdr:col>
          <xdr:colOff>0</xdr:colOff>
          <xdr:row>80</xdr:row>
          <xdr:rowOff>0</xdr:rowOff>
        </xdr:to>
        <xdr:sp macro="" textlink="">
          <xdr:nvSpPr>
            <xdr:cNvPr id="28783" name="Drop Down 111" hidden="1">
              <a:extLst>
                <a:ext uri="{63B3BB69-23CF-44E3-9099-C40C66FF867C}">
                  <a14:compatExt spid="_x0000_s28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80</xdr:row>
          <xdr:rowOff>0</xdr:rowOff>
        </xdr:from>
        <xdr:to>
          <xdr:col>8</xdr:col>
          <xdr:colOff>0</xdr:colOff>
          <xdr:row>81</xdr:row>
          <xdr:rowOff>0</xdr:rowOff>
        </xdr:to>
        <xdr:sp macro="" textlink="">
          <xdr:nvSpPr>
            <xdr:cNvPr id="28784" name="Drop Down 112" hidden="1">
              <a:extLst>
                <a:ext uri="{63B3BB69-23CF-44E3-9099-C40C66FF867C}">
                  <a14:compatExt spid="_x0000_s28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81</xdr:row>
          <xdr:rowOff>0</xdr:rowOff>
        </xdr:from>
        <xdr:to>
          <xdr:col>8</xdr:col>
          <xdr:colOff>0</xdr:colOff>
          <xdr:row>82</xdr:row>
          <xdr:rowOff>0</xdr:rowOff>
        </xdr:to>
        <xdr:sp macro="" textlink="">
          <xdr:nvSpPr>
            <xdr:cNvPr id="28785" name="Drop Down 113" hidden="1">
              <a:extLst>
                <a:ext uri="{63B3BB69-23CF-44E3-9099-C40C66FF867C}">
                  <a14:compatExt spid="_x0000_s28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82</xdr:row>
          <xdr:rowOff>0</xdr:rowOff>
        </xdr:from>
        <xdr:to>
          <xdr:col>8</xdr:col>
          <xdr:colOff>0</xdr:colOff>
          <xdr:row>83</xdr:row>
          <xdr:rowOff>0</xdr:rowOff>
        </xdr:to>
        <xdr:sp macro="" textlink="">
          <xdr:nvSpPr>
            <xdr:cNvPr id="28786" name="Drop Down 114" hidden="1">
              <a:extLst>
                <a:ext uri="{63B3BB69-23CF-44E3-9099-C40C66FF867C}">
                  <a14:compatExt spid="_x0000_s28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83</xdr:row>
          <xdr:rowOff>0</xdr:rowOff>
        </xdr:from>
        <xdr:to>
          <xdr:col>8</xdr:col>
          <xdr:colOff>0</xdr:colOff>
          <xdr:row>84</xdr:row>
          <xdr:rowOff>0</xdr:rowOff>
        </xdr:to>
        <xdr:sp macro="" textlink="">
          <xdr:nvSpPr>
            <xdr:cNvPr id="28787" name="Drop Down 115" hidden="1">
              <a:extLst>
                <a:ext uri="{63B3BB69-23CF-44E3-9099-C40C66FF867C}">
                  <a14:compatExt spid="_x0000_s28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84</xdr:row>
          <xdr:rowOff>0</xdr:rowOff>
        </xdr:from>
        <xdr:to>
          <xdr:col>8</xdr:col>
          <xdr:colOff>0</xdr:colOff>
          <xdr:row>85</xdr:row>
          <xdr:rowOff>0</xdr:rowOff>
        </xdr:to>
        <xdr:sp macro="" textlink="">
          <xdr:nvSpPr>
            <xdr:cNvPr id="28788" name="Drop Down 116" hidden="1">
              <a:extLst>
                <a:ext uri="{63B3BB69-23CF-44E3-9099-C40C66FF867C}">
                  <a14:compatExt spid="_x0000_s287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85</xdr:row>
          <xdr:rowOff>0</xdr:rowOff>
        </xdr:from>
        <xdr:to>
          <xdr:col>8</xdr:col>
          <xdr:colOff>0</xdr:colOff>
          <xdr:row>86</xdr:row>
          <xdr:rowOff>0</xdr:rowOff>
        </xdr:to>
        <xdr:sp macro="" textlink="">
          <xdr:nvSpPr>
            <xdr:cNvPr id="28789" name="Drop Down 117" hidden="1">
              <a:extLst>
                <a:ext uri="{63B3BB69-23CF-44E3-9099-C40C66FF867C}">
                  <a14:compatExt spid="_x0000_s287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86</xdr:row>
          <xdr:rowOff>0</xdr:rowOff>
        </xdr:from>
        <xdr:to>
          <xdr:col>8</xdr:col>
          <xdr:colOff>0</xdr:colOff>
          <xdr:row>87</xdr:row>
          <xdr:rowOff>0</xdr:rowOff>
        </xdr:to>
        <xdr:sp macro="" textlink="">
          <xdr:nvSpPr>
            <xdr:cNvPr id="28790" name="Drop Down 118" hidden="1">
              <a:extLst>
                <a:ext uri="{63B3BB69-23CF-44E3-9099-C40C66FF867C}">
                  <a14:compatExt spid="_x0000_s287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87</xdr:row>
          <xdr:rowOff>0</xdr:rowOff>
        </xdr:from>
        <xdr:to>
          <xdr:col>8</xdr:col>
          <xdr:colOff>0</xdr:colOff>
          <xdr:row>88</xdr:row>
          <xdr:rowOff>0</xdr:rowOff>
        </xdr:to>
        <xdr:sp macro="" textlink="">
          <xdr:nvSpPr>
            <xdr:cNvPr id="28791" name="Drop Down 119" hidden="1">
              <a:extLst>
                <a:ext uri="{63B3BB69-23CF-44E3-9099-C40C66FF867C}">
                  <a14:compatExt spid="_x0000_s287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80</xdr:row>
          <xdr:rowOff>0</xdr:rowOff>
        </xdr:from>
        <xdr:to>
          <xdr:col>3</xdr:col>
          <xdr:colOff>0</xdr:colOff>
          <xdr:row>81</xdr:row>
          <xdr:rowOff>0</xdr:rowOff>
        </xdr:to>
        <xdr:sp macro="" textlink="">
          <xdr:nvSpPr>
            <xdr:cNvPr id="28792" name="Drop Down 120" hidden="1">
              <a:extLst>
                <a:ext uri="{63B3BB69-23CF-44E3-9099-C40C66FF867C}">
                  <a14:compatExt spid="_x0000_s287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81</xdr:row>
          <xdr:rowOff>0</xdr:rowOff>
        </xdr:from>
        <xdr:to>
          <xdr:col>3</xdr:col>
          <xdr:colOff>0</xdr:colOff>
          <xdr:row>82</xdr:row>
          <xdr:rowOff>0</xdr:rowOff>
        </xdr:to>
        <xdr:sp macro="" textlink="">
          <xdr:nvSpPr>
            <xdr:cNvPr id="28793" name="Drop Down 121" hidden="1">
              <a:extLst>
                <a:ext uri="{63B3BB69-23CF-44E3-9099-C40C66FF867C}">
                  <a14:compatExt spid="_x0000_s28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82</xdr:row>
          <xdr:rowOff>0</xdr:rowOff>
        </xdr:from>
        <xdr:to>
          <xdr:col>3</xdr:col>
          <xdr:colOff>0</xdr:colOff>
          <xdr:row>83</xdr:row>
          <xdr:rowOff>0</xdr:rowOff>
        </xdr:to>
        <xdr:sp macro="" textlink="">
          <xdr:nvSpPr>
            <xdr:cNvPr id="28794" name="Drop Down 122" hidden="1">
              <a:extLst>
                <a:ext uri="{63B3BB69-23CF-44E3-9099-C40C66FF867C}">
                  <a14:compatExt spid="_x0000_s28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83</xdr:row>
          <xdr:rowOff>0</xdr:rowOff>
        </xdr:from>
        <xdr:to>
          <xdr:col>3</xdr:col>
          <xdr:colOff>0</xdr:colOff>
          <xdr:row>84</xdr:row>
          <xdr:rowOff>0</xdr:rowOff>
        </xdr:to>
        <xdr:sp macro="" textlink="">
          <xdr:nvSpPr>
            <xdr:cNvPr id="28795" name="Drop Down 123" hidden="1">
              <a:extLst>
                <a:ext uri="{63B3BB69-23CF-44E3-9099-C40C66FF867C}">
                  <a14:compatExt spid="_x0000_s28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84</xdr:row>
          <xdr:rowOff>0</xdr:rowOff>
        </xdr:from>
        <xdr:to>
          <xdr:col>3</xdr:col>
          <xdr:colOff>0</xdr:colOff>
          <xdr:row>85</xdr:row>
          <xdr:rowOff>0</xdr:rowOff>
        </xdr:to>
        <xdr:sp macro="" textlink="">
          <xdr:nvSpPr>
            <xdr:cNvPr id="28796" name="Drop Down 124" hidden="1">
              <a:extLst>
                <a:ext uri="{63B3BB69-23CF-44E3-9099-C40C66FF867C}">
                  <a14:compatExt spid="_x0000_s28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85</xdr:row>
          <xdr:rowOff>0</xdr:rowOff>
        </xdr:from>
        <xdr:to>
          <xdr:col>3</xdr:col>
          <xdr:colOff>0</xdr:colOff>
          <xdr:row>86</xdr:row>
          <xdr:rowOff>0</xdr:rowOff>
        </xdr:to>
        <xdr:sp macro="" textlink="">
          <xdr:nvSpPr>
            <xdr:cNvPr id="28797" name="Drop Down 125" hidden="1">
              <a:extLst>
                <a:ext uri="{63B3BB69-23CF-44E3-9099-C40C66FF867C}">
                  <a14:compatExt spid="_x0000_s28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86</xdr:row>
          <xdr:rowOff>0</xdr:rowOff>
        </xdr:from>
        <xdr:to>
          <xdr:col>3</xdr:col>
          <xdr:colOff>0</xdr:colOff>
          <xdr:row>87</xdr:row>
          <xdr:rowOff>0</xdr:rowOff>
        </xdr:to>
        <xdr:sp macro="" textlink="">
          <xdr:nvSpPr>
            <xdr:cNvPr id="28798" name="Drop Down 126" hidden="1">
              <a:extLst>
                <a:ext uri="{63B3BB69-23CF-44E3-9099-C40C66FF867C}">
                  <a14:compatExt spid="_x0000_s28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87</xdr:row>
          <xdr:rowOff>0</xdr:rowOff>
        </xdr:from>
        <xdr:to>
          <xdr:col>3</xdr:col>
          <xdr:colOff>0</xdr:colOff>
          <xdr:row>88</xdr:row>
          <xdr:rowOff>0</xdr:rowOff>
        </xdr:to>
        <xdr:sp macro="" textlink="">
          <xdr:nvSpPr>
            <xdr:cNvPr id="28799" name="Drop Down 127" hidden="1">
              <a:extLst>
                <a:ext uri="{63B3BB69-23CF-44E3-9099-C40C66FF867C}">
                  <a14:compatExt spid="_x0000_s287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104</xdr:row>
          <xdr:rowOff>0</xdr:rowOff>
        </xdr:from>
        <xdr:to>
          <xdr:col>3</xdr:col>
          <xdr:colOff>0</xdr:colOff>
          <xdr:row>105</xdr:row>
          <xdr:rowOff>0</xdr:rowOff>
        </xdr:to>
        <xdr:sp macro="" textlink="">
          <xdr:nvSpPr>
            <xdr:cNvPr id="28803" name="Drop Down 131" hidden="1">
              <a:extLst>
                <a:ext uri="{63B3BB69-23CF-44E3-9099-C40C66FF867C}">
                  <a14:compatExt spid="_x0000_s28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104</xdr:row>
          <xdr:rowOff>0</xdr:rowOff>
        </xdr:from>
        <xdr:to>
          <xdr:col>8</xdr:col>
          <xdr:colOff>0</xdr:colOff>
          <xdr:row>105</xdr:row>
          <xdr:rowOff>0</xdr:rowOff>
        </xdr:to>
        <xdr:sp macro="" textlink="">
          <xdr:nvSpPr>
            <xdr:cNvPr id="28804" name="Drop Down 132" hidden="1">
              <a:extLst>
                <a:ext uri="{63B3BB69-23CF-44E3-9099-C40C66FF867C}">
                  <a14:compatExt spid="_x0000_s28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105</xdr:row>
          <xdr:rowOff>0</xdr:rowOff>
        </xdr:from>
        <xdr:to>
          <xdr:col>3</xdr:col>
          <xdr:colOff>0</xdr:colOff>
          <xdr:row>106</xdr:row>
          <xdr:rowOff>0</xdr:rowOff>
        </xdr:to>
        <xdr:sp macro="" textlink="">
          <xdr:nvSpPr>
            <xdr:cNvPr id="28842" name="Drop Down 170" hidden="1">
              <a:extLst>
                <a:ext uri="{63B3BB69-23CF-44E3-9099-C40C66FF867C}">
                  <a14:compatExt spid="_x0000_s28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105</xdr:row>
          <xdr:rowOff>0</xdr:rowOff>
        </xdr:from>
        <xdr:to>
          <xdr:col>8</xdr:col>
          <xdr:colOff>0</xdr:colOff>
          <xdr:row>106</xdr:row>
          <xdr:rowOff>0</xdr:rowOff>
        </xdr:to>
        <xdr:sp macro="" textlink="">
          <xdr:nvSpPr>
            <xdr:cNvPr id="28843" name="Drop Down 171" hidden="1">
              <a:extLst>
                <a:ext uri="{63B3BB69-23CF-44E3-9099-C40C66FF867C}">
                  <a14:compatExt spid="_x0000_s28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106</xdr:row>
          <xdr:rowOff>0</xdr:rowOff>
        </xdr:from>
        <xdr:to>
          <xdr:col>3</xdr:col>
          <xdr:colOff>0</xdr:colOff>
          <xdr:row>107</xdr:row>
          <xdr:rowOff>0</xdr:rowOff>
        </xdr:to>
        <xdr:sp macro="" textlink="">
          <xdr:nvSpPr>
            <xdr:cNvPr id="28844" name="Drop Down 172" hidden="1">
              <a:extLst>
                <a:ext uri="{63B3BB69-23CF-44E3-9099-C40C66FF867C}">
                  <a14:compatExt spid="_x0000_s28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106</xdr:row>
          <xdr:rowOff>0</xdr:rowOff>
        </xdr:from>
        <xdr:to>
          <xdr:col>8</xdr:col>
          <xdr:colOff>0</xdr:colOff>
          <xdr:row>107</xdr:row>
          <xdr:rowOff>0</xdr:rowOff>
        </xdr:to>
        <xdr:sp macro="" textlink="">
          <xdr:nvSpPr>
            <xdr:cNvPr id="28845" name="Drop Down 173" hidden="1">
              <a:extLst>
                <a:ext uri="{63B3BB69-23CF-44E3-9099-C40C66FF867C}">
                  <a14:compatExt spid="_x0000_s28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104</xdr:row>
          <xdr:rowOff>0</xdr:rowOff>
        </xdr:from>
        <xdr:to>
          <xdr:col>12</xdr:col>
          <xdr:colOff>9525</xdr:colOff>
          <xdr:row>105</xdr:row>
          <xdr:rowOff>0</xdr:rowOff>
        </xdr:to>
        <xdr:sp macro="" textlink="">
          <xdr:nvSpPr>
            <xdr:cNvPr id="28851" name="Drop Down 179" hidden="1">
              <a:extLst>
                <a:ext uri="{63B3BB69-23CF-44E3-9099-C40C66FF867C}">
                  <a14:compatExt spid="_x0000_s28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105</xdr:row>
          <xdr:rowOff>0</xdr:rowOff>
        </xdr:from>
        <xdr:to>
          <xdr:col>12</xdr:col>
          <xdr:colOff>9525</xdr:colOff>
          <xdr:row>106</xdr:row>
          <xdr:rowOff>0</xdr:rowOff>
        </xdr:to>
        <xdr:sp macro="" textlink="">
          <xdr:nvSpPr>
            <xdr:cNvPr id="28852" name="Drop Down 180" hidden="1">
              <a:extLst>
                <a:ext uri="{63B3BB69-23CF-44E3-9099-C40C66FF867C}">
                  <a14:compatExt spid="_x0000_s28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106</xdr:row>
          <xdr:rowOff>0</xdr:rowOff>
        </xdr:from>
        <xdr:to>
          <xdr:col>12</xdr:col>
          <xdr:colOff>9525</xdr:colOff>
          <xdr:row>107</xdr:row>
          <xdr:rowOff>0</xdr:rowOff>
        </xdr:to>
        <xdr:sp macro="" textlink="">
          <xdr:nvSpPr>
            <xdr:cNvPr id="28853" name="Drop Down 181" hidden="1">
              <a:extLst>
                <a:ext uri="{63B3BB69-23CF-44E3-9099-C40C66FF867C}">
                  <a14:compatExt spid="_x0000_s28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0</xdr:rowOff>
        </xdr:from>
        <xdr:to>
          <xdr:col>2</xdr:col>
          <xdr:colOff>0</xdr:colOff>
          <xdr:row>80</xdr:row>
          <xdr:rowOff>0</xdr:rowOff>
        </xdr:to>
        <xdr:sp macro="" textlink="">
          <xdr:nvSpPr>
            <xdr:cNvPr id="28876" name="Drop Down 204" hidden="1">
              <a:extLst>
                <a:ext uri="{63B3BB69-23CF-44E3-9099-C40C66FF867C}">
                  <a14:compatExt spid="_x0000_s28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0</xdr:rowOff>
        </xdr:from>
        <xdr:to>
          <xdr:col>2</xdr:col>
          <xdr:colOff>9525</xdr:colOff>
          <xdr:row>81</xdr:row>
          <xdr:rowOff>0</xdr:rowOff>
        </xdr:to>
        <xdr:sp macro="" textlink="">
          <xdr:nvSpPr>
            <xdr:cNvPr id="28877" name="Drop Down 205" hidden="1">
              <a:extLst>
                <a:ext uri="{63B3BB69-23CF-44E3-9099-C40C66FF867C}">
                  <a14:compatExt spid="_x0000_s28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0</xdr:rowOff>
        </xdr:from>
        <xdr:to>
          <xdr:col>2</xdr:col>
          <xdr:colOff>0</xdr:colOff>
          <xdr:row>82</xdr:row>
          <xdr:rowOff>0</xdr:rowOff>
        </xdr:to>
        <xdr:sp macro="" textlink="">
          <xdr:nvSpPr>
            <xdr:cNvPr id="28878" name="Drop Down 206" hidden="1">
              <a:extLst>
                <a:ext uri="{63B3BB69-23CF-44E3-9099-C40C66FF867C}">
                  <a14:compatExt spid="_x0000_s28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0</xdr:rowOff>
        </xdr:from>
        <xdr:to>
          <xdr:col>2</xdr:col>
          <xdr:colOff>0</xdr:colOff>
          <xdr:row>83</xdr:row>
          <xdr:rowOff>0</xdr:rowOff>
        </xdr:to>
        <xdr:sp macro="" textlink="">
          <xdr:nvSpPr>
            <xdr:cNvPr id="28879" name="Drop Down 207" hidden="1">
              <a:extLst>
                <a:ext uri="{63B3BB69-23CF-44E3-9099-C40C66FF867C}">
                  <a14:compatExt spid="_x0000_s28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0</xdr:rowOff>
        </xdr:from>
        <xdr:to>
          <xdr:col>2</xdr:col>
          <xdr:colOff>0</xdr:colOff>
          <xdr:row>84</xdr:row>
          <xdr:rowOff>0</xdr:rowOff>
        </xdr:to>
        <xdr:sp macro="" textlink="">
          <xdr:nvSpPr>
            <xdr:cNvPr id="28880" name="Drop Down 208" hidden="1">
              <a:extLst>
                <a:ext uri="{63B3BB69-23CF-44E3-9099-C40C66FF867C}">
                  <a14:compatExt spid="_x0000_s28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0</xdr:rowOff>
        </xdr:from>
        <xdr:to>
          <xdr:col>2</xdr:col>
          <xdr:colOff>0</xdr:colOff>
          <xdr:row>85</xdr:row>
          <xdr:rowOff>0</xdr:rowOff>
        </xdr:to>
        <xdr:sp macro="" textlink="">
          <xdr:nvSpPr>
            <xdr:cNvPr id="28881" name="Drop Down 209" hidden="1">
              <a:extLst>
                <a:ext uri="{63B3BB69-23CF-44E3-9099-C40C66FF867C}">
                  <a14:compatExt spid="_x0000_s28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2</xdr:col>
          <xdr:colOff>0</xdr:colOff>
          <xdr:row>86</xdr:row>
          <xdr:rowOff>0</xdr:rowOff>
        </xdr:to>
        <xdr:sp macro="" textlink="">
          <xdr:nvSpPr>
            <xdr:cNvPr id="28882" name="Drop Down 210" hidden="1">
              <a:extLst>
                <a:ext uri="{63B3BB69-23CF-44E3-9099-C40C66FF867C}">
                  <a14:compatExt spid="_x0000_s28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2</xdr:col>
          <xdr:colOff>0</xdr:colOff>
          <xdr:row>87</xdr:row>
          <xdr:rowOff>0</xdr:rowOff>
        </xdr:to>
        <xdr:sp macro="" textlink="">
          <xdr:nvSpPr>
            <xdr:cNvPr id="28883" name="Drop Down 211" hidden="1">
              <a:extLst>
                <a:ext uri="{63B3BB69-23CF-44E3-9099-C40C66FF867C}">
                  <a14:compatExt spid="_x0000_s28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0</xdr:rowOff>
        </xdr:from>
        <xdr:to>
          <xdr:col>2</xdr:col>
          <xdr:colOff>9525</xdr:colOff>
          <xdr:row>88</xdr:row>
          <xdr:rowOff>0</xdr:rowOff>
        </xdr:to>
        <xdr:sp macro="" textlink="">
          <xdr:nvSpPr>
            <xdr:cNvPr id="28884" name="Drop Down 212" hidden="1">
              <a:extLst>
                <a:ext uri="{63B3BB69-23CF-44E3-9099-C40C66FF867C}">
                  <a14:compatExt spid="_x0000_s28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</xdr:row>
          <xdr:rowOff>0</xdr:rowOff>
        </xdr:from>
        <xdr:to>
          <xdr:col>8</xdr:col>
          <xdr:colOff>0</xdr:colOff>
          <xdr:row>89</xdr:row>
          <xdr:rowOff>0</xdr:rowOff>
        </xdr:to>
        <xdr:sp macro="" textlink="">
          <xdr:nvSpPr>
            <xdr:cNvPr id="29324" name="Drop Down 652" hidden="1">
              <a:extLst>
                <a:ext uri="{63B3BB69-23CF-44E3-9099-C40C66FF867C}">
                  <a14:compatExt spid="_x0000_s29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88</xdr:row>
          <xdr:rowOff>0</xdr:rowOff>
        </xdr:from>
        <xdr:to>
          <xdr:col>3</xdr:col>
          <xdr:colOff>0</xdr:colOff>
          <xdr:row>89</xdr:row>
          <xdr:rowOff>0</xdr:rowOff>
        </xdr:to>
        <xdr:sp macro="" textlink="">
          <xdr:nvSpPr>
            <xdr:cNvPr id="29325" name="Drop Down 653" hidden="1">
              <a:extLst>
                <a:ext uri="{63B3BB69-23CF-44E3-9099-C40C66FF867C}">
                  <a14:compatExt spid="_x0000_s29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88</xdr:row>
          <xdr:rowOff>0</xdr:rowOff>
        </xdr:from>
        <xdr:to>
          <xdr:col>2</xdr:col>
          <xdr:colOff>9525</xdr:colOff>
          <xdr:row>89</xdr:row>
          <xdr:rowOff>0</xdr:rowOff>
        </xdr:to>
        <xdr:sp macro="" textlink="">
          <xdr:nvSpPr>
            <xdr:cNvPr id="29326" name="Drop Down 654" hidden="1">
              <a:extLst>
                <a:ext uri="{63B3BB69-23CF-44E3-9099-C40C66FF867C}">
                  <a14:compatExt spid="_x0000_s29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</xdr:row>
          <xdr:rowOff>0</xdr:rowOff>
        </xdr:from>
        <xdr:to>
          <xdr:col>8</xdr:col>
          <xdr:colOff>0</xdr:colOff>
          <xdr:row>90</xdr:row>
          <xdr:rowOff>0</xdr:rowOff>
        </xdr:to>
        <xdr:sp macro="" textlink="">
          <xdr:nvSpPr>
            <xdr:cNvPr id="29327" name="Drop Down 655" hidden="1">
              <a:extLst>
                <a:ext uri="{63B3BB69-23CF-44E3-9099-C40C66FF867C}">
                  <a14:compatExt spid="_x0000_s29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89</xdr:row>
          <xdr:rowOff>0</xdr:rowOff>
        </xdr:from>
        <xdr:to>
          <xdr:col>3</xdr:col>
          <xdr:colOff>0</xdr:colOff>
          <xdr:row>90</xdr:row>
          <xdr:rowOff>0</xdr:rowOff>
        </xdr:to>
        <xdr:sp macro="" textlink="">
          <xdr:nvSpPr>
            <xdr:cNvPr id="29328" name="Drop Down 656" hidden="1">
              <a:extLst>
                <a:ext uri="{63B3BB69-23CF-44E3-9099-C40C66FF867C}">
                  <a14:compatExt spid="_x0000_s29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89</xdr:row>
          <xdr:rowOff>0</xdr:rowOff>
        </xdr:from>
        <xdr:to>
          <xdr:col>2</xdr:col>
          <xdr:colOff>9525</xdr:colOff>
          <xdr:row>90</xdr:row>
          <xdr:rowOff>0</xdr:rowOff>
        </xdr:to>
        <xdr:sp macro="" textlink="">
          <xdr:nvSpPr>
            <xdr:cNvPr id="29329" name="Drop Down 657" hidden="1">
              <a:extLst>
                <a:ext uri="{63B3BB69-23CF-44E3-9099-C40C66FF867C}">
                  <a14:compatExt spid="_x0000_s29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90</xdr:row>
          <xdr:rowOff>0</xdr:rowOff>
        </xdr:from>
        <xdr:to>
          <xdr:col>8</xdr:col>
          <xdr:colOff>0</xdr:colOff>
          <xdr:row>91</xdr:row>
          <xdr:rowOff>0</xdr:rowOff>
        </xdr:to>
        <xdr:sp macro="" textlink="">
          <xdr:nvSpPr>
            <xdr:cNvPr id="29330" name="Drop Down 658" hidden="1">
              <a:extLst>
                <a:ext uri="{63B3BB69-23CF-44E3-9099-C40C66FF867C}">
                  <a14:compatExt spid="_x0000_s29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90</xdr:row>
          <xdr:rowOff>0</xdr:rowOff>
        </xdr:from>
        <xdr:to>
          <xdr:col>3</xdr:col>
          <xdr:colOff>0</xdr:colOff>
          <xdr:row>91</xdr:row>
          <xdr:rowOff>0</xdr:rowOff>
        </xdr:to>
        <xdr:sp macro="" textlink="">
          <xdr:nvSpPr>
            <xdr:cNvPr id="29331" name="Drop Down 659" hidden="1">
              <a:extLst>
                <a:ext uri="{63B3BB69-23CF-44E3-9099-C40C66FF867C}">
                  <a14:compatExt spid="_x0000_s29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0</xdr:rowOff>
        </xdr:from>
        <xdr:to>
          <xdr:col>2</xdr:col>
          <xdr:colOff>9525</xdr:colOff>
          <xdr:row>91</xdr:row>
          <xdr:rowOff>0</xdr:rowOff>
        </xdr:to>
        <xdr:sp macro="" textlink="">
          <xdr:nvSpPr>
            <xdr:cNvPr id="29332" name="Drop Down 660" hidden="1">
              <a:extLst>
                <a:ext uri="{63B3BB69-23CF-44E3-9099-C40C66FF867C}">
                  <a14:compatExt spid="_x0000_s29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91</xdr:row>
          <xdr:rowOff>0</xdr:rowOff>
        </xdr:from>
        <xdr:to>
          <xdr:col>8</xdr:col>
          <xdr:colOff>0</xdr:colOff>
          <xdr:row>92</xdr:row>
          <xdr:rowOff>0</xdr:rowOff>
        </xdr:to>
        <xdr:sp macro="" textlink="">
          <xdr:nvSpPr>
            <xdr:cNvPr id="29333" name="Drop Down 661" hidden="1">
              <a:extLst>
                <a:ext uri="{63B3BB69-23CF-44E3-9099-C40C66FF867C}">
                  <a14:compatExt spid="_x0000_s29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91</xdr:row>
          <xdr:rowOff>0</xdr:rowOff>
        </xdr:from>
        <xdr:to>
          <xdr:col>3</xdr:col>
          <xdr:colOff>0</xdr:colOff>
          <xdr:row>92</xdr:row>
          <xdr:rowOff>0</xdr:rowOff>
        </xdr:to>
        <xdr:sp macro="" textlink="">
          <xdr:nvSpPr>
            <xdr:cNvPr id="29334" name="Drop Down 662" hidden="1">
              <a:extLst>
                <a:ext uri="{63B3BB69-23CF-44E3-9099-C40C66FF867C}">
                  <a14:compatExt spid="_x0000_s29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0</xdr:rowOff>
        </xdr:from>
        <xdr:to>
          <xdr:col>2</xdr:col>
          <xdr:colOff>9525</xdr:colOff>
          <xdr:row>92</xdr:row>
          <xdr:rowOff>0</xdr:rowOff>
        </xdr:to>
        <xdr:sp macro="" textlink="">
          <xdr:nvSpPr>
            <xdr:cNvPr id="29335" name="Drop Down 663" hidden="1">
              <a:extLst>
                <a:ext uri="{63B3BB69-23CF-44E3-9099-C40C66FF867C}">
                  <a14:compatExt spid="_x0000_s29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98</xdr:row>
          <xdr:rowOff>0</xdr:rowOff>
        </xdr:from>
        <xdr:to>
          <xdr:col>8</xdr:col>
          <xdr:colOff>0</xdr:colOff>
          <xdr:row>99</xdr:row>
          <xdr:rowOff>0</xdr:rowOff>
        </xdr:to>
        <xdr:sp macro="" textlink="">
          <xdr:nvSpPr>
            <xdr:cNvPr id="29336" name="Drop Down 664" hidden="1">
              <a:extLst>
                <a:ext uri="{63B3BB69-23CF-44E3-9099-C40C66FF867C}">
                  <a14:compatExt spid="_x0000_s29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98</xdr:row>
          <xdr:rowOff>0</xdr:rowOff>
        </xdr:from>
        <xdr:to>
          <xdr:col>3</xdr:col>
          <xdr:colOff>0</xdr:colOff>
          <xdr:row>99</xdr:row>
          <xdr:rowOff>0</xdr:rowOff>
        </xdr:to>
        <xdr:sp macro="" textlink="">
          <xdr:nvSpPr>
            <xdr:cNvPr id="29337" name="Drop Down 665" hidden="1">
              <a:extLst>
                <a:ext uri="{63B3BB69-23CF-44E3-9099-C40C66FF867C}">
                  <a14:compatExt spid="_x0000_s29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98</xdr:row>
          <xdr:rowOff>0</xdr:rowOff>
        </xdr:from>
        <xdr:to>
          <xdr:col>2</xdr:col>
          <xdr:colOff>9525</xdr:colOff>
          <xdr:row>99</xdr:row>
          <xdr:rowOff>0</xdr:rowOff>
        </xdr:to>
        <xdr:sp macro="" textlink="">
          <xdr:nvSpPr>
            <xdr:cNvPr id="29338" name="Drop Down 666" hidden="1">
              <a:extLst>
                <a:ext uri="{63B3BB69-23CF-44E3-9099-C40C66FF867C}">
                  <a14:compatExt spid="_x0000_s29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19</xdr:row>
          <xdr:rowOff>0</xdr:rowOff>
        </xdr:from>
        <xdr:to>
          <xdr:col>8</xdr:col>
          <xdr:colOff>0</xdr:colOff>
          <xdr:row>20</xdr:row>
          <xdr:rowOff>0</xdr:rowOff>
        </xdr:to>
        <xdr:sp macro="" textlink="">
          <xdr:nvSpPr>
            <xdr:cNvPr id="29575" name="Drop Down 903" hidden="1">
              <a:extLst>
                <a:ext uri="{63B3BB69-23CF-44E3-9099-C40C66FF867C}">
                  <a14:compatExt spid="_x0000_s29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20</xdr:row>
          <xdr:rowOff>0</xdr:rowOff>
        </xdr:from>
        <xdr:to>
          <xdr:col>8</xdr:col>
          <xdr:colOff>0</xdr:colOff>
          <xdr:row>21</xdr:row>
          <xdr:rowOff>0</xdr:rowOff>
        </xdr:to>
        <xdr:sp macro="" textlink="">
          <xdr:nvSpPr>
            <xdr:cNvPr id="29576" name="Drop Down 904" hidden="1">
              <a:extLst>
                <a:ext uri="{63B3BB69-23CF-44E3-9099-C40C66FF867C}">
                  <a14:compatExt spid="_x0000_s29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24</xdr:row>
          <xdr:rowOff>0</xdr:rowOff>
        </xdr:from>
        <xdr:to>
          <xdr:col>8</xdr:col>
          <xdr:colOff>0</xdr:colOff>
          <xdr:row>25</xdr:row>
          <xdr:rowOff>0</xdr:rowOff>
        </xdr:to>
        <xdr:sp macro="" textlink="">
          <xdr:nvSpPr>
            <xdr:cNvPr id="29577" name="Drop Down 905" hidden="1">
              <a:extLst>
                <a:ext uri="{63B3BB69-23CF-44E3-9099-C40C66FF867C}">
                  <a14:compatExt spid="_x0000_s29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19</xdr:row>
          <xdr:rowOff>0</xdr:rowOff>
        </xdr:from>
        <xdr:to>
          <xdr:col>3</xdr:col>
          <xdr:colOff>0</xdr:colOff>
          <xdr:row>20</xdr:row>
          <xdr:rowOff>0</xdr:rowOff>
        </xdr:to>
        <xdr:sp macro="" textlink="">
          <xdr:nvSpPr>
            <xdr:cNvPr id="29578" name="Drop Down 906" hidden="1">
              <a:extLst>
                <a:ext uri="{63B3BB69-23CF-44E3-9099-C40C66FF867C}">
                  <a14:compatExt spid="_x0000_s29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20</xdr:row>
          <xdr:rowOff>0</xdr:rowOff>
        </xdr:from>
        <xdr:to>
          <xdr:col>3</xdr:col>
          <xdr:colOff>0</xdr:colOff>
          <xdr:row>21</xdr:row>
          <xdr:rowOff>0</xdr:rowOff>
        </xdr:to>
        <xdr:sp macro="" textlink="">
          <xdr:nvSpPr>
            <xdr:cNvPr id="29579" name="Drop Down 907" hidden="1">
              <a:extLst>
                <a:ext uri="{63B3BB69-23CF-44E3-9099-C40C66FF867C}">
                  <a14:compatExt spid="_x0000_s29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24</xdr:row>
          <xdr:rowOff>0</xdr:rowOff>
        </xdr:from>
        <xdr:to>
          <xdr:col>3</xdr:col>
          <xdr:colOff>0</xdr:colOff>
          <xdr:row>25</xdr:row>
          <xdr:rowOff>0</xdr:rowOff>
        </xdr:to>
        <xdr:sp macro="" textlink="">
          <xdr:nvSpPr>
            <xdr:cNvPr id="29580" name="Drop Down 908" hidden="1">
              <a:extLst>
                <a:ext uri="{63B3BB69-23CF-44E3-9099-C40C66FF867C}">
                  <a14:compatExt spid="_x0000_s29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21</xdr:row>
          <xdr:rowOff>0</xdr:rowOff>
        </xdr:from>
        <xdr:to>
          <xdr:col>8</xdr:col>
          <xdr:colOff>0</xdr:colOff>
          <xdr:row>22</xdr:row>
          <xdr:rowOff>0</xdr:rowOff>
        </xdr:to>
        <xdr:sp macro="" textlink="">
          <xdr:nvSpPr>
            <xdr:cNvPr id="29679" name="Drop Down 1007" hidden="1">
              <a:extLst>
                <a:ext uri="{63B3BB69-23CF-44E3-9099-C40C66FF867C}">
                  <a14:compatExt spid="_x0000_s29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21</xdr:row>
          <xdr:rowOff>0</xdr:rowOff>
        </xdr:from>
        <xdr:to>
          <xdr:col>3</xdr:col>
          <xdr:colOff>0</xdr:colOff>
          <xdr:row>22</xdr:row>
          <xdr:rowOff>0</xdr:rowOff>
        </xdr:to>
        <xdr:sp macro="" textlink="">
          <xdr:nvSpPr>
            <xdr:cNvPr id="29680" name="Drop Down 1008" hidden="1">
              <a:extLst>
                <a:ext uri="{63B3BB69-23CF-44E3-9099-C40C66FF867C}">
                  <a14:compatExt spid="_x0000_s29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22</xdr:row>
          <xdr:rowOff>0</xdr:rowOff>
        </xdr:from>
        <xdr:to>
          <xdr:col>8</xdr:col>
          <xdr:colOff>0</xdr:colOff>
          <xdr:row>23</xdr:row>
          <xdr:rowOff>0</xdr:rowOff>
        </xdr:to>
        <xdr:sp macro="" textlink="">
          <xdr:nvSpPr>
            <xdr:cNvPr id="29681" name="Drop Down 1009" hidden="1">
              <a:extLst>
                <a:ext uri="{63B3BB69-23CF-44E3-9099-C40C66FF867C}">
                  <a14:compatExt spid="_x0000_s29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0</xdr:rowOff>
        </xdr:from>
        <xdr:to>
          <xdr:col>3</xdr:col>
          <xdr:colOff>0</xdr:colOff>
          <xdr:row>23</xdr:row>
          <xdr:rowOff>0</xdr:rowOff>
        </xdr:to>
        <xdr:sp macro="" textlink="">
          <xdr:nvSpPr>
            <xdr:cNvPr id="29682" name="Drop Down 1010" hidden="1">
              <a:extLst>
                <a:ext uri="{63B3BB69-23CF-44E3-9099-C40C66FF867C}">
                  <a14:compatExt spid="_x0000_s29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23</xdr:row>
          <xdr:rowOff>0</xdr:rowOff>
        </xdr:from>
        <xdr:to>
          <xdr:col>8</xdr:col>
          <xdr:colOff>0</xdr:colOff>
          <xdr:row>24</xdr:row>
          <xdr:rowOff>0</xdr:rowOff>
        </xdr:to>
        <xdr:sp macro="" textlink="">
          <xdr:nvSpPr>
            <xdr:cNvPr id="29683" name="Drop Down 1011" hidden="1">
              <a:extLst>
                <a:ext uri="{63B3BB69-23CF-44E3-9099-C40C66FF867C}">
                  <a14:compatExt spid="_x0000_s29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23</xdr:row>
          <xdr:rowOff>0</xdr:rowOff>
        </xdr:from>
        <xdr:to>
          <xdr:col>3</xdr:col>
          <xdr:colOff>0</xdr:colOff>
          <xdr:row>24</xdr:row>
          <xdr:rowOff>0</xdr:rowOff>
        </xdr:to>
        <xdr:sp macro="" textlink="">
          <xdr:nvSpPr>
            <xdr:cNvPr id="29684" name="Drop Down 1012" hidden="1">
              <a:extLst>
                <a:ext uri="{63B3BB69-23CF-44E3-9099-C40C66FF867C}">
                  <a14:compatExt spid="_x0000_s29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67</xdr:row>
          <xdr:rowOff>0</xdr:rowOff>
        </xdr:from>
        <xdr:to>
          <xdr:col>3</xdr:col>
          <xdr:colOff>0</xdr:colOff>
          <xdr:row>68</xdr:row>
          <xdr:rowOff>0</xdr:rowOff>
        </xdr:to>
        <xdr:sp macro="" textlink="">
          <xdr:nvSpPr>
            <xdr:cNvPr id="29685" name="Drop Down 1013" hidden="1">
              <a:extLst>
                <a:ext uri="{63B3BB69-23CF-44E3-9099-C40C66FF867C}">
                  <a14:compatExt spid="_x0000_s29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67</xdr:row>
          <xdr:rowOff>0</xdr:rowOff>
        </xdr:from>
        <xdr:to>
          <xdr:col>8</xdr:col>
          <xdr:colOff>0</xdr:colOff>
          <xdr:row>68</xdr:row>
          <xdr:rowOff>0</xdr:rowOff>
        </xdr:to>
        <xdr:sp macro="" textlink="">
          <xdr:nvSpPr>
            <xdr:cNvPr id="29686" name="Drop Down 1014" hidden="1">
              <a:extLst>
                <a:ext uri="{63B3BB69-23CF-44E3-9099-C40C66FF867C}">
                  <a14:compatExt spid="_x0000_s29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68</xdr:row>
          <xdr:rowOff>0</xdr:rowOff>
        </xdr:from>
        <xdr:to>
          <xdr:col>3</xdr:col>
          <xdr:colOff>0</xdr:colOff>
          <xdr:row>69</xdr:row>
          <xdr:rowOff>0</xdr:rowOff>
        </xdr:to>
        <xdr:sp macro="" textlink="">
          <xdr:nvSpPr>
            <xdr:cNvPr id="29687" name="Drop Down 1015" hidden="1">
              <a:extLst>
                <a:ext uri="{63B3BB69-23CF-44E3-9099-C40C66FF867C}">
                  <a14:compatExt spid="_x0000_s29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68</xdr:row>
          <xdr:rowOff>0</xdr:rowOff>
        </xdr:from>
        <xdr:to>
          <xdr:col>8</xdr:col>
          <xdr:colOff>0</xdr:colOff>
          <xdr:row>69</xdr:row>
          <xdr:rowOff>0</xdr:rowOff>
        </xdr:to>
        <xdr:sp macro="" textlink="">
          <xdr:nvSpPr>
            <xdr:cNvPr id="29688" name="Drop Down 1016" hidden="1">
              <a:extLst>
                <a:ext uri="{63B3BB69-23CF-44E3-9099-C40C66FF867C}">
                  <a14:compatExt spid="_x0000_s29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69</xdr:row>
          <xdr:rowOff>0</xdr:rowOff>
        </xdr:from>
        <xdr:to>
          <xdr:col>3</xdr:col>
          <xdr:colOff>0</xdr:colOff>
          <xdr:row>70</xdr:row>
          <xdr:rowOff>0</xdr:rowOff>
        </xdr:to>
        <xdr:sp macro="" textlink="">
          <xdr:nvSpPr>
            <xdr:cNvPr id="29689" name="Drop Down 1017" hidden="1">
              <a:extLst>
                <a:ext uri="{63B3BB69-23CF-44E3-9099-C40C66FF867C}">
                  <a14:compatExt spid="_x0000_s29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69</xdr:row>
          <xdr:rowOff>0</xdr:rowOff>
        </xdr:from>
        <xdr:to>
          <xdr:col>8</xdr:col>
          <xdr:colOff>0</xdr:colOff>
          <xdr:row>70</xdr:row>
          <xdr:rowOff>0</xdr:rowOff>
        </xdr:to>
        <xdr:sp macro="" textlink="">
          <xdr:nvSpPr>
            <xdr:cNvPr id="29690" name="Drop Down 1018" hidden="1">
              <a:extLst>
                <a:ext uri="{63B3BB69-23CF-44E3-9099-C40C66FF867C}">
                  <a14:compatExt spid="_x0000_s29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92</xdr:row>
          <xdr:rowOff>0</xdr:rowOff>
        </xdr:from>
        <xdr:to>
          <xdr:col>8</xdr:col>
          <xdr:colOff>0</xdr:colOff>
          <xdr:row>93</xdr:row>
          <xdr:rowOff>0</xdr:rowOff>
        </xdr:to>
        <xdr:sp macro="" textlink="">
          <xdr:nvSpPr>
            <xdr:cNvPr id="29691" name="Drop Down 1019" hidden="1">
              <a:extLst>
                <a:ext uri="{63B3BB69-23CF-44E3-9099-C40C66FF867C}">
                  <a14:compatExt spid="_x0000_s29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92</xdr:row>
          <xdr:rowOff>0</xdr:rowOff>
        </xdr:from>
        <xdr:to>
          <xdr:col>3</xdr:col>
          <xdr:colOff>0</xdr:colOff>
          <xdr:row>93</xdr:row>
          <xdr:rowOff>0</xdr:rowOff>
        </xdr:to>
        <xdr:sp macro="" textlink="">
          <xdr:nvSpPr>
            <xdr:cNvPr id="29692" name="Drop Down 1020" hidden="1">
              <a:extLst>
                <a:ext uri="{63B3BB69-23CF-44E3-9099-C40C66FF867C}">
                  <a14:compatExt spid="_x0000_s29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0</xdr:rowOff>
        </xdr:from>
        <xdr:to>
          <xdr:col>2</xdr:col>
          <xdr:colOff>9525</xdr:colOff>
          <xdr:row>93</xdr:row>
          <xdr:rowOff>0</xdr:rowOff>
        </xdr:to>
        <xdr:sp macro="" textlink="">
          <xdr:nvSpPr>
            <xdr:cNvPr id="29693" name="Drop Down 1021" hidden="1">
              <a:extLst>
                <a:ext uri="{63B3BB69-23CF-44E3-9099-C40C66FF867C}">
                  <a14:compatExt spid="_x0000_s29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93</xdr:row>
          <xdr:rowOff>0</xdr:rowOff>
        </xdr:from>
        <xdr:to>
          <xdr:col>8</xdr:col>
          <xdr:colOff>0</xdr:colOff>
          <xdr:row>94</xdr:row>
          <xdr:rowOff>0</xdr:rowOff>
        </xdr:to>
        <xdr:sp macro="" textlink="">
          <xdr:nvSpPr>
            <xdr:cNvPr id="29694" name="Drop Down 1022" hidden="1">
              <a:extLst>
                <a:ext uri="{63B3BB69-23CF-44E3-9099-C40C66FF867C}">
                  <a14:compatExt spid="_x0000_s29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93</xdr:row>
          <xdr:rowOff>0</xdr:rowOff>
        </xdr:from>
        <xdr:to>
          <xdr:col>3</xdr:col>
          <xdr:colOff>0</xdr:colOff>
          <xdr:row>94</xdr:row>
          <xdr:rowOff>0</xdr:rowOff>
        </xdr:to>
        <xdr:sp macro="" textlink="">
          <xdr:nvSpPr>
            <xdr:cNvPr id="29695" name="Drop Down 1023" hidden="1">
              <a:extLst>
                <a:ext uri="{63B3BB69-23CF-44E3-9099-C40C66FF867C}">
                  <a14:compatExt spid="_x0000_s29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0</xdr:rowOff>
        </xdr:from>
        <xdr:to>
          <xdr:col>2</xdr:col>
          <xdr:colOff>9525</xdr:colOff>
          <xdr:row>94</xdr:row>
          <xdr:rowOff>0</xdr:rowOff>
        </xdr:to>
        <xdr:sp macro="" textlink="">
          <xdr:nvSpPr>
            <xdr:cNvPr id="193536" name="Drop Down 1024" hidden="1">
              <a:extLst>
                <a:ext uri="{63B3BB69-23CF-44E3-9099-C40C66FF867C}">
                  <a14:compatExt spid="_x0000_s193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94</xdr:row>
          <xdr:rowOff>0</xdr:rowOff>
        </xdr:from>
        <xdr:to>
          <xdr:col>8</xdr:col>
          <xdr:colOff>0</xdr:colOff>
          <xdr:row>95</xdr:row>
          <xdr:rowOff>0</xdr:rowOff>
        </xdr:to>
        <xdr:sp macro="" textlink="">
          <xdr:nvSpPr>
            <xdr:cNvPr id="193537" name="Drop Down 1025" hidden="1">
              <a:extLst>
                <a:ext uri="{63B3BB69-23CF-44E3-9099-C40C66FF867C}">
                  <a14:compatExt spid="_x0000_s193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94</xdr:row>
          <xdr:rowOff>0</xdr:rowOff>
        </xdr:from>
        <xdr:to>
          <xdr:col>3</xdr:col>
          <xdr:colOff>0</xdr:colOff>
          <xdr:row>95</xdr:row>
          <xdr:rowOff>0</xdr:rowOff>
        </xdr:to>
        <xdr:sp macro="" textlink="">
          <xdr:nvSpPr>
            <xdr:cNvPr id="193538" name="Drop Down 1026" hidden="1">
              <a:extLst>
                <a:ext uri="{63B3BB69-23CF-44E3-9099-C40C66FF867C}">
                  <a14:compatExt spid="_x0000_s193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0</xdr:rowOff>
        </xdr:from>
        <xdr:to>
          <xdr:col>2</xdr:col>
          <xdr:colOff>9525</xdr:colOff>
          <xdr:row>95</xdr:row>
          <xdr:rowOff>0</xdr:rowOff>
        </xdr:to>
        <xdr:sp macro="" textlink="">
          <xdr:nvSpPr>
            <xdr:cNvPr id="193539" name="Drop Down 1027" hidden="1">
              <a:extLst>
                <a:ext uri="{63B3BB69-23CF-44E3-9099-C40C66FF867C}">
                  <a14:compatExt spid="_x0000_s193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95</xdr:row>
          <xdr:rowOff>0</xdr:rowOff>
        </xdr:from>
        <xdr:to>
          <xdr:col>8</xdr:col>
          <xdr:colOff>0</xdr:colOff>
          <xdr:row>96</xdr:row>
          <xdr:rowOff>0</xdr:rowOff>
        </xdr:to>
        <xdr:sp macro="" textlink="">
          <xdr:nvSpPr>
            <xdr:cNvPr id="193540" name="Drop Down 1028" hidden="1">
              <a:extLst>
                <a:ext uri="{63B3BB69-23CF-44E3-9099-C40C66FF867C}">
                  <a14:compatExt spid="_x0000_s193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95</xdr:row>
          <xdr:rowOff>0</xdr:rowOff>
        </xdr:from>
        <xdr:to>
          <xdr:col>3</xdr:col>
          <xdr:colOff>0</xdr:colOff>
          <xdr:row>96</xdr:row>
          <xdr:rowOff>0</xdr:rowOff>
        </xdr:to>
        <xdr:sp macro="" textlink="">
          <xdr:nvSpPr>
            <xdr:cNvPr id="193541" name="Drop Down 1029" hidden="1">
              <a:extLst>
                <a:ext uri="{63B3BB69-23CF-44E3-9099-C40C66FF867C}">
                  <a14:compatExt spid="_x0000_s193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95</xdr:row>
          <xdr:rowOff>0</xdr:rowOff>
        </xdr:from>
        <xdr:to>
          <xdr:col>2</xdr:col>
          <xdr:colOff>9525</xdr:colOff>
          <xdr:row>96</xdr:row>
          <xdr:rowOff>0</xdr:rowOff>
        </xdr:to>
        <xdr:sp macro="" textlink="">
          <xdr:nvSpPr>
            <xdr:cNvPr id="193542" name="Drop Down 1030" hidden="1">
              <a:extLst>
                <a:ext uri="{63B3BB69-23CF-44E3-9099-C40C66FF867C}">
                  <a14:compatExt spid="_x0000_s193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96</xdr:row>
          <xdr:rowOff>0</xdr:rowOff>
        </xdr:from>
        <xdr:to>
          <xdr:col>8</xdr:col>
          <xdr:colOff>0</xdr:colOff>
          <xdr:row>97</xdr:row>
          <xdr:rowOff>0</xdr:rowOff>
        </xdr:to>
        <xdr:sp macro="" textlink="">
          <xdr:nvSpPr>
            <xdr:cNvPr id="193543" name="Drop Down 1031" hidden="1">
              <a:extLst>
                <a:ext uri="{63B3BB69-23CF-44E3-9099-C40C66FF867C}">
                  <a14:compatExt spid="_x0000_s193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96</xdr:row>
          <xdr:rowOff>0</xdr:rowOff>
        </xdr:from>
        <xdr:to>
          <xdr:col>3</xdr:col>
          <xdr:colOff>0</xdr:colOff>
          <xdr:row>97</xdr:row>
          <xdr:rowOff>0</xdr:rowOff>
        </xdr:to>
        <xdr:sp macro="" textlink="">
          <xdr:nvSpPr>
            <xdr:cNvPr id="193544" name="Drop Down 1032" hidden="1">
              <a:extLst>
                <a:ext uri="{63B3BB69-23CF-44E3-9099-C40C66FF867C}">
                  <a14:compatExt spid="_x0000_s193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96</xdr:row>
          <xdr:rowOff>0</xdr:rowOff>
        </xdr:from>
        <xdr:to>
          <xdr:col>2</xdr:col>
          <xdr:colOff>9525</xdr:colOff>
          <xdr:row>97</xdr:row>
          <xdr:rowOff>0</xdr:rowOff>
        </xdr:to>
        <xdr:sp macro="" textlink="">
          <xdr:nvSpPr>
            <xdr:cNvPr id="193545" name="Drop Down 1033" hidden="1">
              <a:extLst>
                <a:ext uri="{63B3BB69-23CF-44E3-9099-C40C66FF867C}">
                  <a14:compatExt spid="_x0000_s193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97</xdr:row>
          <xdr:rowOff>0</xdr:rowOff>
        </xdr:from>
        <xdr:to>
          <xdr:col>8</xdr:col>
          <xdr:colOff>0</xdr:colOff>
          <xdr:row>98</xdr:row>
          <xdr:rowOff>0</xdr:rowOff>
        </xdr:to>
        <xdr:sp macro="" textlink="">
          <xdr:nvSpPr>
            <xdr:cNvPr id="193546" name="Drop Down 1034" hidden="1">
              <a:extLst>
                <a:ext uri="{63B3BB69-23CF-44E3-9099-C40C66FF867C}">
                  <a14:compatExt spid="_x0000_s193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97</xdr:row>
          <xdr:rowOff>0</xdr:rowOff>
        </xdr:from>
        <xdr:to>
          <xdr:col>3</xdr:col>
          <xdr:colOff>0</xdr:colOff>
          <xdr:row>98</xdr:row>
          <xdr:rowOff>0</xdr:rowOff>
        </xdr:to>
        <xdr:sp macro="" textlink="">
          <xdr:nvSpPr>
            <xdr:cNvPr id="193547" name="Drop Down 1035" hidden="1">
              <a:extLst>
                <a:ext uri="{63B3BB69-23CF-44E3-9099-C40C66FF867C}">
                  <a14:compatExt spid="_x0000_s193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97</xdr:row>
          <xdr:rowOff>0</xdr:rowOff>
        </xdr:from>
        <xdr:to>
          <xdr:col>2</xdr:col>
          <xdr:colOff>9525</xdr:colOff>
          <xdr:row>98</xdr:row>
          <xdr:rowOff>0</xdr:rowOff>
        </xdr:to>
        <xdr:sp macro="" textlink="">
          <xdr:nvSpPr>
            <xdr:cNvPr id="193548" name="Drop Down 1036" hidden="1">
              <a:extLst>
                <a:ext uri="{63B3BB69-23CF-44E3-9099-C40C66FF867C}">
                  <a14:compatExt spid="_x0000_s193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107</xdr:row>
          <xdr:rowOff>0</xdr:rowOff>
        </xdr:from>
        <xdr:to>
          <xdr:col>3</xdr:col>
          <xdr:colOff>0</xdr:colOff>
          <xdr:row>108</xdr:row>
          <xdr:rowOff>0</xdr:rowOff>
        </xdr:to>
        <xdr:sp macro="" textlink="">
          <xdr:nvSpPr>
            <xdr:cNvPr id="1350661" name="Drop Down 3077" hidden="1">
              <a:extLst>
                <a:ext uri="{63B3BB69-23CF-44E3-9099-C40C66FF867C}">
                  <a14:compatExt spid="_x0000_s1350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107</xdr:row>
          <xdr:rowOff>0</xdr:rowOff>
        </xdr:from>
        <xdr:to>
          <xdr:col>8</xdr:col>
          <xdr:colOff>0</xdr:colOff>
          <xdr:row>108</xdr:row>
          <xdr:rowOff>0</xdr:rowOff>
        </xdr:to>
        <xdr:sp macro="" textlink="">
          <xdr:nvSpPr>
            <xdr:cNvPr id="1350662" name="Drop Down 3078" hidden="1">
              <a:extLst>
                <a:ext uri="{63B3BB69-23CF-44E3-9099-C40C66FF867C}">
                  <a14:compatExt spid="_x0000_s1350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107</xdr:row>
          <xdr:rowOff>0</xdr:rowOff>
        </xdr:from>
        <xdr:to>
          <xdr:col>12</xdr:col>
          <xdr:colOff>9525</xdr:colOff>
          <xdr:row>108</xdr:row>
          <xdr:rowOff>0</xdr:rowOff>
        </xdr:to>
        <xdr:sp macro="" textlink="">
          <xdr:nvSpPr>
            <xdr:cNvPr id="1350663" name="Drop Down 3079" hidden="1">
              <a:extLst>
                <a:ext uri="{63B3BB69-23CF-44E3-9099-C40C66FF867C}">
                  <a14:compatExt spid="_x0000_s1350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108</xdr:row>
          <xdr:rowOff>0</xdr:rowOff>
        </xdr:from>
        <xdr:to>
          <xdr:col>3</xdr:col>
          <xdr:colOff>0</xdr:colOff>
          <xdr:row>109</xdr:row>
          <xdr:rowOff>0</xdr:rowOff>
        </xdr:to>
        <xdr:sp macro="" textlink="">
          <xdr:nvSpPr>
            <xdr:cNvPr id="1350664" name="Drop Down 3080" hidden="1">
              <a:extLst>
                <a:ext uri="{63B3BB69-23CF-44E3-9099-C40C66FF867C}">
                  <a14:compatExt spid="_x0000_s1350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108</xdr:row>
          <xdr:rowOff>0</xdr:rowOff>
        </xdr:from>
        <xdr:to>
          <xdr:col>8</xdr:col>
          <xdr:colOff>0</xdr:colOff>
          <xdr:row>109</xdr:row>
          <xdr:rowOff>0</xdr:rowOff>
        </xdr:to>
        <xdr:sp macro="" textlink="">
          <xdr:nvSpPr>
            <xdr:cNvPr id="1350665" name="Drop Down 3081" hidden="1">
              <a:extLst>
                <a:ext uri="{63B3BB69-23CF-44E3-9099-C40C66FF867C}">
                  <a14:compatExt spid="_x0000_s1350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108</xdr:row>
          <xdr:rowOff>0</xdr:rowOff>
        </xdr:from>
        <xdr:to>
          <xdr:col>12</xdr:col>
          <xdr:colOff>9525</xdr:colOff>
          <xdr:row>109</xdr:row>
          <xdr:rowOff>0</xdr:rowOff>
        </xdr:to>
        <xdr:sp macro="" textlink="">
          <xdr:nvSpPr>
            <xdr:cNvPr id="1350666" name="Drop Down 3082" hidden="1">
              <a:extLst>
                <a:ext uri="{63B3BB69-23CF-44E3-9099-C40C66FF867C}">
                  <a14:compatExt spid="_x0000_s1350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109</xdr:row>
          <xdr:rowOff>0</xdr:rowOff>
        </xdr:from>
        <xdr:to>
          <xdr:col>3</xdr:col>
          <xdr:colOff>0</xdr:colOff>
          <xdr:row>110</xdr:row>
          <xdr:rowOff>0</xdr:rowOff>
        </xdr:to>
        <xdr:sp macro="" textlink="">
          <xdr:nvSpPr>
            <xdr:cNvPr id="1350667" name="Drop Down 3083" hidden="1">
              <a:extLst>
                <a:ext uri="{63B3BB69-23CF-44E3-9099-C40C66FF867C}">
                  <a14:compatExt spid="_x0000_s1350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109</xdr:row>
          <xdr:rowOff>0</xdr:rowOff>
        </xdr:from>
        <xdr:to>
          <xdr:col>8</xdr:col>
          <xdr:colOff>0</xdr:colOff>
          <xdr:row>110</xdr:row>
          <xdr:rowOff>0</xdr:rowOff>
        </xdr:to>
        <xdr:sp macro="" textlink="">
          <xdr:nvSpPr>
            <xdr:cNvPr id="1350668" name="Drop Down 3084" hidden="1">
              <a:extLst>
                <a:ext uri="{63B3BB69-23CF-44E3-9099-C40C66FF867C}">
                  <a14:compatExt spid="_x0000_s1350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109</xdr:row>
          <xdr:rowOff>0</xdr:rowOff>
        </xdr:from>
        <xdr:to>
          <xdr:col>12</xdr:col>
          <xdr:colOff>9525</xdr:colOff>
          <xdr:row>110</xdr:row>
          <xdr:rowOff>0</xdr:rowOff>
        </xdr:to>
        <xdr:sp macro="" textlink="">
          <xdr:nvSpPr>
            <xdr:cNvPr id="1350669" name="Drop Down 3085" hidden="1">
              <a:extLst>
                <a:ext uri="{63B3BB69-23CF-44E3-9099-C40C66FF867C}">
                  <a14:compatExt spid="_x0000_s1350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110</xdr:row>
          <xdr:rowOff>0</xdr:rowOff>
        </xdr:from>
        <xdr:to>
          <xdr:col>3</xdr:col>
          <xdr:colOff>0</xdr:colOff>
          <xdr:row>111</xdr:row>
          <xdr:rowOff>0</xdr:rowOff>
        </xdr:to>
        <xdr:sp macro="" textlink="">
          <xdr:nvSpPr>
            <xdr:cNvPr id="1350670" name="Drop Down 3086" hidden="1">
              <a:extLst>
                <a:ext uri="{63B3BB69-23CF-44E3-9099-C40C66FF867C}">
                  <a14:compatExt spid="_x0000_s1350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110</xdr:row>
          <xdr:rowOff>0</xdr:rowOff>
        </xdr:from>
        <xdr:to>
          <xdr:col>8</xdr:col>
          <xdr:colOff>0</xdr:colOff>
          <xdr:row>111</xdr:row>
          <xdr:rowOff>0</xdr:rowOff>
        </xdr:to>
        <xdr:sp macro="" textlink="">
          <xdr:nvSpPr>
            <xdr:cNvPr id="1350671" name="Drop Down 3087" hidden="1">
              <a:extLst>
                <a:ext uri="{63B3BB69-23CF-44E3-9099-C40C66FF867C}">
                  <a14:compatExt spid="_x0000_s1350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110</xdr:row>
          <xdr:rowOff>0</xdr:rowOff>
        </xdr:from>
        <xdr:to>
          <xdr:col>12</xdr:col>
          <xdr:colOff>9525</xdr:colOff>
          <xdr:row>111</xdr:row>
          <xdr:rowOff>0</xdr:rowOff>
        </xdr:to>
        <xdr:sp macro="" textlink="">
          <xdr:nvSpPr>
            <xdr:cNvPr id="1350672" name="Drop Down 3088" hidden="1">
              <a:extLst>
                <a:ext uri="{63B3BB69-23CF-44E3-9099-C40C66FF867C}">
                  <a14:compatExt spid="_x0000_s1350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79</xdr:row>
          <xdr:rowOff>9525</xdr:rowOff>
        </xdr:from>
        <xdr:to>
          <xdr:col>3</xdr:col>
          <xdr:colOff>0</xdr:colOff>
          <xdr:row>80</xdr:row>
          <xdr:rowOff>28575</xdr:rowOff>
        </xdr:to>
        <xdr:sp macro="" textlink="">
          <xdr:nvSpPr>
            <xdr:cNvPr id="30742" name="Drop Down 22" hidden="1">
              <a:extLst>
                <a:ext uri="{63B3BB69-23CF-44E3-9099-C40C66FF867C}">
                  <a14:compatExt spid="_x0000_s307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80</xdr:row>
          <xdr:rowOff>0</xdr:rowOff>
        </xdr:from>
        <xdr:to>
          <xdr:col>3</xdr:col>
          <xdr:colOff>19050</xdr:colOff>
          <xdr:row>81</xdr:row>
          <xdr:rowOff>19050</xdr:rowOff>
        </xdr:to>
        <xdr:sp macro="" textlink="">
          <xdr:nvSpPr>
            <xdr:cNvPr id="30743" name="Drop Down 23" hidden="1">
              <a:extLst>
                <a:ext uri="{63B3BB69-23CF-44E3-9099-C40C66FF867C}">
                  <a14:compatExt spid="_x0000_s30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81</xdr:row>
          <xdr:rowOff>0</xdr:rowOff>
        </xdr:from>
        <xdr:to>
          <xdr:col>3</xdr:col>
          <xdr:colOff>19050</xdr:colOff>
          <xdr:row>82</xdr:row>
          <xdr:rowOff>9525</xdr:rowOff>
        </xdr:to>
        <xdr:sp macro="" textlink="">
          <xdr:nvSpPr>
            <xdr:cNvPr id="30744" name="Drop Down 24" hidden="1">
              <a:extLst>
                <a:ext uri="{63B3BB69-23CF-44E3-9099-C40C66FF867C}">
                  <a14:compatExt spid="_x0000_s30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82</xdr:row>
          <xdr:rowOff>0</xdr:rowOff>
        </xdr:from>
        <xdr:to>
          <xdr:col>3</xdr:col>
          <xdr:colOff>19050</xdr:colOff>
          <xdr:row>83</xdr:row>
          <xdr:rowOff>0</xdr:rowOff>
        </xdr:to>
        <xdr:sp macro="" textlink="">
          <xdr:nvSpPr>
            <xdr:cNvPr id="30745" name="Drop Down 25" hidden="1">
              <a:extLst>
                <a:ext uri="{63B3BB69-23CF-44E3-9099-C40C66FF867C}">
                  <a14:compatExt spid="_x0000_s30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83</xdr:row>
          <xdr:rowOff>0</xdr:rowOff>
        </xdr:from>
        <xdr:to>
          <xdr:col>3</xdr:col>
          <xdr:colOff>19050</xdr:colOff>
          <xdr:row>84</xdr:row>
          <xdr:rowOff>19050</xdr:rowOff>
        </xdr:to>
        <xdr:sp macro="" textlink="">
          <xdr:nvSpPr>
            <xdr:cNvPr id="30746" name="Drop Down 26" hidden="1">
              <a:extLst>
                <a:ext uri="{63B3BB69-23CF-44E3-9099-C40C66FF867C}">
                  <a14:compatExt spid="_x0000_s30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84</xdr:row>
          <xdr:rowOff>0</xdr:rowOff>
        </xdr:from>
        <xdr:to>
          <xdr:col>3</xdr:col>
          <xdr:colOff>19050</xdr:colOff>
          <xdr:row>85</xdr:row>
          <xdr:rowOff>0</xdr:rowOff>
        </xdr:to>
        <xdr:sp macro="" textlink="">
          <xdr:nvSpPr>
            <xdr:cNvPr id="30747" name="Drop Down 27" hidden="1">
              <a:extLst>
                <a:ext uri="{63B3BB69-23CF-44E3-9099-C40C66FF867C}">
                  <a14:compatExt spid="_x0000_s30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85</xdr:row>
          <xdr:rowOff>0</xdr:rowOff>
        </xdr:from>
        <xdr:to>
          <xdr:col>3</xdr:col>
          <xdr:colOff>19050</xdr:colOff>
          <xdr:row>86</xdr:row>
          <xdr:rowOff>0</xdr:rowOff>
        </xdr:to>
        <xdr:sp macro="" textlink="">
          <xdr:nvSpPr>
            <xdr:cNvPr id="30748" name="Drop Down 28" hidden="1">
              <a:extLst>
                <a:ext uri="{63B3BB69-23CF-44E3-9099-C40C66FF867C}">
                  <a14:compatExt spid="_x0000_s30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86</xdr:row>
          <xdr:rowOff>0</xdr:rowOff>
        </xdr:from>
        <xdr:to>
          <xdr:col>3</xdr:col>
          <xdr:colOff>19050</xdr:colOff>
          <xdr:row>87</xdr:row>
          <xdr:rowOff>19050</xdr:rowOff>
        </xdr:to>
        <xdr:sp macro="" textlink="">
          <xdr:nvSpPr>
            <xdr:cNvPr id="30749" name="Drop Down 29" hidden="1">
              <a:extLst>
                <a:ext uri="{63B3BB69-23CF-44E3-9099-C40C66FF867C}">
                  <a14:compatExt spid="_x0000_s30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87</xdr:row>
          <xdr:rowOff>0</xdr:rowOff>
        </xdr:from>
        <xdr:to>
          <xdr:col>3</xdr:col>
          <xdr:colOff>19050</xdr:colOff>
          <xdr:row>88</xdr:row>
          <xdr:rowOff>0</xdr:rowOff>
        </xdr:to>
        <xdr:sp macro="" textlink="">
          <xdr:nvSpPr>
            <xdr:cNvPr id="30750" name="Drop Down 30" hidden="1">
              <a:extLst>
                <a:ext uri="{63B3BB69-23CF-44E3-9099-C40C66FF867C}">
                  <a14:compatExt spid="_x0000_s30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88</xdr:row>
          <xdr:rowOff>0</xdr:rowOff>
        </xdr:from>
        <xdr:to>
          <xdr:col>3</xdr:col>
          <xdr:colOff>19050</xdr:colOff>
          <xdr:row>89</xdr:row>
          <xdr:rowOff>0</xdr:rowOff>
        </xdr:to>
        <xdr:sp macro="" textlink="">
          <xdr:nvSpPr>
            <xdr:cNvPr id="30751" name="Drop Down 31" hidden="1">
              <a:extLst>
                <a:ext uri="{63B3BB69-23CF-44E3-9099-C40C66FF867C}">
                  <a14:compatExt spid="_x0000_s30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78</xdr:row>
          <xdr:rowOff>9525</xdr:rowOff>
        </xdr:from>
        <xdr:to>
          <xdr:col>9</xdr:col>
          <xdr:colOff>1066800</xdr:colOff>
          <xdr:row>79</xdr:row>
          <xdr:rowOff>9525</xdr:rowOff>
        </xdr:to>
        <xdr:sp macro="" textlink="">
          <xdr:nvSpPr>
            <xdr:cNvPr id="30752" name="Drop Down 32" hidden="1">
              <a:extLst>
                <a:ext uri="{63B3BB69-23CF-44E3-9099-C40C66FF867C}">
                  <a14:compatExt spid="_x0000_s30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108</xdr:row>
          <xdr:rowOff>0</xdr:rowOff>
        </xdr:from>
        <xdr:to>
          <xdr:col>3</xdr:col>
          <xdr:colOff>9525</xdr:colOff>
          <xdr:row>108</xdr:row>
          <xdr:rowOff>200025</xdr:rowOff>
        </xdr:to>
        <xdr:sp macro="" textlink="">
          <xdr:nvSpPr>
            <xdr:cNvPr id="30763" name="Drop Down 43" hidden="1">
              <a:extLst>
                <a:ext uri="{63B3BB69-23CF-44E3-9099-C40C66FF867C}">
                  <a14:compatExt spid="_x0000_s30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466725</xdr:colOff>
          <xdr:row>109</xdr:row>
          <xdr:rowOff>0</xdr:rowOff>
        </xdr:from>
        <xdr:to>
          <xdr:col>3</xdr:col>
          <xdr:colOff>9525</xdr:colOff>
          <xdr:row>110</xdr:row>
          <xdr:rowOff>0</xdr:rowOff>
        </xdr:to>
        <xdr:sp macro="" textlink="">
          <xdr:nvSpPr>
            <xdr:cNvPr id="30764" name="Drop Down 44" hidden="1">
              <a:extLst>
                <a:ext uri="{63B3BB69-23CF-44E3-9099-C40C66FF867C}">
                  <a14:compatExt spid="_x0000_s30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110</xdr:row>
          <xdr:rowOff>0</xdr:rowOff>
        </xdr:from>
        <xdr:to>
          <xdr:col>3</xdr:col>
          <xdr:colOff>9525</xdr:colOff>
          <xdr:row>111</xdr:row>
          <xdr:rowOff>9525</xdr:rowOff>
        </xdr:to>
        <xdr:sp macro="" textlink="">
          <xdr:nvSpPr>
            <xdr:cNvPr id="30765" name="Drop Down 45" hidden="1">
              <a:extLst>
                <a:ext uri="{63B3BB69-23CF-44E3-9099-C40C66FF867C}">
                  <a14:compatExt spid="_x0000_s30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111</xdr:row>
          <xdr:rowOff>0</xdr:rowOff>
        </xdr:from>
        <xdr:to>
          <xdr:col>3</xdr:col>
          <xdr:colOff>9525</xdr:colOff>
          <xdr:row>112</xdr:row>
          <xdr:rowOff>9525</xdr:rowOff>
        </xdr:to>
        <xdr:sp macro="" textlink="">
          <xdr:nvSpPr>
            <xdr:cNvPr id="30766" name="Drop Down 46" hidden="1">
              <a:extLst>
                <a:ext uri="{63B3BB69-23CF-44E3-9099-C40C66FF867C}">
                  <a14:compatExt spid="_x0000_s30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112</xdr:row>
          <xdr:rowOff>0</xdr:rowOff>
        </xdr:from>
        <xdr:to>
          <xdr:col>3</xdr:col>
          <xdr:colOff>9525</xdr:colOff>
          <xdr:row>113</xdr:row>
          <xdr:rowOff>9525</xdr:rowOff>
        </xdr:to>
        <xdr:sp macro="" textlink="">
          <xdr:nvSpPr>
            <xdr:cNvPr id="30767" name="Drop Down 47" hidden="1">
              <a:extLst>
                <a:ext uri="{63B3BB69-23CF-44E3-9099-C40C66FF867C}">
                  <a14:compatExt spid="_x0000_s30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113</xdr:row>
          <xdr:rowOff>0</xdr:rowOff>
        </xdr:from>
        <xdr:to>
          <xdr:col>3</xdr:col>
          <xdr:colOff>9525</xdr:colOff>
          <xdr:row>114</xdr:row>
          <xdr:rowOff>0</xdr:rowOff>
        </xdr:to>
        <xdr:sp macro="" textlink="">
          <xdr:nvSpPr>
            <xdr:cNvPr id="30768" name="Drop Down 48" hidden="1">
              <a:extLst>
                <a:ext uri="{63B3BB69-23CF-44E3-9099-C40C66FF867C}">
                  <a14:compatExt spid="_x0000_s30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114</xdr:row>
          <xdr:rowOff>0</xdr:rowOff>
        </xdr:from>
        <xdr:to>
          <xdr:col>3</xdr:col>
          <xdr:colOff>9525</xdr:colOff>
          <xdr:row>115</xdr:row>
          <xdr:rowOff>0</xdr:rowOff>
        </xdr:to>
        <xdr:sp macro="" textlink="">
          <xdr:nvSpPr>
            <xdr:cNvPr id="30769" name="Drop Down 49" hidden="1">
              <a:extLst>
                <a:ext uri="{63B3BB69-23CF-44E3-9099-C40C66FF867C}">
                  <a14:compatExt spid="_x0000_s30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115</xdr:row>
          <xdr:rowOff>0</xdr:rowOff>
        </xdr:from>
        <xdr:to>
          <xdr:col>3</xdr:col>
          <xdr:colOff>9525</xdr:colOff>
          <xdr:row>116</xdr:row>
          <xdr:rowOff>0</xdr:rowOff>
        </xdr:to>
        <xdr:sp macro="" textlink="">
          <xdr:nvSpPr>
            <xdr:cNvPr id="30770" name="Drop Down 50" hidden="1">
              <a:extLst>
                <a:ext uri="{63B3BB69-23CF-44E3-9099-C40C66FF867C}">
                  <a14:compatExt spid="_x0000_s30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116</xdr:row>
          <xdr:rowOff>0</xdr:rowOff>
        </xdr:from>
        <xdr:to>
          <xdr:col>3</xdr:col>
          <xdr:colOff>9525</xdr:colOff>
          <xdr:row>116</xdr:row>
          <xdr:rowOff>200025</xdr:rowOff>
        </xdr:to>
        <xdr:sp macro="" textlink="">
          <xdr:nvSpPr>
            <xdr:cNvPr id="30771" name="Drop Down 51" hidden="1">
              <a:extLst>
                <a:ext uri="{63B3BB69-23CF-44E3-9099-C40C66FF867C}">
                  <a14:compatExt spid="_x0000_s30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108</xdr:row>
          <xdr:rowOff>0</xdr:rowOff>
        </xdr:from>
        <xdr:to>
          <xdr:col>8</xdr:col>
          <xdr:colOff>0</xdr:colOff>
          <xdr:row>108</xdr:row>
          <xdr:rowOff>200025</xdr:rowOff>
        </xdr:to>
        <xdr:sp macro="" textlink="">
          <xdr:nvSpPr>
            <xdr:cNvPr id="30895" name="Drop Down 175" hidden="1">
              <a:extLst>
                <a:ext uri="{63B3BB69-23CF-44E3-9099-C40C66FF867C}">
                  <a14:compatExt spid="_x0000_s30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94</xdr:row>
          <xdr:rowOff>0</xdr:rowOff>
        </xdr:from>
        <xdr:to>
          <xdr:col>3</xdr:col>
          <xdr:colOff>9525</xdr:colOff>
          <xdr:row>95</xdr:row>
          <xdr:rowOff>19050</xdr:rowOff>
        </xdr:to>
        <xdr:sp macro="" textlink="">
          <xdr:nvSpPr>
            <xdr:cNvPr id="30913" name="Drop Down 193" hidden="1">
              <a:extLst>
                <a:ext uri="{63B3BB69-23CF-44E3-9099-C40C66FF867C}">
                  <a14:compatExt spid="_x0000_s30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94</xdr:row>
          <xdr:rowOff>0</xdr:rowOff>
        </xdr:from>
        <xdr:to>
          <xdr:col>6</xdr:col>
          <xdr:colOff>0</xdr:colOff>
          <xdr:row>95</xdr:row>
          <xdr:rowOff>19050</xdr:rowOff>
        </xdr:to>
        <xdr:sp macro="" textlink="">
          <xdr:nvSpPr>
            <xdr:cNvPr id="30915" name="Drop Down 195" hidden="1">
              <a:extLst>
                <a:ext uri="{63B3BB69-23CF-44E3-9099-C40C66FF867C}">
                  <a14:compatExt spid="_x0000_s30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95</xdr:row>
          <xdr:rowOff>0</xdr:rowOff>
        </xdr:from>
        <xdr:to>
          <xdr:col>3</xdr:col>
          <xdr:colOff>9525</xdr:colOff>
          <xdr:row>96</xdr:row>
          <xdr:rowOff>19050</xdr:rowOff>
        </xdr:to>
        <xdr:sp macro="" textlink="">
          <xdr:nvSpPr>
            <xdr:cNvPr id="30916" name="Drop Down 196" hidden="1">
              <a:extLst>
                <a:ext uri="{63B3BB69-23CF-44E3-9099-C40C66FF867C}">
                  <a14:compatExt spid="_x0000_s30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96</xdr:row>
          <xdr:rowOff>0</xdr:rowOff>
        </xdr:from>
        <xdr:to>
          <xdr:col>3</xdr:col>
          <xdr:colOff>9525</xdr:colOff>
          <xdr:row>97</xdr:row>
          <xdr:rowOff>19050</xdr:rowOff>
        </xdr:to>
        <xdr:sp macro="" textlink="">
          <xdr:nvSpPr>
            <xdr:cNvPr id="30917" name="Drop Down 197" hidden="1">
              <a:extLst>
                <a:ext uri="{63B3BB69-23CF-44E3-9099-C40C66FF867C}">
                  <a14:compatExt spid="_x0000_s30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97</xdr:row>
          <xdr:rowOff>0</xdr:rowOff>
        </xdr:from>
        <xdr:to>
          <xdr:col>3</xdr:col>
          <xdr:colOff>9525</xdr:colOff>
          <xdr:row>98</xdr:row>
          <xdr:rowOff>19050</xdr:rowOff>
        </xdr:to>
        <xdr:sp macro="" textlink="">
          <xdr:nvSpPr>
            <xdr:cNvPr id="30918" name="Drop Down 198" hidden="1">
              <a:extLst>
                <a:ext uri="{63B3BB69-23CF-44E3-9099-C40C66FF867C}">
                  <a14:compatExt spid="_x0000_s30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98</xdr:row>
          <xdr:rowOff>0</xdr:rowOff>
        </xdr:from>
        <xdr:to>
          <xdr:col>3</xdr:col>
          <xdr:colOff>9525</xdr:colOff>
          <xdr:row>99</xdr:row>
          <xdr:rowOff>19050</xdr:rowOff>
        </xdr:to>
        <xdr:sp macro="" textlink="">
          <xdr:nvSpPr>
            <xdr:cNvPr id="30919" name="Drop Down 199" hidden="1">
              <a:extLst>
                <a:ext uri="{63B3BB69-23CF-44E3-9099-C40C66FF867C}">
                  <a14:compatExt spid="_x0000_s30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99</xdr:row>
          <xdr:rowOff>0</xdr:rowOff>
        </xdr:from>
        <xdr:to>
          <xdr:col>3</xdr:col>
          <xdr:colOff>9525</xdr:colOff>
          <xdr:row>100</xdr:row>
          <xdr:rowOff>9525</xdr:rowOff>
        </xdr:to>
        <xdr:sp macro="" textlink="">
          <xdr:nvSpPr>
            <xdr:cNvPr id="30920" name="Drop Down 200" hidden="1">
              <a:extLst>
                <a:ext uri="{63B3BB69-23CF-44E3-9099-C40C66FF867C}">
                  <a14:compatExt spid="_x0000_s30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100</xdr:row>
          <xdr:rowOff>0</xdr:rowOff>
        </xdr:from>
        <xdr:to>
          <xdr:col>3</xdr:col>
          <xdr:colOff>9525</xdr:colOff>
          <xdr:row>101</xdr:row>
          <xdr:rowOff>0</xdr:rowOff>
        </xdr:to>
        <xdr:sp macro="" textlink="">
          <xdr:nvSpPr>
            <xdr:cNvPr id="30921" name="Drop Down 201" hidden="1">
              <a:extLst>
                <a:ext uri="{63B3BB69-23CF-44E3-9099-C40C66FF867C}">
                  <a14:compatExt spid="_x0000_s30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101</xdr:row>
          <xdr:rowOff>0</xdr:rowOff>
        </xdr:from>
        <xdr:to>
          <xdr:col>3</xdr:col>
          <xdr:colOff>9525</xdr:colOff>
          <xdr:row>102</xdr:row>
          <xdr:rowOff>0</xdr:rowOff>
        </xdr:to>
        <xdr:sp macro="" textlink="">
          <xdr:nvSpPr>
            <xdr:cNvPr id="30922" name="Drop Down 202" hidden="1">
              <a:extLst>
                <a:ext uri="{63B3BB69-23CF-44E3-9099-C40C66FF867C}">
                  <a14:compatExt spid="_x0000_s30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95</xdr:row>
          <xdr:rowOff>0</xdr:rowOff>
        </xdr:from>
        <xdr:to>
          <xdr:col>6</xdr:col>
          <xdr:colOff>0</xdr:colOff>
          <xdr:row>96</xdr:row>
          <xdr:rowOff>19050</xdr:rowOff>
        </xdr:to>
        <xdr:sp macro="" textlink="">
          <xdr:nvSpPr>
            <xdr:cNvPr id="30942" name="Drop Down 222" hidden="1">
              <a:extLst>
                <a:ext uri="{63B3BB69-23CF-44E3-9099-C40C66FF867C}">
                  <a14:compatExt spid="_x0000_s30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96</xdr:row>
          <xdr:rowOff>0</xdr:rowOff>
        </xdr:from>
        <xdr:to>
          <xdr:col>6</xdr:col>
          <xdr:colOff>0</xdr:colOff>
          <xdr:row>97</xdr:row>
          <xdr:rowOff>19050</xdr:rowOff>
        </xdr:to>
        <xdr:sp macro="" textlink="">
          <xdr:nvSpPr>
            <xdr:cNvPr id="30943" name="Drop Down 223" hidden="1">
              <a:extLst>
                <a:ext uri="{63B3BB69-23CF-44E3-9099-C40C66FF867C}">
                  <a14:compatExt spid="_x0000_s30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97</xdr:row>
          <xdr:rowOff>0</xdr:rowOff>
        </xdr:from>
        <xdr:to>
          <xdr:col>6</xdr:col>
          <xdr:colOff>0</xdr:colOff>
          <xdr:row>98</xdr:row>
          <xdr:rowOff>19050</xdr:rowOff>
        </xdr:to>
        <xdr:sp macro="" textlink="">
          <xdr:nvSpPr>
            <xdr:cNvPr id="30944" name="Drop Down 224" hidden="1">
              <a:extLst>
                <a:ext uri="{63B3BB69-23CF-44E3-9099-C40C66FF867C}">
                  <a14:compatExt spid="_x0000_s30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98</xdr:row>
          <xdr:rowOff>0</xdr:rowOff>
        </xdr:from>
        <xdr:to>
          <xdr:col>6</xdr:col>
          <xdr:colOff>0</xdr:colOff>
          <xdr:row>99</xdr:row>
          <xdr:rowOff>19050</xdr:rowOff>
        </xdr:to>
        <xdr:sp macro="" textlink="">
          <xdr:nvSpPr>
            <xdr:cNvPr id="30945" name="Drop Down 225" hidden="1">
              <a:extLst>
                <a:ext uri="{63B3BB69-23CF-44E3-9099-C40C66FF867C}">
                  <a14:compatExt spid="_x0000_s30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99</xdr:row>
          <xdr:rowOff>0</xdr:rowOff>
        </xdr:from>
        <xdr:to>
          <xdr:col>6</xdr:col>
          <xdr:colOff>0</xdr:colOff>
          <xdr:row>100</xdr:row>
          <xdr:rowOff>9525</xdr:rowOff>
        </xdr:to>
        <xdr:sp macro="" textlink="">
          <xdr:nvSpPr>
            <xdr:cNvPr id="30946" name="Drop Down 226" hidden="1">
              <a:extLst>
                <a:ext uri="{63B3BB69-23CF-44E3-9099-C40C66FF867C}">
                  <a14:compatExt spid="_x0000_s30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100</xdr:row>
          <xdr:rowOff>0</xdr:rowOff>
        </xdr:from>
        <xdr:to>
          <xdr:col>6</xdr:col>
          <xdr:colOff>0</xdr:colOff>
          <xdr:row>101</xdr:row>
          <xdr:rowOff>0</xdr:rowOff>
        </xdr:to>
        <xdr:sp macro="" textlink="">
          <xdr:nvSpPr>
            <xdr:cNvPr id="30947" name="Drop Down 227" hidden="1">
              <a:extLst>
                <a:ext uri="{63B3BB69-23CF-44E3-9099-C40C66FF867C}">
                  <a14:compatExt spid="_x0000_s309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101</xdr:row>
          <xdr:rowOff>0</xdr:rowOff>
        </xdr:from>
        <xdr:to>
          <xdr:col>6</xdr:col>
          <xdr:colOff>0</xdr:colOff>
          <xdr:row>102</xdr:row>
          <xdr:rowOff>0</xdr:rowOff>
        </xdr:to>
        <xdr:sp macro="" textlink="">
          <xdr:nvSpPr>
            <xdr:cNvPr id="30948" name="Drop Down 228" hidden="1">
              <a:extLst>
                <a:ext uri="{63B3BB69-23CF-44E3-9099-C40C66FF867C}">
                  <a14:compatExt spid="_x0000_s30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102</xdr:row>
          <xdr:rowOff>0</xdr:rowOff>
        </xdr:from>
        <xdr:to>
          <xdr:col>3</xdr:col>
          <xdr:colOff>9525</xdr:colOff>
          <xdr:row>103</xdr:row>
          <xdr:rowOff>9525</xdr:rowOff>
        </xdr:to>
        <xdr:sp macro="" textlink="">
          <xdr:nvSpPr>
            <xdr:cNvPr id="30949" name="Drop Down 229" hidden="1">
              <a:extLst>
                <a:ext uri="{63B3BB69-23CF-44E3-9099-C40C66FF867C}">
                  <a14:compatExt spid="_x0000_s309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102</xdr:row>
          <xdr:rowOff>0</xdr:rowOff>
        </xdr:from>
        <xdr:to>
          <xdr:col>6</xdr:col>
          <xdr:colOff>0</xdr:colOff>
          <xdr:row>103</xdr:row>
          <xdr:rowOff>9525</xdr:rowOff>
        </xdr:to>
        <xdr:sp macro="" textlink="">
          <xdr:nvSpPr>
            <xdr:cNvPr id="30952" name="Drop Down 232" hidden="1">
              <a:extLst>
                <a:ext uri="{63B3BB69-23CF-44E3-9099-C40C66FF867C}">
                  <a14:compatExt spid="_x0000_s30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78</xdr:row>
          <xdr:rowOff>9525</xdr:rowOff>
        </xdr:from>
        <xdr:to>
          <xdr:col>11</xdr:col>
          <xdr:colOff>19050</xdr:colOff>
          <xdr:row>79</xdr:row>
          <xdr:rowOff>9525</xdr:rowOff>
        </xdr:to>
        <xdr:sp macro="" textlink="">
          <xdr:nvSpPr>
            <xdr:cNvPr id="30995" name="Drop Down 275" hidden="1">
              <a:extLst>
                <a:ext uri="{63B3BB69-23CF-44E3-9099-C40C66FF867C}">
                  <a14:compatExt spid="_x0000_s30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79</xdr:row>
          <xdr:rowOff>0</xdr:rowOff>
        </xdr:from>
        <xdr:to>
          <xdr:col>9</xdr:col>
          <xdr:colOff>1066800</xdr:colOff>
          <xdr:row>80</xdr:row>
          <xdr:rowOff>9525</xdr:rowOff>
        </xdr:to>
        <xdr:sp macro="" textlink="">
          <xdr:nvSpPr>
            <xdr:cNvPr id="30996" name="Drop Down 276" hidden="1">
              <a:extLst>
                <a:ext uri="{63B3BB69-23CF-44E3-9099-C40C66FF867C}">
                  <a14:compatExt spid="_x0000_s30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80</xdr:row>
          <xdr:rowOff>0</xdr:rowOff>
        </xdr:from>
        <xdr:to>
          <xdr:col>9</xdr:col>
          <xdr:colOff>1066800</xdr:colOff>
          <xdr:row>81</xdr:row>
          <xdr:rowOff>19050</xdr:rowOff>
        </xdr:to>
        <xdr:sp macro="" textlink="">
          <xdr:nvSpPr>
            <xdr:cNvPr id="30997" name="Drop Down 277" hidden="1">
              <a:extLst>
                <a:ext uri="{63B3BB69-23CF-44E3-9099-C40C66FF867C}">
                  <a14:compatExt spid="_x0000_s30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81</xdr:row>
          <xdr:rowOff>0</xdr:rowOff>
        </xdr:from>
        <xdr:to>
          <xdr:col>9</xdr:col>
          <xdr:colOff>1066800</xdr:colOff>
          <xdr:row>82</xdr:row>
          <xdr:rowOff>9525</xdr:rowOff>
        </xdr:to>
        <xdr:sp macro="" textlink="">
          <xdr:nvSpPr>
            <xdr:cNvPr id="30998" name="Drop Down 278" hidden="1">
              <a:extLst>
                <a:ext uri="{63B3BB69-23CF-44E3-9099-C40C66FF867C}">
                  <a14:compatExt spid="_x0000_s30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82</xdr:row>
          <xdr:rowOff>0</xdr:rowOff>
        </xdr:from>
        <xdr:to>
          <xdr:col>9</xdr:col>
          <xdr:colOff>1066800</xdr:colOff>
          <xdr:row>83</xdr:row>
          <xdr:rowOff>0</xdr:rowOff>
        </xdr:to>
        <xdr:sp macro="" textlink="">
          <xdr:nvSpPr>
            <xdr:cNvPr id="30999" name="Drop Down 279" hidden="1">
              <a:extLst>
                <a:ext uri="{63B3BB69-23CF-44E3-9099-C40C66FF867C}">
                  <a14:compatExt spid="_x0000_s30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83</xdr:row>
          <xdr:rowOff>0</xdr:rowOff>
        </xdr:from>
        <xdr:to>
          <xdr:col>9</xdr:col>
          <xdr:colOff>1066800</xdr:colOff>
          <xdr:row>84</xdr:row>
          <xdr:rowOff>19050</xdr:rowOff>
        </xdr:to>
        <xdr:sp macro="" textlink="">
          <xdr:nvSpPr>
            <xdr:cNvPr id="31000" name="Drop Down 280" hidden="1">
              <a:extLst>
                <a:ext uri="{63B3BB69-23CF-44E3-9099-C40C66FF867C}">
                  <a14:compatExt spid="_x0000_s31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84</xdr:row>
          <xdr:rowOff>0</xdr:rowOff>
        </xdr:from>
        <xdr:to>
          <xdr:col>9</xdr:col>
          <xdr:colOff>1066800</xdr:colOff>
          <xdr:row>85</xdr:row>
          <xdr:rowOff>0</xdr:rowOff>
        </xdr:to>
        <xdr:sp macro="" textlink="">
          <xdr:nvSpPr>
            <xdr:cNvPr id="31001" name="Drop Down 281" hidden="1">
              <a:extLst>
                <a:ext uri="{63B3BB69-23CF-44E3-9099-C40C66FF867C}">
                  <a14:compatExt spid="_x0000_s31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85</xdr:row>
          <xdr:rowOff>0</xdr:rowOff>
        </xdr:from>
        <xdr:to>
          <xdr:col>9</xdr:col>
          <xdr:colOff>1066800</xdr:colOff>
          <xdr:row>86</xdr:row>
          <xdr:rowOff>0</xdr:rowOff>
        </xdr:to>
        <xdr:sp macro="" textlink="">
          <xdr:nvSpPr>
            <xdr:cNvPr id="31002" name="Drop Down 282" hidden="1">
              <a:extLst>
                <a:ext uri="{63B3BB69-23CF-44E3-9099-C40C66FF867C}">
                  <a14:compatExt spid="_x0000_s31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86</xdr:row>
          <xdr:rowOff>0</xdr:rowOff>
        </xdr:from>
        <xdr:to>
          <xdr:col>9</xdr:col>
          <xdr:colOff>1066800</xdr:colOff>
          <xdr:row>87</xdr:row>
          <xdr:rowOff>19050</xdr:rowOff>
        </xdr:to>
        <xdr:sp macro="" textlink="">
          <xdr:nvSpPr>
            <xdr:cNvPr id="31003" name="Drop Down 283" hidden="1">
              <a:extLst>
                <a:ext uri="{63B3BB69-23CF-44E3-9099-C40C66FF867C}">
                  <a14:compatExt spid="_x0000_s31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87</xdr:row>
          <xdr:rowOff>0</xdr:rowOff>
        </xdr:from>
        <xdr:to>
          <xdr:col>9</xdr:col>
          <xdr:colOff>1066800</xdr:colOff>
          <xdr:row>88</xdr:row>
          <xdr:rowOff>0</xdr:rowOff>
        </xdr:to>
        <xdr:sp macro="" textlink="">
          <xdr:nvSpPr>
            <xdr:cNvPr id="31004" name="Drop Down 284" hidden="1">
              <a:extLst>
                <a:ext uri="{63B3BB69-23CF-44E3-9099-C40C66FF867C}">
                  <a14:compatExt spid="_x0000_s31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88</xdr:row>
          <xdr:rowOff>0</xdr:rowOff>
        </xdr:from>
        <xdr:to>
          <xdr:col>9</xdr:col>
          <xdr:colOff>1066800</xdr:colOff>
          <xdr:row>89</xdr:row>
          <xdr:rowOff>0</xdr:rowOff>
        </xdr:to>
        <xdr:sp macro="" textlink="">
          <xdr:nvSpPr>
            <xdr:cNvPr id="31005" name="Drop Down 285" hidden="1">
              <a:extLst>
                <a:ext uri="{63B3BB69-23CF-44E3-9099-C40C66FF867C}">
                  <a14:compatExt spid="_x0000_s31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79</xdr:row>
          <xdr:rowOff>0</xdr:rowOff>
        </xdr:from>
        <xdr:to>
          <xdr:col>11</xdr:col>
          <xdr:colOff>19050</xdr:colOff>
          <xdr:row>80</xdr:row>
          <xdr:rowOff>9525</xdr:rowOff>
        </xdr:to>
        <xdr:sp macro="" textlink="">
          <xdr:nvSpPr>
            <xdr:cNvPr id="31016" name="Drop Down 296" hidden="1">
              <a:extLst>
                <a:ext uri="{63B3BB69-23CF-44E3-9099-C40C66FF867C}">
                  <a14:compatExt spid="_x0000_s310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80</xdr:row>
          <xdr:rowOff>0</xdr:rowOff>
        </xdr:from>
        <xdr:to>
          <xdr:col>11</xdr:col>
          <xdr:colOff>19050</xdr:colOff>
          <xdr:row>81</xdr:row>
          <xdr:rowOff>19050</xdr:rowOff>
        </xdr:to>
        <xdr:sp macro="" textlink="">
          <xdr:nvSpPr>
            <xdr:cNvPr id="31017" name="Drop Down 297" hidden="1">
              <a:extLst>
                <a:ext uri="{63B3BB69-23CF-44E3-9099-C40C66FF867C}">
                  <a14:compatExt spid="_x0000_s310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81</xdr:row>
          <xdr:rowOff>0</xdr:rowOff>
        </xdr:from>
        <xdr:to>
          <xdr:col>11</xdr:col>
          <xdr:colOff>19050</xdr:colOff>
          <xdr:row>82</xdr:row>
          <xdr:rowOff>9525</xdr:rowOff>
        </xdr:to>
        <xdr:sp macro="" textlink="">
          <xdr:nvSpPr>
            <xdr:cNvPr id="31018" name="Drop Down 298" hidden="1">
              <a:extLst>
                <a:ext uri="{63B3BB69-23CF-44E3-9099-C40C66FF867C}">
                  <a14:compatExt spid="_x0000_s310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82</xdr:row>
          <xdr:rowOff>0</xdr:rowOff>
        </xdr:from>
        <xdr:to>
          <xdr:col>11</xdr:col>
          <xdr:colOff>19050</xdr:colOff>
          <xdr:row>83</xdr:row>
          <xdr:rowOff>0</xdr:rowOff>
        </xdr:to>
        <xdr:sp macro="" textlink="">
          <xdr:nvSpPr>
            <xdr:cNvPr id="31019" name="Drop Down 299" hidden="1">
              <a:extLst>
                <a:ext uri="{63B3BB69-23CF-44E3-9099-C40C66FF867C}">
                  <a14:compatExt spid="_x0000_s31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83</xdr:row>
          <xdr:rowOff>0</xdr:rowOff>
        </xdr:from>
        <xdr:to>
          <xdr:col>11</xdr:col>
          <xdr:colOff>19050</xdr:colOff>
          <xdr:row>84</xdr:row>
          <xdr:rowOff>19050</xdr:rowOff>
        </xdr:to>
        <xdr:sp macro="" textlink="">
          <xdr:nvSpPr>
            <xdr:cNvPr id="31020" name="Drop Down 300" hidden="1">
              <a:extLst>
                <a:ext uri="{63B3BB69-23CF-44E3-9099-C40C66FF867C}">
                  <a14:compatExt spid="_x0000_s31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84</xdr:row>
          <xdr:rowOff>0</xdr:rowOff>
        </xdr:from>
        <xdr:to>
          <xdr:col>11</xdr:col>
          <xdr:colOff>19050</xdr:colOff>
          <xdr:row>85</xdr:row>
          <xdr:rowOff>0</xdr:rowOff>
        </xdr:to>
        <xdr:sp macro="" textlink="">
          <xdr:nvSpPr>
            <xdr:cNvPr id="31021" name="Drop Down 301" hidden="1">
              <a:extLst>
                <a:ext uri="{63B3BB69-23CF-44E3-9099-C40C66FF867C}">
                  <a14:compatExt spid="_x0000_s310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85</xdr:row>
          <xdr:rowOff>0</xdr:rowOff>
        </xdr:from>
        <xdr:to>
          <xdr:col>11</xdr:col>
          <xdr:colOff>19050</xdr:colOff>
          <xdr:row>86</xdr:row>
          <xdr:rowOff>0</xdr:rowOff>
        </xdr:to>
        <xdr:sp macro="" textlink="">
          <xdr:nvSpPr>
            <xdr:cNvPr id="31022" name="Drop Down 302" hidden="1">
              <a:extLst>
                <a:ext uri="{63B3BB69-23CF-44E3-9099-C40C66FF867C}">
                  <a14:compatExt spid="_x0000_s310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86</xdr:row>
          <xdr:rowOff>0</xdr:rowOff>
        </xdr:from>
        <xdr:to>
          <xdr:col>11</xdr:col>
          <xdr:colOff>19050</xdr:colOff>
          <xdr:row>87</xdr:row>
          <xdr:rowOff>19050</xdr:rowOff>
        </xdr:to>
        <xdr:sp macro="" textlink="">
          <xdr:nvSpPr>
            <xdr:cNvPr id="31023" name="Drop Down 303" hidden="1">
              <a:extLst>
                <a:ext uri="{63B3BB69-23CF-44E3-9099-C40C66FF867C}">
                  <a14:compatExt spid="_x0000_s310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87</xdr:row>
          <xdr:rowOff>0</xdr:rowOff>
        </xdr:from>
        <xdr:to>
          <xdr:col>11</xdr:col>
          <xdr:colOff>19050</xdr:colOff>
          <xdr:row>88</xdr:row>
          <xdr:rowOff>0</xdr:rowOff>
        </xdr:to>
        <xdr:sp macro="" textlink="">
          <xdr:nvSpPr>
            <xdr:cNvPr id="31024" name="Drop Down 304" hidden="1">
              <a:extLst>
                <a:ext uri="{63B3BB69-23CF-44E3-9099-C40C66FF867C}">
                  <a14:compatExt spid="_x0000_s310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88</xdr:row>
          <xdr:rowOff>0</xdr:rowOff>
        </xdr:from>
        <xdr:to>
          <xdr:col>11</xdr:col>
          <xdr:colOff>19050</xdr:colOff>
          <xdr:row>89</xdr:row>
          <xdr:rowOff>0</xdr:rowOff>
        </xdr:to>
        <xdr:sp macro="" textlink="">
          <xdr:nvSpPr>
            <xdr:cNvPr id="31025" name="Drop Down 305" hidden="1">
              <a:extLst>
                <a:ext uri="{63B3BB69-23CF-44E3-9099-C40C66FF867C}">
                  <a14:compatExt spid="_x0000_s3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108</xdr:row>
          <xdr:rowOff>0</xdr:rowOff>
        </xdr:from>
        <xdr:to>
          <xdr:col>8</xdr:col>
          <xdr:colOff>1076325</xdr:colOff>
          <xdr:row>108</xdr:row>
          <xdr:rowOff>200025</xdr:rowOff>
        </xdr:to>
        <xdr:sp macro="" textlink="">
          <xdr:nvSpPr>
            <xdr:cNvPr id="31026" name="Drop Down 306" hidden="1">
              <a:extLst>
                <a:ext uri="{63B3BB69-23CF-44E3-9099-C40C66FF867C}">
                  <a14:compatExt spid="_x0000_s3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109</xdr:row>
          <xdr:rowOff>0</xdr:rowOff>
        </xdr:from>
        <xdr:to>
          <xdr:col>8</xdr:col>
          <xdr:colOff>0</xdr:colOff>
          <xdr:row>110</xdr:row>
          <xdr:rowOff>9525</xdr:rowOff>
        </xdr:to>
        <xdr:sp macro="" textlink="">
          <xdr:nvSpPr>
            <xdr:cNvPr id="31027" name="Drop Down 307" hidden="1">
              <a:extLst>
                <a:ext uri="{63B3BB69-23CF-44E3-9099-C40C66FF867C}">
                  <a14:compatExt spid="_x0000_s3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110</xdr:row>
          <xdr:rowOff>0</xdr:rowOff>
        </xdr:from>
        <xdr:to>
          <xdr:col>8</xdr:col>
          <xdr:colOff>0</xdr:colOff>
          <xdr:row>111</xdr:row>
          <xdr:rowOff>9525</xdr:rowOff>
        </xdr:to>
        <xdr:sp macro="" textlink="">
          <xdr:nvSpPr>
            <xdr:cNvPr id="31028" name="Drop Down 308" hidden="1">
              <a:extLst>
                <a:ext uri="{63B3BB69-23CF-44E3-9099-C40C66FF867C}">
                  <a14:compatExt spid="_x0000_s3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111</xdr:row>
          <xdr:rowOff>0</xdr:rowOff>
        </xdr:from>
        <xdr:to>
          <xdr:col>8</xdr:col>
          <xdr:colOff>0</xdr:colOff>
          <xdr:row>112</xdr:row>
          <xdr:rowOff>9525</xdr:rowOff>
        </xdr:to>
        <xdr:sp macro="" textlink="">
          <xdr:nvSpPr>
            <xdr:cNvPr id="31029" name="Drop Down 309" hidden="1">
              <a:extLst>
                <a:ext uri="{63B3BB69-23CF-44E3-9099-C40C66FF867C}">
                  <a14:compatExt spid="_x0000_s3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112</xdr:row>
          <xdr:rowOff>0</xdr:rowOff>
        </xdr:from>
        <xdr:to>
          <xdr:col>8</xdr:col>
          <xdr:colOff>0</xdr:colOff>
          <xdr:row>113</xdr:row>
          <xdr:rowOff>9525</xdr:rowOff>
        </xdr:to>
        <xdr:sp macro="" textlink="">
          <xdr:nvSpPr>
            <xdr:cNvPr id="31030" name="Drop Down 310" hidden="1">
              <a:extLst>
                <a:ext uri="{63B3BB69-23CF-44E3-9099-C40C66FF867C}">
                  <a14:compatExt spid="_x0000_s3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113</xdr:row>
          <xdr:rowOff>0</xdr:rowOff>
        </xdr:from>
        <xdr:to>
          <xdr:col>8</xdr:col>
          <xdr:colOff>0</xdr:colOff>
          <xdr:row>114</xdr:row>
          <xdr:rowOff>0</xdr:rowOff>
        </xdr:to>
        <xdr:sp macro="" textlink="">
          <xdr:nvSpPr>
            <xdr:cNvPr id="31031" name="Drop Down 311" hidden="1">
              <a:extLst>
                <a:ext uri="{63B3BB69-23CF-44E3-9099-C40C66FF867C}">
                  <a14:compatExt spid="_x0000_s3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114</xdr:row>
          <xdr:rowOff>0</xdr:rowOff>
        </xdr:from>
        <xdr:to>
          <xdr:col>8</xdr:col>
          <xdr:colOff>0</xdr:colOff>
          <xdr:row>115</xdr:row>
          <xdr:rowOff>0</xdr:rowOff>
        </xdr:to>
        <xdr:sp macro="" textlink="">
          <xdr:nvSpPr>
            <xdr:cNvPr id="31032" name="Drop Down 312" hidden="1">
              <a:extLst>
                <a:ext uri="{63B3BB69-23CF-44E3-9099-C40C66FF867C}">
                  <a14:compatExt spid="_x0000_s3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115</xdr:row>
          <xdr:rowOff>0</xdr:rowOff>
        </xdr:from>
        <xdr:to>
          <xdr:col>8</xdr:col>
          <xdr:colOff>0</xdr:colOff>
          <xdr:row>116</xdr:row>
          <xdr:rowOff>0</xdr:rowOff>
        </xdr:to>
        <xdr:sp macro="" textlink="">
          <xdr:nvSpPr>
            <xdr:cNvPr id="31033" name="Drop Down 313" hidden="1">
              <a:extLst>
                <a:ext uri="{63B3BB69-23CF-44E3-9099-C40C66FF867C}">
                  <a14:compatExt spid="_x0000_s31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116</xdr:row>
          <xdr:rowOff>0</xdr:rowOff>
        </xdr:from>
        <xdr:to>
          <xdr:col>8</xdr:col>
          <xdr:colOff>0</xdr:colOff>
          <xdr:row>116</xdr:row>
          <xdr:rowOff>200025</xdr:rowOff>
        </xdr:to>
        <xdr:sp macro="" textlink="">
          <xdr:nvSpPr>
            <xdr:cNvPr id="31034" name="Drop Down 314" hidden="1">
              <a:extLst>
                <a:ext uri="{63B3BB69-23CF-44E3-9099-C40C66FF867C}">
                  <a14:compatExt spid="_x0000_s31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109</xdr:row>
          <xdr:rowOff>0</xdr:rowOff>
        </xdr:from>
        <xdr:to>
          <xdr:col>8</xdr:col>
          <xdr:colOff>1076325</xdr:colOff>
          <xdr:row>110</xdr:row>
          <xdr:rowOff>9525</xdr:rowOff>
        </xdr:to>
        <xdr:sp macro="" textlink="">
          <xdr:nvSpPr>
            <xdr:cNvPr id="31035" name="Drop Down 315" hidden="1">
              <a:extLst>
                <a:ext uri="{63B3BB69-23CF-44E3-9099-C40C66FF867C}">
                  <a14:compatExt spid="_x0000_s31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110</xdr:row>
          <xdr:rowOff>0</xdr:rowOff>
        </xdr:from>
        <xdr:to>
          <xdr:col>8</xdr:col>
          <xdr:colOff>1076325</xdr:colOff>
          <xdr:row>111</xdr:row>
          <xdr:rowOff>9525</xdr:rowOff>
        </xdr:to>
        <xdr:sp macro="" textlink="">
          <xdr:nvSpPr>
            <xdr:cNvPr id="31036" name="Drop Down 316" hidden="1">
              <a:extLst>
                <a:ext uri="{63B3BB69-23CF-44E3-9099-C40C66FF867C}">
                  <a14:compatExt spid="_x0000_s31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111</xdr:row>
          <xdr:rowOff>0</xdr:rowOff>
        </xdr:from>
        <xdr:to>
          <xdr:col>8</xdr:col>
          <xdr:colOff>1076325</xdr:colOff>
          <xdr:row>112</xdr:row>
          <xdr:rowOff>9525</xdr:rowOff>
        </xdr:to>
        <xdr:sp macro="" textlink="">
          <xdr:nvSpPr>
            <xdr:cNvPr id="31037" name="Drop Down 317" hidden="1">
              <a:extLst>
                <a:ext uri="{63B3BB69-23CF-44E3-9099-C40C66FF867C}">
                  <a14:compatExt spid="_x0000_s31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112</xdr:row>
          <xdr:rowOff>0</xdr:rowOff>
        </xdr:from>
        <xdr:to>
          <xdr:col>8</xdr:col>
          <xdr:colOff>1076325</xdr:colOff>
          <xdr:row>113</xdr:row>
          <xdr:rowOff>9525</xdr:rowOff>
        </xdr:to>
        <xdr:sp macro="" textlink="">
          <xdr:nvSpPr>
            <xdr:cNvPr id="31038" name="Drop Down 318" hidden="1">
              <a:extLst>
                <a:ext uri="{63B3BB69-23CF-44E3-9099-C40C66FF867C}">
                  <a14:compatExt spid="_x0000_s31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113</xdr:row>
          <xdr:rowOff>0</xdr:rowOff>
        </xdr:from>
        <xdr:to>
          <xdr:col>8</xdr:col>
          <xdr:colOff>1076325</xdr:colOff>
          <xdr:row>114</xdr:row>
          <xdr:rowOff>0</xdr:rowOff>
        </xdr:to>
        <xdr:sp macro="" textlink="">
          <xdr:nvSpPr>
            <xdr:cNvPr id="31039" name="Drop Down 319" hidden="1">
              <a:extLst>
                <a:ext uri="{63B3BB69-23CF-44E3-9099-C40C66FF867C}">
                  <a14:compatExt spid="_x0000_s31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114</xdr:row>
          <xdr:rowOff>0</xdr:rowOff>
        </xdr:from>
        <xdr:to>
          <xdr:col>8</xdr:col>
          <xdr:colOff>1076325</xdr:colOff>
          <xdr:row>115</xdr:row>
          <xdr:rowOff>0</xdr:rowOff>
        </xdr:to>
        <xdr:sp macro="" textlink="">
          <xdr:nvSpPr>
            <xdr:cNvPr id="31040" name="Drop Down 320" hidden="1">
              <a:extLst>
                <a:ext uri="{63B3BB69-23CF-44E3-9099-C40C66FF867C}">
                  <a14:compatExt spid="_x0000_s31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115</xdr:row>
          <xdr:rowOff>0</xdr:rowOff>
        </xdr:from>
        <xdr:to>
          <xdr:col>8</xdr:col>
          <xdr:colOff>1076325</xdr:colOff>
          <xdr:row>116</xdr:row>
          <xdr:rowOff>0</xdr:rowOff>
        </xdr:to>
        <xdr:sp macro="" textlink="">
          <xdr:nvSpPr>
            <xdr:cNvPr id="31041" name="Drop Down 321" hidden="1">
              <a:extLst>
                <a:ext uri="{63B3BB69-23CF-44E3-9099-C40C66FF867C}">
                  <a14:compatExt spid="_x0000_s31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116</xdr:row>
          <xdr:rowOff>0</xdr:rowOff>
        </xdr:from>
        <xdr:to>
          <xdr:col>8</xdr:col>
          <xdr:colOff>1076325</xdr:colOff>
          <xdr:row>116</xdr:row>
          <xdr:rowOff>200025</xdr:rowOff>
        </xdr:to>
        <xdr:sp macro="" textlink="">
          <xdr:nvSpPr>
            <xdr:cNvPr id="31042" name="Drop Down 322" hidden="1">
              <a:extLst>
                <a:ext uri="{63B3BB69-23CF-44E3-9099-C40C66FF867C}">
                  <a14:compatExt spid="_x0000_s31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94</xdr:row>
          <xdr:rowOff>0</xdr:rowOff>
        </xdr:from>
        <xdr:to>
          <xdr:col>8</xdr:col>
          <xdr:colOff>0</xdr:colOff>
          <xdr:row>95</xdr:row>
          <xdr:rowOff>19050</xdr:rowOff>
        </xdr:to>
        <xdr:sp macro="" textlink="">
          <xdr:nvSpPr>
            <xdr:cNvPr id="31043" name="Drop Down 323" hidden="1">
              <a:extLst>
                <a:ext uri="{63B3BB69-23CF-44E3-9099-C40C66FF867C}">
                  <a14:compatExt spid="_x0000_s31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94</xdr:row>
          <xdr:rowOff>0</xdr:rowOff>
        </xdr:from>
        <xdr:to>
          <xdr:col>8</xdr:col>
          <xdr:colOff>1076325</xdr:colOff>
          <xdr:row>95</xdr:row>
          <xdr:rowOff>19050</xdr:rowOff>
        </xdr:to>
        <xdr:sp macro="" textlink="">
          <xdr:nvSpPr>
            <xdr:cNvPr id="31044" name="Drop Down 324" hidden="1">
              <a:extLst>
                <a:ext uri="{63B3BB69-23CF-44E3-9099-C40C66FF867C}">
                  <a14:compatExt spid="_x0000_s31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95</xdr:row>
          <xdr:rowOff>0</xdr:rowOff>
        </xdr:from>
        <xdr:to>
          <xdr:col>8</xdr:col>
          <xdr:colOff>0</xdr:colOff>
          <xdr:row>96</xdr:row>
          <xdr:rowOff>19050</xdr:rowOff>
        </xdr:to>
        <xdr:sp macro="" textlink="">
          <xdr:nvSpPr>
            <xdr:cNvPr id="31045" name="Drop Down 325" hidden="1">
              <a:extLst>
                <a:ext uri="{63B3BB69-23CF-44E3-9099-C40C66FF867C}">
                  <a14:compatExt spid="_x0000_s31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96</xdr:row>
          <xdr:rowOff>0</xdr:rowOff>
        </xdr:from>
        <xdr:to>
          <xdr:col>8</xdr:col>
          <xdr:colOff>0</xdr:colOff>
          <xdr:row>97</xdr:row>
          <xdr:rowOff>19050</xdr:rowOff>
        </xdr:to>
        <xdr:sp macro="" textlink="">
          <xdr:nvSpPr>
            <xdr:cNvPr id="31046" name="Drop Down 326" hidden="1">
              <a:extLst>
                <a:ext uri="{63B3BB69-23CF-44E3-9099-C40C66FF867C}">
                  <a14:compatExt spid="_x0000_s31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97</xdr:row>
          <xdr:rowOff>0</xdr:rowOff>
        </xdr:from>
        <xdr:to>
          <xdr:col>7</xdr:col>
          <xdr:colOff>1247775</xdr:colOff>
          <xdr:row>98</xdr:row>
          <xdr:rowOff>19050</xdr:rowOff>
        </xdr:to>
        <xdr:sp macro="" textlink="">
          <xdr:nvSpPr>
            <xdr:cNvPr id="31047" name="Drop Down 327" hidden="1">
              <a:extLst>
                <a:ext uri="{63B3BB69-23CF-44E3-9099-C40C66FF867C}">
                  <a14:compatExt spid="_x0000_s31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98</xdr:row>
          <xdr:rowOff>0</xdr:rowOff>
        </xdr:from>
        <xdr:to>
          <xdr:col>7</xdr:col>
          <xdr:colOff>1247775</xdr:colOff>
          <xdr:row>99</xdr:row>
          <xdr:rowOff>19050</xdr:rowOff>
        </xdr:to>
        <xdr:sp macro="" textlink="">
          <xdr:nvSpPr>
            <xdr:cNvPr id="31048" name="Drop Down 328" hidden="1">
              <a:extLst>
                <a:ext uri="{63B3BB69-23CF-44E3-9099-C40C66FF867C}">
                  <a14:compatExt spid="_x0000_s31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99</xdr:row>
          <xdr:rowOff>0</xdr:rowOff>
        </xdr:from>
        <xdr:to>
          <xdr:col>7</xdr:col>
          <xdr:colOff>1247775</xdr:colOff>
          <xdr:row>100</xdr:row>
          <xdr:rowOff>9525</xdr:rowOff>
        </xdr:to>
        <xdr:sp macro="" textlink="">
          <xdr:nvSpPr>
            <xdr:cNvPr id="31049" name="Drop Down 329" hidden="1">
              <a:extLst>
                <a:ext uri="{63B3BB69-23CF-44E3-9099-C40C66FF867C}">
                  <a14:compatExt spid="_x0000_s31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100</xdr:row>
          <xdr:rowOff>0</xdr:rowOff>
        </xdr:from>
        <xdr:to>
          <xdr:col>8</xdr:col>
          <xdr:colOff>0</xdr:colOff>
          <xdr:row>101</xdr:row>
          <xdr:rowOff>0</xdr:rowOff>
        </xdr:to>
        <xdr:sp macro="" textlink="">
          <xdr:nvSpPr>
            <xdr:cNvPr id="31050" name="Drop Down 330" hidden="1">
              <a:extLst>
                <a:ext uri="{63B3BB69-23CF-44E3-9099-C40C66FF867C}">
                  <a14:compatExt spid="_x0000_s31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101</xdr:row>
          <xdr:rowOff>0</xdr:rowOff>
        </xdr:from>
        <xdr:to>
          <xdr:col>7</xdr:col>
          <xdr:colOff>1247775</xdr:colOff>
          <xdr:row>102</xdr:row>
          <xdr:rowOff>0</xdr:rowOff>
        </xdr:to>
        <xdr:sp macro="" textlink="">
          <xdr:nvSpPr>
            <xdr:cNvPr id="31051" name="Drop Down 331" hidden="1">
              <a:extLst>
                <a:ext uri="{63B3BB69-23CF-44E3-9099-C40C66FF867C}">
                  <a14:compatExt spid="_x0000_s31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102</xdr:row>
          <xdr:rowOff>0</xdr:rowOff>
        </xdr:from>
        <xdr:to>
          <xdr:col>7</xdr:col>
          <xdr:colOff>1247775</xdr:colOff>
          <xdr:row>103</xdr:row>
          <xdr:rowOff>9525</xdr:rowOff>
        </xdr:to>
        <xdr:sp macro="" textlink="">
          <xdr:nvSpPr>
            <xdr:cNvPr id="31052" name="Drop Down 332" hidden="1">
              <a:extLst>
                <a:ext uri="{63B3BB69-23CF-44E3-9099-C40C66FF867C}">
                  <a14:compatExt spid="_x0000_s31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95</xdr:row>
          <xdr:rowOff>0</xdr:rowOff>
        </xdr:from>
        <xdr:to>
          <xdr:col>8</xdr:col>
          <xdr:colOff>1076325</xdr:colOff>
          <xdr:row>96</xdr:row>
          <xdr:rowOff>19050</xdr:rowOff>
        </xdr:to>
        <xdr:sp macro="" textlink="">
          <xdr:nvSpPr>
            <xdr:cNvPr id="31053" name="Drop Down 333" hidden="1">
              <a:extLst>
                <a:ext uri="{63B3BB69-23CF-44E3-9099-C40C66FF867C}">
                  <a14:compatExt spid="_x0000_s31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96</xdr:row>
          <xdr:rowOff>0</xdr:rowOff>
        </xdr:from>
        <xdr:to>
          <xdr:col>8</xdr:col>
          <xdr:colOff>1076325</xdr:colOff>
          <xdr:row>97</xdr:row>
          <xdr:rowOff>19050</xdr:rowOff>
        </xdr:to>
        <xdr:sp macro="" textlink="">
          <xdr:nvSpPr>
            <xdr:cNvPr id="31054" name="Drop Down 334" hidden="1">
              <a:extLst>
                <a:ext uri="{63B3BB69-23CF-44E3-9099-C40C66FF867C}">
                  <a14:compatExt spid="_x0000_s31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97</xdr:row>
          <xdr:rowOff>0</xdr:rowOff>
        </xdr:from>
        <xdr:to>
          <xdr:col>8</xdr:col>
          <xdr:colOff>1076325</xdr:colOff>
          <xdr:row>98</xdr:row>
          <xdr:rowOff>19050</xdr:rowOff>
        </xdr:to>
        <xdr:sp macro="" textlink="">
          <xdr:nvSpPr>
            <xdr:cNvPr id="31055" name="Drop Down 335" hidden="1">
              <a:extLst>
                <a:ext uri="{63B3BB69-23CF-44E3-9099-C40C66FF867C}">
                  <a14:compatExt spid="_x0000_s31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98</xdr:row>
          <xdr:rowOff>0</xdr:rowOff>
        </xdr:from>
        <xdr:to>
          <xdr:col>8</xdr:col>
          <xdr:colOff>1076325</xdr:colOff>
          <xdr:row>99</xdr:row>
          <xdr:rowOff>19050</xdr:rowOff>
        </xdr:to>
        <xdr:sp macro="" textlink="">
          <xdr:nvSpPr>
            <xdr:cNvPr id="31056" name="Drop Down 336" hidden="1">
              <a:extLst>
                <a:ext uri="{63B3BB69-23CF-44E3-9099-C40C66FF867C}">
                  <a14:compatExt spid="_x0000_s31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99</xdr:row>
          <xdr:rowOff>0</xdr:rowOff>
        </xdr:from>
        <xdr:to>
          <xdr:col>8</xdr:col>
          <xdr:colOff>1076325</xdr:colOff>
          <xdr:row>100</xdr:row>
          <xdr:rowOff>9525</xdr:rowOff>
        </xdr:to>
        <xdr:sp macro="" textlink="">
          <xdr:nvSpPr>
            <xdr:cNvPr id="31057" name="Drop Down 337" hidden="1">
              <a:extLst>
                <a:ext uri="{63B3BB69-23CF-44E3-9099-C40C66FF867C}">
                  <a14:compatExt spid="_x0000_s31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100</xdr:row>
          <xdr:rowOff>0</xdr:rowOff>
        </xdr:from>
        <xdr:to>
          <xdr:col>8</xdr:col>
          <xdr:colOff>1076325</xdr:colOff>
          <xdr:row>101</xdr:row>
          <xdr:rowOff>0</xdr:rowOff>
        </xdr:to>
        <xdr:sp macro="" textlink="">
          <xdr:nvSpPr>
            <xdr:cNvPr id="31058" name="Drop Down 338" hidden="1">
              <a:extLst>
                <a:ext uri="{63B3BB69-23CF-44E3-9099-C40C66FF867C}">
                  <a14:compatExt spid="_x0000_s31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101</xdr:row>
          <xdr:rowOff>0</xdr:rowOff>
        </xdr:from>
        <xdr:to>
          <xdr:col>8</xdr:col>
          <xdr:colOff>1076325</xdr:colOff>
          <xdr:row>102</xdr:row>
          <xdr:rowOff>0</xdr:rowOff>
        </xdr:to>
        <xdr:sp macro="" textlink="">
          <xdr:nvSpPr>
            <xdr:cNvPr id="31059" name="Drop Down 339" hidden="1">
              <a:extLst>
                <a:ext uri="{63B3BB69-23CF-44E3-9099-C40C66FF867C}">
                  <a14:compatExt spid="_x0000_s31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102</xdr:row>
          <xdr:rowOff>0</xdr:rowOff>
        </xdr:from>
        <xdr:to>
          <xdr:col>8</xdr:col>
          <xdr:colOff>1076325</xdr:colOff>
          <xdr:row>103</xdr:row>
          <xdr:rowOff>9525</xdr:rowOff>
        </xdr:to>
        <xdr:sp macro="" textlink="">
          <xdr:nvSpPr>
            <xdr:cNvPr id="31060" name="Drop Down 340" hidden="1">
              <a:extLst>
                <a:ext uri="{63B3BB69-23CF-44E3-9099-C40C66FF867C}">
                  <a14:compatExt spid="_x0000_s31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122</xdr:row>
          <xdr:rowOff>0</xdr:rowOff>
        </xdr:from>
        <xdr:to>
          <xdr:col>3</xdr:col>
          <xdr:colOff>9525</xdr:colOff>
          <xdr:row>123</xdr:row>
          <xdr:rowOff>19050</xdr:rowOff>
        </xdr:to>
        <xdr:sp macro="" textlink="">
          <xdr:nvSpPr>
            <xdr:cNvPr id="31156" name="Drop Down 436" hidden="1">
              <a:extLst>
                <a:ext uri="{63B3BB69-23CF-44E3-9099-C40C66FF867C}">
                  <a14:compatExt spid="_x0000_s31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123</xdr:row>
          <xdr:rowOff>0</xdr:rowOff>
        </xdr:from>
        <xdr:to>
          <xdr:col>3</xdr:col>
          <xdr:colOff>9525</xdr:colOff>
          <xdr:row>124</xdr:row>
          <xdr:rowOff>19050</xdr:rowOff>
        </xdr:to>
        <xdr:sp macro="" textlink="">
          <xdr:nvSpPr>
            <xdr:cNvPr id="31160" name="Drop Down 440" hidden="1">
              <a:extLst>
                <a:ext uri="{63B3BB69-23CF-44E3-9099-C40C66FF867C}">
                  <a14:compatExt spid="_x0000_s31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124</xdr:row>
          <xdr:rowOff>0</xdr:rowOff>
        </xdr:from>
        <xdr:to>
          <xdr:col>3</xdr:col>
          <xdr:colOff>9525</xdr:colOff>
          <xdr:row>125</xdr:row>
          <xdr:rowOff>28575</xdr:rowOff>
        </xdr:to>
        <xdr:sp macro="" textlink="">
          <xdr:nvSpPr>
            <xdr:cNvPr id="31161" name="Drop Down 441" hidden="1">
              <a:extLst>
                <a:ext uri="{63B3BB69-23CF-44E3-9099-C40C66FF867C}">
                  <a14:compatExt spid="_x0000_s31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125</xdr:row>
          <xdr:rowOff>0</xdr:rowOff>
        </xdr:from>
        <xdr:to>
          <xdr:col>3</xdr:col>
          <xdr:colOff>9525</xdr:colOff>
          <xdr:row>126</xdr:row>
          <xdr:rowOff>38100</xdr:rowOff>
        </xdr:to>
        <xdr:sp macro="" textlink="">
          <xdr:nvSpPr>
            <xdr:cNvPr id="31162" name="Drop Down 442" hidden="1">
              <a:extLst>
                <a:ext uri="{63B3BB69-23CF-44E3-9099-C40C66FF867C}">
                  <a14:compatExt spid="_x0000_s31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78</xdr:row>
          <xdr:rowOff>0</xdr:rowOff>
        </xdr:from>
        <xdr:to>
          <xdr:col>3</xdr:col>
          <xdr:colOff>19050</xdr:colOff>
          <xdr:row>79</xdr:row>
          <xdr:rowOff>9525</xdr:rowOff>
        </xdr:to>
        <xdr:sp macro="" textlink="">
          <xdr:nvSpPr>
            <xdr:cNvPr id="41202" name="Drop Down 1266" hidden="1">
              <a:extLst>
                <a:ext uri="{63B3BB69-23CF-44E3-9099-C40C66FF867C}">
                  <a14:compatExt spid="_x0000_s41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</xdr:row>
          <xdr:rowOff>0</xdr:rowOff>
        </xdr:from>
        <xdr:to>
          <xdr:col>7</xdr:col>
          <xdr:colOff>0</xdr:colOff>
          <xdr:row>2</xdr:row>
          <xdr:rowOff>0</xdr:rowOff>
        </xdr:to>
        <xdr:sp macro="" textlink="">
          <xdr:nvSpPr>
            <xdr:cNvPr id="41609" name="Drop Down 1673" hidden="1">
              <a:extLst>
                <a:ext uri="{63B3BB69-23CF-44E3-9099-C40C66FF867C}">
                  <a14:compatExt spid="_x0000_s41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</xdr:row>
          <xdr:rowOff>0</xdr:rowOff>
        </xdr:from>
        <xdr:to>
          <xdr:col>8</xdr:col>
          <xdr:colOff>85725</xdr:colOff>
          <xdr:row>2</xdr:row>
          <xdr:rowOff>0</xdr:rowOff>
        </xdr:to>
        <xdr:sp macro="" textlink="">
          <xdr:nvSpPr>
            <xdr:cNvPr id="41610" name="Drop Down 1674" hidden="1">
              <a:extLst>
                <a:ext uri="{63B3BB69-23CF-44E3-9099-C40C66FF867C}">
                  <a14:compatExt spid="_x0000_s41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33</xdr:row>
          <xdr:rowOff>9525</xdr:rowOff>
        </xdr:from>
        <xdr:to>
          <xdr:col>11</xdr:col>
          <xdr:colOff>19050</xdr:colOff>
          <xdr:row>34</xdr:row>
          <xdr:rowOff>19050</xdr:rowOff>
        </xdr:to>
        <xdr:sp macro="" textlink="">
          <xdr:nvSpPr>
            <xdr:cNvPr id="41646" name="Drop Down 1710" hidden="1">
              <a:extLst>
                <a:ext uri="{63B3BB69-23CF-44E3-9099-C40C66FF867C}">
                  <a14:compatExt spid="_x0000_s41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32</xdr:row>
          <xdr:rowOff>0</xdr:rowOff>
        </xdr:from>
        <xdr:to>
          <xdr:col>11</xdr:col>
          <xdr:colOff>19050</xdr:colOff>
          <xdr:row>33</xdr:row>
          <xdr:rowOff>9525</xdr:rowOff>
        </xdr:to>
        <xdr:sp macro="" textlink="">
          <xdr:nvSpPr>
            <xdr:cNvPr id="41783" name="Drop Down 1847" hidden="1">
              <a:extLst>
                <a:ext uri="{63B3BB69-23CF-44E3-9099-C40C66FF867C}">
                  <a14:compatExt spid="_x0000_s41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36</xdr:row>
          <xdr:rowOff>180975</xdr:rowOff>
        </xdr:from>
        <xdr:to>
          <xdr:col>11</xdr:col>
          <xdr:colOff>19050</xdr:colOff>
          <xdr:row>38</xdr:row>
          <xdr:rowOff>0</xdr:rowOff>
        </xdr:to>
        <xdr:sp macro="" textlink="">
          <xdr:nvSpPr>
            <xdr:cNvPr id="41784" name="Drop Down 1848" hidden="1">
              <a:extLst>
                <a:ext uri="{63B3BB69-23CF-44E3-9099-C40C66FF867C}">
                  <a14:compatExt spid="_x0000_s41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122</xdr:row>
          <xdr:rowOff>0</xdr:rowOff>
        </xdr:from>
        <xdr:to>
          <xdr:col>3</xdr:col>
          <xdr:colOff>9525</xdr:colOff>
          <xdr:row>123</xdr:row>
          <xdr:rowOff>19050</xdr:rowOff>
        </xdr:to>
        <xdr:sp macro="" textlink="">
          <xdr:nvSpPr>
            <xdr:cNvPr id="2502002" name="Drop Down 2418" hidden="1">
              <a:extLst>
                <a:ext uri="{63B3BB69-23CF-44E3-9099-C40C66FF867C}">
                  <a14:compatExt spid="_x0000_s2502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123</xdr:row>
          <xdr:rowOff>0</xdr:rowOff>
        </xdr:from>
        <xdr:to>
          <xdr:col>3</xdr:col>
          <xdr:colOff>9525</xdr:colOff>
          <xdr:row>124</xdr:row>
          <xdr:rowOff>47625</xdr:rowOff>
        </xdr:to>
        <xdr:sp macro="" textlink="">
          <xdr:nvSpPr>
            <xdr:cNvPr id="2502003" name="Drop Down 2419" hidden="1">
              <a:extLst>
                <a:ext uri="{63B3BB69-23CF-44E3-9099-C40C66FF867C}">
                  <a14:compatExt spid="_x0000_s2502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123</xdr:row>
          <xdr:rowOff>0</xdr:rowOff>
        </xdr:from>
        <xdr:to>
          <xdr:col>3</xdr:col>
          <xdr:colOff>9525</xdr:colOff>
          <xdr:row>124</xdr:row>
          <xdr:rowOff>28575</xdr:rowOff>
        </xdr:to>
        <xdr:sp macro="" textlink="">
          <xdr:nvSpPr>
            <xdr:cNvPr id="2502004" name="Drop Down 2420" hidden="1">
              <a:extLst>
                <a:ext uri="{63B3BB69-23CF-44E3-9099-C40C66FF867C}">
                  <a14:compatExt spid="_x0000_s2502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124</xdr:row>
          <xdr:rowOff>0</xdr:rowOff>
        </xdr:from>
        <xdr:to>
          <xdr:col>3</xdr:col>
          <xdr:colOff>9525</xdr:colOff>
          <xdr:row>125</xdr:row>
          <xdr:rowOff>28575</xdr:rowOff>
        </xdr:to>
        <xdr:sp macro="" textlink="">
          <xdr:nvSpPr>
            <xdr:cNvPr id="2502005" name="Drop Down 2421" hidden="1">
              <a:extLst>
                <a:ext uri="{63B3BB69-23CF-44E3-9099-C40C66FF867C}">
                  <a14:compatExt spid="_x0000_s2502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123</xdr:row>
          <xdr:rowOff>0</xdr:rowOff>
        </xdr:from>
        <xdr:to>
          <xdr:col>3</xdr:col>
          <xdr:colOff>9525</xdr:colOff>
          <xdr:row>124</xdr:row>
          <xdr:rowOff>19050</xdr:rowOff>
        </xdr:to>
        <xdr:sp macro="" textlink="">
          <xdr:nvSpPr>
            <xdr:cNvPr id="2502006" name="Drop Down 2422" hidden="1">
              <a:extLst>
                <a:ext uri="{63B3BB69-23CF-44E3-9099-C40C66FF867C}">
                  <a14:compatExt spid="_x0000_s2502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124</xdr:row>
          <xdr:rowOff>0</xdr:rowOff>
        </xdr:from>
        <xdr:to>
          <xdr:col>3</xdr:col>
          <xdr:colOff>9525</xdr:colOff>
          <xdr:row>125</xdr:row>
          <xdr:rowOff>47625</xdr:rowOff>
        </xdr:to>
        <xdr:sp macro="" textlink="">
          <xdr:nvSpPr>
            <xdr:cNvPr id="2502007" name="Drop Down 2423" hidden="1">
              <a:extLst>
                <a:ext uri="{63B3BB69-23CF-44E3-9099-C40C66FF867C}">
                  <a14:compatExt spid="_x0000_s25020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124</xdr:row>
          <xdr:rowOff>0</xdr:rowOff>
        </xdr:from>
        <xdr:to>
          <xdr:col>3</xdr:col>
          <xdr:colOff>9525</xdr:colOff>
          <xdr:row>125</xdr:row>
          <xdr:rowOff>28575</xdr:rowOff>
        </xdr:to>
        <xdr:sp macro="" textlink="">
          <xdr:nvSpPr>
            <xdr:cNvPr id="2502008" name="Drop Down 2424" hidden="1">
              <a:extLst>
                <a:ext uri="{63B3BB69-23CF-44E3-9099-C40C66FF867C}">
                  <a14:compatExt spid="_x0000_s25020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125</xdr:row>
          <xdr:rowOff>0</xdr:rowOff>
        </xdr:from>
        <xdr:to>
          <xdr:col>3</xdr:col>
          <xdr:colOff>9525</xdr:colOff>
          <xdr:row>126</xdr:row>
          <xdr:rowOff>28575</xdr:rowOff>
        </xdr:to>
        <xdr:sp macro="" textlink="">
          <xdr:nvSpPr>
            <xdr:cNvPr id="2502009" name="Drop Down 2425" hidden="1">
              <a:extLst>
                <a:ext uri="{63B3BB69-23CF-44E3-9099-C40C66FF867C}">
                  <a14:compatExt spid="_x0000_s2502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124</xdr:row>
          <xdr:rowOff>0</xdr:rowOff>
        </xdr:from>
        <xdr:to>
          <xdr:col>3</xdr:col>
          <xdr:colOff>9525</xdr:colOff>
          <xdr:row>125</xdr:row>
          <xdr:rowOff>19050</xdr:rowOff>
        </xdr:to>
        <xdr:sp macro="" textlink="">
          <xdr:nvSpPr>
            <xdr:cNvPr id="2502010" name="Drop Down 2426" hidden="1">
              <a:extLst>
                <a:ext uri="{63B3BB69-23CF-44E3-9099-C40C66FF867C}">
                  <a14:compatExt spid="_x0000_s2502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125</xdr:row>
          <xdr:rowOff>0</xdr:rowOff>
        </xdr:from>
        <xdr:to>
          <xdr:col>3</xdr:col>
          <xdr:colOff>9525</xdr:colOff>
          <xdr:row>126</xdr:row>
          <xdr:rowOff>19050</xdr:rowOff>
        </xdr:to>
        <xdr:sp macro="" textlink="">
          <xdr:nvSpPr>
            <xdr:cNvPr id="2502011" name="Drop Down 2427" hidden="1">
              <a:extLst>
                <a:ext uri="{63B3BB69-23CF-44E3-9099-C40C66FF867C}">
                  <a14:compatExt spid="_x0000_s25020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122</xdr:row>
          <xdr:rowOff>0</xdr:rowOff>
        </xdr:from>
        <xdr:to>
          <xdr:col>6</xdr:col>
          <xdr:colOff>0</xdr:colOff>
          <xdr:row>123</xdr:row>
          <xdr:rowOff>19050</xdr:rowOff>
        </xdr:to>
        <xdr:sp macro="" textlink="">
          <xdr:nvSpPr>
            <xdr:cNvPr id="2502018" name="Drop Down 2434" hidden="1">
              <a:extLst>
                <a:ext uri="{63B3BB69-23CF-44E3-9099-C40C66FF867C}">
                  <a14:compatExt spid="_x0000_s25020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123</xdr:row>
          <xdr:rowOff>0</xdr:rowOff>
        </xdr:from>
        <xdr:to>
          <xdr:col>6</xdr:col>
          <xdr:colOff>0</xdr:colOff>
          <xdr:row>124</xdr:row>
          <xdr:rowOff>19050</xdr:rowOff>
        </xdr:to>
        <xdr:sp macro="" textlink="">
          <xdr:nvSpPr>
            <xdr:cNvPr id="2502019" name="Drop Down 2435" hidden="1">
              <a:extLst>
                <a:ext uri="{63B3BB69-23CF-44E3-9099-C40C66FF867C}">
                  <a14:compatExt spid="_x0000_s2502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124</xdr:row>
          <xdr:rowOff>0</xdr:rowOff>
        </xdr:from>
        <xdr:to>
          <xdr:col>6</xdr:col>
          <xdr:colOff>0</xdr:colOff>
          <xdr:row>125</xdr:row>
          <xdr:rowOff>19050</xdr:rowOff>
        </xdr:to>
        <xdr:sp macro="" textlink="">
          <xdr:nvSpPr>
            <xdr:cNvPr id="2502020" name="Drop Down 2436" hidden="1">
              <a:extLst>
                <a:ext uri="{63B3BB69-23CF-44E3-9099-C40C66FF867C}">
                  <a14:compatExt spid="_x0000_s2502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125</xdr:row>
          <xdr:rowOff>0</xdr:rowOff>
        </xdr:from>
        <xdr:to>
          <xdr:col>6</xdr:col>
          <xdr:colOff>0</xdr:colOff>
          <xdr:row>126</xdr:row>
          <xdr:rowOff>19050</xdr:rowOff>
        </xdr:to>
        <xdr:sp macro="" textlink="">
          <xdr:nvSpPr>
            <xdr:cNvPr id="2502021" name="Drop Down 2437" hidden="1">
              <a:extLst>
                <a:ext uri="{63B3BB69-23CF-44E3-9099-C40C66FF867C}">
                  <a14:compatExt spid="_x0000_s25020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109</xdr:row>
          <xdr:rowOff>0</xdr:rowOff>
        </xdr:from>
        <xdr:to>
          <xdr:col>8</xdr:col>
          <xdr:colOff>1076325</xdr:colOff>
          <xdr:row>110</xdr:row>
          <xdr:rowOff>0</xdr:rowOff>
        </xdr:to>
        <xdr:sp macro="" textlink="">
          <xdr:nvSpPr>
            <xdr:cNvPr id="2502037" name="Drop Down 2453" hidden="1">
              <a:extLst>
                <a:ext uri="{63B3BB69-23CF-44E3-9099-C40C66FF867C}">
                  <a14:compatExt spid="_x0000_s2502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110</xdr:row>
          <xdr:rowOff>0</xdr:rowOff>
        </xdr:from>
        <xdr:to>
          <xdr:col>8</xdr:col>
          <xdr:colOff>1076325</xdr:colOff>
          <xdr:row>111</xdr:row>
          <xdr:rowOff>0</xdr:rowOff>
        </xdr:to>
        <xdr:sp macro="" textlink="">
          <xdr:nvSpPr>
            <xdr:cNvPr id="2502038" name="Drop Down 2454" hidden="1">
              <a:extLst>
                <a:ext uri="{63B3BB69-23CF-44E3-9099-C40C66FF867C}">
                  <a14:compatExt spid="_x0000_s2502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111</xdr:row>
          <xdr:rowOff>0</xdr:rowOff>
        </xdr:from>
        <xdr:to>
          <xdr:col>8</xdr:col>
          <xdr:colOff>1076325</xdr:colOff>
          <xdr:row>112</xdr:row>
          <xdr:rowOff>0</xdr:rowOff>
        </xdr:to>
        <xdr:sp macro="" textlink="">
          <xdr:nvSpPr>
            <xdr:cNvPr id="2502039" name="Drop Down 2455" hidden="1">
              <a:extLst>
                <a:ext uri="{63B3BB69-23CF-44E3-9099-C40C66FF867C}">
                  <a14:compatExt spid="_x0000_s2502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112</xdr:row>
          <xdr:rowOff>0</xdr:rowOff>
        </xdr:from>
        <xdr:to>
          <xdr:col>8</xdr:col>
          <xdr:colOff>1076325</xdr:colOff>
          <xdr:row>113</xdr:row>
          <xdr:rowOff>0</xdr:rowOff>
        </xdr:to>
        <xdr:sp macro="" textlink="">
          <xdr:nvSpPr>
            <xdr:cNvPr id="2502040" name="Drop Down 2456" hidden="1">
              <a:extLst>
                <a:ext uri="{63B3BB69-23CF-44E3-9099-C40C66FF867C}">
                  <a14:compatExt spid="_x0000_s2502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113</xdr:row>
          <xdr:rowOff>0</xdr:rowOff>
        </xdr:from>
        <xdr:to>
          <xdr:col>8</xdr:col>
          <xdr:colOff>1076325</xdr:colOff>
          <xdr:row>114</xdr:row>
          <xdr:rowOff>0</xdr:rowOff>
        </xdr:to>
        <xdr:sp macro="" textlink="">
          <xdr:nvSpPr>
            <xdr:cNvPr id="2502041" name="Drop Down 2457" hidden="1">
              <a:extLst>
                <a:ext uri="{63B3BB69-23CF-44E3-9099-C40C66FF867C}">
                  <a14:compatExt spid="_x0000_s2502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114</xdr:row>
          <xdr:rowOff>0</xdr:rowOff>
        </xdr:from>
        <xdr:to>
          <xdr:col>8</xdr:col>
          <xdr:colOff>1076325</xdr:colOff>
          <xdr:row>115</xdr:row>
          <xdr:rowOff>0</xdr:rowOff>
        </xdr:to>
        <xdr:sp macro="" textlink="">
          <xdr:nvSpPr>
            <xdr:cNvPr id="2502042" name="Drop Down 2458" hidden="1">
              <a:extLst>
                <a:ext uri="{63B3BB69-23CF-44E3-9099-C40C66FF867C}">
                  <a14:compatExt spid="_x0000_s2502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</xdr:row>
          <xdr:rowOff>0</xdr:rowOff>
        </xdr:from>
        <xdr:to>
          <xdr:col>4</xdr:col>
          <xdr:colOff>0</xdr:colOff>
          <xdr:row>12</xdr:row>
          <xdr:rowOff>0</xdr:rowOff>
        </xdr:to>
        <xdr:sp macro="" textlink="">
          <xdr:nvSpPr>
            <xdr:cNvPr id="1353729" name="Drop Down 1" hidden="1">
              <a:extLst>
                <a:ext uri="{63B3BB69-23CF-44E3-9099-C40C66FF867C}">
                  <a14:compatExt spid="_x0000_s1353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</xdr:row>
          <xdr:rowOff>0</xdr:rowOff>
        </xdr:from>
        <xdr:to>
          <xdr:col>5</xdr:col>
          <xdr:colOff>9525</xdr:colOff>
          <xdr:row>12</xdr:row>
          <xdr:rowOff>0</xdr:rowOff>
        </xdr:to>
        <xdr:sp macro="" textlink="">
          <xdr:nvSpPr>
            <xdr:cNvPr id="1353730" name="Drop Down 2" hidden="1">
              <a:extLst>
                <a:ext uri="{63B3BB69-23CF-44E3-9099-C40C66FF867C}">
                  <a14:compatExt spid="_x0000_s1353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12</xdr:row>
          <xdr:rowOff>0</xdr:rowOff>
        </xdr:from>
        <xdr:to>
          <xdr:col>4</xdr:col>
          <xdr:colOff>0</xdr:colOff>
          <xdr:row>13</xdr:row>
          <xdr:rowOff>0</xdr:rowOff>
        </xdr:to>
        <xdr:sp macro="" textlink="">
          <xdr:nvSpPr>
            <xdr:cNvPr id="1353731" name="Drop Down 3" hidden="1">
              <a:extLst>
                <a:ext uri="{63B3BB69-23CF-44E3-9099-C40C66FF867C}">
                  <a14:compatExt spid="_x0000_s1353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13</xdr:row>
          <xdr:rowOff>0</xdr:rowOff>
        </xdr:from>
        <xdr:to>
          <xdr:col>4</xdr:col>
          <xdr:colOff>0</xdr:colOff>
          <xdr:row>14</xdr:row>
          <xdr:rowOff>0</xdr:rowOff>
        </xdr:to>
        <xdr:sp macro="" textlink="">
          <xdr:nvSpPr>
            <xdr:cNvPr id="1353732" name="Drop Down 4" hidden="1">
              <a:extLst>
                <a:ext uri="{63B3BB69-23CF-44E3-9099-C40C66FF867C}">
                  <a14:compatExt spid="_x0000_s1353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14</xdr:row>
          <xdr:rowOff>0</xdr:rowOff>
        </xdr:from>
        <xdr:to>
          <xdr:col>4</xdr:col>
          <xdr:colOff>0</xdr:colOff>
          <xdr:row>15</xdr:row>
          <xdr:rowOff>0</xdr:rowOff>
        </xdr:to>
        <xdr:sp macro="" textlink="">
          <xdr:nvSpPr>
            <xdr:cNvPr id="1353733" name="Drop Down 5" hidden="1">
              <a:extLst>
                <a:ext uri="{63B3BB69-23CF-44E3-9099-C40C66FF867C}">
                  <a14:compatExt spid="_x0000_s1353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25</xdr:row>
          <xdr:rowOff>0</xdr:rowOff>
        </xdr:from>
        <xdr:to>
          <xdr:col>4</xdr:col>
          <xdr:colOff>0</xdr:colOff>
          <xdr:row>26</xdr:row>
          <xdr:rowOff>0</xdr:rowOff>
        </xdr:to>
        <xdr:sp macro="" textlink="">
          <xdr:nvSpPr>
            <xdr:cNvPr id="1353734" name="Drop Down 6" hidden="1">
              <a:extLst>
                <a:ext uri="{63B3BB69-23CF-44E3-9099-C40C66FF867C}">
                  <a14:compatExt spid="_x0000_s1353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5</xdr:col>
          <xdr:colOff>9525</xdr:colOff>
          <xdr:row>13</xdr:row>
          <xdr:rowOff>0</xdr:rowOff>
        </xdr:to>
        <xdr:sp macro="" textlink="">
          <xdr:nvSpPr>
            <xdr:cNvPr id="1353735" name="Drop Down 7" hidden="1">
              <a:extLst>
                <a:ext uri="{63B3BB69-23CF-44E3-9099-C40C66FF867C}">
                  <a14:compatExt spid="_x0000_s1353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</xdr:row>
          <xdr:rowOff>0</xdr:rowOff>
        </xdr:from>
        <xdr:to>
          <xdr:col>5</xdr:col>
          <xdr:colOff>9525</xdr:colOff>
          <xdr:row>14</xdr:row>
          <xdr:rowOff>0</xdr:rowOff>
        </xdr:to>
        <xdr:sp macro="" textlink="">
          <xdr:nvSpPr>
            <xdr:cNvPr id="1353736" name="Drop Down 8" hidden="1">
              <a:extLst>
                <a:ext uri="{63B3BB69-23CF-44E3-9099-C40C66FF867C}">
                  <a14:compatExt spid="_x0000_s1353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5</xdr:col>
          <xdr:colOff>9525</xdr:colOff>
          <xdr:row>15</xdr:row>
          <xdr:rowOff>0</xdr:rowOff>
        </xdr:to>
        <xdr:sp macro="" textlink="">
          <xdr:nvSpPr>
            <xdr:cNvPr id="1353737" name="Drop Down 9" hidden="1">
              <a:extLst>
                <a:ext uri="{63B3BB69-23CF-44E3-9099-C40C66FF867C}">
                  <a14:compatExt spid="_x0000_s1353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5</xdr:col>
          <xdr:colOff>9525</xdr:colOff>
          <xdr:row>26</xdr:row>
          <xdr:rowOff>0</xdr:rowOff>
        </xdr:to>
        <xdr:sp macro="" textlink="">
          <xdr:nvSpPr>
            <xdr:cNvPr id="1353738" name="Drop Down 10" hidden="1">
              <a:extLst>
                <a:ext uri="{63B3BB69-23CF-44E3-9099-C40C66FF867C}">
                  <a14:compatExt spid="_x0000_s1353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62</xdr:row>
          <xdr:rowOff>0</xdr:rowOff>
        </xdr:from>
        <xdr:to>
          <xdr:col>4</xdr:col>
          <xdr:colOff>0</xdr:colOff>
          <xdr:row>63</xdr:row>
          <xdr:rowOff>0</xdr:rowOff>
        </xdr:to>
        <xdr:sp macro="" textlink="">
          <xdr:nvSpPr>
            <xdr:cNvPr id="1353747" name="Drop Down 19" hidden="1">
              <a:extLst>
                <a:ext uri="{63B3BB69-23CF-44E3-9099-C40C66FF867C}">
                  <a14:compatExt spid="_x0000_s1353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62</xdr:row>
          <xdr:rowOff>0</xdr:rowOff>
        </xdr:from>
        <xdr:to>
          <xdr:col>5</xdr:col>
          <xdr:colOff>9525</xdr:colOff>
          <xdr:row>63</xdr:row>
          <xdr:rowOff>0</xdr:rowOff>
        </xdr:to>
        <xdr:sp macro="" textlink="">
          <xdr:nvSpPr>
            <xdr:cNvPr id="1353748" name="Drop Down 20" hidden="1">
              <a:extLst>
                <a:ext uri="{63B3BB69-23CF-44E3-9099-C40C66FF867C}">
                  <a14:compatExt spid="_x0000_s1353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63</xdr:row>
          <xdr:rowOff>0</xdr:rowOff>
        </xdr:from>
        <xdr:to>
          <xdr:col>4</xdr:col>
          <xdr:colOff>0</xdr:colOff>
          <xdr:row>64</xdr:row>
          <xdr:rowOff>0</xdr:rowOff>
        </xdr:to>
        <xdr:sp macro="" textlink="">
          <xdr:nvSpPr>
            <xdr:cNvPr id="1353749" name="Drop Down 21" hidden="1">
              <a:extLst>
                <a:ext uri="{63B3BB69-23CF-44E3-9099-C40C66FF867C}">
                  <a14:compatExt spid="_x0000_s1353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64</xdr:row>
          <xdr:rowOff>0</xdr:rowOff>
        </xdr:from>
        <xdr:to>
          <xdr:col>4</xdr:col>
          <xdr:colOff>0</xdr:colOff>
          <xdr:row>65</xdr:row>
          <xdr:rowOff>0</xdr:rowOff>
        </xdr:to>
        <xdr:sp macro="" textlink="">
          <xdr:nvSpPr>
            <xdr:cNvPr id="1353750" name="Drop Down 22" hidden="1">
              <a:extLst>
                <a:ext uri="{63B3BB69-23CF-44E3-9099-C40C66FF867C}">
                  <a14:compatExt spid="_x0000_s1353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70</xdr:row>
          <xdr:rowOff>0</xdr:rowOff>
        </xdr:from>
        <xdr:to>
          <xdr:col>4</xdr:col>
          <xdr:colOff>0</xdr:colOff>
          <xdr:row>71</xdr:row>
          <xdr:rowOff>0</xdr:rowOff>
        </xdr:to>
        <xdr:sp macro="" textlink="">
          <xdr:nvSpPr>
            <xdr:cNvPr id="1353751" name="Drop Down 23" hidden="1">
              <a:extLst>
                <a:ext uri="{63B3BB69-23CF-44E3-9099-C40C66FF867C}">
                  <a14:compatExt spid="_x0000_s1353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71</xdr:row>
          <xdr:rowOff>0</xdr:rowOff>
        </xdr:from>
        <xdr:to>
          <xdr:col>4</xdr:col>
          <xdr:colOff>0</xdr:colOff>
          <xdr:row>72</xdr:row>
          <xdr:rowOff>0</xdr:rowOff>
        </xdr:to>
        <xdr:sp macro="" textlink="">
          <xdr:nvSpPr>
            <xdr:cNvPr id="1353752" name="Drop Down 24" hidden="1">
              <a:extLst>
                <a:ext uri="{63B3BB69-23CF-44E3-9099-C40C66FF867C}">
                  <a14:compatExt spid="_x0000_s1353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63</xdr:row>
          <xdr:rowOff>0</xdr:rowOff>
        </xdr:from>
        <xdr:to>
          <xdr:col>5</xdr:col>
          <xdr:colOff>9525</xdr:colOff>
          <xdr:row>64</xdr:row>
          <xdr:rowOff>0</xdr:rowOff>
        </xdr:to>
        <xdr:sp macro="" textlink="">
          <xdr:nvSpPr>
            <xdr:cNvPr id="1353753" name="Drop Down 25" hidden="1">
              <a:extLst>
                <a:ext uri="{63B3BB69-23CF-44E3-9099-C40C66FF867C}">
                  <a14:compatExt spid="_x0000_s1353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70</xdr:row>
          <xdr:rowOff>0</xdr:rowOff>
        </xdr:from>
        <xdr:to>
          <xdr:col>5</xdr:col>
          <xdr:colOff>9525</xdr:colOff>
          <xdr:row>71</xdr:row>
          <xdr:rowOff>0</xdr:rowOff>
        </xdr:to>
        <xdr:sp macro="" textlink="">
          <xdr:nvSpPr>
            <xdr:cNvPr id="1353755" name="Drop Down 27" hidden="1">
              <a:extLst>
                <a:ext uri="{63B3BB69-23CF-44E3-9099-C40C66FF867C}">
                  <a14:compatExt spid="_x0000_s1353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71</xdr:row>
          <xdr:rowOff>0</xdr:rowOff>
        </xdr:from>
        <xdr:to>
          <xdr:col>5</xdr:col>
          <xdr:colOff>9525</xdr:colOff>
          <xdr:row>72</xdr:row>
          <xdr:rowOff>0</xdr:rowOff>
        </xdr:to>
        <xdr:sp macro="" textlink="">
          <xdr:nvSpPr>
            <xdr:cNvPr id="1353756" name="Drop Down 28" hidden="1">
              <a:extLst>
                <a:ext uri="{63B3BB69-23CF-44E3-9099-C40C66FF867C}">
                  <a14:compatExt spid="_x0000_s1353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0</xdr:rowOff>
        </xdr:from>
        <xdr:to>
          <xdr:col>1</xdr:col>
          <xdr:colOff>1781175</xdr:colOff>
          <xdr:row>91</xdr:row>
          <xdr:rowOff>9525</xdr:rowOff>
        </xdr:to>
        <xdr:sp macro="" textlink="">
          <xdr:nvSpPr>
            <xdr:cNvPr id="1353767" name="Drop Down 39" hidden="1">
              <a:extLst>
                <a:ext uri="{63B3BB69-23CF-44E3-9099-C40C66FF867C}">
                  <a14:compatExt spid="_x0000_s1353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0</xdr:rowOff>
        </xdr:from>
        <xdr:to>
          <xdr:col>1</xdr:col>
          <xdr:colOff>1781175</xdr:colOff>
          <xdr:row>92</xdr:row>
          <xdr:rowOff>9525</xdr:rowOff>
        </xdr:to>
        <xdr:sp macro="" textlink="">
          <xdr:nvSpPr>
            <xdr:cNvPr id="1353768" name="Drop Down 40" hidden="1">
              <a:extLst>
                <a:ext uri="{63B3BB69-23CF-44E3-9099-C40C66FF867C}">
                  <a14:compatExt spid="_x0000_s1353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0</xdr:rowOff>
        </xdr:from>
        <xdr:to>
          <xdr:col>1</xdr:col>
          <xdr:colOff>1781175</xdr:colOff>
          <xdr:row>93</xdr:row>
          <xdr:rowOff>9525</xdr:rowOff>
        </xdr:to>
        <xdr:sp macro="" textlink="">
          <xdr:nvSpPr>
            <xdr:cNvPr id="1353769" name="Drop Down 41" hidden="1">
              <a:extLst>
                <a:ext uri="{63B3BB69-23CF-44E3-9099-C40C66FF867C}">
                  <a14:compatExt spid="_x0000_s1353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0</xdr:rowOff>
        </xdr:from>
        <xdr:to>
          <xdr:col>1</xdr:col>
          <xdr:colOff>1781175</xdr:colOff>
          <xdr:row>94</xdr:row>
          <xdr:rowOff>9525</xdr:rowOff>
        </xdr:to>
        <xdr:sp macro="" textlink="">
          <xdr:nvSpPr>
            <xdr:cNvPr id="1353770" name="Drop Down 42" hidden="1">
              <a:extLst>
                <a:ext uri="{63B3BB69-23CF-44E3-9099-C40C66FF867C}">
                  <a14:compatExt spid="_x0000_s1353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0</xdr:rowOff>
        </xdr:from>
        <xdr:to>
          <xdr:col>1</xdr:col>
          <xdr:colOff>1781175</xdr:colOff>
          <xdr:row>95</xdr:row>
          <xdr:rowOff>9525</xdr:rowOff>
        </xdr:to>
        <xdr:sp macro="" textlink="">
          <xdr:nvSpPr>
            <xdr:cNvPr id="1353771" name="Drop Down 43" hidden="1">
              <a:extLst>
                <a:ext uri="{63B3BB69-23CF-44E3-9099-C40C66FF867C}">
                  <a14:compatExt spid="_x0000_s1353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62</xdr:row>
          <xdr:rowOff>0</xdr:rowOff>
        </xdr:from>
        <xdr:to>
          <xdr:col>16</xdr:col>
          <xdr:colOff>9525</xdr:colOff>
          <xdr:row>63</xdr:row>
          <xdr:rowOff>0</xdr:rowOff>
        </xdr:to>
        <xdr:sp macro="" textlink="">
          <xdr:nvSpPr>
            <xdr:cNvPr id="1353772" name="Drop Down 44" hidden="1">
              <a:extLst>
                <a:ext uri="{63B3BB69-23CF-44E3-9099-C40C66FF867C}">
                  <a14:compatExt spid="_x0000_s1353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48</xdr:row>
          <xdr:rowOff>152400</xdr:rowOff>
        </xdr:from>
        <xdr:to>
          <xdr:col>1</xdr:col>
          <xdr:colOff>1781175</xdr:colOff>
          <xdr:row>50</xdr:row>
          <xdr:rowOff>0</xdr:rowOff>
        </xdr:to>
        <xdr:sp macro="" textlink="">
          <xdr:nvSpPr>
            <xdr:cNvPr id="1353773" name="Drop Down 45" hidden="1">
              <a:extLst>
                <a:ext uri="{63B3BB69-23CF-44E3-9099-C40C66FF867C}">
                  <a14:compatExt spid="_x0000_s1353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49</xdr:row>
          <xdr:rowOff>190500</xdr:rowOff>
        </xdr:from>
        <xdr:to>
          <xdr:col>1</xdr:col>
          <xdr:colOff>1781175</xdr:colOff>
          <xdr:row>51</xdr:row>
          <xdr:rowOff>0</xdr:rowOff>
        </xdr:to>
        <xdr:sp macro="" textlink="">
          <xdr:nvSpPr>
            <xdr:cNvPr id="1353774" name="Drop Down 46" hidden="1">
              <a:extLst>
                <a:ext uri="{63B3BB69-23CF-44E3-9099-C40C66FF867C}">
                  <a14:compatExt spid="_x0000_s1353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50</xdr:row>
          <xdr:rowOff>190500</xdr:rowOff>
        </xdr:from>
        <xdr:to>
          <xdr:col>1</xdr:col>
          <xdr:colOff>1781175</xdr:colOff>
          <xdr:row>52</xdr:row>
          <xdr:rowOff>9525</xdr:rowOff>
        </xdr:to>
        <xdr:sp macro="" textlink="">
          <xdr:nvSpPr>
            <xdr:cNvPr id="1353775" name="Drop Down 47" hidden="1">
              <a:extLst>
                <a:ext uri="{63B3BB69-23CF-44E3-9099-C40C66FF867C}">
                  <a14:compatExt spid="_x0000_s1353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52</xdr:row>
          <xdr:rowOff>0</xdr:rowOff>
        </xdr:from>
        <xdr:to>
          <xdr:col>1</xdr:col>
          <xdr:colOff>1781175</xdr:colOff>
          <xdr:row>53</xdr:row>
          <xdr:rowOff>9525</xdr:rowOff>
        </xdr:to>
        <xdr:sp macro="" textlink="">
          <xdr:nvSpPr>
            <xdr:cNvPr id="1353776" name="Drop Down 48" hidden="1">
              <a:extLst>
                <a:ext uri="{63B3BB69-23CF-44E3-9099-C40C66FF867C}">
                  <a14:compatExt spid="_x0000_s1353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53</xdr:row>
          <xdr:rowOff>0</xdr:rowOff>
        </xdr:from>
        <xdr:to>
          <xdr:col>1</xdr:col>
          <xdr:colOff>1781175</xdr:colOff>
          <xdr:row>54</xdr:row>
          <xdr:rowOff>9525</xdr:rowOff>
        </xdr:to>
        <xdr:sp macro="" textlink="">
          <xdr:nvSpPr>
            <xdr:cNvPr id="1353777" name="Drop Down 49" hidden="1">
              <a:extLst>
                <a:ext uri="{63B3BB69-23CF-44E3-9099-C40C66FF867C}">
                  <a14:compatExt spid="_x0000_s1353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62</xdr:row>
          <xdr:rowOff>0</xdr:rowOff>
        </xdr:from>
        <xdr:to>
          <xdr:col>17</xdr:col>
          <xdr:colOff>0</xdr:colOff>
          <xdr:row>63</xdr:row>
          <xdr:rowOff>0</xdr:rowOff>
        </xdr:to>
        <xdr:sp macro="" textlink="">
          <xdr:nvSpPr>
            <xdr:cNvPr id="1353794" name="Drop Down 66" hidden="1">
              <a:extLst>
                <a:ext uri="{63B3BB69-23CF-44E3-9099-C40C66FF867C}">
                  <a14:compatExt spid="_x0000_s1353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63</xdr:row>
          <xdr:rowOff>0</xdr:rowOff>
        </xdr:from>
        <xdr:to>
          <xdr:col>16</xdr:col>
          <xdr:colOff>9525</xdr:colOff>
          <xdr:row>64</xdr:row>
          <xdr:rowOff>0</xdr:rowOff>
        </xdr:to>
        <xdr:sp macro="" textlink="">
          <xdr:nvSpPr>
            <xdr:cNvPr id="1353795" name="Drop Down 67" hidden="1">
              <a:extLst>
                <a:ext uri="{63B3BB69-23CF-44E3-9099-C40C66FF867C}">
                  <a14:compatExt spid="_x0000_s1353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64</xdr:row>
          <xdr:rowOff>0</xdr:rowOff>
        </xdr:from>
        <xdr:to>
          <xdr:col>16</xdr:col>
          <xdr:colOff>9525</xdr:colOff>
          <xdr:row>65</xdr:row>
          <xdr:rowOff>0</xdr:rowOff>
        </xdr:to>
        <xdr:sp macro="" textlink="">
          <xdr:nvSpPr>
            <xdr:cNvPr id="1353796" name="Drop Down 68" hidden="1">
              <a:extLst>
                <a:ext uri="{63B3BB69-23CF-44E3-9099-C40C66FF867C}">
                  <a14:compatExt spid="_x0000_s1353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70</xdr:row>
          <xdr:rowOff>0</xdr:rowOff>
        </xdr:from>
        <xdr:to>
          <xdr:col>16</xdr:col>
          <xdr:colOff>9525</xdr:colOff>
          <xdr:row>71</xdr:row>
          <xdr:rowOff>0</xdr:rowOff>
        </xdr:to>
        <xdr:sp macro="" textlink="">
          <xdr:nvSpPr>
            <xdr:cNvPr id="1353797" name="Drop Down 69" hidden="1">
              <a:extLst>
                <a:ext uri="{63B3BB69-23CF-44E3-9099-C40C66FF867C}">
                  <a14:compatExt spid="_x0000_s1353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71</xdr:row>
          <xdr:rowOff>0</xdr:rowOff>
        </xdr:from>
        <xdr:to>
          <xdr:col>16</xdr:col>
          <xdr:colOff>9525</xdr:colOff>
          <xdr:row>72</xdr:row>
          <xdr:rowOff>0</xdr:rowOff>
        </xdr:to>
        <xdr:sp macro="" textlink="">
          <xdr:nvSpPr>
            <xdr:cNvPr id="1353798" name="Drop Down 70" hidden="1">
              <a:extLst>
                <a:ext uri="{63B3BB69-23CF-44E3-9099-C40C66FF867C}">
                  <a14:compatExt spid="_x0000_s1353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63</xdr:row>
          <xdr:rowOff>0</xdr:rowOff>
        </xdr:from>
        <xdr:to>
          <xdr:col>17</xdr:col>
          <xdr:colOff>0</xdr:colOff>
          <xdr:row>64</xdr:row>
          <xdr:rowOff>0</xdr:rowOff>
        </xdr:to>
        <xdr:sp macro="" textlink="">
          <xdr:nvSpPr>
            <xdr:cNvPr id="1353799" name="Drop Down 71" hidden="1">
              <a:extLst>
                <a:ext uri="{63B3BB69-23CF-44E3-9099-C40C66FF867C}">
                  <a14:compatExt spid="_x0000_s13537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64</xdr:row>
          <xdr:rowOff>0</xdr:rowOff>
        </xdr:from>
        <xdr:to>
          <xdr:col>17</xdr:col>
          <xdr:colOff>0</xdr:colOff>
          <xdr:row>65</xdr:row>
          <xdr:rowOff>0</xdr:rowOff>
        </xdr:to>
        <xdr:sp macro="" textlink="">
          <xdr:nvSpPr>
            <xdr:cNvPr id="1353800" name="Drop Down 72" hidden="1">
              <a:extLst>
                <a:ext uri="{63B3BB69-23CF-44E3-9099-C40C66FF867C}">
                  <a14:compatExt spid="_x0000_s13538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70</xdr:row>
          <xdr:rowOff>0</xdr:rowOff>
        </xdr:from>
        <xdr:to>
          <xdr:col>17</xdr:col>
          <xdr:colOff>0</xdr:colOff>
          <xdr:row>71</xdr:row>
          <xdr:rowOff>0</xdr:rowOff>
        </xdr:to>
        <xdr:sp macro="" textlink="">
          <xdr:nvSpPr>
            <xdr:cNvPr id="1353801" name="Drop Down 73" hidden="1">
              <a:extLst>
                <a:ext uri="{63B3BB69-23CF-44E3-9099-C40C66FF867C}">
                  <a14:compatExt spid="_x0000_s1353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71</xdr:row>
          <xdr:rowOff>0</xdr:rowOff>
        </xdr:from>
        <xdr:to>
          <xdr:col>17</xdr:col>
          <xdr:colOff>0</xdr:colOff>
          <xdr:row>72</xdr:row>
          <xdr:rowOff>0</xdr:rowOff>
        </xdr:to>
        <xdr:sp macro="" textlink="">
          <xdr:nvSpPr>
            <xdr:cNvPr id="1353802" name="Drop Down 74" hidden="1">
              <a:extLst>
                <a:ext uri="{63B3BB69-23CF-44E3-9099-C40C66FF867C}">
                  <a14:compatExt spid="_x0000_s13538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76</xdr:row>
          <xdr:rowOff>0</xdr:rowOff>
        </xdr:from>
        <xdr:to>
          <xdr:col>13</xdr:col>
          <xdr:colOff>0</xdr:colOff>
          <xdr:row>77</xdr:row>
          <xdr:rowOff>0</xdr:rowOff>
        </xdr:to>
        <xdr:sp macro="" textlink="">
          <xdr:nvSpPr>
            <xdr:cNvPr id="1353803" name="Drop Down 75" hidden="1">
              <a:extLst>
                <a:ext uri="{63B3BB69-23CF-44E3-9099-C40C66FF867C}">
                  <a14:compatExt spid="_x0000_s1353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82</xdr:row>
          <xdr:rowOff>0</xdr:rowOff>
        </xdr:from>
        <xdr:to>
          <xdr:col>13</xdr:col>
          <xdr:colOff>0</xdr:colOff>
          <xdr:row>83</xdr:row>
          <xdr:rowOff>0</xdr:rowOff>
        </xdr:to>
        <xdr:sp macro="" textlink="">
          <xdr:nvSpPr>
            <xdr:cNvPr id="1353804" name="Drop Down 76" hidden="1">
              <a:extLst>
                <a:ext uri="{63B3BB69-23CF-44E3-9099-C40C66FF867C}">
                  <a14:compatExt spid="_x0000_s1353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83</xdr:row>
          <xdr:rowOff>0</xdr:rowOff>
        </xdr:from>
        <xdr:to>
          <xdr:col>13</xdr:col>
          <xdr:colOff>0</xdr:colOff>
          <xdr:row>84</xdr:row>
          <xdr:rowOff>0</xdr:rowOff>
        </xdr:to>
        <xdr:sp macro="" textlink="">
          <xdr:nvSpPr>
            <xdr:cNvPr id="1353805" name="Drop Down 77" hidden="1">
              <a:extLst>
                <a:ext uri="{63B3BB69-23CF-44E3-9099-C40C66FF867C}">
                  <a14:compatExt spid="_x0000_s13538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84</xdr:row>
          <xdr:rowOff>0</xdr:rowOff>
        </xdr:from>
        <xdr:to>
          <xdr:col>13</xdr:col>
          <xdr:colOff>0</xdr:colOff>
          <xdr:row>85</xdr:row>
          <xdr:rowOff>0</xdr:rowOff>
        </xdr:to>
        <xdr:sp macro="" textlink="">
          <xdr:nvSpPr>
            <xdr:cNvPr id="1353806" name="Drop Down 78" hidden="1">
              <a:extLst>
                <a:ext uri="{63B3BB69-23CF-44E3-9099-C40C66FF867C}">
                  <a14:compatExt spid="_x0000_s13538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85</xdr:row>
          <xdr:rowOff>0</xdr:rowOff>
        </xdr:from>
        <xdr:to>
          <xdr:col>13</xdr:col>
          <xdr:colOff>0</xdr:colOff>
          <xdr:row>86</xdr:row>
          <xdr:rowOff>0</xdr:rowOff>
        </xdr:to>
        <xdr:sp macro="" textlink="">
          <xdr:nvSpPr>
            <xdr:cNvPr id="1353807" name="Drop Down 79" hidden="1">
              <a:extLst>
                <a:ext uri="{63B3BB69-23CF-44E3-9099-C40C66FF867C}">
                  <a14:compatExt spid="_x0000_s13538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76</xdr:row>
          <xdr:rowOff>0</xdr:rowOff>
        </xdr:from>
        <xdr:to>
          <xdr:col>14</xdr:col>
          <xdr:colOff>0</xdr:colOff>
          <xdr:row>77</xdr:row>
          <xdr:rowOff>0</xdr:rowOff>
        </xdr:to>
        <xdr:sp macro="" textlink="">
          <xdr:nvSpPr>
            <xdr:cNvPr id="1353808" name="Drop Down 80" hidden="1">
              <a:extLst>
                <a:ext uri="{63B3BB69-23CF-44E3-9099-C40C66FF867C}">
                  <a14:compatExt spid="_x0000_s13538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82</xdr:row>
          <xdr:rowOff>0</xdr:rowOff>
        </xdr:from>
        <xdr:to>
          <xdr:col>14</xdr:col>
          <xdr:colOff>0</xdr:colOff>
          <xdr:row>83</xdr:row>
          <xdr:rowOff>0</xdr:rowOff>
        </xdr:to>
        <xdr:sp macro="" textlink="">
          <xdr:nvSpPr>
            <xdr:cNvPr id="1353809" name="Drop Down 81" hidden="1">
              <a:extLst>
                <a:ext uri="{63B3BB69-23CF-44E3-9099-C40C66FF867C}">
                  <a14:compatExt spid="_x0000_s1353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83</xdr:row>
          <xdr:rowOff>0</xdr:rowOff>
        </xdr:from>
        <xdr:to>
          <xdr:col>14</xdr:col>
          <xdr:colOff>0</xdr:colOff>
          <xdr:row>84</xdr:row>
          <xdr:rowOff>0</xdr:rowOff>
        </xdr:to>
        <xdr:sp macro="" textlink="">
          <xdr:nvSpPr>
            <xdr:cNvPr id="1353810" name="Drop Down 82" hidden="1">
              <a:extLst>
                <a:ext uri="{63B3BB69-23CF-44E3-9099-C40C66FF867C}">
                  <a14:compatExt spid="_x0000_s1353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84</xdr:row>
          <xdr:rowOff>0</xdr:rowOff>
        </xdr:from>
        <xdr:to>
          <xdr:col>14</xdr:col>
          <xdr:colOff>0</xdr:colOff>
          <xdr:row>85</xdr:row>
          <xdr:rowOff>0</xdr:rowOff>
        </xdr:to>
        <xdr:sp macro="" textlink="">
          <xdr:nvSpPr>
            <xdr:cNvPr id="1353811" name="Drop Down 83" hidden="1">
              <a:extLst>
                <a:ext uri="{63B3BB69-23CF-44E3-9099-C40C66FF867C}">
                  <a14:compatExt spid="_x0000_s1353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85</xdr:row>
          <xdr:rowOff>0</xdr:rowOff>
        </xdr:from>
        <xdr:to>
          <xdr:col>14</xdr:col>
          <xdr:colOff>0</xdr:colOff>
          <xdr:row>86</xdr:row>
          <xdr:rowOff>0</xdr:rowOff>
        </xdr:to>
        <xdr:sp macro="" textlink="">
          <xdr:nvSpPr>
            <xdr:cNvPr id="1353812" name="Drop Down 84" hidden="1">
              <a:extLst>
                <a:ext uri="{63B3BB69-23CF-44E3-9099-C40C66FF867C}">
                  <a14:compatExt spid="_x0000_s13538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90</xdr:row>
          <xdr:rowOff>0</xdr:rowOff>
        </xdr:from>
        <xdr:to>
          <xdr:col>11</xdr:col>
          <xdr:colOff>838200</xdr:colOff>
          <xdr:row>91</xdr:row>
          <xdr:rowOff>0</xdr:rowOff>
        </xdr:to>
        <xdr:sp macro="" textlink="">
          <xdr:nvSpPr>
            <xdr:cNvPr id="1353813" name="Drop Down 85" hidden="1">
              <a:extLst>
                <a:ext uri="{63B3BB69-23CF-44E3-9099-C40C66FF867C}">
                  <a14:compatExt spid="_x0000_s1353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90</xdr:row>
          <xdr:rowOff>0</xdr:rowOff>
        </xdr:from>
        <xdr:to>
          <xdr:col>13</xdr:col>
          <xdr:colOff>0</xdr:colOff>
          <xdr:row>91</xdr:row>
          <xdr:rowOff>0</xdr:rowOff>
        </xdr:to>
        <xdr:sp macro="" textlink="">
          <xdr:nvSpPr>
            <xdr:cNvPr id="1353814" name="Drop Down 86" hidden="1">
              <a:extLst>
                <a:ext uri="{63B3BB69-23CF-44E3-9099-C40C66FF867C}">
                  <a14:compatExt spid="_x0000_s1353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91</xdr:row>
          <xdr:rowOff>0</xdr:rowOff>
        </xdr:from>
        <xdr:to>
          <xdr:col>11</xdr:col>
          <xdr:colOff>838200</xdr:colOff>
          <xdr:row>92</xdr:row>
          <xdr:rowOff>0</xdr:rowOff>
        </xdr:to>
        <xdr:sp macro="" textlink="">
          <xdr:nvSpPr>
            <xdr:cNvPr id="1353815" name="Drop Down 87" hidden="1">
              <a:extLst>
                <a:ext uri="{63B3BB69-23CF-44E3-9099-C40C66FF867C}">
                  <a14:compatExt spid="_x0000_s13538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92</xdr:row>
          <xdr:rowOff>0</xdr:rowOff>
        </xdr:from>
        <xdr:to>
          <xdr:col>11</xdr:col>
          <xdr:colOff>838200</xdr:colOff>
          <xdr:row>93</xdr:row>
          <xdr:rowOff>0</xdr:rowOff>
        </xdr:to>
        <xdr:sp macro="" textlink="">
          <xdr:nvSpPr>
            <xdr:cNvPr id="1353816" name="Drop Down 88" hidden="1">
              <a:extLst>
                <a:ext uri="{63B3BB69-23CF-44E3-9099-C40C66FF867C}">
                  <a14:compatExt spid="_x0000_s13538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93</xdr:row>
          <xdr:rowOff>0</xdr:rowOff>
        </xdr:from>
        <xdr:to>
          <xdr:col>11</xdr:col>
          <xdr:colOff>838200</xdr:colOff>
          <xdr:row>94</xdr:row>
          <xdr:rowOff>0</xdr:rowOff>
        </xdr:to>
        <xdr:sp macro="" textlink="">
          <xdr:nvSpPr>
            <xdr:cNvPr id="1353817" name="Drop Down 89" hidden="1">
              <a:extLst>
                <a:ext uri="{63B3BB69-23CF-44E3-9099-C40C66FF867C}">
                  <a14:compatExt spid="_x0000_s1353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94</xdr:row>
          <xdr:rowOff>0</xdr:rowOff>
        </xdr:from>
        <xdr:to>
          <xdr:col>11</xdr:col>
          <xdr:colOff>838200</xdr:colOff>
          <xdr:row>95</xdr:row>
          <xdr:rowOff>0</xdr:rowOff>
        </xdr:to>
        <xdr:sp macro="" textlink="">
          <xdr:nvSpPr>
            <xdr:cNvPr id="1353818" name="Drop Down 90" hidden="1">
              <a:extLst>
                <a:ext uri="{63B3BB69-23CF-44E3-9099-C40C66FF867C}">
                  <a14:compatExt spid="_x0000_s1353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91</xdr:row>
          <xdr:rowOff>0</xdr:rowOff>
        </xdr:from>
        <xdr:to>
          <xdr:col>13</xdr:col>
          <xdr:colOff>0</xdr:colOff>
          <xdr:row>92</xdr:row>
          <xdr:rowOff>0</xdr:rowOff>
        </xdr:to>
        <xdr:sp macro="" textlink="">
          <xdr:nvSpPr>
            <xdr:cNvPr id="1353819" name="Drop Down 91" hidden="1">
              <a:extLst>
                <a:ext uri="{63B3BB69-23CF-44E3-9099-C40C66FF867C}">
                  <a14:compatExt spid="_x0000_s1353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92</xdr:row>
          <xdr:rowOff>0</xdr:rowOff>
        </xdr:from>
        <xdr:to>
          <xdr:col>13</xdr:col>
          <xdr:colOff>0</xdr:colOff>
          <xdr:row>93</xdr:row>
          <xdr:rowOff>0</xdr:rowOff>
        </xdr:to>
        <xdr:sp macro="" textlink="">
          <xdr:nvSpPr>
            <xdr:cNvPr id="1353820" name="Drop Down 92" hidden="1">
              <a:extLst>
                <a:ext uri="{63B3BB69-23CF-44E3-9099-C40C66FF867C}">
                  <a14:compatExt spid="_x0000_s1353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93</xdr:row>
          <xdr:rowOff>0</xdr:rowOff>
        </xdr:from>
        <xdr:to>
          <xdr:col>13</xdr:col>
          <xdr:colOff>0</xdr:colOff>
          <xdr:row>94</xdr:row>
          <xdr:rowOff>0</xdr:rowOff>
        </xdr:to>
        <xdr:sp macro="" textlink="">
          <xdr:nvSpPr>
            <xdr:cNvPr id="1353821" name="Drop Down 93" hidden="1">
              <a:extLst>
                <a:ext uri="{63B3BB69-23CF-44E3-9099-C40C66FF867C}">
                  <a14:compatExt spid="_x0000_s1353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94</xdr:row>
          <xdr:rowOff>0</xdr:rowOff>
        </xdr:from>
        <xdr:to>
          <xdr:col>13</xdr:col>
          <xdr:colOff>0</xdr:colOff>
          <xdr:row>95</xdr:row>
          <xdr:rowOff>0</xdr:rowOff>
        </xdr:to>
        <xdr:sp macro="" textlink="">
          <xdr:nvSpPr>
            <xdr:cNvPr id="1353822" name="Drop Down 94" hidden="1">
              <a:extLst>
                <a:ext uri="{63B3BB69-23CF-44E3-9099-C40C66FF867C}">
                  <a14:compatExt spid="_x0000_s1353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11</xdr:row>
          <xdr:rowOff>0</xdr:rowOff>
        </xdr:from>
        <xdr:to>
          <xdr:col>16</xdr:col>
          <xdr:colOff>9525</xdr:colOff>
          <xdr:row>12</xdr:row>
          <xdr:rowOff>0</xdr:rowOff>
        </xdr:to>
        <xdr:sp macro="" textlink="">
          <xdr:nvSpPr>
            <xdr:cNvPr id="1353823" name="Drop Down 95" hidden="1">
              <a:extLst>
                <a:ext uri="{63B3BB69-23CF-44E3-9099-C40C66FF867C}">
                  <a14:compatExt spid="_x0000_s1353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11</xdr:row>
          <xdr:rowOff>0</xdr:rowOff>
        </xdr:from>
        <xdr:to>
          <xdr:col>17</xdr:col>
          <xdr:colOff>0</xdr:colOff>
          <xdr:row>12</xdr:row>
          <xdr:rowOff>0</xdr:rowOff>
        </xdr:to>
        <xdr:sp macro="" textlink="">
          <xdr:nvSpPr>
            <xdr:cNvPr id="1353824" name="Drop Down 96" hidden="1">
              <a:extLst>
                <a:ext uri="{63B3BB69-23CF-44E3-9099-C40C66FF867C}">
                  <a14:compatExt spid="_x0000_s1353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12</xdr:row>
          <xdr:rowOff>0</xdr:rowOff>
        </xdr:from>
        <xdr:to>
          <xdr:col>16</xdr:col>
          <xdr:colOff>9525</xdr:colOff>
          <xdr:row>13</xdr:row>
          <xdr:rowOff>0</xdr:rowOff>
        </xdr:to>
        <xdr:sp macro="" textlink="">
          <xdr:nvSpPr>
            <xdr:cNvPr id="1353825" name="Drop Down 97" hidden="1">
              <a:extLst>
                <a:ext uri="{63B3BB69-23CF-44E3-9099-C40C66FF867C}">
                  <a14:compatExt spid="_x0000_s1353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13</xdr:row>
          <xdr:rowOff>0</xdr:rowOff>
        </xdr:from>
        <xdr:to>
          <xdr:col>16</xdr:col>
          <xdr:colOff>9525</xdr:colOff>
          <xdr:row>14</xdr:row>
          <xdr:rowOff>0</xdr:rowOff>
        </xdr:to>
        <xdr:sp macro="" textlink="">
          <xdr:nvSpPr>
            <xdr:cNvPr id="1353826" name="Drop Down 98" hidden="1">
              <a:extLst>
                <a:ext uri="{63B3BB69-23CF-44E3-9099-C40C66FF867C}">
                  <a14:compatExt spid="_x0000_s1353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14</xdr:row>
          <xdr:rowOff>0</xdr:rowOff>
        </xdr:from>
        <xdr:to>
          <xdr:col>16</xdr:col>
          <xdr:colOff>9525</xdr:colOff>
          <xdr:row>15</xdr:row>
          <xdr:rowOff>0</xdr:rowOff>
        </xdr:to>
        <xdr:sp macro="" textlink="">
          <xdr:nvSpPr>
            <xdr:cNvPr id="1353827" name="Drop Down 99" hidden="1">
              <a:extLst>
                <a:ext uri="{63B3BB69-23CF-44E3-9099-C40C66FF867C}">
                  <a14:compatExt spid="_x0000_s1353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25</xdr:row>
          <xdr:rowOff>0</xdr:rowOff>
        </xdr:from>
        <xdr:to>
          <xdr:col>16</xdr:col>
          <xdr:colOff>9525</xdr:colOff>
          <xdr:row>26</xdr:row>
          <xdr:rowOff>0</xdr:rowOff>
        </xdr:to>
        <xdr:sp macro="" textlink="">
          <xdr:nvSpPr>
            <xdr:cNvPr id="1353828" name="Drop Down 100" hidden="1">
              <a:extLst>
                <a:ext uri="{63B3BB69-23CF-44E3-9099-C40C66FF867C}">
                  <a14:compatExt spid="_x0000_s1353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12</xdr:row>
          <xdr:rowOff>0</xdr:rowOff>
        </xdr:from>
        <xdr:to>
          <xdr:col>17</xdr:col>
          <xdr:colOff>0</xdr:colOff>
          <xdr:row>13</xdr:row>
          <xdr:rowOff>0</xdr:rowOff>
        </xdr:to>
        <xdr:sp macro="" textlink="">
          <xdr:nvSpPr>
            <xdr:cNvPr id="1353829" name="Drop Down 101" hidden="1">
              <a:extLst>
                <a:ext uri="{63B3BB69-23CF-44E3-9099-C40C66FF867C}">
                  <a14:compatExt spid="_x0000_s1353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13</xdr:row>
          <xdr:rowOff>0</xdr:rowOff>
        </xdr:from>
        <xdr:to>
          <xdr:col>17</xdr:col>
          <xdr:colOff>0</xdr:colOff>
          <xdr:row>14</xdr:row>
          <xdr:rowOff>0</xdr:rowOff>
        </xdr:to>
        <xdr:sp macro="" textlink="">
          <xdr:nvSpPr>
            <xdr:cNvPr id="1353830" name="Drop Down 102" hidden="1">
              <a:extLst>
                <a:ext uri="{63B3BB69-23CF-44E3-9099-C40C66FF867C}">
                  <a14:compatExt spid="_x0000_s1353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14</xdr:row>
          <xdr:rowOff>0</xdr:rowOff>
        </xdr:from>
        <xdr:to>
          <xdr:col>17</xdr:col>
          <xdr:colOff>0</xdr:colOff>
          <xdr:row>15</xdr:row>
          <xdr:rowOff>0</xdr:rowOff>
        </xdr:to>
        <xdr:sp macro="" textlink="">
          <xdr:nvSpPr>
            <xdr:cNvPr id="1353831" name="Drop Down 103" hidden="1">
              <a:extLst>
                <a:ext uri="{63B3BB69-23CF-44E3-9099-C40C66FF867C}">
                  <a14:compatExt spid="_x0000_s1353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25</xdr:row>
          <xdr:rowOff>0</xdr:rowOff>
        </xdr:from>
        <xdr:to>
          <xdr:col>17</xdr:col>
          <xdr:colOff>0</xdr:colOff>
          <xdr:row>26</xdr:row>
          <xdr:rowOff>0</xdr:rowOff>
        </xdr:to>
        <xdr:sp macro="" textlink="">
          <xdr:nvSpPr>
            <xdr:cNvPr id="1353832" name="Drop Down 104" hidden="1">
              <a:extLst>
                <a:ext uri="{63B3BB69-23CF-44E3-9099-C40C66FF867C}">
                  <a14:compatExt spid="_x0000_s1353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30</xdr:row>
          <xdr:rowOff>0</xdr:rowOff>
        </xdr:from>
        <xdr:to>
          <xdr:col>13</xdr:col>
          <xdr:colOff>0</xdr:colOff>
          <xdr:row>31</xdr:row>
          <xdr:rowOff>0</xdr:rowOff>
        </xdr:to>
        <xdr:sp macro="" textlink="">
          <xdr:nvSpPr>
            <xdr:cNvPr id="1353833" name="Drop Down 105" hidden="1">
              <a:extLst>
                <a:ext uri="{63B3BB69-23CF-44E3-9099-C40C66FF867C}">
                  <a14:compatExt spid="_x0000_s1353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30</xdr:row>
          <xdr:rowOff>0</xdr:rowOff>
        </xdr:from>
        <xdr:to>
          <xdr:col>14</xdr:col>
          <xdr:colOff>0</xdr:colOff>
          <xdr:row>31</xdr:row>
          <xdr:rowOff>0</xdr:rowOff>
        </xdr:to>
        <xdr:sp macro="" textlink="">
          <xdr:nvSpPr>
            <xdr:cNvPr id="1353834" name="Drop Down 106" hidden="1">
              <a:extLst>
                <a:ext uri="{63B3BB69-23CF-44E3-9099-C40C66FF867C}">
                  <a14:compatExt spid="_x0000_s1353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31</xdr:row>
          <xdr:rowOff>0</xdr:rowOff>
        </xdr:from>
        <xdr:to>
          <xdr:col>13</xdr:col>
          <xdr:colOff>0</xdr:colOff>
          <xdr:row>32</xdr:row>
          <xdr:rowOff>0</xdr:rowOff>
        </xdr:to>
        <xdr:sp macro="" textlink="">
          <xdr:nvSpPr>
            <xdr:cNvPr id="1353835" name="Drop Down 107" hidden="1">
              <a:extLst>
                <a:ext uri="{63B3BB69-23CF-44E3-9099-C40C66FF867C}">
                  <a14:compatExt spid="_x0000_s1353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32</xdr:row>
          <xdr:rowOff>0</xdr:rowOff>
        </xdr:from>
        <xdr:to>
          <xdr:col>13</xdr:col>
          <xdr:colOff>0</xdr:colOff>
          <xdr:row>33</xdr:row>
          <xdr:rowOff>0</xdr:rowOff>
        </xdr:to>
        <xdr:sp macro="" textlink="">
          <xdr:nvSpPr>
            <xdr:cNvPr id="1353836" name="Drop Down 108" hidden="1">
              <a:extLst>
                <a:ext uri="{63B3BB69-23CF-44E3-9099-C40C66FF867C}">
                  <a14:compatExt spid="_x0000_s1353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33</xdr:row>
          <xdr:rowOff>0</xdr:rowOff>
        </xdr:from>
        <xdr:to>
          <xdr:col>13</xdr:col>
          <xdr:colOff>0</xdr:colOff>
          <xdr:row>34</xdr:row>
          <xdr:rowOff>0</xdr:rowOff>
        </xdr:to>
        <xdr:sp macro="" textlink="">
          <xdr:nvSpPr>
            <xdr:cNvPr id="1353837" name="Drop Down 109" hidden="1">
              <a:extLst>
                <a:ext uri="{63B3BB69-23CF-44E3-9099-C40C66FF867C}">
                  <a14:compatExt spid="_x0000_s1353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44</xdr:row>
          <xdr:rowOff>0</xdr:rowOff>
        </xdr:from>
        <xdr:to>
          <xdr:col>13</xdr:col>
          <xdr:colOff>0</xdr:colOff>
          <xdr:row>45</xdr:row>
          <xdr:rowOff>0</xdr:rowOff>
        </xdr:to>
        <xdr:sp macro="" textlink="">
          <xdr:nvSpPr>
            <xdr:cNvPr id="1353838" name="Drop Down 110" hidden="1">
              <a:extLst>
                <a:ext uri="{63B3BB69-23CF-44E3-9099-C40C66FF867C}">
                  <a14:compatExt spid="_x0000_s1353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31</xdr:row>
          <xdr:rowOff>0</xdr:rowOff>
        </xdr:from>
        <xdr:to>
          <xdr:col>14</xdr:col>
          <xdr:colOff>0</xdr:colOff>
          <xdr:row>32</xdr:row>
          <xdr:rowOff>0</xdr:rowOff>
        </xdr:to>
        <xdr:sp macro="" textlink="">
          <xdr:nvSpPr>
            <xdr:cNvPr id="1353839" name="Drop Down 111" hidden="1">
              <a:extLst>
                <a:ext uri="{63B3BB69-23CF-44E3-9099-C40C66FF867C}">
                  <a14:compatExt spid="_x0000_s1353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32</xdr:row>
          <xdr:rowOff>0</xdr:rowOff>
        </xdr:from>
        <xdr:to>
          <xdr:col>14</xdr:col>
          <xdr:colOff>0</xdr:colOff>
          <xdr:row>33</xdr:row>
          <xdr:rowOff>0</xdr:rowOff>
        </xdr:to>
        <xdr:sp macro="" textlink="">
          <xdr:nvSpPr>
            <xdr:cNvPr id="1353840" name="Drop Down 112" hidden="1">
              <a:extLst>
                <a:ext uri="{63B3BB69-23CF-44E3-9099-C40C66FF867C}">
                  <a14:compatExt spid="_x0000_s1353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33</xdr:row>
          <xdr:rowOff>0</xdr:rowOff>
        </xdr:from>
        <xdr:to>
          <xdr:col>14</xdr:col>
          <xdr:colOff>0</xdr:colOff>
          <xdr:row>34</xdr:row>
          <xdr:rowOff>0</xdr:rowOff>
        </xdr:to>
        <xdr:sp macro="" textlink="">
          <xdr:nvSpPr>
            <xdr:cNvPr id="1353841" name="Drop Down 113" hidden="1">
              <a:extLst>
                <a:ext uri="{63B3BB69-23CF-44E3-9099-C40C66FF867C}">
                  <a14:compatExt spid="_x0000_s1353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44</xdr:row>
          <xdr:rowOff>0</xdr:rowOff>
        </xdr:from>
        <xdr:to>
          <xdr:col>14</xdr:col>
          <xdr:colOff>0</xdr:colOff>
          <xdr:row>45</xdr:row>
          <xdr:rowOff>0</xdr:rowOff>
        </xdr:to>
        <xdr:sp macro="" textlink="">
          <xdr:nvSpPr>
            <xdr:cNvPr id="1353842" name="Drop Down 114" hidden="1">
              <a:extLst>
                <a:ext uri="{63B3BB69-23CF-44E3-9099-C40C66FF867C}">
                  <a14:compatExt spid="_x0000_s1353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49</xdr:row>
          <xdr:rowOff>0</xdr:rowOff>
        </xdr:from>
        <xdr:to>
          <xdr:col>11</xdr:col>
          <xdr:colOff>838200</xdr:colOff>
          <xdr:row>50</xdr:row>
          <xdr:rowOff>0</xdr:rowOff>
        </xdr:to>
        <xdr:sp macro="" textlink="">
          <xdr:nvSpPr>
            <xdr:cNvPr id="1353843" name="Drop Down 115" hidden="1">
              <a:extLst>
                <a:ext uri="{63B3BB69-23CF-44E3-9099-C40C66FF867C}">
                  <a14:compatExt spid="_x0000_s1353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49</xdr:row>
          <xdr:rowOff>0</xdr:rowOff>
        </xdr:from>
        <xdr:to>
          <xdr:col>13</xdr:col>
          <xdr:colOff>0</xdr:colOff>
          <xdr:row>50</xdr:row>
          <xdr:rowOff>0</xdr:rowOff>
        </xdr:to>
        <xdr:sp macro="" textlink="">
          <xdr:nvSpPr>
            <xdr:cNvPr id="1353844" name="Drop Down 116" hidden="1">
              <a:extLst>
                <a:ext uri="{63B3BB69-23CF-44E3-9099-C40C66FF867C}">
                  <a14:compatExt spid="_x0000_s1353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50</xdr:row>
          <xdr:rowOff>0</xdr:rowOff>
        </xdr:from>
        <xdr:to>
          <xdr:col>11</xdr:col>
          <xdr:colOff>838200</xdr:colOff>
          <xdr:row>51</xdr:row>
          <xdr:rowOff>0</xdr:rowOff>
        </xdr:to>
        <xdr:sp macro="" textlink="">
          <xdr:nvSpPr>
            <xdr:cNvPr id="1353845" name="Drop Down 117" hidden="1">
              <a:extLst>
                <a:ext uri="{63B3BB69-23CF-44E3-9099-C40C66FF867C}">
                  <a14:compatExt spid="_x0000_s1353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51</xdr:row>
          <xdr:rowOff>0</xdr:rowOff>
        </xdr:from>
        <xdr:to>
          <xdr:col>11</xdr:col>
          <xdr:colOff>838200</xdr:colOff>
          <xdr:row>52</xdr:row>
          <xdr:rowOff>9525</xdr:rowOff>
        </xdr:to>
        <xdr:sp macro="" textlink="">
          <xdr:nvSpPr>
            <xdr:cNvPr id="1353846" name="Drop Down 118" hidden="1">
              <a:extLst>
                <a:ext uri="{63B3BB69-23CF-44E3-9099-C40C66FF867C}">
                  <a14:compatExt spid="_x0000_s1353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52</xdr:row>
          <xdr:rowOff>0</xdr:rowOff>
        </xdr:from>
        <xdr:to>
          <xdr:col>11</xdr:col>
          <xdr:colOff>838200</xdr:colOff>
          <xdr:row>53</xdr:row>
          <xdr:rowOff>0</xdr:rowOff>
        </xdr:to>
        <xdr:sp macro="" textlink="">
          <xdr:nvSpPr>
            <xdr:cNvPr id="1353847" name="Drop Down 119" hidden="1">
              <a:extLst>
                <a:ext uri="{63B3BB69-23CF-44E3-9099-C40C66FF867C}">
                  <a14:compatExt spid="_x0000_s1353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53</xdr:row>
          <xdr:rowOff>0</xdr:rowOff>
        </xdr:from>
        <xdr:to>
          <xdr:col>11</xdr:col>
          <xdr:colOff>838200</xdr:colOff>
          <xdr:row>54</xdr:row>
          <xdr:rowOff>0</xdr:rowOff>
        </xdr:to>
        <xdr:sp macro="" textlink="">
          <xdr:nvSpPr>
            <xdr:cNvPr id="1353848" name="Drop Down 120" hidden="1">
              <a:extLst>
                <a:ext uri="{63B3BB69-23CF-44E3-9099-C40C66FF867C}">
                  <a14:compatExt spid="_x0000_s1353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50</xdr:row>
          <xdr:rowOff>0</xdr:rowOff>
        </xdr:from>
        <xdr:to>
          <xdr:col>13</xdr:col>
          <xdr:colOff>0</xdr:colOff>
          <xdr:row>51</xdr:row>
          <xdr:rowOff>0</xdr:rowOff>
        </xdr:to>
        <xdr:sp macro="" textlink="">
          <xdr:nvSpPr>
            <xdr:cNvPr id="1353849" name="Drop Down 121" hidden="1">
              <a:extLst>
                <a:ext uri="{63B3BB69-23CF-44E3-9099-C40C66FF867C}">
                  <a14:compatExt spid="_x0000_s1353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51</xdr:row>
          <xdr:rowOff>0</xdr:rowOff>
        </xdr:from>
        <xdr:to>
          <xdr:col>13</xdr:col>
          <xdr:colOff>0</xdr:colOff>
          <xdr:row>52</xdr:row>
          <xdr:rowOff>9525</xdr:rowOff>
        </xdr:to>
        <xdr:sp macro="" textlink="">
          <xdr:nvSpPr>
            <xdr:cNvPr id="1353850" name="Drop Down 122" hidden="1">
              <a:extLst>
                <a:ext uri="{63B3BB69-23CF-44E3-9099-C40C66FF867C}">
                  <a14:compatExt spid="_x0000_s1353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52</xdr:row>
          <xdr:rowOff>0</xdr:rowOff>
        </xdr:from>
        <xdr:to>
          <xdr:col>13</xdr:col>
          <xdr:colOff>0</xdr:colOff>
          <xdr:row>53</xdr:row>
          <xdr:rowOff>0</xdr:rowOff>
        </xdr:to>
        <xdr:sp macro="" textlink="">
          <xdr:nvSpPr>
            <xdr:cNvPr id="1353851" name="Drop Down 123" hidden="1">
              <a:extLst>
                <a:ext uri="{63B3BB69-23CF-44E3-9099-C40C66FF867C}">
                  <a14:compatExt spid="_x0000_s1353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53</xdr:row>
          <xdr:rowOff>0</xdr:rowOff>
        </xdr:from>
        <xdr:to>
          <xdr:col>13</xdr:col>
          <xdr:colOff>0</xdr:colOff>
          <xdr:row>54</xdr:row>
          <xdr:rowOff>0</xdr:rowOff>
        </xdr:to>
        <xdr:sp macro="" textlink="">
          <xdr:nvSpPr>
            <xdr:cNvPr id="1353852" name="Drop Down 124" hidden="1">
              <a:extLst>
                <a:ext uri="{63B3BB69-23CF-44E3-9099-C40C66FF867C}">
                  <a14:compatExt spid="_x0000_s1353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34</xdr:row>
          <xdr:rowOff>0</xdr:rowOff>
        </xdr:from>
        <xdr:to>
          <xdr:col>13</xdr:col>
          <xdr:colOff>0</xdr:colOff>
          <xdr:row>35</xdr:row>
          <xdr:rowOff>0</xdr:rowOff>
        </xdr:to>
        <xdr:sp macro="" textlink="">
          <xdr:nvSpPr>
            <xdr:cNvPr id="1353893" name="Drop Down 165" hidden="1">
              <a:extLst>
                <a:ext uri="{63B3BB69-23CF-44E3-9099-C40C66FF867C}">
                  <a14:compatExt spid="_x0000_s1353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34</xdr:row>
          <xdr:rowOff>0</xdr:rowOff>
        </xdr:from>
        <xdr:to>
          <xdr:col>14</xdr:col>
          <xdr:colOff>0</xdr:colOff>
          <xdr:row>35</xdr:row>
          <xdr:rowOff>0</xdr:rowOff>
        </xdr:to>
        <xdr:sp macro="" textlink="">
          <xdr:nvSpPr>
            <xdr:cNvPr id="1353894" name="Drop Down 166" hidden="1">
              <a:extLst>
                <a:ext uri="{63B3BB69-23CF-44E3-9099-C40C66FF867C}">
                  <a14:compatExt spid="_x0000_s1353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35</xdr:row>
          <xdr:rowOff>0</xdr:rowOff>
        </xdr:from>
        <xdr:to>
          <xdr:col>13</xdr:col>
          <xdr:colOff>0</xdr:colOff>
          <xdr:row>36</xdr:row>
          <xdr:rowOff>0</xdr:rowOff>
        </xdr:to>
        <xdr:sp macro="" textlink="">
          <xdr:nvSpPr>
            <xdr:cNvPr id="1353895" name="Drop Down 167" hidden="1">
              <a:extLst>
                <a:ext uri="{63B3BB69-23CF-44E3-9099-C40C66FF867C}">
                  <a14:compatExt spid="_x0000_s1353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35</xdr:row>
          <xdr:rowOff>0</xdr:rowOff>
        </xdr:from>
        <xdr:to>
          <xdr:col>14</xdr:col>
          <xdr:colOff>0</xdr:colOff>
          <xdr:row>36</xdr:row>
          <xdr:rowOff>0</xdr:rowOff>
        </xdr:to>
        <xdr:sp macro="" textlink="">
          <xdr:nvSpPr>
            <xdr:cNvPr id="1353896" name="Drop Down 168" hidden="1">
              <a:extLst>
                <a:ext uri="{63B3BB69-23CF-44E3-9099-C40C66FF867C}">
                  <a14:compatExt spid="_x0000_s1353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36</xdr:row>
          <xdr:rowOff>0</xdr:rowOff>
        </xdr:from>
        <xdr:to>
          <xdr:col>13</xdr:col>
          <xdr:colOff>0</xdr:colOff>
          <xdr:row>37</xdr:row>
          <xdr:rowOff>0</xdr:rowOff>
        </xdr:to>
        <xdr:sp macro="" textlink="">
          <xdr:nvSpPr>
            <xdr:cNvPr id="1353897" name="Drop Down 169" hidden="1">
              <a:extLst>
                <a:ext uri="{63B3BB69-23CF-44E3-9099-C40C66FF867C}">
                  <a14:compatExt spid="_x0000_s1353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36</xdr:row>
          <xdr:rowOff>0</xdr:rowOff>
        </xdr:from>
        <xdr:to>
          <xdr:col>14</xdr:col>
          <xdr:colOff>0</xdr:colOff>
          <xdr:row>37</xdr:row>
          <xdr:rowOff>0</xdr:rowOff>
        </xdr:to>
        <xdr:sp macro="" textlink="">
          <xdr:nvSpPr>
            <xdr:cNvPr id="1353898" name="Drop Down 170" hidden="1">
              <a:extLst>
                <a:ext uri="{63B3BB69-23CF-44E3-9099-C40C66FF867C}">
                  <a14:compatExt spid="_x0000_s1353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37</xdr:row>
          <xdr:rowOff>0</xdr:rowOff>
        </xdr:from>
        <xdr:to>
          <xdr:col>13</xdr:col>
          <xdr:colOff>0</xdr:colOff>
          <xdr:row>38</xdr:row>
          <xdr:rowOff>0</xdr:rowOff>
        </xdr:to>
        <xdr:sp macro="" textlink="">
          <xdr:nvSpPr>
            <xdr:cNvPr id="1353899" name="Drop Down 171" hidden="1">
              <a:extLst>
                <a:ext uri="{63B3BB69-23CF-44E3-9099-C40C66FF867C}">
                  <a14:compatExt spid="_x0000_s1353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37</xdr:row>
          <xdr:rowOff>0</xdr:rowOff>
        </xdr:from>
        <xdr:to>
          <xdr:col>14</xdr:col>
          <xdr:colOff>0</xdr:colOff>
          <xdr:row>38</xdr:row>
          <xdr:rowOff>0</xdr:rowOff>
        </xdr:to>
        <xdr:sp macro="" textlink="">
          <xdr:nvSpPr>
            <xdr:cNvPr id="1353900" name="Drop Down 172" hidden="1">
              <a:extLst>
                <a:ext uri="{63B3BB69-23CF-44E3-9099-C40C66FF867C}">
                  <a14:compatExt spid="_x0000_s1353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38</xdr:row>
          <xdr:rowOff>0</xdr:rowOff>
        </xdr:from>
        <xdr:to>
          <xdr:col>13</xdr:col>
          <xdr:colOff>0</xdr:colOff>
          <xdr:row>39</xdr:row>
          <xdr:rowOff>0</xdr:rowOff>
        </xdr:to>
        <xdr:sp macro="" textlink="">
          <xdr:nvSpPr>
            <xdr:cNvPr id="1353901" name="Drop Down 173" hidden="1">
              <a:extLst>
                <a:ext uri="{63B3BB69-23CF-44E3-9099-C40C66FF867C}">
                  <a14:compatExt spid="_x0000_s1353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38</xdr:row>
          <xdr:rowOff>0</xdr:rowOff>
        </xdr:from>
        <xdr:to>
          <xdr:col>14</xdr:col>
          <xdr:colOff>0</xdr:colOff>
          <xdr:row>39</xdr:row>
          <xdr:rowOff>0</xdr:rowOff>
        </xdr:to>
        <xdr:sp macro="" textlink="">
          <xdr:nvSpPr>
            <xdr:cNvPr id="1353902" name="Drop Down 174" hidden="1">
              <a:extLst>
                <a:ext uri="{63B3BB69-23CF-44E3-9099-C40C66FF867C}">
                  <a14:compatExt spid="_x0000_s1353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44</xdr:row>
          <xdr:rowOff>0</xdr:rowOff>
        </xdr:from>
        <xdr:to>
          <xdr:col>13</xdr:col>
          <xdr:colOff>0</xdr:colOff>
          <xdr:row>45</xdr:row>
          <xdr:rowOff>0</xdr:rowOff>
        </xdr:to>
        <xdr:sp macro="" textlink="">
          <xdr:nvSpPr>
            <xdr:cNvPr id="1353903" name="Drop Down 175" hidden="1">
              <a:extLst>
                <a:ext uri="{63B3BB69-23CF-44E3-9099-C40C66FF867C}">
                  <a14:compatExt spid="_x0000_s1353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44</xdr:row>
          <xdr:rowOff>0</xdr:rowOff>
        </xdr:from>
        <xdr:to>
          <xdr:col>14</xdr:col>
          <xdr:colOff>0</xdr:colOff>
          <xdr:row>45</xdr:row>
          <xdr:rowOff>0</xdr:rowOff>
        </xdr:to>
        <xdr:sp macro="" textlink="">
          <xdr:nvSpPr>
            <xdr:cNvPr id="1353904" name="Drop Down 176" hidden="1">
              <a:extLst>
                <a:ext uri="{63B3BB69-23CF-44E3-9099-C40C66FF867C}">
                  <a14:compatExt spid="_x0000_s1353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4</xdr:col>
          <xdr:colOff>0</xdr:colOff>
          <xdr:row>21</xdr:row>
          <xdr:rowOff>0</xdr:rowOff>
        </xdr:to>
        <xdr:sp macro="" textlink="">
          <xdr:nvSpPr>
            <xdr:cNvPr id="1353905" name="Drop Down 177" hidden="1">
              <a:extLst>
                <a:ext uri="{63B3BB69-23CF-44E3-9099-C40C66FF867C}">
                  <a14:compatExt spid="_x0000_s1353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20</xdr:row>
          <xdr:rowOff>0</xdr:rowOff>
        </xdr:from>
        <xdr:to>
          <xdr:col>5</xdr:col>
          <xdr:colOff>9525</xdr:colOff>
          <xdr:row>21</xdr:row>
          <xdr:rowOff>0</xdr:rowOff>
        </xdr:to>
        <xdr:sp macro="" textlink="">
          <xdr:nvSpPr>
            <xdr:cNvPr id="1353906" name="Drop Down 178" hidden="1">
              <a:extLst>
                <a:ext uri="{63B3BB69-23CF-44E3-9099-C40C66FF867C}">
                  <a14:compatExt spid="_x0000_s1353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20</xdr:row>
          <xdr:rowOff>0</xdr:rowOff>
        </xdr:from>
        <xdr:to>
          <xdr:col>16</xdr:col>
          <xdr:colOff>9525</xdr:colOff>
          <xdr:row>21</xdr:row>
          <xdr:rowOff>0</xdr:rowOff>
        </xdr:to>
        <xdr:sp macro="" textlink="">
          <xdr:nvSpPr>
            <xdr:cNvPr id="1353910" name="Drop Down 182" hidden="1">
              <a:extLst>
                <a:ext uri="{63B3BB69-23CF-44E3-9099-C40C66FF867C}">
                  <a14:compatExt spid="_x0000_s1353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20</xdr:row>
          <xdr:rowOff>0</xdr:rowOff>
        </xdr:from>
        <xdr:to>
          <xdr:col>17</xdr:col>
          <xdr:colOff>0</xdr:colOff>
          <xdr:row>21</xdr:row>
          <xdr:rowOff>0</xdr:rowOff>
        </xdr:to>
        <xdr:sp macro="" textlink="">
          <xdr:nvSpPr>
            <xdr:cNvPr id="1353911" name="Drop Down 183" hidden="1">
              <a:extLst>
                <a:ext uri="{63B3BB69-23CF-44E3-9099-C40C66FF867C}">
                  <a14:compatExt spid="_x0000_s1353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21</xdr:row>
          <xdr:rowOff>0</xdr:rowOff>
        </xdr:from>
        <xdr:to>
          <xdr:col>4</xdr:col>
          <xdr:colOff>0</xdr:colOff>
          <xdr:row>22</xdr:row>
          <xdr:rowOff>0</xdr:rowOff>
        </xdr:to>
        <xdr:sp macro="" textlink="">
          <xdr:nvSpPr>
            <xdr:cNvPr id="1353912" name="Drop Down 184" hidden="1">
              <a:extLst>
                <a:ext uri="{63B3BB69-23CF-44E3-9099-C40C66FF867C}">
                  <a14:compatExt spid="_x0000_s1353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21</xdr:row>
          <xdr:rowOff>0</xdr:rowOff>
        </xdr:from>
        <xdr:to>
          <xdr:col>5</xdr:col>
          <xdr:colOff>9525</xdr:colOff>
          <xdr:row>22</xdr:row>
          <xdr:rowOff>0</xdr:rowOff>
        </xdr:to>
        <xdr:sp macro="" textlink="">
          <xdr:nvSpPr>
            <xdr:cNvPr id="1353913" name="Drop Down 185" hidden="1">
              <a:extLst>
                <a:ext uri="{63B3BB69-23CF-44E3-9099-C40C66FF867C}">
                  <a14:compatExt spid="_x0000_s1353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21</xdr:row>
          <xdr:rowOff>0</xdr:rowOff>
        </xdr:from>
        <xdr:to>
          <xdr:col>16</xdr:col>
          <xdr:colOff>9525</xdr:colOff>
          <xdr:row>22</xdr:row>
          <xdr:rowOff>0</xdr:rowOff>
        </xdr:to>
        <xdr:sp macro="" textlink="">
          <xdr:nvSpPr>
            <xdr:cNvPr id="1353917" name="Drop Down 189" hidden="1">
              <a:extLst>
                <a:ext uri="{63B3BB69-23CF-44E3-9099-C40C66FF867C}">
                  <a14:compatExt spid="_x0000_s1353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21</xdr:row>
          <xdr:rowOff>0</xdr:rowOff>
        </xdr:from>
        <xdr:to>
          <xdr:col>17</xdr:col>
          <xdr:colOff>0</xdr:colOff>
          <xdr:row>22</xdr:row>
          <xdr:rowOff>0</xdr:rowOff>
        </xdr:to>
        <xdr:sp macro="" textlink="">
          <xdr:nvSpPr>
            <xdr:cNvPr id="1353918" name="Drop Down 190" hidden="1">
              <a:extLst>
                <a:ext uri="{63B3BB69-23CF-44E3-9099-C40C66FF867C}">
                  <a14:compatExt spid="_x0000_s1353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22</xdr:row>
          <xdr:rowOff>0</xdr:rowOff>
        </xdr:from>
        <xdr:to>
          <xdr:col>4</xdr:col>
          <xdr:colOff>0</xdr:colOff>
          <xdr:row>23</xdr:row>
          <xdr:rowOff>0</xdr:rowOff>
        </xdr:to>
        <xdr:sp macro="" textlink="">
          <xdr:nvSpPr>
            <xdr:cNvPr id="1353919" name="Drop Down 191" hidden="1">
              <a:extLst>
                <a:ext uri="{63B3BB69-23CF-44E3-9099-C40C66FF867C}">
                  <a14:compatExt spid="_x0000_s1353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22</xdr:row>
          <xdr:rowOff>0</xdr:rowOff>
        </xdr:from>
        <xdr:to>
          <xdr:col>5</xdr:col>
          <xdr:colOff>9525</xdr:colOff>
          <xdr:row>23</xdr:row>
          <xdr:rowOff>0</xdr:rowOff>
        </xdr:to>
        <xdr:sp macro="" textlink="">
          <xdr:nvSpPr>
            <xdr:cNvPr id="1353920" name="Drop Down 192" hidden="1">
              <a:extLst>
                <a:ext uri="{63B3BB69-23CF-44E3-9099-C40C66FF867C}">
                  <a14:compatExt spid="_x0000_s1353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22</xdr:row>
          <xdr:rowOff>0</xdr:rowOff>
        </xdr:from>
        <xdr:to>
          <xdr:col>16</xdr:col>
          <xdr:colOff>9525</xdr:colOff>
          <xdr:row>23</xdr:row>
          <xdr:rowOff>0</xdr:rowOff>
        </xdr:to>
        <xdr:sp macro="" textlink="">
          <xdr:nvSpPr>
            <xdr:cNvPr id="1353924" name="Drop Down 196" hidden="1">
              <a:extLst>
                <a:ext uri="{63B3BB69-23CF-44E3-9099-C40C66FF867C}">
                  <a14:compatExt spid="_x0000_s1353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22</xdr:row>
          <xdr:rowOff>0</xdr:rowOff>
        </xdr:from>
        <xdr:to>
          <xdr:col>17</xdr:col>
          <xdr:colOff>0</xdr:colOff>
          <xdr:row>23</xdr:row>
          <xdr:rowOff>0</xdr:rowOff>
        </xdr:to>
        <xdr:sp macro="" textlink="">
          <xdr:nvSpPr>
            <xdr:cNvPr id="1353925" name="Drop Down 197" hidden="1">
              <a:extLst>
                <a:ext uri="{63B3BB69-23CF-44E3-9099-C40C66FF867C}">
                  <a14:compatExt spid="_x0000_s13539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</xdr:row>
          <xdr:rowOff>0</xdr:rowOff>
        </xdr:from>
        <xdr:to>
          <xdr:col>4</xdr:col>
          <xdr:colOff>0</xdr:colOff>
          <xdr:row>24</xdr:row>
          <xdr:rowOff>0</xdr:rowOff>
        </xdr:to>
        <xdr:sp macro="" textlink="">
          <xdr:nvSpPr>
            <xdr:cNvPr id="1353926" name="Drop Down 198" hidden="1">
              <a:extLst>
                <a:ext uri="{63B3BB69-23CF-44E3-9099-C40C66FF867C}">
                  <a14:compatExt spid="_x0000_s13539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</xdr:row>
          <xdr:rowOff>0</xdr:rowOff>
        </xdr:from>
        <xdr:to>
          <xdr:col>5</xdr:col>
          <xdr:colOff>9525</xdr:colOff>
          <xdr:row>24</xdr:row>
          <xdr:rowOff>0</xdr:rowOff>
        </xdr:to>
        <xdr:sp macro="" textlink="">
          <xdr:nvSpPr>
            <xdr:cNvPr id="1353927" name="Drop Down 199" hidden="1">
              <a:extLst>
                <a:ext uri="{63B3BB69-23CF-44E3-9099-C40C66FF867C}">
                  <a14:compatExt spid="_x0000_s13539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23</xdr:row>
          <xdr:rowOff>0</xdr:rowOff>
        </xdr:from>
        <xdr:to>
          <xdr:col>16</xdr:col>
          <xdr:colOff>9525</xdr:colOff>
          <xdr:row>24</xdr:row>
          <xdr:rowOff>0</xdr:rowOff>
        </xdr:to>
        <xdr:sp macro="" textlink="">
          <xdr:nvSpPr>
            <xdr:cNvPr id="1353931" name="Drop Down 203" hidden="1">
              <a:extLst>
                <a:ext uri="{63B3BB69-23CF-44E3-9099-C40C66FF867C}">
                  <a14:compatExt spid="_x0000_s1353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23</xdr:row>
          <xdr:rowOff>0</xdr:rowOff>
        </xdr:from>
        <xdr:to>
          <xdr:col>17</xdr:col>
          <xdr:colOff>0</xdr:colOff>
          <xdr:row>24</xdr:row>
          <xdr:rowOff>0</xdr:rowOff>
        </xdr:to>
        <xdr:sp macro="" textlink="">
          <xdr:nvSpPr>
            <xdr:cNvPr id="1353932" name="Drop Down 204" hidden="1">
              <a:extLst>
                <a:ext uri="{63B3BB69-23CF-44E3-9099-C40C66FF867C}">
                  <a14:compatExt spid="_x0000_s1353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24</xdr:row>
          <xdr:rowOff>0</xdr:rowOff>
        </xdr:from>
        <xdr:to>
          <xdr:col>4</xdr:col>
          <xdr:colOff>0</xdr:colOff>
          <xdr:row>25</xdr:row>
          <xdr:rowOff>0</xdr:rowOff>
        </xdr:to>
        <xdr:sp macro="" textlink="">
          <xdr:nvSpPr>
            <xdr:cNvPr id="1353933" name="Drop Down 205" hidden="1">
              <a:extLst>
                <a:ext uri="{63B3BB69-23CF-44E3-9099-C40C66FF867C}">
                  <a14:compatExt spid="_x0000_s13539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24</xdr:row>
          <xdr:rowOff>0</xdr:rowOff>
        </xdr:from>
        <xdr:to>
          <xdr:col>5</xdr:col>
          <xdr:colOff>9525</xdr:colOff>
          <xdr:row>25</xdr:row>
          <xdr:rowOff>0</xdr:rowOff>
        </xdr:to>
        <xdr:sp macro="" textlink="">
          <xdr:nvSpPr>
            <xdr:cNvPr id="1353934" name="Drop Down 206" hidden="1">
              <a:extLst>
                <a:ext uri="{63B3BB69-23CF-44E3-9099-C40C66FF867C}">
                  <a14:compatExt spid="_x0000_s13539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24</xdr:row>
          <xdr:rowOff>0</xdr:rowOff>
        </xdr:from>
        <xdr:to>
          <xdr:col>16</xdr:col>
          <xdr:colOff>9525</xdr:colOff>
          <xdr:row>25</xdr:row>
          <xdr:rowOff>0</xdr:rowOff>
        </xdr:to>
        <xdr:sp macro="" textlink="">
          <xdr:nvSpPr>
            <xdr:cNvPr id="1353938" name="Drop Down 210" hidden="1">
              <a:extLst>
                <a:ext uri="{63B3BB69-23CF-44E3-9099-C40C66FF867C}">
                  <a14:compatExt spid="_x0000_s1353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24</xdr:row>
          <xdr:rowOff>0</xdr:rowOff>
        </xdr:from>
        <xdr:to>
          <xdr:col>17</xdr:col>
          <xdr:colOff>0</xdr:colOff>
          <xdr:row>25</xdr:row>
          <xdr:rowOff>0</xdr:rowOff>
        </xdr:to>
        <xdr:sp macro="" textlink="">
          <xdr:nvSpPr>
            <xdr:cNvPr id="1353939" name="Drop Down 211" hidden="1">
              <a:extLst>
                <a:ext uri="{63B3BB69-23CF-44E3-9099-C40C66FF867C}">
                  <a14:compatExt spid="_x0000_s13539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15</xdr:row>
          <xdr:rowOff>0</xdr:rowOff>
        </xdr:from>
        <xdr:to>
          <xdr:col>4</xdr:col>
          <xdr:colOff>0</xdr:colOff>
          <xdr:row>16</xdr:row>
          <xdr:rowOff>0</xdr:rowOff>
        </xdr:to>
        <xdr:sp macro="" textlink="">
          <xdr:nvSpPr>
            <xdr:cNvPr id="1353950" name="Drop Down 222" hidden="1">
              <a:extLst>
                <a:ext uri="{63B3BB69-23CF-44E3-9099-C40C66FF867C}">
                  <a14:compatExt spid="_x0000_s1353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</xdr:row>
          <xdr:rowOff>0</xdr:rowOff>
        </xdr:from>
        <xdr:to>
          <xdr:col>5</xdr:col>
          <xdr:colOff>9525</xdr:colOff>
          <xdr:row>16</xdr:row>
          <xdr:rowOff>0</xdr:rowOff>
        </xdr:to>
        <xdr:sp macro="" textlink="">
          <xdr:nvSpPr>
            <xdr:cNvPr id="1353951" name="Drop Down 223" hidden="1">
              <a:extLst>
                <a:ext uri="{63B3BB69-23CF-44E3-9099-C40C66FF867C}">
                  <a14:compatExt spid="_x0000_s1353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15</xdr:row>
          <xdr:rowOff>0</xdr:rowOff>
        </xdr:from>
        <xdr:to>
          <xdr:col>16</xdr:col>
          <xdr:colOff>9525</xdr:colOff>
          <xdr:row>16</xdr:row>
          <xdr:rowOff>0</xdr:rowOff>
        </xdr:to>
        <xdr:sp macro="" textlink="">
          <xdr:nvSpPr>
            <xdr:cNvPr id="1353955" name="Drop Down 227" hidden="1">
              <a:extLst>
                <a:ext uri="{63B3BB69-23CF-44E3-9099-C40C66FF867C}">
                  <a14:compatExt spid="_x0000_s13539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15</xdr:row>
          <xdr:rowOff>0</xdr:rowOff>
        </xdr:from>
        <xdr:to>
          <xdr:col>17</xdr:col>
          <xdr:colOff>0</xdr:colOff>
          <xdr:row>16</xdr:row>
          <xdr:rowOff>0</xdr:rowOff>
        </xdr:to>
        <xdr:sp macro="" textlink="">
          <xdr:nvSpPr>
            <xdr:cNvPr id="1353956" name="Drop Down 228" hidden="1">
              <a:extLst>
                <a:ext uri="{63B3BB69-23CF-44E3-9099-C40C66FF867C}">
                  <a14:compatExt spid="_x0000_s1353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16</xdr:row>
          <xdr:rowOff>0</xdr:rowOff>
        </xdr:from>
        <xdr:to>
          <xdr:col>4</xdr:col>
          <xdr:colOff>0</xdr:colOff>
          <xdr:row>17</xdr:row>
          <xdr:rowOff>0</xdr:rowOff>
        </xdr:to>
        <xdr:sp macro="" textlink="">
          <xdr:nvSpPr>
            <xdr:cNvPr id="1353957" name="Drop Down 229" hidden="1">
              <a:extLst>
                <a:ext uri="{63B3BB69-23CF-44E3-9099-C40C66FF867C}">
                  <a14:compatExt spid="_x0000_s13539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16</xdr:row>
          <xdr:rowOff>0</xdr:rowOff>
        </xdr:from>
        <xdr:to>
          <xdr:col>5</xdr:col>
          <xdr:colOff>9525</xdr:colOff>
          <xdr:row>17</xdr:row>
          <xdr:rowOff>0</xdr:rowOff>
        </xdr:to>
        <xdr:sp macro="" textlink="">
          <xdr:nvSpPr>
            <xdr:cNvPr id="1353958" name="Drop Down 230" hidden="1">
              <a:extLst>
                <a:ext uri="{63B3BB69-23CF-44E3-9099-C40C66FF867C}">
                  <a14:compatExt spid="_x0000_s1353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16</xdr:row>
          <xdr:rowOff>0</xdr:rowOff>
        </xdr:from>
        <xdr:to>
          <xdr:col>16</xdr:col>
          <xdr:colOff>9525</xdr:colOff>
          <xdr:row>17</xdr:row>
          <xdr:rowOff>0</xdr:rowOff>
        </xdr:to>
        <xdr:sp macro="" textlink="">
          <xdr:nvSpPr>
            <xdr:cNvPr id="1353962" name="Drop Down 234" hidden="1">
              <a:extLst>
                <a:ext uri="{63B3BB69-23CF-44E3-9099-C40C66FF867C}">
                  <a14:compatExt spid="_x0000_s1353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16</xdr:row>
          <xdr:rowOff>0</xdr:rowOff>
        </xdr:from>
        <xdr:to>
          <xdr:col>17</xdr:col>
          <xdr:colOff>0</xdr:colOff>
          <xdr:row>17</xdr:row>
          <xdr:rowOff>0</xdr:rowOff>
        </xdr:to>
        <xdr:sp macro="" textlink="">
          <xdr:nvSpPr>
            <xdr:cNvPr id="1353963" name="Drop Down 235" hidden="1">
              <a:extLst>
                <a:ext uri="{63B3BB69-23CF-44E3-9099-C40C66FF867C}">
                  <a14:compatExt spid="_x0000_s13539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4</xdr:col>
          <xdr:colOff>0</xdr:colOff>
          <xdr:row>18</xdr:row>
          <xdr:rowOff>0</xdr:rowOff>
        </xdr:to>
        <xdr:sp macro="" textlink="">
          <xdr:nvSpPr>
            <xdr:cNvPr id="1353964" name="Drop Down 236" hidden="1">
              <a:extLst>
                <a:ext uri="{63B3BB69-23CF-44E3-9099-C40C66FF867C}">
                  <a14:compatExt spid="_x0000_s13539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17</xdr:row>
          <xdr:rowOff>0</xdr:rowOff>
        </xdr:from>
        <xdr:to>
          <xdr:col>5</xdr:col>
          <xdr:colOff>9525</xdr:colOff>
          <xdr:row>18</xdr:row>
          <xdr:rowOff>0</xdr:rowOff>
        </xdr:to>
        <xdr:sp macro="" textlink="">
          <xdr:nvSpPr>
            <xdr:cNvPr id="1353965" name="Drop Down 237" hidden="1">
              <a:extLst>
                <a:ext uri="{63B3BB69-23CF-44E3-9099-C40C66FF867C}">
                  <a14:compatExt spid="_x0000_s1353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17</xdr:row>
          <xdr:rowOff>0</xdr:rowOff>
        </xdr:from>
        <xdr:to>
          <xdr:col>16</xdr:col>
          <xdr:colOff>9525</xdr:colOff>
          <xdr:row>18</xdr:row>
          <xdr:rowOff>0</xdr:rowOff>
        </xdr:to>
        <xdr:sp macro="" textlink="">
          <xdr:nvSpPr>
            <xdr:cNvPr id="1353969" name="Drop Down 241" hidden="1">
              <a:extLst>
                <a:ext uri="{63B3BB69-23CF-44E3-9099-C40C66FF867C}">
                  <a14:compatExt spid="_x0000_s1353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17</xdr:row>
          <xdr:rowOff>0</xdr:rowOff>
        </xdr:from>
        <xdr:to>
          <xdr:col>17</xdr:col>
          <xdr:colOff>0</xdr:colOff>
          <xdr:row>18</xdr:row>
          <xdr:rowOff>0</xdr:rowOff>
        </xdr:to>
        <xdr:sp macro="" textlink="">
          <xdr:nvSpPr>
            <xdr:cNvPr id="1353970" name="Drop Down 242" hidden="1">
              <a:extLst>
                <a:ext uri="{63B3BB69-23CF-44E3-9099-C40C66FF867C}">
                  <a14:compatExt spid="_x0000_s1353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18</xdr:row>
          <xdr:rowOff>0</xdr:rowOff>
        </xdr:from>
        <xdr:to>
          <xdr:col>4</xdr:col>
          <xdr:colOff>0</xdr:colOff>
          <xdr:row>19</xdr:row>
          <xdr:rowOff>0</xdr:rowOff>
        </xdr:to>
        <xdr:sp macro="" textlink="">
          <xdr:nvSpPr>
            <xdr:cNvPr id="1353971" name="Drop Down 243" hidden="1">
              <a:extLst>
                <a:ext uri="{63B3BB69-23CF-44E3-9099-C40C66FF867C}">
                  <a14:compatExt spid="_x0000_s1353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18</xdr:row>
          <xdr:rowOff>0</xdr:rowOff>
        </xdr:from>
        <xdr:to>
          <xdr:col>5</xdr:col>
          <xdr:colOff>9525</xdr:colOff>
          <xdr:row>19</xdr:row>
          <xdr:rowOff>0</xdr:rowOff>
        </xdr:to>
        <xdr:sp macro="" textlink="">
          <xdr:nvSpPr>
            <xdr:cNvPr id="1353972" name="Drop Down 244" hidden="1">
              <a:extLst>
                <a:ext uri="{63B3BB69-23CF-44E3-9099-C40C66FF867C}">
                  <a14:compatExt spid="_x0000_s1353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18</xdr:row>
          <xdr:rowOff>0</xdr:rowOff>
        </xdr:from>
        <xdr:to>
          <xdr:col>16</xdr:col>
          <xdr:colOff>9525</xdr:colOff>
          <xdr:row>19</xdr:row>
          <xdr:rowOff>0</xdr:rowOff>
        </xdr:to>
        <xdr:sp macro="" textlink="">
          <xdr:nvSpPr>
            <xdr:cNvPr id="1353976" name="Drop Down 248" hidden="1">
              <a:extLst>
                <a:ext uri="{63B3BB69-23CF-44E3-9099-C40C66FF867C}">
                  <a14:compatExt spid="_x0000_s1353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18</xdr:row>
          <xdr:rowOff>0</xdr:rowOff>
        </xdr:from>
        <xdr:to>
          <xdr:col>17</xdr:col>
          <xdr:colOff>0</xdr:colOff>
          <xdr:row>19</xdr:row>
          <xdr:rowOff>0</xdr:rowOff>
        </xdr:to>
        <xdr:sp macro="" textlink="">
          <xdr:nvSpPr>
            <xdr:cNvPr id="1353977" name="Drop Down 249" hidden="1">
              <a:extLst>
                <a:ext uri="{63B3BB69-23CF-44E3-9099-C40C66FF867C}">
                  <a14:compatExt spid="_x0000_s1353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19</xdr:row>
          <xdr:rowOff>0</xdr:rowOff>
        </xdr:from>
        <xdr:to>
          <xdr:col>4</xdr:col>
          <xdr:colOff>0</xdr:colOff>
          <xdr:row>20</xdr:row>
          <xdr:rowOff>0</xdr:rowOff>
        </xdr:to>
        <xdr:sp macro="" textlink="">
          <xdr:nvSpPr>
            <xdr:cNvPr id="1353978" name="Drop Down 250" hidden="1">
              <a:extLst>
                <a:ext uri="{63B3BB69-23CF-44E3-9099-C40C66FF867C}">
                  <a14:compatExt spid="_x0000_s1353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19</xdr:row>
          <xdr:rowOff>0</xdr:rowOff>
        </xdr:from>
        <xdr:to>
          <xdr:col>5</xdr:col>
          <xdr:colOff>9525</xdr:colOff>
          <xdr:row>20</xdr:row>
          <xdr:rowOff>0</xdr:rowOff>
        </xdr:to>
        <xdr:sp macro="" textlink="">
          <xdr:nvSpPr>
            <xdr:cNvPr id="1353979" name="Drop Down 251" hidden="1">
              <a:extLst>
                <a:ext uri="{63B3BB69-23CF-44E3-9099-C40C66FF867C}">
                  <a14:compatExt spid="_x0000_s1353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19</xdr:row>
          <xdr:rowOff>0</xdr:rowOff>
        </xdr:from>
        <xdr:to>
          <xdr:col>16</xdr:col>
          <xdr:colOff>9525</xdr:colOff>
          <xdr:row>20</xdr:row>
          <xdr:rowOff>0</xdr:rowOff>
        </xdr:to>
        <xdr:sp macro="" textlink="">
          <xdr:nvSpPr>
            <xdr:cNvPr id="1353983" name="Drop Down 255" hidden="1">
              <a:extLst>
                <a:ext uri="{63B3BB69-23CF-44E3-9099-C40C66FF867C}">
                  <a14:compatExt spid="_x0000_s1353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19</xdr:row>
          <xdr:rowOff>0</xdr:rowOff>
        </xdr:from>
        <xdr:to>
          <xdr:col>17</xdr:col>
          <xdr:colOff>0</xdr:colOff>
          <xdr:row>20</xdr:row>
          <xdr:rowOff>0</xdr:rowOff>
        </xdr:to>
        <xdr:sp macro="" textlink="">
          <xdr:nvSpPr>
            <xdr:cNvPr id="1353984" name="Drop Down 256" hidden="1">
              <a:extLst>
                <a:ext uri="{63B3BB69-23CF-44E3-9099-C40C66FF867C}">
                  <a14:compatExt spid="_x0000_s1353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39</xdr:row>
          <xdr:rowOff>0</xdr:rowOff>
        </xdr:from>
        <xdr:to>
          <xdr:col>13</xdr:col>
          <xdr:colOff>0</xdr:colOff>
          <xdr:row>40</xdr:row>
          <xdr:rowOff>0</xdr:rowOff>
        </xdr:to>
        <xdr:sp macro="" textlink="">
          <xdr:nvSpPr>
            <xdr:cNvPr id="1353985" name="Drop Down 257" hidden="1">
              <a:extLst>
                <a:ext uri="{63B3BB69-23CF-44E3-9099-C40C66FF867C}">
                  <a14:compatExt spid="_x0000_s1353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39</xdr:row>
          <xdr:rowOff>0</xdr:rowOff>
        </xdr:from>
        <xdr:to>
          <xdr:col>14</xdr:col>
          <xdr:colOff>0</xdr:colOff>
          <xdr:row>40</xdr:row>
          <xdr:rowOff>0</xdr:rowOff>
        </xdr:to>
        <xdr:sp macro="" textlink="">
          <xdr:nvSpPr>
            <xdr:cNvPr id="1353986" name="Drop Down 258" hidden="1">
              <a:extLst>
                <a:ext uri="{63B3BB69-23CF-44E3-9099-C40C66FF867C}">
                  <a14:compatExt spid="_x0000_s1353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40</xdr:row>
          <xdr:rowOff>0</xdr:rowOff>
        </xdr:from>
        <xdr:to>
          <xdr:col>13</xdr:col>
          <xdr:colOff>0</xdr:colOff>
          <xdr:row>41</xdr:row>
          <xdr:rowOff>0</xdr:rowOff>
        </xdr:to>
        <xdr:sp macro="" textlink="">
          <xdr:nvSpPr>
            <xdr:cNvPr id="1353987" name="Drop Down 259" hidden="1">
              <a:extLst>
                <a:ext uri="{63B3BB69-23CF-44E3-9099-C40C66FF867C}">
                  <a14:compatExt spid="_x0000_s1353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40</xdr:row>
          <xdr:rowOff>0</xdr:rowOff>
        </xdr:from>
        <xdr:to>
          <xdr:col>14</xdr:col>
          <xdr:colOff>0</xdr:colOff>
          <xdr:row>41</xdr:row>
          <xdr:rowOff>0</xdr:rowOff>
        </xdr:to>
        <xdr:sp macro="" textlink="">
          <xdr:nvSpPr>
            <xdr:cNvPr id="1353988" name="Drop Down 260" hidden="1">
              <a:extLst>
                <a:ext uri="{63B3BB69-23CF-44E3-9099-C40C66FF867C}">
                  <a14:compatExt spid="_x0000_s1353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41</xdr:row>
          <xdr:rowOff>0</xdr:rowOff>
        </xdr:from>
        <xdr:to>
          <xdr:col>13</xdr:col>
          <xdr:colOff>0</xdr:colOff>
          <xdr:row>42</xdr:row>
          <xdr:rowOff>0</xdr:rowOff>
        </xdr:to>
        <xdr:sp macro="" textlink="">
          <xdr:nvSpPr>
            <xdr:cNvPr id="1353989" name="Drop Down 261" hidden="1">
              <a:extLst>
                <a:ext uri="{63B3BB69-23CF-44E3-9099-C40C66FF867C}">
                  <a14:compatExt spid="_x0000_s1353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41</xdr:row>
          <xdr:rowOff>0</xdr:rowOff>
        </xdr:from>
        <xdr:to>
          <xdr:col>14</xdr:col>
          <xdr:colOff>0</xdr:colOff>
          <xdr:row>42</xdr:row>
          <xdr:rowOff>0</xdr:rowOff>
        </xdr:to>
        <xdr:sp macro="" textlink="">
          <xdr:nvSpPr>
            <xdr:cNvPr id="1353990" name="Drop Down 262" hidden="1">
              <a:extLst>
                <a:ext uri="{63B3BB69-23CF-44E3-9099-C40C66FF867C}">
                  <a14:compatExt spid="_x0000_s1353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42</xdr:row>
          <xdr:rowOff>0</xdr:rowOff>
        </xdr:from>
        <xdr:to>
          <xdr:col>13</xdr:col>
          <xdr:colOff>0</xdr:colOff>
          <xdr:row>43</xdr:row>
          <xdr:rowOff>0</xdr:rowOff>
        </xdr:to>
        <xdr:sp macro="" textlink="">
          <xdr:nvSpPr>
            <xdr:cNvPr id="1353991" name="Drop Down 263" hidden="1">
              <a:extLst>
                <a:ext uri="{63B3BB69-23CF-44E3-9099-C40C66FF867C}">
                  <a14:compatExt spid="_x0000_s1353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42</xdr:row>
          <xdr:rowOff>0</xdr:rowOff>
        </xdr:from>
        <xdr:to>
          <xdr:col>14</xdr:col>
          <xdr:colOff>0</xdr:colOff>
          <xdr:row>43</xdr:row>
          <xdr:rowOff>0</xdr:rowOff>
        </xdr:to>
        <xdr:sp macro="" textlink="">
          <xdr:nvSpPr>
            <xdr:cNvPr id="1353992" name="Drop Down 264" hidden="1">
              <a:extLst>
                <a:ext uri="{63B3BB69-23CF-44E3-9099-C40C66FF867C}">
                  <a14:compatExt spid="_x0000_s1353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43</xdr:row>
          <xdr:rowOff>0</xdr:rowOff>
        </xdr:from>
        <xdr:to>
          <xdr:col>13</xdr:col>
          <xdr:colOff>0</xdr:colOff>
          <xdr:row>44</xdr:row>
          <xdr:rowOff>0</xdr:rowOff>
        </xdr:to>
        <xdr:sp macro="" textlink="">
          <xdr:nvSpPr>
            <xdr:cNvPr id="1353993" name="Drop Down 265" hidden="1">
              <a:extLst>
                <a:ext uri="{63B3BB69-23CF-44E3-9099-C40C66FF867C}">
                  <a14:compatExt spid="_x0000_s1353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43</xdr:row>
          <xdr:rowOff>0</xdr:rowOff>
        </xdr:from>
        <xdr:to>
          <xdr:col>14</xdr:col>
          <xdr:colOff>0</xdr:colOff>
          <xdr:row>44</xdr:row>
          <xdr:rowOff>0</xdr:rowOff>
        </xdr:to>
        <xdr:sp macro="" textlink="">
          <xdr:nvSpPr>
            <xdr:cNvPr id="1353994" name="Drop Down 266" hidden="1">
              <a:extLst>
                <a:ext uri="{63B3BB69-23CF-44E3-9099-C40C66FF867C}">
                  <a14:compatExt spid="_x0000_s1353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65</xdr:row>
          <xdr:rowOff>0</xdr:rowOff>
        </xdr:from>
        <xdr:to>
          <xdr:col>4</xdr:col>
          <xdr:colOff>0</xdr:colOff>
          <xdr:row>66</xdr:row>
          <xdr:rowOff>0</xdr:rowOff>
        </xdr:to>
        <xdr:sp macro="" textlink="">
          <xdr:nvSpPr>
            <xdr:cNvPr id="1353995" name="Drop Down 267" hidden="1">
              <a:extLst>
                <a:ext uri="{63B3BB69-23CF-44E3-9099-C40C66FF867C}">
                  <a14:compatExt spid="_x0000_s1353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65</xdr:row>
          <xdr:rowOff>0</xdr:rowOff>
        </xdr:from>
        <xdr:to>
          <xdr:col>5</xdr:col>
          <xdr:colOff>9525</xdr:colOff>
          <xdr:row>66</xdr:row>
          <xdr:rowOff>0</xdr:rowOff>
        </xdr:to>
        <xdr:sp macro="" textlink="">
          <xdr:nvSpPr>
            <xdr:cNvPr id="1353996" name="Drop Down 268" hidden="1">
              <a:extLst>
                <a:ext uri="{63B3BB69-23CF-44E3-9099-C40C66FF867C}">
                  <a14:compatExt spid="_x0000_s1353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65</xdr:row>
          <xdr:rowOff>0</xdr:rowOff>
        </xdr:from>
        <xdr:to>
          <xdr:col>16</xdr:col>
          <xdr:colOff>9525</xdr:colOff>
          <xdr:row>66</xdr:row>
          <xdr:rowOff>0</xdr:rowOff>
        </xdr:to>
        <xdr:sp macro="" textlink="">
          <xdr:nvSpPr>
            <xdr:cNvPr id="1354002" name="Drop Down 274" hidden="1">
              <a:extLst>
                <a:ext uri="{63B3BB69-23CF-44E3-9099-C40C66FF867C}">
                  <a14:compatExt spid="_x0000_s1354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65</xdr:row>
          <xdr:rowOff>0</xdr:rowOff>
        </xdr:from>
        <xdr:to>
          <xdr:col>17</xdr:col>
          <xdr:colOff>0</xdr:colOff>
          <xdr:row>66</xdr:row>
          <xdr:rowOff>0</xdr:rowOff>
        </xdr:to>
        <xdr:sp macro="" textlink="">
          <xdr:nvSpPr>
            <xdr:cNvPr id="1354003" name="Drop Down 275" hidden="1">
              <a:extLst>
                <a:ext uri="{63B3BB69-23CF-44E3-9099-C40C66FF867C}">
                  <a14:compatExt spid="_x0000_s1354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66</xdr:row>
          <xdr:rowOff>0</xdr:rowOff>
        </xdr:from>
        <xdr:to>
          <xdr:col>4</xdr:col>
          <xdr:colOff>0</xdr:colOff>
          <xdr:row>67</xdr:row>
          <xdr:rowOff>0</xdr:rowOff>
        </xdr:to>
        <xdr:sp macro="" textlink="">
          <xdr:nvSpPr>
            <xdr:cNvPr id="1354004" name="Drop Down 276" hidden="1">
              <a:extLst>
                <a:ext uri="{63B3BB69-23CF-44E3-9099-C40C66FF867C}">
                  <a14:compatExt spid="_x0000_s1354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66</xdr:row>
          <xdr:rowOff>0</xdr:rowOff>
        </xdr:from>
        <xdr:to>
          <xdr:col>5</xdr:col>
          <xdr:colOff>9525</xdr:colOff>
          <xdr:row>67</xdr:row>
          <xdr:rowOff>0</xdr:rowOff>
        </xdr:to>
        <xdr:sp macro="" textlink="">
          <xdr:nvSpPr>
            <xdr:cNvPr id="1354005" name="Drop Down 277" hidden="1">
              <a:extLst>
                <a:ext uri="{63B3BB69-23CF-44E3-9099-C40C66FF867C}">
                  <a14:compatExt spid="_x0000_s1354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66</xdr:row>
          <xdr:rowOff>0</xdr:rowOff>
        </xdr:from>
        <xdr:to>
          <xdr:col>16</xdr:col>
          <xdr:colOff>9525</xdr:colOff>
          <xdr:row>67</xdr:row>
          <xdr:rowOff>0</xdr:rowOff>
        </xdr:to>
        <xdr:sp macro="" textlink="">
          <xdr:nvSpPr>
            <xdr:cNvPr id="1354011" name="Drop Down 283" hidden="1">
              <a:extLst>
                <a:ext uri="{63B3BB69-23CF-44E3-9099-C40C66FF867C}">
                  <a14:compatExt spid="_x0000_s13540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66</xdr:row>
          <xdr:rowOff>0</xdr:rowOff>
        </xdr:from>
        <xdr:to>
          <xdr:col>17</xdr:col>
          <xdr:colOff>0</xdr:colOff>
          <xdr:row>67</xdr:row>
          <xdr:rowOff>0</xdr:rowOff>
        </xdr:to>
        <xdr:sp macro="" textlink="">
          <xdr:nvSpPr>
            <xdr:cNvPr id="1354012" name="Drop Down 284" hidden="1">
              <a:extLst>
                <a:ext uri="{63B3BB69-23CF-44E3-9099-C40C66FF867C}">
                  <a14:compatExt spid="_x0000_s13540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67</xdr:row>
          <xdr:rowOff>0</xdr:rowOff>
        </xdr:from>
        <xdr:to>
          <xdr:col>4</xdr:col>
          <xdr:colOff>0</xdr:colOff>
          <xdr:row>68</xdr:row>
          <xdr:rowOff>0</xdr:rowOff>
        </xdr:to>
        <xdr:sp macro="" textlink="">
          <xdr:nvSpPr>
            <xdr:cNvPr id="1354013" name="Drop Down 285" hidden="1">
              <a:extLst>
                <a:ext uri="{63B3BB69-23CF-44E3-9099-C40C66FF867C}">
                  <a14:compatExt spid="_x0000_s13540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67</xdr:row>
          <xdr:rowOff>0</xdr:rowOff>
        </xdr:from>
        <xdr:to>
          <xdr:col>5</xdr:col>
          <xdr:colOff>9525</xdr:colOff>
          <xdr:row>68</xdr:row>
          <xdr:rowOff>0</xdr:rowOff>
        </xdr:to>
        <xdr:sp macro="" textlink="">
          <xdr:nvSpPr>
            <xdr:cNvPr id="1354014" name="Drop Down 286" hidden="1">
              <a:extLst>
                <a:ext uri="{63B3BB69-23CF-44E3-9099-C40C66FF867C}">
                  <a14:compatExt spid="_x0000_s13540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67</xdr:row>
          <xdr:rowOff>0</xdr:rowOff>
        </xdr:from>
        <xdr:to>
          <xdr:col>16</xdr:col>
          <xdr:colOff>9525</xdr:colOff>
          <xdr:row>68</xdr:row>
          <xdr:rowOff>0</xdr:rowOff>
        </xdr:to>
        <xdr:sp macro="" textlink="">
          <xdr:nvSpPr>
            <xdr:cNvPr id="1354020" name="Drop Down 292" hidden="1">
              <a:extLst>
                <a:ext uri="{63B3BB69-23CF-44E3-9099-C40C66FF867C}">
                  <a14:compatExt spid="_x0000_s1354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67</xdr:row>
          <xdr:rowOff>0</xdr:rowOff>
        </xdr:from>
        <xdr:to>
          <xdr:col>17</xdr:col>
          <xdr:colOff>0</xdr:colOff>
          <xdr:row>68</xdr:row>
          <xdr:rowOff>0</xdr:rowOff>
        </xdr:to>
        <xdr:sp macro="" textlink="">
          <xdr:nvSpPr>
            <xdr:cNvPr id="1354021" name="Drop Down 293" hidden="1">
              <a:extLst>
                <a:ext uri="{63B3BB69-23CF-44E3-9099-C40C66FF867C}">
                  <a14:compatExt spid="_x0000_s13540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68</xdr:row>
          <xdr:rowOff>0</xdr:rowOff>
        </xdr:from>
        <xdr:to>
          <xdr:col>4</xdr:col>
          <xdr:colOff>0</xdr:colOff>
          <xdr:row>69</xdr:row>
          <xdr:rowOff>0</xdr:rowOff>
        </xdr:to>
        <xdr:sp macro="" textlink="">
          <xdr:nvSpPr>
            <xdr:cNvPr id="1354022" name="Drop Down 294" hidden="1">
              <a:extLst>
                <a:ext uri="{63B3BB69-23CF-44E3-9099-C40C66FF867C}">
                  <a14:compatExt spid="_x0000_s13540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68</xdr:row>
          <xdr:rowOff>0</xdr:rowOff>
        </xdr:from>
        <xdr:to>
          <xdr:col>5</xdr:col>
          <xdr:colOff>9525</xdr:colOff>
          <xdr:row>69</xdr:row>
          <xdr:rowOff>0</xdr:rowOff>
        </xdr:to>
        <xdr:sp macro="" textlink="">
          <xdr:nvSpPr>
            <xdr:cNvPr id="1354023" name="Drop Down 295" hidden="1">
              <a:extLst>
                <a:ext uri="{63B3BB69-23CF-44E3-9099-C40C66FF867C}">
                  <a14:compatExt spid="_x0000_s13540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68</xdr:row>
          <xdr:rowOff>0</xdr:rowOff>
        </xdr:from>
        <xdr:to>
          <xdr:col>16</xdr:col>
          <xdr:colOff>9525</xdr:colOff>
          <xdr:row>69</xdr:row>
          <xdr:rowOff>0</xdr:rowOff>
        </xdr:to>
        <xdr:sp macro="" textlink="">
          <xdr:nvSpPr>
            <xdr:cNvPr id="1354029" name="Drop Down 301" hidden="1">
              <a:extLst>
                <a:ext uri="{63B3BB69-23CF-44E3-9099-C40C66FF867C}">
                  <a14:compatExt spid="_x0000_s1354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68</xdr:row>
          <xdr:rowOff>0</xdr:rowOff>
        </xdr:from>
        <xdr:to>
          <xdr:col>17</xdr:col>
          <xdr:colOff>0</xdr:colOff>
          <xdr:row>69</xdr:row>
          <xdr:rowOff>0</xdr:rowOff>
        </xdr:to>
        <xdr:sp macro="" textlink="">
          <xdr:nvSpPr>
            <xdr:cNvPr id="1354030" name="Drop Down 302" hidden="1">
              <a:extLst>
                <a:ext uri="{63B3BB69-23CF-44E3-9099-C40C66FF867C}">
                  <a14:compatExt spid="_x0000_s1354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69</xdr:row>
          <xdr:rowOff>0</xdr:rowOff>
        </xdr:from>
        <xdr:to>
          <xdr:col>4</xdr:col>
          <xdr:colOff>0</xdr:colOff>
          <xdr:row>70</xdr:row>
          <xdr:rowOff>0</xdr:rowOff>
        </xdr:to>
        <xdr:sp macro="" textlink="">
          <xdr:nvSpPr>
            <xdr:cNvPr id="1354031" name="Drop Down 303" hidden="1">
              <a:extLst>
                <a:ext uri="{63B3BB69-23CF-44E3-9099-C40C66FF867C}">
                  <a14:compatExt spid="_x0000_s1354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69</xdr:row>
          <xdr:rowOff>0</xdr:rowOff>
        </xdr:from>
        <xdr:to>
          <xdr:col>5</xdr:col>
          <xdr:colOff>9525</xdr:colOff>
          <xdr:row>70</xdr:row>
          <xdr:rowOff>0</xdr:rowOff>
        </xdr:to>
        <xdr:sp macro="" textlink="">
          <xdr:nvSpPr>
            <xdr:cNvPr id="1354032" name="Drop Down 304" hidden="1">
              <a:extLst>
                <a:ext uri="{63B3BB69-23CF-44E3-9099-C40C66FF867C}">
                  <a14:compatExt spid="_x0000_s1354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69</xdr:row>
          <xdr:rowOff>0</xdr:rowOff>
        </xdr:from>
        <xdr:to>
          <xdr:col>16</xdr:col>
          <xdr:colOff>9525</xdr:colOff>
          <xdr:row>70</xdr:row>
          <xdr:rowOff>0</xdr:rowOff>
        </xdr:to>
        <xdr:sp macro="" textlink="">
          <xdr:nvSpPr>
            <xdr:cNvPr id="1354038" name="Drop Down 310" hidden="1">
              <a:extLst>
                <a:ext uri="{63B3BB69-23CF-44E3-9099-C40C66FF867C}">
                  <a14:compatExt spid="_x0000_s1354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69</xdr:row>
          <xdr:rowOff>0</xdr:rowOff>
        </xdr:from>
        <xdr:to>
          <xdr:col>17</xdr:col>
          <xdr:colOff>0</xdr:colOff>
          <xdr:row>70</xdr:row>
          <xdr:rowOff>0</xdr:rowOff>
        </xdr:to>
        <xdr:sp macro="" textlink="">
          <xdr:nvSpPr>
            <xdr:cNvPr id="1354039" name="Drop Down 311" hidden="1">
              <a:extLst>
                <a:ext uri="{63B3BB69-23CF-44E3-9099-C40C66FF867C}">
                  <a14:compatExt spid="_x0000_s1354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77</xdr:row>
          <xdr:rowOff>0</xdr:rowOff>
        </xdr:from>
        <xdr:to>
          <xdr:col>13</xdr:col>
          <xdr:colOff>0</xdr:colOff>
          <xdr:row>78</xdr:row>
          <xdr:rowOff>0</xdr:rowOff>
        </xdr:to>
        <xdr:sp macro="" textlink="">
          <xdr:nvSpPr>
            <xdr:cNvPr id="1354040" name="Drop Down 312" hidden="1">
              <a:extLst>
                <a:ext uri="{63B3BB69-23CF-44E3-9099-C40C66FF867C}">
                  <a14:compatExt spid="_x0000_s1354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77</xdr:row>
          <xdr:rowOff>0</xdr:rowOff>
        </xdr:from>
        <xdr:to>
          <xdr:col>14</xdr:col>
          <xdr:colOff>0</xdr:colOff>
          <xdr:row>78</xdr:row>
          <xdr:rowOff>0</xdr:rowOff>
        </xdr:to>
        <xdr:sp macro="" textlink="">
          <xdr:nvSpPr>
            <xdr:cNvPr id="1354041" name="Drop Down 313" hidden="1">
              <a:extLst>
                <a:ext uri="{63B3BB69-23CF-44E3-9099-C40C66FF867C}">
                  <a14:compatExt spid="_x0000_s1354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78</xdr:row>
          <xdr:rowOff>0</xdr:rowOff>
        </xdr:from>
        <xdr:to>
          <xdr:col>13</xdr:col>
          <xdr:colOff>0</xdr:colOff>
          <xdr:row>79</xdr:row>
          <xdr:rowOff>0</xdr:rowOff>
        </xdr:to>
        <xdr:sp macro="" textlink="">
          <xdr:nvSpPr>
            <xdr:cNvPr id="1354042" name="Drop Down 314" hidden="1">
              <a:extLst>
                <a:ext uri="{63B3BB69-23CF-44E3-9099-C40C66FF867C}">
                  <a14:compatExt spid="_x0000_s1354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78</xdr:row>
          <xdr:rowOff>0</xdr:rowOff>
        </xdr:from>
        <xdr:to>
          <xdr:col>14</xdr:col>
          <xdr:colOff>0</xdr:colOff>
          <xdr:row>79</xdr:row>
          <xdr:rowOff>0</xdr:rowOff>
        </xdr:to>
        <xdr:sp macro="" textlink="">
          <xdr:nvSpPr>
            <xdr:cNvPr id="1354043" name="Drop Down 315" hidden="1">
              <a:extLst>
                <a:ext uri="{63B3BB69-23CF-44E3-9099-C40C66FF867C}">
                  <a14:compatExt spid="_x0000_s1354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79</xdr:row>
          <xdr:rowOff>0</xdr:rowOff>
        </xdr:from>
        <xdr:to>
          <xdr:col>13</xdr:col>
          <xdr:colOff>0</xdr:colOff>
          <xdr:row>80</xdr:row>
          <xdr:rowOff>0</xdr:rowOff>
        </xdr:to>
        <xdr:sp macro="" textlink="">
          <xdr:nvSpPr>
            <xdr:cNvPr id="1354044" name="Drop Down 316" hidden="1">
              <a:extLst>
                <a:ext uri="{63B3BB69-23CF-44E3-9099-C40C66FF867C}">
                  <a14:compatExt spid="_x0000_s1354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79</xdr:row>
          <xdr:rowOff>0</xdr:rowOff>
        </xdr:from>
        <xdr:to>
          <xdr:col>14</xdr:col>
          <xdr:colOff>0</xdr:colOff>
          <xdr:row>80</xdr:row>
          <xdr:rowOff>0</xdr:rowOff>
        </xdr:to>
        <xdr:sp macro="" textlink="">
          <xdr:nvSpPr>
            <xdr:cNvPr id="1354045" name="Drop Down 317" hidden="1">
              <a:extLst>
                <a:ext uri="{63B3BB69-23CF-44E3-9099-C40C66FF867C}">
                  <a14:compatExt spid="_x0000_s1354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80</xdr:row>
          <xdr:rowOff>0</xdr:rowOff>
        </xdr:from>
        <xdr:to>
          <xdr:col>13</xdr:col>
          <xdr:colOff>0</xdr:colOff>
          <xdr:row>81</xdr:row>
          <xdr:rowOff>0</xdr:rowOff>
        </xdr:to>
        <xdr:sp macro="" textlink="">
          <xdr:nvSpPr>
            <xdr:cNvPr id="1354046" name="Drop Down 318" hidden="1">
              <a:extLst>
                <a:ext uri="{63B3BB69-23CF-44E3-9099-C40C66FF867C}">
                  <a14:compatExt spid="_x0000_s1354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80</xdr:row>
          <xdr:rowOff>0</xdr:rowOff>
        </xdr:from>
        <xdr:to>
          <xdr:col>14</xdr:col>
          <xdr:colOff>0</xdr:colOff>
          <xdr:row>81</xdr:row>
          <xdr:rowOff>0</xdr:rowOff>
        </xdr:to>
        <xdr:sp macro="" textlink="">
          <xdr:nvSpPr>
            <xdr:cNvPr id="1354047" name="Drop Down 319" hidden="1">
              <a:extLst>
                <a:ext uri="{63B3BB69-23CF-44E3-9099-C40C66FF867C}">
                  <a14:compatExt spid="_x0000_s1354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81</xdr:row>
          <xdr:rowOff>0</xdr:rowOff>
        </xdr:from>
        <xdr:to>
          <xdr:col>13</xdr:col>
          <xdr:colOff>0</xdr:colOff>
          <xdr:row>82</xdr:row>
          <xdr:rowOff>0</xdr:rowOff>
        </xdr:to>
        <xdr:sp macro="" textlink="">
          <xdr:nvSpPr>
            <xdr:cNvPr id="1354048" name="Drop Down 320" hidden="1">
              <a:extLst>
                <a:ext uri="{63B3BB69-23CF-44E3-9099-C40C66FF867C}">
                  <a14:compatExt spid="_x0000_s1354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81</xdr:row>
          <xdr:rowOff>0</xdr:rowOff>
        </xdr:from>
        <xdr:to>
          <xdr:col>14</xdr:col>
          <xdr:colOff>0</xdr:colOff>
          <xdr:row>82</xdr:row>
          <xdr:rowOff>0</xdr:rowOff>
        </xdr:to>
        <xdr:sp macro="" textlink="">
          <xdr:nvSpPr>
            <xdr:cNvPr id="1354049" name="Drop Down 321" hidden="1">
              <a:extLst>
                <a:ext uri="{63B3BB69-23CF-44E3-9099-C40C66FF867C}">
                  <a14:compatExt spid="_x0000_s1354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7</xdr:row>
          <xdr:rowOff>180975</xdr:rowOff>
        </xdr:from>
        <xdr:to>
          <xdr:col>2</xdr:col>
          <xdr:colOff>1362075</xdr:colOff>
          <xdr:row>9</xdr:row>
          <xdr:rowOff>0</xdr:rowOff>
        </xdr:to>
        <xdr:sp macro="" textlink="">
          <xdr:nvSpPr>
            <xdr:cNvPr id="1354255" name="Drop Down 527" hidden="1">
              <a:extLst>
                <a:ext uri="{63B3BB69-23CF-44E3-9099-C40C66FF867C}">
                  <a14:compatExt spid="_x0000_s1354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64</xdr:row>
          <xdr:rowOff>0</xdr:rowOff>
        </xdr:from>
        <xdr:to>
          <xdr:col>5</xdr:col>
          <xdr:colOff>9525</xdr:colOff>
          <xdr:row>65</xdr:row>
          <xdr:rowOff>0</xdr:rowOff>
        </xdr:to>
        <xdr:sp macro="" textlink="">
          <xdr:nvSpPr>
            <xdr:cNvPr id="2227560" name="Drop Down 1384" hidden="1">
              <a:extLst>
                <a:ext uri="{63B3BB69-23CF-44E3-9099-C40C66FF867C}">
                  <a14:compatExt spid="_x0000_s2227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</xdr:row>
          <xdr:rowOff>0</xdr:rowOff>
        </xdr:from>
        <xdr:to>
          <xdr:col>4</xdr:col>
          <xdr:colOff>0</xdr:colOff>
          <xdr:row>12</xdr:row>
          <xdr:rowOff>0</xdr:rowOff>
        </xdr:to>
        <xdr:sp macro="" textlink="">
          <xdr:nvSpPr>
            <xdr:cNvPr id="36865" name="Drop Down 1" hidden="1">
              <a:extLst>
                <a:ext uri="{63B3BB69-23CF-44E3-9099-C40C66FF867C}">
                  <a14:compatExt spid="_x0000_s36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</xdr:row>
          <xdr:rowOff>0</xdr:rowOff>
        </xdr:from>
        <xdr:to>
          <xdr:col>5</xdr:col>
          <xdr:colOff>9525</xdr:colOff>
          <xdr:row>12</xdr:row>
          <xdr:rowOff>0</xdr:rowOff>
        </xdr:to>
        <xdr:sp macro="" textlink="">
          <xdr:nvSpPr>
            <xdr:cNvPr id="36866" name="Drop Down 2" hidden="1">
              <a:extLst>
                <a:ext uri="{63B3BB69-23CF-44E3-9099-C40C66FF867C}">
                  <a14:compatExt spid="_x0000_s36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12</xdr:row>
          <xdr:rowOff>0</xdr:rowOff>
        </xdr:from>
        <xdr:to>
          <xdr:col>4</xdr:col>
          <xdr:colOff>0</xdr:colOff>
          <xdr:row>13</xdr:row>
          <xdr:rowOff>0</xdr:rowOff>
        </xdr:to>
        <xdr:sp macro="" textlink="">
          <xdr:nvSpPr>
            <xdr:cNvPr id="36867" name="Drop Down 3" hidden="1">
              <a:extLst>
                <a:ext uri="{63B3BB69-23CF-44E3-9099-C40C66FF867C}">
                  <a14:compatExt spid="_x0000_s36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13</xdr:row>
          <xdr:rowOff>0</xdr:rowOff>
        </xdr:from>
        <xdr:to>
          <xdr:col>4</xdr:col>
          <xdr:colOff>0</xdr:colOff>
          <xdr:row>14</xdr:row>
          <xdr:rowOff>0</xdr:rowOff>
        </xdr:to>
        <xdr:sp macro="" textlink="">
          <xdr:nvSpPr>
            <xdr:cNvPr id="36868" name="Drop Down 4" hidden="1">
              <a:extLst>
                <a:ext uri="{63B3BB69-23CF-44E3-9099-C40C66FF867C}">
                  <a14:compatExt spid="_x0000_s36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14</xdr:row>
          <xdr:rowOff>0</xdr:rowOff>
        </xdr:from>
        <xdr:to>
          <xdr:col>4</xdr:col>
          <xdr:colOff>0</xdr:colOff>
          <xdr:row>15</xdr:row>
          <xdr:rowOff>0</xdr:rowOff>
        </xdr:to>
        <xdr:sp macro="" textlink="">
          <xdr:nvSpPr>
            <xdr:cNvPr id="36869" name="Drop Down 5" hidden="1">
              <a:extLst>
                <a:ext uri="{63B3BB69-23CF-44E3-9099-C40C66FF867C}">
                  <a14:compatExt spid="_x0000_s36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25</xdr:row>
          <xdr:rowOff>0</xdr:rowOff>
        </xdr:from>
        <xdr:to>
          <xdr:col>4</xdr:col>
          <xdr:colOff>0</xdr:colOff>
          <xdr:row>26</xdr:row>
          <xdr:rowOff>0</xdr:rowOff>
        </xdr:to>
        <xdr:sp macro="" textlink="">
          <xdr:nvSpPr>
            <xdr:cNvPr id="36870" name="Drop Down 6" hidden="1">
              <a:extLst>
                <a:ext uri="{63B3BB69-23CF-44E3-9099-C40C66FF867C}">
                  <a14:compatExt spid="_x0000_s36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5</xdr:col>
          <xdr:colOff>9525</xdr:colOff>
          <xdr:row>13</xdr:row>
          <xdr:rowOff>0</xdr:rowOff>
        </xdr:to>
        <xdr:sp macro="" textlink="">
          <xdr:nvSpPr>
            <xdr:cNvPr id="36871" name="Drop Down 7" hidden="1">
              <a:extLst>
                <a:ext uri="{63B3BB69-23CF-44E3-9099-C40C66FF867C}">
                  <a14:compatExt spid="_x0000_s36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</xdr:row>
          <xdr:rowOff>0</xdr:rowOff>
        </xdr:from>
        <xdr:to>
          <xdr:col>5</xdr:col>
          <xdr:colOff>9525</xdr:colOff>
          <xdr:row>14</xdr:row>
          <xdr:rowOff>0</xdr:rowOff>
        </xdr:to>
        <xdr:sp macro="" textlink="">
          <xdr:nvSpPr>
            <xdr:cNvPr id="36872" name="Drop Down 8" hidden="1">
              <a:extLst>
                <a:ext uri="{63B3BB69-23CF-44E3-9099-C40C66FF867C}">
                  <a14:compatExt spid="_x0000_s36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5</xdr:col>
          <xdr:colOff>9525</xdr:colOff>
          <xdr:row>15</xdr:row>
          <xdr:rowOff>0</xdr:rowOff>
        </xdr:to>
        <xdr:sp macro="" textlink="">
          <xdr:nvSpPr>
            <xdr:cNvPr id="36873" name="Drop Down 9" hidden="1">
              <a:extLst>
                <a:ext uri="{63B3BB69-23CF-44E3-9099-C40C66FF867C}">
                  <a14:compatExt spid="_x0000_s36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5</xdr:col>
          <xdr:colOff>9525</xdr:colOff>
          <xdr:row>26</xdr:row>
          <xdr:rowOff>0</xdr:rowOff>
        </xdr:to>
        <xdr:sp macro="" textlink="">
          <xdr:nvSpPr>
            <xdr:cNvPr id="36874" name="Drop Down 10" hidden="1">
              <a:extLst>
                <a:ext uri="{63B3BB69-23CF-44E3-9099-C40C66FF867C}">
                  <a14:compatExt spid="_x0000_s36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62</xdr:row>
          <xdr:rowOff>0</xdr:rowOff>
        </xdr:from>
        <xdr:to>
          <xdr:col>4</xdr:col>
          <xdr:colOff>0</xdr:colOff>
          <xdr:row>63</xdr:row>
          <xdr:rowOff>0</xdr:rowOff>
        </xdr:to>
        <xdr:sp macro="" textlink="">
          <xdr:nvSpPr>
            <xdr:cNvPr id="36902" name="Drop Down 38" hidden="1">
              <a:extLst>
                <a:ext uri="{63B3BB69-23CF-44E3-9099-C40C66FF867C}">
                  <a14:compatExt spid="_x0000_s36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62</xdr:row>
          <xdr:rowOff>0</xdr:rowOff>
        </xdr:from>
        <xdr:to>
          <xdr:col>5</xdr:col>
          <xdr:colOff>9525</xdr:colOff>
          <xdr:row>63</xdr:row>
          <xdr:rowOff>0</xdr:rowOff>
        </xdr:to>
        <xdr:sp macro="" textlink="">
          <xdr:nvSpPr>
            <xdr:cNvPr id="36903" name="Drop Down 39" hidden="1">
              <a:extLst>
                <a:ext uri="{63B3BB69-23CF-44E3-9099-C40C66FF867C}">
                  <a14:compatExt spid="_x0000_s36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63</xdr:row>
          <xdr:rowOff>0</xdr:rowOff>
        </xdr:from>
        <xdr:to>
          <xdr:col>4</xdr:col>
          <xdr:colOff>0</xdr:colOff>
          <xdr:row>64</xdr:row>
          <xdr:rowOff>0</xdr:rowOff>
        </xdr:to>
        <xdr:sp macro="" textlink="">
          <xdr:nvSpPr>
            <xdr:cNvPr id="36904" name="Drop Down 40" hidden="1">
              <a:extLst>
                <a:ext uri="{63B3BB69-23CF-44E3-9099-C40C66FF867C}">
                  <a14:compatExt spid="_x0000_s36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64</xdr:row>
          <xdr:rowOff>0</xdr:rowOff>
        </xdr:from>
        <xdr:to>
          <xdr:col>4</xdr:col>
          <xdr:colOff>0</xdr:colOff>
          <xdr:row>65</xdr:row>
          <xdr:rowOff>0</xdr:rowOff>
        </xdr:to>
        <xdr:sp macro="" textlink="">
          <xdr:nvSpPr>
            <xdr:cNvPr id="36905" name="Drop Down 41" hidden="1">
              <a:extLst>
                <a:ext uri="{63B3BB69-23CF-44E3-9099-C40C66FF867C}">
                  <a14:compatExt spid="_x0000_s36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70</xdr:row>
          <xdr:rowOff>0</xdr:rowOff>
        </xdr:from>
        <xdr:to>
          <xdr:col>4</xdr:col>
          <xdr:colOff>0</xdr:colOff>
          <xdr:row>71</xdr:row>
          <xdr:rowOff>0</xdr:rowOff>
        </xdr:to>
        <xdr:sp macro="" textlink="">
          <xdr:nvSpPr>
            <xdr:cNvPr id="36906" name="Drop Down 42" hidden="1">
              <a:extLst>
                <a:ext uri="{63B3BB69-23CF-44E3-9099-C40C66FF867C}">
                  <a14:compatExt spid="_x0000_s36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71</xdr:row>
          <xdr:rowOff>0</xdr:rowOff>
        </xdr:from>
        <xdr:to>
          <xdr:col>4</xdr:col>
          <xdr:colOff>0</xdr:colOff>
          <xdr:row>72</xdr:row>
          <xdr:rowOff>0</xdr:rowOff>
        </xdr:to>
        <xdr:sp macro="" textlink="">
          <xdr:nvSpPr>
            <xdr:cNvPr id="36907" name="Drop Down 43" hidden="1">
              <a:extLst>
                <a:ext uri="{63B3BB69-23CF-44E3-9099-C40C66FF867C}">
                  <a14:compatExt spid="_x0000_s36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63</xdr:row>
          <xdr:rowOff>0</xdr:rowOff>
        </xdr:from>
        <xdr:to>
          <xdr:col>5</xdr:col>
          <xdr:colOff>9525</xdr:colOff>
          <xdr:row>64</xdr:row>
          <xdr:rowOff>0</xdr:rowOff>
        </xdr:to>
        <xdr:sp macro="" textlink="">
          <xdr:nvSpPr>
            <xdr:cNvPr id="36908" name="Drop Down 44" hidden="1">
              <a:extLst>
                <a:ext uri="{63B3BB69-23CF-44E3-9099-C40C66FF867C}">
                  <a14:compatExt spid="_x0000_s36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64</xdr:row>
          <xdr:rowOff>0</xdr:rowOff>
        </xdr:from>
        <xdr:to>
          <xdr:col>5</xdr:col>
          <xdr:colOff>9525</xdr:colOff>
          <xdr:row>65</xdr:row>
          <xdr:rowOff>0</xdr:rowOff>
        </xdr:to>
        <xdr:sp macro="" textlink="">
          <xdr:nvSpPr>
            <xdr:cNvPr id="36909" name="Drop Down 45" hidden="1">
              <a:extLst>
                <a:ext uri="{63B3BB69-23CF-44E3-9099-C40C66FF867C}">
                  <a14:compatExt spid="_x0000_s36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70</xdr:row>
          <xdr:rowOff>0</xdr:rowOff>
        </xdr:from>
        <xdr:to>
          <xdr:col>5</xdr:col>
          <xdr:colOff>9525</xdr:colOff>
          <xdr:row>71</xdr:row>
          <xdr:rowOff>0</xdr:rowOff>
        </xdr:to>
        <xdr:sp macro="" textlink="">
          <xdr:nvSpPr>
            <xdr:cNvPr id="36910" name="Drop Down 46" hidden="1">
              <a:extLst>
                <a:ext uri="{63B3BB69-23CF-44E3-9099-C40C66FF867C}">
                  <a14:compatExt spid="_x0000_s36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71</xdr:row>
          <xdr:rowOff>0</xdr:rowOff>
        </xdr:from>
        <xdr:to>
          <xdr:col>5</xdr:col>
          <xdr:colOff>9525</xdr:colOff>
          <xdr:row>72</xdr:row>
          <xdr:rowOff>0</xdr:rowOff>
        </xdr:to>
        <xdr:sp macro="" textlink="">
          <xdr:nvSpPr>
            <xdr:cNvPr id="36911" name="Drop Down 47" hidden="1">
              <a:extLst>
                <a:ext uri="{63B3BB69-23CF-44E3-9099-C40C66FF867C}">
                  <a14:compatExt spid="_x0000_s36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0</xdr:rowOff>
        </xdr:from>
        <xdr:to>
          <xdr:col>2</xdr:col>
          <xdr:colOff>0</xdr:colOff>
          <xdr:row>91</xdr:row>
          <xdr:rowOff>9525</xdr:rowOff>
        </xdr:to>
        <xdr:sp macro="" textlink="">
          <xdr:nvSpPr>
            <xdr:cNvPr id="36941" name="Drop Down 77" hidden="1">
              <a:extLst>
                <a:ext uri="{63B3BB69-23CF-44E3-9099-C40C66FF867C}">
                  <a14:compatExt spid="_x0000_s36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0</xdr:rowOff>
        </xdr:from>
        <xdr:to>
          <xdr:col>2</xdr:col>
          <xdr:colOff>0</xdr:colOff>
          <xdr:row>92</xdr:row>
          <xdr:rowOff>9525</xdr:rowOff>
        </xdr:to>
        <xdr:sp macro="" textlink="">
          <xdr:nvSpPr>
            <xdr:cNvPr id="36942" name="Drop Down 78" hidden="1">
              <a:extLst>
                <a:ext uri="{63B3BB69-23CF-44E3-9099-C40C66FF867C}">
                  <a14:compatExt spid="_x0000_s36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0</xdr:rowOff>
        </xdr:from>
        <xdr:to>
          <xdr:col>2</xdr:col>
          <xdr:colOff>0</xdr:colOff>
          <xdr:row>93</xdr:row>
          <xdr:rowOff>9525</xdr:rowOff>
        </xdr:to>
        <xdr:sp macro="" textlink="">
          <xdr:nvSpPr>
            <xdr:cNvPr id="36943" name="Drop Down 79" hidden="1">
              <a:extLst>
                <a:ext uri="{63B3BB69-23CF-44E3-9099-C40C66FF867C}">
                  <a14:compatExt spid="_x0000_s36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0</xdr:rowOff>
        </xdr:from>
        <xdr:to>
          <xdr:col>2</xdr:col>
          <xdr:colOff>0</xdr:colOff>
          <xdr:row>94</xdr:row>
          <xdr:rowOff>9525</xdr:rowOff>
        </xdr:to>
        <xdr:sp macro="" textlink="">
          <xdr:nvSpPr>
            <xdr:cNvPr id="36944" name="Drop Down 80" hidden="1">
              <a:extLst>
                <a:ext uri="{63B3BB69-23CF-44E3-9099-C40C66FF867C}">
                  <a14:compatExt spid="_x0000_s36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0</xdr:rowOff>
        </xdr:from>
        <xdr:to>
          <xdr:col>2</xdr:col>
          <xdr:colOff>0</xdr:colOff>
          <xdr:row>95</xdr:row>
          <xdr:rowOff>9525</xdr:rowOff>
        </xdr:to>
        <xdr:sp macro="" textlink="">
          <xdr:nvSpPr>
            <xdr:cNvPr id="36945" name="Drop Down 81" hidden="1">
              <a:extLst>
                <a:ext uri="{63B3BB69-23CF-44E3-9099-C40C66FF867C}">
                  <a14:compatExt spid="_x0000_s36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62</xdr:row>
          <xdr:rowOff>0</xdr:rowOff>
        </xdr:from>
        <xdr:to>
          <xdr:col>16</xdr:col>
          <xdr:colOff>9525</xdr:colOff>
          <xdr:row>63</xdr:row>
          <xdr:rowOff>0</xdr:rowOff>
        </xdr:to>
        <xdr:sp macro="" textlink="">
          <xdr:nvSpPr>
            <xdr:cNvPr id="36946" name="Drop Down 82" hidden="1">
              <a:extLst>
                <a:ext uri="{63B3BB69-23CF-44E3-9099-C40C66FF867C}">
                  <a14:compatExt spid="_x0000_s36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48</xdr:row>
          <xdr:rowOff>152400</xdr:rowOff>
        </xdr:from>
        <xdr:to>
          <xdr:col>2</xdr:col>
          <xdr:colOff>0</xdr:colOff>
          <xdr:row>50</xdr:row>
          <xdr:rowOff>0</xdr:rowOff>
        </xdr:to>
        <xdr:sp macro="" textlink="">
          <xdr:nvSpPr>
            <xdr:cNvPr id="36952" name="Drop Down 88" hidden="1">
              <a:extLst>
                <a:ext uri="{63B3BB69-23CF-44E3-9099-C40C66FF867C}">
                  <a14:compatExt spid="_x0000_s36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49</xdr:row>
          <xdr:rowOff>190500</xdr:rowOff>
        </xdr:from>
        <xdr:to>
          <xdr:col>2</xdr:col>
          <xdr:colOff>0</xdr:colOff>
          <xdr:row>51</xdr:row>
          <xdr:rowOff>0</xdr:rowOff>
        </xdr:to>
        <xdr:sp macro="" textlink="">
          <xdr:nvSpPr>
            <xdr:cNvPr id="36953" name="Drop Down 89" hidden="1">
              <a:extLst>
                <a:ext uri="{63B3BB69-23CF-44E3-9099-C40C66FF867C}">
                  <a14:compatExt spid="_x0000_s369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50</xdr:row>
          <xdr:rowOff>190500</xdr:rowOff>
        </xdr:from>
        <xdr:to>
          <xdr:col>2</xdr:col>
          <xdr:colOff>0</xdr:colOff>
          <xdr:row>52</xdr:row>
          <xdr:rowOff>9525</xdr:rowOff>
        </xdr:to>
        <xdr:sp macro="" textlink="">
          <xdr:nvSpPr>
            <xdr:cNvPr id="36954" name="Drop Down 90" hidden="1">
              <a:extLst>
                <a:ext uri="{63B3BB69-23CF-44E3-9099-C40C66FF867C}">
                  <a14:compatExt spid="_x0000_s36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52</xdr:row>
          <xdr:rowOff>0</xdr:rowOff>
        </xdr:from>
        <xdr:to>
          <xdr:col>2</xdr:col>
          <xdr:colOff>0</xdr:colOff>
          <xdr:row>53</xdr:row>
          <xdr:rowOff>9525</xdr:rowOff>
        </xdr:to>
        <xdr:sp macro="" textlink="">
          <xdr:nvSpPr>
            <xdr:cNvPr id="36955" name="Drop Down 91" hidden="1">
              <a:extLst>
                <a:ext uri="{63B3BB69-23CF-44E3-9099-C40C66FF867C}">
                  <a14:compatExt spid="_x0000_s369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53</xdr:row>
          <xdr:rowOff>0</xdr:rowOff>
        </xdr:from>
        <xdr:to>
          <xdr:col>2</xdr:col>
          <xdr:colOff>0</xdr:colOff>
          <xdr:row>54</xdr:row>
          <xdr:rowOff>9525</xdr:rowOff>
        </xdr:to>
        <xdr:sp macro="" textlink="">
          <xdr:nvSpPr>
            <xdr:cNvPr id="36956" name="Drop Down 92" hidden="1">
              <a:extLst>
                <a:ext uri="{63B3BB69-23CF-44E3-9099-C40C66FF867C}">
                  <a14:compatExt spid="_x0000_s36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62</xdr:row>
          <xdr:rowOff>0</xdr:rowOff>
        </xdr:from>
        <xdr:to>
          <xdr:col>17</xdr:col>
          <xdr:colOff>0</xdr:colOff>
          <xdr:row>63</xdr:row>
          <xdr:rowOff>0</xdr:rowOff>
        </xdr:to>
        <xdr:sp macro="" textlink="">
          <xdr:nvSpPr>
            <xdr:cNvPr id="36994" name="Drop Down 130" hidden="1">
              <a:extLst>
                <a:ext uri="{63B3BB69-23CF-44E3-9099-C40C66FF867C}">
                  <a14:compatExt spid="_x0000_s36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63</xdr:row>
          <xdr:rowOff>0</xdr:rowOff>
        </xdr:from>
        <xdr:to>
          <xdr:col>16</xdr:col>
          <xdr:colOff>9525</xdr:colOff>
          <xdr:row>64</xdr:row>
          <xdr:rowOff>0</xdr:rowOff>
        </xdr:to>
        <xdr:sp macro="" textlink="">
          <xdr:nvSpPr>
            <xdr:cNvPr id="36995" name="Drop Down 131" hidden="1">
              <a:extLst>
                <a:ext uri="{63B3BB69-23CF-44E3-9099-C40C66FF867C}">
                  <a14:compatExt spid="_x0000_s36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64</xdr:row>
          <xdr:rowOff>0</xdr:rowOff>
        </xdr:from>
        <xdr:to>
          <xdr:col>16</xdr:col>
          <xdr:colOff>9525</xdr:colOff>
          <xdr:row>65</xdr:row>
          <xdr:rowOff>0</xdr:rowOff>
        </xdr:to>
        <xdr:sp macro="" textlink="">
          <xdr:nvSpPr>
            <xdr:cNvPr id="36996" name="Drop Down 132" hidden="1">
              <a:extLst>
                <a:ext uri="{63B3BB69-23CF-44E3-9099-C40C66FF867C}">
                  <a14:compatExt spid="_x0000_s36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70</xdr:row>
          <xdr:rowOff>0</xdr:rowOff>
        </xdr:from>
        <xdr:to>
          <xdr:col>16</xdr:col>
          <xdr:colOff>9525</xdr:colOff>
          <xdr:row>71</xdr:row>
          <xdr:rowOff>0</xdr:rowOff>
        </xdr:to>
        <xdr:sp macro="" textlink="">
          <xdr:nvSpPr>
            <xdr:cNvPr id="36997" name="Drop Down 133" hidden="1">
              <a:extLst>
                <a:ext uri="{63B3BB69-23CF-44E3-9099-C40C66FF867C}">
                  <a14:compatExt spid="_x0000_s36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71</xdr:row>
          <xdr:rowOff>0</xdr:rowOff>
        </xdr:from>
        <xdr:to>
          <xdr:col>16</xdr:col>
          <xdr:colOff>9525</xdr:colOff>
          <xdr:row>72</xdr:row>
          <xdr:rowOff>0</xdr:rowOff>
        </xdr:to>
        <xdr:sp macro="" textlink="">
          <xdr:nvSpPr>
            <xdr:cNvPr id="36998" name="Drop Down 134" hidden="1">
              <a:extLst>
                <a:ext uri="{63B3BB69-23CF-44E3-9099-C40C66FF867C}">
                  <a14:compatExt spid="_x0000_s36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63</xdr:row>
          <xdr:rowOff>0</xdr:rowOff>
        </xdr:from>
        <xdr:to>
          <xdr:col>17</xdr:col>
          <xdr:colOff>0</xdr:colOff>
          <xdr:row>64</xdr:row>
          <xdr:rowOff>0</xdr:rowOff>
        </xdr:to>
        <xdr:sp macro="" textlink="">
          <xdr:nvSpPr>
            <xdr:cNvPr id="36999" name="Drop Down 135" hidden="1">
              <a:extLst>
                <a:ext uri="{63B3BB69-23CF-44E3-9099-C40C66FF867C}">
                  <a14:compatExt spid="_x0000_s36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64</xdr:row>
          <xdr:rowOff>0</xdr:rowOff>
        </xdr:from>
        <xdr:to>
          <xdr:col>17</xdr:col>
          <xdr:colOff>0</xdr:colOff>
          <xdr:row>65</xdr:row>
          <xdr:rowOff>0</xdr:rowOff>
        </xdr:to>
        <xdr:sp macro="" textlink="">
          <xdr:nvSpPr>
            <xdr:cNvPr id="37000" name="Drop Down 136" hidden="1">
              <a:extLst>
                <a:ext uri="{63B3BB69-23CF-44E3-9099-C40C66FF867C}">
                  <a14:compatExt spid="_x0000_s37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70</xdr:row>
          <xdr:rowOff>0</xdr:rowOff>
        </xdr:from>
        <xdr:to>
          <xdr:col>17</xdr:col>
          <xdr:colOff>0</xdr:colOff>
          <xdr:row>71</xdr:row>
          <xdr:rowOff>0</xdr:rowOff>
        </xdr:to>
        <xdr:sp macro="" textlink="">
          <xdr:nvSpPr>
            <xdr:cNvPr id="37001" name="Drop Down 137" hidden="1">
              <a:extLst>
                <a:ext uri="{63B3BB69-23CF-44E3-9099-C40C66FF867C}">
                  <a14:compatExt spid="_x0000_s37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71</xdr:row>
          <xdr:rowOff>0</xdr:rowOff>
        </xdr:from>
        <xdr:to>
          <xdr:col>17</xdr:col>
          <xdr:colOff>0</xdr:colOff>
          <xdr:row>72</xdr:row>
          <xdr:rowOff>0</xdr:rowOff>
        </xdr:to>
        <xdr:sp macro="" textlink="">
          <xdr:nvSpPr>
            <xdr:cNvPr id="37002" name="Drop Down 138" hidden="1">
              <a:extLst>
                <a:ext uri="{63B3BB69-23CF-44E3-9099-C40C66FF867C}">
                  <a14:compatExt spid="_x0000_s37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76</xdr:row>
          <xdr:rowOff>0</xdr:rowOff>
        </xdr:from>
        <xdr:to>
          <xdr:col>13</xdr:col>
          <xdr:colOff>0</xdr:colOff>
          <xdr:row>77</xdr:row>
          <xdr:rowOff>0</xdr:rowOff>
        </xdr:to>
        <xdr:sp macro="" textlink="">
          <xdr:nvSpPr>
            <xdr:cNvPr id="37003" name="Drop Down 139" hidden="1">
              <a:extLst>
                <a:ext uri="{63B3BB69-23CF-44E3-9099-C40C66FF867C}">
                  <a14:compatExt spid="_x0000_s37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82</xdr:row>
          <xdr:rowOff>0</xdr:rowOff>
        </xdr:from>
        <xdr:to>
          <xdr:col>13</xdr:col>
          <xdr:colOff>0</xdr:colOff>
          <xdr:row>83</xdr:row>
          <xdr:rowOff>0</xdr:rowOff>
        </xdr:to>
        <xdr:sp macro="" textlink="">
          <xdr:nvSpPr>
            <xdr:cNvPr id="37004" name="Drop Down 140" hidden="1">
              <a:extLst>
                <a:ext uri="{63B3BB69-23CF-44E3-9099-C40C66FF867C}">
                  <a14:compatExt spid="_x0000_s37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83</xdr:row>
          <xdr:rowOff>0</xdr:rowOff>
        </xdr:from>
        <xdr:to>
          <xdr:col>13</xdr:col>
          <xdr:colOff>0</xdr:colOff>
          <xdr:row>84</xdr:row>
          <xdr:rowOff>0</xdr:rowOff>
        </xdr:to>
        <xdr:sp macro="" textlink="">
          <xdr:nvSpPr>
            <xdr:cNvPr id="37005" name="Drop Down 141" hidden="1">
              <a:extLst>
                <a:ext uri="{63B3BB69-23CF-44E3-9099-C40C66FF867C}">
                  <a14:compatExt spid="_x0000_s37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84</xdr:row>
          <xdr:rowOff>0</xdr:rowOff>
        </xdr:from>
        <xdr:to>
          <xdr:col>13</xdr:col>
          <xdr:colOff>0</xdr:colOff>
          <xdr:row>85</xdr:row>
          <xdr:rowOff>0</xdr:rowOff>
        </xdr:to>
        <xdr:sp macro="" textlink="">
          <xdr:nvSpPr>
            <xdr:cNvPr id="37006" name="Drop Down 142" hidden="1">
              <a:extLst>
                <a:ext uri="{63B3BB69-23CF-44E3-9099-C40C66FF867C}">
                  <a14:compatExt spid="_x0000_s37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85</xdr:row>
          <xdr:rowOff>0</xdr:rowOff>
        </xdr:from>
        <xdr:to>
          <xdr:col>13</xdr:col>
          <xdr:colOff>0</xdr:colOff>
          <xdr:row>86</xdr:row>
          <xdr:rowOff>0</xdr:rowOff>
        </xdr:to>
        <xdr:sp macro="" textlink="">
          <xdr:nvSpPr>
            <xdr:cNvPr id="37007" name="Drop Down 143" hidden="1">
              <a:extLst>
                <a:ext uri="{63B3BB69-23CF-44E3-9099-C40C66FF867C}">
                  <a14:compatExt spid="_x0000_s370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76</xdr:row>
          <xdr:rowOff>0</xdr:rowOff>
        </xdr:from>
        <xdr:to>
          <xdr:col>13</xdr:col>
          <xdr:colOff>828675</xdr:colOff>
          <xdr:row>77</xdr:row>
          <xdr:rowOff>0</xdr:rowOff>
        </xdr:to>
        <xdr:sp macro="" textlink="">
          <xdr:nvSpPr>
            <xdr:cNvPr id="37008" name="Drop Down 144" hidden="1">
              <a:extLst>
                <a:ext uri="{63B3BB69-23CF-44E3-9099-C40C66FF867C}">
                  <a14:compatExt spid="_x0000_s370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82</xdr:row>
          <xdr:rowOff>0</xdr:rowOff>
        </xdr:from>
        <xdr:to>
          <xdr:col>13</xdr:col>
          <xdr:colOff>828675</xdr:colOff>
          <xdr:row>83</xdr:row>
          <xdr:rowOff>0</xdr:rowOff>
        </xdr:to>
        <xdr:sp macro="" textlink="">
          <xdr:nvSpPr>
            <xdr:cNvPr id="37009" name="Drop Down 145" hidden="1">
              <a:extLst>
                <a:ext uri="{63B3BB69-23CF-44E3-9099-C40C66FF867C}">
                  <a14:compatExt spid="_x0000_s37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83</xdr:row>
          <xdr:rowOff>0</xdr:rowOff>
        </xdr:from>
        <xdr:to>
          <xdr:col>13</xdr:col>
          <xdr:colOff>828675</xdr:colOff>
          <xdr:row>84</xdr:row>
          <xdr:rowOff>0</xdr:rowOff>
        </xdr:to>
        <xdr:sp macro="" textlink="">
          <xdr:nvSpPr>
            <xdr:cNvPr id="37010" name="Drop Down 146" hidden="1">
              <a:extLst>
                <a:ext uri="{63B3BB69-23CF-44E3-9099-C40C66FF867C}">
                  <a14:compatExt spid="_x0000_s37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84</xdr:row>
          <xdr:rowOff>0</xdr:rowOff>
        </xdr:from>
        <xdr:to>
          <xdr:col>13</xdr:col>
          <xdr:colOff>828675</xdr:colOff>
          <xdr:row>85</xdr:row>
          <xdr:rowOff>0</xdr:rowOff>
        </xdr:to>
        <xdr:sp macro="" textlink="">
          <xdr:nvSpPr>
            <xdr:cNvPr id="37011" name="Drop Down 147" hidden="1">
              <a:extLst>
                <a:ext uri="{63B3BB69-23CF-44E3-9099-C40C66FF867C}">
                  <a14:compatExt spid="_x0000_s370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85</xdr:row>
          <xdr:rowOff>0</xdr:rowOff>
        </xdr:from>
        <xdr:to>
          <xdr:col>13</xdr:col>
          <xdr:colOff>828675</xdr:colOff>
          <xdr:row>86</xdr:row>
          <xdr:rowOff>0</xdr:rowOff>
        </xdr:to>
        <xdr:sp macro="" textlink="">
          <xdr:nvSpPr>
            <xdr:cNvPr id="37012" name="Drop Down 148" hidden="1">
              <a:extLst>
                <a:ext uri="{63B3BB69-23CF-44E3-9099-C40C66FF867C}">
                  <a14:compatExt spid="_x0000_s370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90</xdr:row>
          <xdr:rowOff>0</xdr:rowOff>
        </xdr:from>
        <xdr:to>
          <xdr:col>11</xdr:col>
          <xdr:colOff>828675</xdr:colOff>
          <xdr:row>91</xdr:row>
          <xdr:rowOff>0</xdr:rowOff>
        </xdr:to>
        <xdr:sp macro="" textlink="">
          <xdr:nvSpPr>
            <xdr:cNvPr id="37013" name="Drop Down 149" hidden="1">
              <a:extLst>
                <a:ext uri="{63B3BB69-23CF-44E3-9099-C40C66FF867C}">
                  <a14:compatExt spid="_x0000_s370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90</xdr:row>
          <xdr:rowOff>0</xdr:rowOff>
        </xdr:from>
        <xdr:to>
          <xdr:col>13</xdr:col>
          <xdr:colOff>0</xdr:colOff>
          <xdr:row>91</xdr:row>
          <xdr:rowOff>0</xdr:rowOff>
        </xdr:to>
        <xdr:sp macro="" textlink="">
          <xdr:nvSpPr>
            <xdr:cNvPr id="37014" name="Drop Down 150" hidden="1">
              <a:extLst>
                <a:ext uri="{63B3BB69-23CF-44E3-9099-C40C66FF867C}">
                  <a14:compatExt spid="_x0000_s370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91</xdr:row>
          <xdr:rowOff>0</xdr:rowOff>
        </xdr:from>
        <xdr:to>
          <xdr:col>11</xdr:col>
          <xdr:colOff>828675</xdr:colOff>
          <xdr:row>92</xdr:row>
          <xdr:rowOff>0</xdr:rowOff>
        </xdr:to>
        <xdr:sp macro="" textlink="">
          <xdr:nvSpPr>
            <xdr:cNvPr id="37015" name="Drop Down 151" hidden="1">
              <a:extLst>
                <a:ext uri="{63B3BB69-23CF-44E3-9099-C40C66FF867C}">
                  <a14:compatExt spid="_x0000_s370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92</xdr:row>
          <xdr:rowOff>0</xdr:rowOff>
        </xdr:from>
        <xdr:to>
          <xdr:col>11</xdr:col>
          <xdr:colOff>828675</xdr:colOff>
          <xdr:row>93</xdr:row>
          <xdr:rowOff>0</xdr:rowOff>
        </xdr:to>
        <xdr:sp macro="" textlink="">
          <xdr:nvSpPr>
            <xdr:cNvPr id="37016" name="Drop Down 152" hidden="1">
              <a:extLst>
                <a:ext uri="{63B3BB69-23CF-44E3-9099-C40C66FF867C}">
                  <a14:compatExt spid="_x0000_s370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93</xdr:row>
          <xdr:rowOff>0</xdr:rowOff>
        </xdr:from>
        <xdr:to>
          <xdr:col>11</xdr:col>
          <xdr:colOff>828675</xdr:colOff>
          <xdr:row>94</xdr:row>
          <xdr:rowOff>0</xdr:rowOff>
        </xdr:to>
        <xdr:sp macro="" textlink="">
          <xdr:nvSpPr>
            <xdr:cNvPr id="37017" name="Drop Down 153" hidden="1">
              <a:extLst>
                <a:ext uri="{63B3BB69-23CF-44E3-9099-C40C66FF867C}">
                  <a14:compatExt spid="_x0000_s370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94</xdr:row>
          <xdr:rowOff>0</xdr:rowOff>
        </xdr:from>
        <xdr:to>
          <xdr:col>11</xdr:col>
          <xdr:colOff>828675</xdr:colOff>
          <xdr:row>95</xdr:row>
          <xdr:rowOff>0</xdr:rowOff>
        </xdr:to>
        <xdr:sp macro="" textlink="">
          <xdr:nvSpPr>
            <xdr:cNvPr id="37018" name="Drop Down 154" hidden="1">
              <a:extLst>
                <a:ext uri="{63B3BB69-23CF-44E3-9099-C40C66FF867C}">
                  <a14:compatExt spid="_x0000_s370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91</xdr:row>
          <xdr:rowOff>0</xdr:rowOff>
        </xdr:from>
        <xdr:to>
          <xdr:col>13</xdr:col>
          <xdr:colOff>0</xdr:colOff>
          <xdr:row>92</xdr:row>
          <xdr:rowOff>0</xdr:rowOff>
        </xdr:to>
        <xdr:sp macro="" textlink="">
          <xdr:nvSpPr>
            <xdr:cNvPr id="37019" name="Drop Down 155" hidden="1">
              <a:extLst>
                <a:ext uri="{63B3BB69-23CF-44E3-9099-C40C66FF867C}">
                  <a14:compatExt spid="_x0000_s37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92</xdr:row>
          <xdr:rowOff>0</xdr:rowOff>
        </xdr:from>
        <xdr:to>
          <xdr:col>13</xdr:col>
          <xdr:colOff>0</xdr:colOff>
          <xdr:row>93</xdr:row>
          <xdr:rowOff>0</xdr:rowOff>
        </xdr:to>
        <xdr:sp macro="" textlink="">
          <xdr:nvSpPr>
            <xdr:cNvPr id="37020" name="Drop Down 156" hidden="1">
              <a:extLst>
                <a:ext uri="{63B3BB69-23CF-44E3-9099-C40C66FF867C}">
                  <a14:compatExt spid="_x0000_s37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93</xdr:row>
          <xdr:rowOff>0</xdr:rowOff>
        </xdr:from>
        <xdr:to>
          <xdr:col>13</xdr:col>
          <xdr:colOff>0</xdr:colOff>
          <xdr:row>94</xdr:row>
          <xdr:rowOff>0</xdr:rowOff>
        </xdr:to>
        <xdr:sp macro="" textlink="">
          <xdr:nvSpPr>
            <xdr:cNvPr id="37021" name="Drop Down 157" hidden="1">
              <a:extLst>
                <a:ext uri="{63B3BB69-23CF-44E3-9099-C40C66FF867C}">
                  <a14:compatExt spid="_x0000_s370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94</xdr:row>
          <xdr:rowOff>0</xdr:rowOff>
        </xdr:from>
        <xdr:to>
          <xdr:col>13</xdr:col>
          <xdr:colOff>0</xdr:colOff>
          <xdr:row>95</xdr:row>
          <xdr:rowOff>0</xdr:rowOff>
        </xdr:to>
        <xdr:sp macro="" textlink="">
          <xdr:nvSpPr>
            <xdr:cNvPr id="37022" name="Drop Down 158" hidden="1">
              <a:extLst>
                <a:ext uri="{63B3BB69-23CF-44E3-9099-C40C66FF867C}">
                  <a14:compatExt spid="_x0000_s370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11</xdr:row>
          <xdr:rowOff>0</xdr:rowOff>
        </xdr:from>
        <xdr:to>
          <xdr:col>16</xdr:col>
          <xdr:colOff>9525</xdr:colOff>
          <xdr:row>12</xdr:row>
          <xdr:rowOff>0</xdr:rowOff>
        </xdr:to>
        <xdr:sp macro="" textlink="">
          <xdr:nvSpPr>
            <xdr:cNvPr id="37053" name="Drop Down 189" hidden="1">
              <a:extLst>
                <a:ext uri="{63B3BB69-23CF-44E3-9099-C40C66FF867C}">
                  <a14:compatExt spid="_x0000_s37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11</xdr:row>
          <xdr:rowOff>0</xdr:rowOff>
        </xdr:from>
        <xdr:to>
          <xdr:col>17</xdr:col>
          <xdr:colOff>0</xdr:colOff>
          <xdr:row>12</xdr:row>
          <xdr:rowOff>0</xdr:rowOff>
        </xdr:to>
        <xdr:sp macro="" textlink="">
          <xdr:nvSpPr>
            <xdr:cNvPr id="37054" name="Drop Down 190" hidden="1">
              <a:extLst>
                <a:ext uri="{63B3BB69-23CF-44E3-9099-C40C66FF867C}">
                  <a14:compatExt spid="_x0000_s37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12</xdr:row>
          <xdr:rowOff>0</xdr:rowOff>
        </xdr:from>
        <xdr:to>
          <xdr:col>16</xdr:col>
          <xdr:colOff>9525</xdr:colOff>
          <xdr:row>13</xdr:row>
          <xdr:rowOff>0</xdr:rowOff>
        </xdr:to>
        <xdr:sp macro="" textlink="">
          <xdr:nvSpPr>
            <xdr:cNvPr id="37055" name="Drop Down 191" hidden="1">
              <a:extLst>
                <a:ext uri="{63B3BB69-23CF-44E3-9099-C40C66FF867C}">
                  <a14:compatExt spid="_x0000_s37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13</xdr:row>
          <xdr:rowOff>0</xdr:rowOff>
        </xdr:from>
        <xdr:to>
          <xdr:col>16</xdr:col>
          <xdr:colOff>9525</xdr:colOff>
          <xdr:row>14</xdr:row>
          <xdr:rowOff>0</xdr:rowOff>
        </xdr:to>
        <xdr:sp macro="" textlink="">
          <xdr:nvSpPr>
            <xdr:cNvPr id="37056" name="Drop Down 192" hidden="1">
              <a:extLst>
                <a:ext uri="{63B3BB69-23CF-44E3-9099-C40C66FF867C}">
                  <a14:compatExt spid="_x0000_s37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14</xdr:row>
          <xdr:rowOff>0</xdr:rowOff>
        </xdr:from>
        <xdr:to>
          <xdr:col>16</xdr:col>
          <xdr:colOff>9525</xdr:colOff>
          <xdr:row>15</xdr:row>
          <xdr:rowOff>0</xdr:rowOff>
        </xdr:to>
        <xdr:sp macro="" textlink="">
          <xdr:nvSpPr>
            <xdr:cNvPr id="37057" name="Drop Down 193" hidden="1">
              <a:extLst>
                <a:ext uri="{63B3BB69-23CF-44E3-9099-C40C66FF867C}">
                  <a14:compatExt spid="_x0000_s37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25</xdr:row>
          <xdr:rowOff>0</xdr:rowOff>
        </xdr:from>
        <xdr:to>
          <xdr:col>16</xdr:col>
          <xdr:colOff>9525</xdr:colOff>
          <xdr:row>26</xdr:row>
          <xdr:rowOff>0</xdr:rowOff>
        </xdr:to>
        <xdr:sp macro="" textlink="">
          <xdr:nvSpPr>
            <xdr:cNvPr id="37058" name="Drop Down 194" hidden="1">
              <a:extLst>
                <a:ext uri="{63B3BB69-23CF-44E3-9099-C40C66FF867C}">
                  <a14:compatExt spid="_x0000_s37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12</xdr:row>
          <xdr:rowOff>0</xdr:rowOff>
        </xdr:from>
        <xdr:to>
          <xdr:col>17</xdr:col>
          <xdr:colOff>0</xdr:colOff>
          <xdr:row>13</xdr:row>
          <xdr:rowOff>0</xdr:rowOff>
        </xdr:to>
        <xdr:sp macro="" textlink="">
          <xdr:nvSpPr>
            <xdr:cNvPr id="37059" name="Drop Down 195" hidden="1">
              <a:extLst>
                <a:ext uri="{63B3BB69-23CF-44E3-9099-C40C66FF867C}">
                  <a14:compatExt spid="_x0000_s37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13</xdr:row>
          <xdr:rowOff>0</xdr:rowOff>
        </xdr:from>
        <xdr:to>
          <xdr:col>17</xdr:col>
          <xdr:colOff>0</xdr:colOff>
          <xdr:row>14</xdr:row>
          <xdr:rowOff>0</xdr:rowOff>
        </xdr:to>
        <xdr:sp macro="" textlink="">
          <xdr:nvSpPr>
            <xdr:cNvPr id="37060" name="Drop Down 196" hidden="1">
              <a:extLst>
                <a:ext uri="{63B3BB69-23CF-44E3-9099-C40C66FF867C}">
                  <a14:compatExt spid="_x0000_s37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14</xdr:row>
          <xdr:rowOff>0</xdr:rowOff>
        </xdr:from>
        <xdr:to>
          <xdr:col>17</xdr:col>
          <xdr:colOff>0</xdr:colOff>
          <xdr:row>15</xdr:row>
          <xdr:rowOff>0</xdr:rowOff>
        </xdr:to>
        <xdr:sp macro="" textlink="">
          <xdr:nvSpPr>
            <xdr:cNvPr id="37061" name="Drop Down 197" hidden="1">
              <a:extLst>
                <a:ext uri="{63B3BB69-23CF-44E3-9099-C40C66FF867C}">
                  <a14:compatExt spid="_x0000_s37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25</xdr:row>
          <xdr:rowOff>0</xdr:rowOff>
        </xdr:from>
        <xdr:to>
          <xdr:col>17</xdr:col>
          <xdr:colOff>0</xdr:colOff>
          <xdr:row>26</xdr:row>
          <xdr:rowOff>0</xdr:rowOff>
        </xdr:to>
        <xdr:sp macro="" textlink="">
          <xdr:nvSpPr>
            <xdr:cNvPr id="37062" name="Drop Down 198" hidden="1">
              <a:extLst>
                <a:ext uri="{63B3BB69-23CF-44E3-9099-C40C66FF867C}">
                  <a14:compatExt spid="_x0000_s37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30</xdr:row>
          <xdr:rowOff>0</xdr:rowOff>
        </xdr:from>
        <xdr:to>
          <xdr:col>13</xdr:col>
          <xdr:colOff>0</xdr:colOff>
          <xdr:row>31</xdr:row>
          <xdr:rowOff>0</xdr:rowOff>
        </xdr:to>
        <xdr:sp macro="" textlink="">
          <xdr:nvSpPr>
            <xdr:cNvPr id="37063" name="Drop Down 199" hidden="1">
              <a:extLst>
                <a:ext uri="{63B3BB69-23CF-44E3-9099-C40C66FF867C}">
                  <a14:compatExt spid="_x0000_s37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30</xdr:row>
          <xdr:rowOff>0</xdr:rowOff>
        </xdr:from>
        <xdr:to>
          <xdr:col>13</xdr:col>
          <xdr:colOff>828675</xdr:colOff>
          <xdr:row>31</xdr:row>
          <xdr:rowOff>0</xdr:rowOff>
        </xdr:to>
        <xdr:sp macro="" textlink="">
          <xdr:nvSpPr>
            <xdr:cNvPr id="37064" name="Drop Down 200" hidden="1">
              <a:extLst>
                <a:ext uri="{63B3BB69-23CF-44E3-9099-C40C66FF867C}">
                  <a14:compatExt spid="_x0000_s37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31</xdr:row>
          <xdr:rowOff>0</xdr:rowOff>
        </xdr:from>
        <xdr:to>
          <xdr:col>13</xdr:col>
          <xdr:colOff>0</xdr:colOff>
          <xdr:row>32</xdr:row>
          <xdr:rowOff>0</xdr:rowOff>
        </xdr:to>
        <xdr:sp macro="" textlink="">
          <xdr:nvSpPr>
            <xdr:cNvPr id="37065" name="Drop Down 201" hidden="1">
              <a:extLst>
                <a:ext uri="{63B3BB69-23CF-44E3-9099-C40C66FF867C}">
                  <a14:compatExt spid="_x0000_s37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32</xdr:row>
          <xdr:rowOff>0</xdr:rowOff>
        </xdr:from>
        <xdr:to>
          <xdr:col>13</xdr:col>
          <xdr:colOff>0</xdr:colOff>
          <xdr:row>33</xdr:row>
          <xdr:rowOff>0</xdr:rowOff>
        </xdr:to>
        <xdr:sp macro="" textlink="">
          <xdr:nvSpPr>
            <xdr:cNvPr id="37066" name="Drop Down 202" hidden="1">
              <a:extLst>
                <a:ext uri="{63B3BB69-23CF-44E3-9099-C40C66FF867C}">
                  <a14:compatExt spid="_x0000_s37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33</xdr:row>
          <xdr:rowOff>0</xdr:rowOff>
        </xdr:from>
        <xdr:to>
          <xdr:col>13</xdr:col>
          <xdr:colOff>0</xdr:colOff>
          <xdr:row>34</xdr:row>
          <xdr:rowOff>0</xdr:rowOff>
        </xdr:to>
        <xdr:sp macro="" textlink="">
          <xdr:nvSpPr>
            <xdr:cNvPr id="37067" name="Drop Down 203" hidden="1">
              <a:extLst>
                <a:ext uri="{63B3BB69-23CF-44E3-9099-C40C66FF867C}">
                  <a14:compatExt spid="_x0000_s37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44</xdr:row>
          <xdr:rowOff>0</xdr:rowOff>
        </xdr:from>
        <xdr:to>
          <xdr:col>13</xdr:col>
          <xdr:colOff>0</xdr:colOff>
          <xdr:row>45</xdr:row>
          <xdr:rowOff>0</xdr:rowOff>
        </xdr:to>
        <xdr:sp macro="" textlink="">
          <xdr:nvSpPr>
            <xdr:cNvPr id="37068" name="Drop Down 204" hidden="1">
              <a:extLst>
                <a:ext uri="{63B3BB69-23CF-44E3-9099-C40C66FF867C}">
                  <a14:compatExt spid="_x0000_s37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31</xdr:row>
          <xdr:rowOff>0</xdr:rowOff>
        </xdr:from>
        <xdr:to>
          <xdr:col>13</xdr:col>
          <xdr:colOff>828675</xdr:colOff>
          <xdr:row>32</xdr:row>
          <xdr:rowOff>0</xdr:rowOff>
        </xdr:to>
        <xdr:sp macro="" textlink="">
          <xdr:nvSpPr>
            <xdr:cNvPr id="37069" name="Drop Down 205" hidden="1">
              <a:extLst>
                <a:ext uri="{63B3BB69-23CF-44E3-9099-C40C66FF867C}">
                  <a14:compatExt spid="_x0000_s37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32</xdr:row>
          <xdr:rowOff>0</xdr:rowOff>
        </xdr:from>
        <xdr:to>
          <xdr:col>13</xdr:col>
          <xdr:colOff>828675</xdr:colOff>
          <xdr:row>33</xdr:row>
          <xdr:rowOff>0</xdr:rowOff>
        </xdr:to>
        <xdr:sp macro="" textlink="">
          <xdr:nvSpPr>
            <xdr:cNvPr id="37070" name="Drop Down 206" hidden="1">
              <a:extLst>
                <a:ext uri="{63B3BB69-23CF-44E3-9099-C40C66FF867C}">
                  <a14:compatExt spid="_x0000_s37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33</xdr:row>
          <xdr:rowOff>0</xdr:rowOff>
        </xdr:from>
        <xdr:to>
          <xdr:col>13</xdr:col>
          <xdr:colOff>828675</xdr:colOff>
          <xdr:row>34</xdr:row>
          <xdr:rowOff>0</xdr:rowOff>
        </xdr:to>
        <xdr:sp macro="" textlink="">
          <xdr:nvSpPr>
            <xdr:cNvPr id="37071" name="Drop Down 207" hidden="1">
              <a:extLst>
                <a:ext uri="{63B3BB69-23CF-44E3-9099-C40C66FF867C}">
                  <a14:compatExt spid="_x0000_s37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44</xdr:row>
          <xdr:rowOff>0</xdr:rowOff>
        </xdr:from>
        <xdr:to>
          <xdr:col>13</xdr:col>
          <xdr:colOff>828675</xdr:colOff>
          <xdr:row>45</xdr:row>
          <xdr:rowOff>0</xdr:rowOff>
        </xdr:to>
        <xdr:sp macro="" textlink="">
          <xdr:nvSpPr>
            <xdr:cNvPr id="37072" name="Drop Down 208" hidden="1">
              <a:extLst>
                <a:ext uri="{63B3BB69-23CF-44E3-9099-C40C66FF867C}">
                  <a14:compatExt spid="_x0000_s37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49</xdr:row>
          <xdr:rowOff>0</xdr:rowOff>
        </xdr:from>
        <xdr:to>
          <xdr:col>11</xdr:col>
          <xdr:colOff>828675</xdr:colOff>
          <xdr:row>50</xdr:row>
          <xdr:rowOff>0</xdr:rowOff>
        </xdr:to>
        <xdr:sp macro="" textlink="">
          <xdr:nvSpPr>
            <xdr:cNvPr id="37073" name="Drop Down 209" hidden="1">
              <a:extLst>
                <a:ext uri="{63B3BB69-23CF-44E3-9099-C40C66FF867C}">
                  <a14:compatExt spid="_x0000_s37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49</xdr:row>
          <xdr:rowOff>0</xdr:rowOff>
        </xdr:from>
        <xdr:to>
          <xdr:col>13</xdr:col>
          <xdr:colOff>0</xdr:colOff>
          <xdr:row>50</xdr:row>
          <xdr:rowOff>0</xdr:rowOff>
        </xdr:to>
        <xdr:sp macro="" textlink="">
          <xdr:nvSpPr>
            <xdr:cNvPr id="37074" name="Drop Down 210" hidden="1">
              <a:extLst>
                <a:ext uri="{63B3BB69-23CF-44E3-9099-C40C66FF867C}">
                  <a14:compatExt spid="_x0000_s37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50</xdr:row>
          <xdr:rowOff>0</xdr:rowOff>
        </xdr:from>
        <xdr:to>
          <xdr:col>11</xdr:col>
          <xdr:colOff>828675</xdr:colOff>
          <xdr:row>51</xdr:row>
          <xdr:rowOff>0</xdr:rowOff>
        </xdr:to>
        <xdr:sp macro="" textlink="">
          <xdr:nvSpPr>
            <xdr:cNvPr id="37075" name="Drop Down 211" hidden="1">
              <a:extLst>
                <a:ext uri="{63B3BB69-23CF-44E3-9099-C40C66FF867C}">
                  <a14:compatExt spid="_x0000_s37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51</xdr:row>
          <xdr:rowOff>0</xdr:rowOff>
        </xdr:from>
        <xdr:to>
          <xdr:col>11</xdr:col>
          <xdr:colOff>828675</xdr:colOff>
          <xdr:row>52</xdr:row>
          <xdr:rowOff>9525</xdr:rowOff>
        </xdr:to>
        <xdr:sp macro="" textlink="">
          <xdr:nvSpPr>
            <xdr:cNvPr id="37076" name="Drop Down 212" hidden="1">
              <a:extLst>
                <a:ext uri="{63B3BB69-23CF-44E3-9099-C40C66FF867C}">
                  <a14:compatExt spid="_x0000_s37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52</xdr:row>
          <xdr:rowOff>0</xdr:rowOff>
        </xdr:from>
        <xdr:to>
          <xdr:col>11</xdr:col>
          <xdr:colOff>828675</xdr:colOff>
          <xdr:row>53</xdr:row>
          <xdr:rowOff>0</xdr:rowOff>
        </xdr:to>
        <xdr:sp macro="" textlink="">
          <xdr:nvSpPr>
            <xdr:cNvPr id="37077" name="Drop Down 213" hidden="1">
              <a:extLst>
                <a:ext uri="{63B3BB69-23CF-44E3-9099-C40C66FF867C}">
                  <a14:compatExt spid="_x0000_s37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53</xdr:row>
          <xdr:rowOff>0</xdr:rowOff>
        </xdr:from>
        <xdr:to>
          <xdr:col>11</xdr:col>
          <xdr:colOff>828675</xdr:colOff>
          <xdr:row>54</xdr:row>
          <xdr:rowOff>0</xdr:rowOff>
        </xdr:to>
        <xdr:sp macro="" textlink="">
          <xdr:nvSpPr>
            <xdr:cNvPr id="37078" name="Drop Down 214" hidden="1">
              <a:extLst>
                <a:ext uri="{63B3BB69-23CF-44E3-9099-C40C66FF867C}">
                  <a14:compatExt spid="_x0000_s37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50</xdr:row>
          <xdr:rowOff>0</xdr:rowOff>
        </xdr:from>
        <xdr:to>
          <xdr:col>13</xdr:col>
          <xdr:colOff>0</xdr:colOff>
          <xdr:row>51</xdr:row>
          <xdr:rowOff>0</xdr:rowOff>
        </xdr:to>
        <xdr:sp macro="" textlink="">
          <xdr:nvSpPr>
            <xdr:cNvPr id="37079" name="Drop Down 215" hidden="1">
              <a:extLst>
                <a:ext uri="{63B3BB69-23CF-44E3-9099-C40C66FF867C}">
                  <a14:compatExt spid="_x0000_s37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51</xdr:row>
          <xdr:rowOff>0</xdr:rowOff>
        </xdr:from>
        <xdr:to>
          <xdr:col>13</xdr:col>
          <xdr:colOff>0</xdr:colOff>
          <xdr:row>52</xdr:row>
          <xdr:rowOff>9525</xdr:rowOff>
        </xdr:to>
        <xdr:sp macro="" textlink="">
          <xdr:nvSpPr>
            <xdr:cNvPr id="37080" name="Drop Down 216" hidden="1">
              <a:extLst>
                <a:ext uri="{63B3BB69-23CF-44E3-9099-C40C66FF867C}">
                  <a14:compatExt spid="_x0000_s37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52</xdr:row>
          <xdr:rowOff>0</xdr:rowOff>
        </xdr:from>
        <xdr:to>
          <xdr:col>13</xdr:col>
          <xdr:colOff>0</xdr:colOff>
          <xdr:row>53</xdr:row>
          <xdr:rowOff>0</xdr:rowOff>
        </xdr:to>
        <xdr:sp macro="" textlink="">
          <xdr:nvSpPr>
            <xdr:cNvPr id="37081" name="Drop Down 217" hidden="1">
              <a:extLst>
                <a:ext uri="{63B3BB69-23CF-44E3-9099-C40C66FF867C}">
                  <a14:compatExt spid="_x0000_s37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53</xdr:row>
          <xdr:rowOff>0</xdr:rowOff>
        </xdr:from>
        <xdr:to>
          <xdr:col>13</xdr:col>
          <xdr:colOff>0</xdr:colOff>
          <xdr:row>54</xdr:row>
          <xdr:rowOff>0</xdr:rowOff>
        </xdr:to>
        <xdr:sp macro="" textlink="">
          <xdr:nvSpPr>
            <xdr:cNvPr id="37082" name="Drop Down 218" hidden="1">
              <a:extLst>
                <a:ext uri="{63B3BB69-23CF-44E3-9099-C40C66FF867C}">
                  <a14:compatExt spid="_x0000_s37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34</xdr:row>
          <xdr:rowOff>0</xdr:rowOff>
        </xdr:from>
        <xdr:to>
          <xdr:col>13</xdr:col>
          <xdr:colOff>0</xdr:colOff>
          <xdr:row>35</xdr:row>
          <xdr:rowOff>0</xdr:rowOff>
        </xdr:to>
        <xdr:sp macro="" textlink="">
          <xdr:nvSpPr>
            <xdr:cNvPr id="37397" name="Drop Down 533" hidden="1">
              <a:extLst>
                <a:ext uri="{63B3BB69-23CF-44E3-9099-C40C66FF867C}">
                  <a14:compatExt spid="_x0000_s37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34</xdr:row>
          <xdr:rowOff>0</xdr:rowOff>
        </xdr:from>
        <xdr:to>
          <xdr:col>13</xdr:col>
          <xdr:colOff>828675</xdr:colOff>
          <xdr:row>35</xdr:row>
          <xdr:rowOff>0</xdr:rowOff>
        </xdr:to>
        <xdr:sp macro="" textlink="">
          <xdr:nvSpPr>
            <xdr:cNvPr id="37398" name="Drop Down 534" hidden="1">
              <a:extLst>
                <a:ext uri="{63B3BB69-23CF-44E3-9099-C40C66FF867C}">
                  <a14:compatExt spid="_x0000_s37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35</xdr:row>
          <xdr:rowOff>0</xdr:rowOff>
        </xdr:from>
        <xdr:to>
          <xdr:col>13</xdr:col>
          <xdr:colOff>0</xdr:colOff>
          <xdr:row>36</xdr:row>
          <xdr:rowOff>0</xdr:rowOff>
        </xdr:to>
        <xdr:sp macro="" textlink="">
          <xdr:nvSpPr>
            <xdr:cNvPr id="37399" name="Drop Down 535" hidden="1">
              <a:extLst>
                <a:ext uri="{63B3BB69-23CF-44E3-9099-C40C66FF867C}">
                  <a14:compatExt spid="_x0000_s37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35</xdr:row>
          <xdr:rowOff>0</xdr:rowOff>
        </xdr:from>
        <xdr:to>
          <xdr:col>13</xdr:col>
          <xdr:colOff>828675</xdr:colOff>
          <xdr:row>36</xdr:row>
          <xdr:rowOff>0</xdr:rowOff>
        </xdr:to>
        <xdr:sp macro="" textlink="">
          <xdr:nvSpPr>
            <xdr:cNvPr id="37400" name="Drop Down 536" hidden="1">
              <a:extLst>
                <a:ext uri="{63B3BB69-23CF-44E3-9099-C40C66FF867C}">
                  <a14:compatExt spid="_x0000_s37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36</xdr:row>
          <xdr:rowOff>0</xdr:rowOff>
        </xdr:from>
        <xdr:to>
          <xdr:col>13</xdr:col>
          <xdr:colOff>0</xdr:colOff>
          <xdr:row>37</xdr:row>
          <xdr:rowOff>0</xdr:rowOff>
        </xdr:to>
        <xdr:sp macro="" textlink="">
          <xdr:nvSpPr>
            <xdr:cNvPr id="37401" name="Drop Down 537" hidden="1">
              <a:extLst>
                <a:ext uri="{63B3BB69-23CF-44E3-9099-C40C66FF867C}">
                  <a14:compatExt spid="_x0000_s37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36</xdr:row>
          <xdr:rowOff>0</xdr:rowOff>
        </xdr:from>
        <xdr:to>
          <xdr:col>13</xdr:col>
          <xdr:colOff>828675</xdr:colOff>
          <xdr:row>37</xdr:row>
          <xdr:rowOff>0</xdr:rowOff>
        </xdr:to>
        <xdr:sp macro="" textlink="">
          <xdr:nvSpPr>
            <xdr:cNvPr id="37402" name="Drop Down 538" hidden="1">
              <a:extLst>
                <a:ext uri="{63B3BB69-23CF-44E3-9099-C40C66FF867C}">
                  <a14:compatExt spid="_x0000_s37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37</xdr:row>
          <xdr:rowOff>0</xdr:rowOff>
        </xdr:from>
        <xdr:to>
          <xdr:col>13</xdr:col>
          <xdr:colOff>0</xdr:colOff>
          <xdr:row>38</xdr:row>
          <xdr:rowOff>0</xdr:rowOff>
        </xdr:to>
        <xdr:sp macro="" textlink="">
          <xdr:nvSpPr>
            <xdr:cNvPr id="37403" name="Drop Down 539" hidden="1">
              <a:extLst>
                <a:ext uri="{63B3BB69-23CF-44E3-9099-C40C66FF867C}">
                  <a14:compatExt spid="_x0000_s37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37</xdr:row>
          <xdr:rowOff>0</xdr:rowOff>
        </xdr:from>
        <xdr:to>
          <xdr:col>13</xdr:col>
          <xdr:colOff>828675</xdr:colOff>
          <xdr:row>38</xdr:row>
          <xdr:rowOff>0</xdr:rowOff>
        </xdr:to>
        <xdr:sp macro="" textlink="">
          <xdr:nvSpPr>
            <xdr:cNvPr id="37404" name="Drop Down 540" hidden="1">
              <a:extLst>
                <a:ext uri="{63B3BB69-23CF-44E3-9099-C40C66FF867C}">
                  <a14:compatExt spid="_x0000_s37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38</xdr:row>
          <xdr:rowOff>0</xdr:rowOff>
        </xdr:from>
        <xdr:to>
          <xdr:col>13</xdr:col>
          <xdr:colOff>0</xdr:colOff>
          <xdr:row>39</xdr:row>
          <xdr:rowOff>0</xdr:rowOff>
        </xdr:to>
        <xdr:sp macro="" textlink="">
          <xdr:nvSpPr>
            <xdr:cNvPr id="37405" name="Drop Down 541" hidden="1">
              <a:extLst>
                <a:ext uri="{63B3BB69-23CF-44E3-9099-C40C66FF867C}">
                  <a14:compatExt spid="_x0000_s37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38</xdr:row>
          <xdr:rowOff>0</xdr:rowOff>
        </xdr:from>
        <xdr:to>
          <xdr:col>13</xdr:col>
          <xdr:colOff>828675</xdr:colOff>
          <xdr:row>39</xdr:row>
          <xdr:rowOff>0</xdr:rowOff>
        </xdr:to>
        <xdr:sp macro="" textlink="">
          <xdr:nvSpPr>
            <xdr:cNvPr id="37406" name="Drop Down 542" hidden="1">
              <a:extLst>
                <a:ext uri="{63B3BB69-23CF-44E3-9099-C40C66FF867C}">
                  <a14:compatExt spid="_x0000_s37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44</xdr:row>
          <xdr:rowOff>0</xdr:rowOff>
        </xdr:from>
        <xdr:to>
          <xdr:col>13</xdr:col>
          <xdr:colOff>0</xdr:colOff>
          <xdr:row>45</xdr:row>
          <xdr:rowOff>0</xdr:rowOff>
        </xdr:to>
        <xdr:sp macro="" textlink="">
          <xdr:nvSpPr>
            <xdr:cNvPr id="37407" name="Drop Down 543" hidden="1">
              <a:extLst>
                <a:ext uri="{63B3BB69-23CF-44E3-9099-C40C66FF867C}">
                  <a14:compatExt spid="_x0000_s37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44</xdr:row>
          <xdr:rowOff>0</xdr:rowOff>
        </xdr:from>
        <xdr:to>
          <xdr:col>13</xdr:col>
          <xdr:colOff>828675</xdr:colOff>
          <xdr:row>45</xdr:row>
          <xdr:rowOff>0</xdr:rowOff>
        </xdr:to>
        <xdr:sp macro="" textlink="">
          <xdr:nvSpPr>
            <xdr:cNvPr id="37408" name="Drop Down 544" hidden="1">
              <a:extLst>
                <a:ext uri="{63B3BB69-23CF-44E3-9099-C40C66FF867C}">
                  <a14:compatExt spid="_x0000_s37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4</xdr:col>
          <xdr:colOff>0</xdr:colOff>
          <xdr:row>21</xdr:row>
          <xdr:rowOff>0</xdr:rowOff>
        </xdr:to>
        <xdr:sp macro="" textlink="">
          <xdr:nvSpPr>
            <xdr:cNvPr id="37409" name="Drop Down 545" hidden="1">
              <a:extLst>
                <a:ext uri="{63B3BB69-23CF-44E3-9099-C40C66FF867C}">
                  <a14:compatExt spid="_x0000_s37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20</xdr:row>
          <xdr:rowOff>0</xdr:rowOff>
        </xdr:from>
        <xdr:to>
          <xdr:col>5</xdr:col>
          <xdr:colOff>9525</xdr:colOff>
          <xdr:row>21</xdr:row>
          <xdr:rowOff>0</xdr:rowOff>
        </xdr:to>
        <xdr:sp macro="" textlink="">
          <xdr:nvSpPr>
            <xdr:cNvPr id="37410" name="Drop Down 546" hidden="1">
              <a:extLst>
                <a:ext uri="{63B3BB69-23CF-44E3-9099-C40C66FF867C}">
                  <a14:compatExt spid="_x0000_s37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20</xdr:row>
          <xdr:rowOff>0</xdr:rowOff>
        </xdr:from>
        <xdr:to>
          <xdr:col>16</xdr:col>
          <xdr:colOff>9525</xdr:colOff>
          <xdr:row>21</xdr:row>
          <xdr:rowOff>0</xdr:rowOff>
        </xdr:to>
        <xdr:sp macro="" textlink="">
          <xdr:nvSpPr>
            <xdr:cNvPr id="37414" name="Drop Down 550" hidden="1">
              <a:extLst>
                <a:ext uri="{63B3BB69-23CF-44E3-9099-C40C66FF867C}">
                  <a14:compatExt spid="_x0000_s37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20</xdr:row>
          <xdr:rowOff>0</xdr:rowOff>
        </xdr:from>
        <xdr:to>
          <xdr:col>17</xdr:col>
          <xdr:colOff>0</xdr:colOff>
          <xdr:row>21</xdr:row>
          <xdr:rowOff>0</xdr:rowOff>
        </xdr:to>
        <xdr:sp macro="" textlink="">
          <xdr:nvSpPr>
            <xdr:cNvPr id="37415" name="Drop Down 551" hidden="1">
              <a:extLst>
                <a:ext uri="{63B3BB69-23CF-44E3-9099-C40C66FF867C}">
                  <a14:compatExt spid="_x0000_s37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21</xdr:row>
          <xdr:rowOff>0</xdr:rowOff>
        </xdr:from>
        <xdr:to>
          <xdr:col>4</xdr:col>
          <xdr:colOff>0</xdr:colOff>
          <xdr:row>22</xdr:row>
          <xdr:rowOff>0</xdr:rowOff>
        </xdr:to>
        <xdr:sp macro="" textlink="">
          <xdr:nvSpPr>
            <xdr:cNvPr id="37416" name="Drop Down 552" hidden="1">
              <a:extLst>
                <a:ext uri="{63B3BB69-23CF-44E3-9099-C40C66FF867C}">
                  <a14:compatExt spid="_x0000_s37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21</xdr:row>
          <xdr:rowOff>0</xdr:rowOff>
        </xdr:from>
        <xdr:to>
          <xdr:col>5</xdr:col>
          <xdr:colOff>9525</xdr:colOff>
          <xdr:row>22</xdr:row>
          <xdr:rowOff>0</xdr:rowOff>
        </xdr:to>
        <xdr:sp macro="" textlink="">
          <xdr:nvSpPr>
            <xdr:cNvPr id="37417" name="Drop Down 553" hidden="1">
              <a:extLst>
                <a:ext uri="{63B3BB69-23CF-44E3-9099-C40C66FF867C}">
                  <a14:compatExt spid="_x0000_s37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21</xdr:row>
          <xdr:rowOff>0</xdr:rowOff>
        </xdr:from>
        <xdr:to>
          <xdr:col>16</xdr:col>
          <xdr:colOff>9525</xdr:colOff>
          <xdr:row>22</xdr:row>
          <xdr:rowOff>0</xdr:rowOff>
        </xdr:to>
        <xdr:sp macro="" textlink="">
          <xdr:nvSpPr>
            <xdr:cNvPr id="37421" name="Drop Down 557" hidden="1">
              <a:extLst>
                <a:ext uri="{63B3BB69-23CF-44E3-9099-C40C66FF867C}">
                  <a14:compatExt spid="_x0000_s37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21</xdr:row>
          <xdr:rowOff>0</xdr:rowOff>
        </xdr:from>
        <xdr:to>
          <xdr:col>17</xdr:col>
          <xdr:colOff>0</xdr:colOff>
          <xdr:row>22</xdr:row>
          <xdr:rowOff>0</xdr:rowOff>
        </xdr:to>
        <xdr:sp macro="" textlink="">
          <xdr:nvSpPr>
            <xdr:cNvPr id="37422" name="Drop Down 558" hidden="1">
              <a:extLst>
                <a:ext uri="{63B3BB69-23CF-44E3-9099-C40C66FF867C}">
                  <a14:compatExt spid="_x0000_s37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22</xdr:row>
          <xdr:rowOff>0</xdr:rowOff>
        </xdr:from>
        <xdr:to>
          <xdr:col>4</xdr:col>
          <xdr:colOff>0</xdr:colOff>
          <xdr:row>23</xdr:row>
          <xdr:rowOff>0</xdr:rowOff>
        </xdr:to>
        <xdr:sp macro="" textlink="">
          <xdr:nvSpPr>
            <xdr:cNvPr id="37423" name="Drop Down 559" hidden="1">
              <a:extLst>
                <a:ext uri="{63B3BB69-23CF-44E3-9099-C40C66FF867C}">
                  <a14:compatExt spid="_x0000_s37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22</xdr:row>
          <xdr:rowOff>0</xdr:rowOff>
        </xdr:from>
        <xdr:to>
          <xdr:col>5</xdr:col>
          <xdr:colOff>9525</xdr:colOff>
          <xdr:row>23</xdr:row>
          <xdr:rowOff>0</xdr:rowOff>
        </xdr:to>
        <xdr:sp macro="" textlink="">
          <xdr:nvSpPr>
            <xdr:cNvPr id="37424" name="Drop Down 560" hidden="1">
              <a:extLst>
                <a:ext uri="{63B3BB69-23CF-44E3-9099-C40C66FF867C}">
                  <a14:compatExt spid="_x0000_s37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22</xdr:row>
          <xdr:rowOff>0</xdr:rowOff>
        </xdr:from>
        <xdr:to>
          <xdr:col>16</xdr:col>
          <xdr:colOff>9525</xdr:colOff>
          <xdr:row>23</xdr:row>
          <xdr:rowOff>0</xdr:rowOff>
        </xdr:to>
        <xdr:sp macro="" textlink="">
          <xdr:nvSpPr>
            <xdr:cNvPr id="37428" name="Drop Down 564" hidden="1">
              <a:extLst>
                <a:ext uri="{63B3BB69-23CF-44E3-9099-C40C66FF867C}">
                  <a14:compatExt spid="_x0000_s37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22</xdr:row>
          <xdr:rowOff>0</xdr:rowOff>
        </xdr:from>
        <xdr:to>
          <xdr:col>17</xdr:col>
          <xdr:colOff>0</xdr:colOff>
          <xdr:row>23</xdr:row>
          <xdr:rowOff>0</xdr:rowOff>
        </xdr:to>
        <xdr:sp macro="" textlink="">
          <xdr:nvSpPr>
            <xdr:cNvPr id="37429" name="Drop Down 565" hidden="1">
              <a:extLst>
                <a:ext uri="{63B3BB69-23CF-44E3-9099-C40C66FF867C}">
                  <a14:compatExt spid="_x0000_s37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</xdr:row>
          <xdr:rowOff>0</xdr:rowOff>
        </xdr:from>
        <xdr:to>
          <xdr:col>4</xdr:col>
          <xdr:colOff>0</xdr:colOff>
          <xdr:row>24</xdr:row>
          <xdr:rowOff>0</xdr:rowOff>
        </xdr:to>
        <xdr:sp macro="" textlink="">
          <xdr:nvSpPr>
            <xdr:cNvPr id="37430" name="Drop Down 566" hidden="1">
              <a:extLst>
                <a:ext uri="{63B3BB69-23CF-44E3-9099-C40C66FF867C}">
                  <a14:compatExt spid="_x0000_s37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</xdr:row>
          <xdr:rowOff>0</xdr:rowOff>
        </xdr:from>
        <xdr:to>
          <xdr:col>5</xdr:col>
          <xdr:colOff>9525</xdr:colOff>
          <xdr:row>24</xdr:row>
          <xdr:rowOff>0</xdr:rowOff>
        </xdr:to>
        <xdr:sp macro="" textlink="">
          <xdr:nvSpPr>
            <xdr:cNvPr id="37431" name="Drop Down 567" hidden="1">
              <a:extLst>
                <a:ext uri="{63B3BB69-23CF-44E3-9099-C40C66FF867C}">
                  <a14:compatExt spid="_x0000_s37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23</xdr:row>
          <xdr:rowOff>0</xdr:rowOff>
        </xdr:from>
        <xdr:to>
          <xdr:col>16</xdr:col>
          <xdr:colOff>9525</xdr:colOff>
          <xdr:row>24</xdr:row>
          <xdr:rowOff>0</xdr:rowOff>
        </xdr:to>
        <xdr:sp macro="" textlink="">
          <xdr:nvSpPr>
            <xdr:cNvPr id="37435" name="Drop Down 571" hidden="1">
              <a:extLst>
                <a:ext uri="{63B3BB69-23CF-44E3-9099-C40C66FF867C}">
                  <a14:compatExt spid="_x0000_s37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23</xdr:row>
          <xdr:rowOff>0</xdr:rowOff>
        </xdr:from>
        <xdr:to>
          <xdr:col>17</xdr:col>
          <xdr:colOff>0</xdr:colOff>
          <xdr:row>24</xdr:row>
          <xdr:rowOff>0</xdr:rowOff>
        </xdr:to>
        <xdr:sp macro="" textlink="">
          <xdr:nvSpPr>
            <xdr:cNvPr id="37436" name="Drop Down 572" hidden="1">
              <a:extLst>
                <a:ext uri="{63B3BB69-23CF-44E3-9099-C40C66FF867C}">
                  <a14:compatExt spid="_x0000_s37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24</xdr:row>
          <xdr:rowOff>0</xdr:rowOff>
        </xdr:from>
        <xdr:to>
          <xdr:col>4</xdr:col>
          <xdr:colOff>0</xdr:colOff>
          <xdr:row>25</xdr:row>
          <xdr:rowOff>0</xdr:rowOff>
        </xdr:to>
        <xdr:sp macro="" textlink="">
          <xdr:nvSpPr>
            <xdr:cNvPr id="37437" name="Drop Down 573" hidden="1">
              <a:extLst>
                <a:ext uri="{63B3BB69-23CF-44E3-9099-C40C66FF867C}">
                  <a14:compatExt spid="_x0000_s37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24</xdr:row>
          <xdr:rowOff>0</xdr:rowOff>
        </xdr:from>
        <xdr:to>
          <xdr:col>5</xdr:col>
          <xdr:colOff>9525</xdr:colOff>
          <xdr:row>25</xdr:row>
          <xdr:rowOff>0</xdr:rowOff>
        </xdr:to>
        <xdr:sp macro="" textlink="">
          <xdr:nvSpPr>
            <xdr:cNvPr id="37438" name="Drop Down 574" hidden="1">
              <a:extLst>
                <a:ext uri="{63B3BB69-23CF-44E3-9099-C40C66FF867C}">
                  <a14:compatExt spid="_x0000_s37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24</xdr:row>
          <xdr:rowOff>0</xdr:rowOff>
        </xdr:from>
        <xdr:to>
          <xdr:col>16</xdr:col>
          <xdr:colOff>9525</xdr:colOff>
          <xdr:row>25</xdr:row>
          <xdr:rowOff>0</xdr:rowOff>
        </xdr:to>
        <xdr:sp macro="" textlink="">
          <xdr:nvSpPr>
            <xdr:cNvPr id="37442" name="Drop Down 578" hidden="1">
              <a:extLst>
                <a:ext uri="{63B3BB69-23CF-44E3-9099-C40C66FF867C}">
                  <a14:compatExt spid="_x0000_s37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24</xdr:row>
          <xdr:rowOff>0</xdr:rowOff>
        </xdr:from>
        <xdr:to>
          <xdr:col>17</xdr:col>
          <xdr:colOff>0</xdr:colOff>
          <xdr:row>25</xdr:row>
          <xdr:rowOff>0</xdr:rowOff>
        </xdr:to>
        <xdr:sp macro="" textlink="">
          <xdr:nvSpPr>
            <xdr:cNvPr id="37443" name="Drop Down 579" hidden="1">
              <a:extLst>
                <a:ext uri="{63B3BB69-23CF-44E3-9099-C40C66FF867C}">
                  <a14:compatExt spid="_x0000_s37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15</xdr:row>
          <xdr:rowOff>0</xdr:rowOff>
        </xdr:from>
        <xdr:to>
          <xdr:col>4</xdr:col>
          <xdr:colOff>0</xdr:colOff>
          <xdr:row>16</xdr:row>
          <xdr:rowOff>0</xdr:rowOff>
        </xdr:to>
        <xdr:sp macro="" textlink="">
          <xdr:nvSpPr>
            <xdr:cNvPr id="37479" name="Drop Down 615" hidden="1">
              <a:extLst>
                <a:ext uri="{63B3BB69-23CF-44E3-9099-C40C66FF867C}">
                  <a14:compatExt spid="_x0000_s37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</xdr:row>
          <xdr:rowOff>0</xdr:rowOff>
        </xdr:from>
        <xdr:to>
          <xdr:col>5</xdr:col>
          <xdr:colOff>9525</xdr:colOff>
          <xdr:row>16</xdr:row>
          <xdr:rowOff>0</xdr:rowOff>
        </xdr:to>
        <xdr:sp macro="" textlink="">
          <xdr:nvSpPr>
            <xdr:cNvPr id="37480" name="Drop Down 616" hidden="1">
              <a:extLst>
                <a:ext uri="{63B3BB69-23CF-44E3-9099-C40C66FF867C}">
                  <a14:compatExt spid="_x0000_s37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15</xdr:row>
          <xdr:rowOff>0</xdr:rowOff>
        </xdr:from>
        <xdr:to>
          <xdr:col>16</xdr:col>
          <xdr:colOff>9525</xdr:colOff>
          <xdr:row>16</xdr:row>
          <xdr:rowOff>0</xdr:rowOff>
        </xdr:to>
        <xdr:sp macro="" textlink="">
          <xdr:nvSpPr>
            <xdr:cNvPr id="37484" name="Drop Down 620" hidden="1">
              <a:extLst>
                <a:ext uri="{63B3BB69-23CF-44E3-9099-C40C66FF867C}">
                  <a14:compatExt spid="_x0000_s37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15</xdr:row>
          <xdr:rowOff>0</xdr:rowOff>
        </xdr:from>
        <xdr:to>
          <xdr:col>17</xdr:col>
          <xdr:colOff>0</xdr:colOff>
          <xdr:row>16</xdr:row>
          <xdr:rowOff>0</xdr:rowOff>
        </xdr:to>
        <xdr:sp macro="" textlink="">
          <xdr:nvSpPr>
            <xdr:cNvPr id="37485" name="Drop Down 621" hidden="1">
              <a:extLst>
                <a:ext uri="{63B3BB69-23CF-44E3-9099-C40C66FF867C}">
                  <a14:compatExt spid="_x0000_s37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16</xdr:row>
          <xdr:rowOff>0</xdr:rowOff>
        </xdr:from>
        <xdr:to>
          <xdr:col>4</xdr:col>
          <xdr:colOff>0</xdr:colOff>
          <xdr:row>17</xdr:row>
          <xdr:rowOff>0</xdr:rowOff>
        </xdr:to>
        <xdr:sp macro="" textlink="">
          <xdr:nvSpPr>
            <xdr:cNvPr id="37486" name="Drop Down 622" hidden="1">
              <a:extLst>
                <a:ext uri="{63B3BB69-23CF-44E3-9099-C40C66FF867C}">
                  <a14:compatExt spid="_x0000_s37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16</xdr:row>
          <xdr:rowOff>0</xdr:rowOff>
        </xdr:from>
        <xdr:to>
          <xdr:col>5</xdr:col>
          <xdr:colOff>9525</xdr:colOff>
          <xdr:row>17</xdr:row>
          <xdr:rowOff>0</xdr:rowOff>
        </xdr:to>
        <xdr:sp macro="" textlink="">
          <xdr:nvSpPr>
            <xdr:cNvPr id="37487" name="Drop Down 623" hidden="1">
              <a:extLst>
                <a:ext uri="{63B3BB69-23CF-44E3-9099-C40C66FF867C}">
                  <a14:compatExt spid="_x0000_s37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16</xdr:row>
          <xdr:rowOff>0</xdr:rowOff>
        </xdr:from>
        <xdr:to>
          <xdr:col>16</xdr:col>
          <xdr:colOff>9525</xdr:colOff>
          <xdr:row>17</xdr:row>
          <xdr:rowOff>0</xdr:rowOff>
        </xdr:to>
        <xdr:sp macro="" textlink="">
          <xdr:nvSpPr>
            <xdr:cNvPr id="37491" name="Drop Down 627" hidden="1">
              <a:extLst>
                <a:ext uri="{63B3BB69-23CF-44E3-9099-C40C66FF867C}">
                  <a14:compatExt spid="_x0000_s37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16</xdr:row>
          <xdr:rowOff>0</xdr:rowOff>
        </xdr:from>
        <xdr:to>
          <xdr:col>17</xdr:col>
          <xdr:colOff>0</xdr:colOff>
          <xdr:row>17</xdr:row>
          <xdr:rowOff>0</xdr:rowOff>
        </xdr:to>
        <xdr:sp macro="" textlink="">
          <xdr:nvSpPr>
            <xdr:cNvPr id="37492" name="Drop Down 628" hidden="1">
              <a:extLst>
                <a:ext uri="{63B3BB69-23CF-44E3-9099-C40C66FF867C}">
                  <a14:compatExt spid="_x0000_s37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4</xdr:col>
          <xdr:colOff>0</xdr:colOff>
          <xdr:row>18</xdr:row>
          <xdr:rowOff>0</xdr:rowOff>
        </xdr:to>
        <xdr:sp macro="" textlink="">
          <xdr:nvSpPr>
            <xdr:cNvPr id="37493" name="Drop Down 629" hidden="1">
              <a:extLst>
                <a:ext uri="{63B3BB69-23CF-44E3-9099-C40C66FF867C}">
                  <a14:compatExt spid="_x0000_s37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17</xdr:row>
          <xdr:rowOff>0</xdr:rowOff>
        </xdr:from>
        <xdr:to>
          <xdr:col>5</xdr:col>
          <xdr:colOff>9525</xdr:colOff>
          <xdr:row>18</xdr:row>
          <xdr:rowOff>0</xdr:rowOff>
        </xdr:to>
        <xdr:sp macro="" textlink="">
          <xdr:nvSpPr>
            <xdr:cNvPr id="37494" name="Drop Down 630" hidden="1">
              <a:extLst>
                <a:ext uri="{63B3BB69-23CF-44E3-9099-C40C66FF867C}">
                  <a14:compatExt spid="_x0000_s37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17</xdr:row>
          <xdr:rowOff>0</xdr:rowOff>
        </xdr:from>
        <xdr:to>
          <xdr:col>16</xdr:col>
          <xdr:colOff>9525</xdr:colOff>
          <xdr:row>18</xdr:row>
          <xdr:rowOff>0</xdr:rowOff>
        </xdr:to>
        <xdr:sp macro="" textlink="">
          <xdr:nvSpPr>
            <xdr:cNvPr id="37498" name="Drop Down 634" hidden="1">
              <a:extLst>
                <a:ext uri="{63B3BB69-23CF-44E3-9099-C40C66FF867C}">
                  <a14:compatExt spid="_x0000_s37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17</xdr:row>
          <xdr:rowOff>0</xdr:rowOff>
        </xdr:from>
        <xdr:to>
          <xdr:col>17</xdr:col>
          <xdr:colOff>0</xdr:colOff>
          <xdr:row>18</xdr:row>
          <xdr:rowOff>0</xdr:rowOff>
        </xdr:to>
        <xdr:sp macro="" textlink="">
          <xdr:nvSpPr>
            <xdr:cNvPr id="37499" name="Drop Down 635" hidden="1">
              <a:extLst>
                <a:ext uri="{63B3BB69-23CF-44E3-9099-C40C66FF867C}">
                  <a14:compatExt spid="_x0000_s37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18</xdr:row>
          <xdr:rowOff>0</xdr:rowOff>
        </xdr:from>
        <xdr:to>
          <xdr:col>4</xdr:col>
          <xdr:colOff>0</xdr:colOff>
          <xdr:row>19</xdr:row>
          <xdr:rowOff>0</xdr:rowOff>
        </xdr:to>
        <xdr:sp macro="" textlink="">
          <xdr:nvSpPr>
            <xdr:cNvPr id="37500" name="Drop Down 636" hidden="1">
              <a:extLst>
                <a:ext uri="{63B3BB69-23CF-44E3-9099-C40C66FF867C}">
                  <a14:compatExt spid="_x0000_s37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18</xdr:row>
          <xdr:rowOff>0</xdr:rowOff>
        </xdr:from>
        <xdr:to>
          <xdr:col>5</xdr:col>
          <xdr:colOff>9525</xdr:colOff>
          <xdr:row>19</xdr:row>
          <xdr:rowOff>0</xdr:rowOff>
        </xdr:to>
        <xdr:sp macro="" textlink="">
          <xdr:nvSpPr>
            <xdr:cNvPr id="37501" name="Drop Down 637" hidden="1">
              <a:extLst>
                <a:ext uri="{63B3BB69-23CF-44E3-9099-C40C66FF867C}">
                  <a14:compatExt spid="_x0000_s37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18</xdr:row>
          <xdr:rowOff>0</xdr:rowOff>
        </xdr:from>
        <xdr:to>
          <xdr:col>16</xdr:col>
          <xdr:colOff>9525</xdr:colOff>
          <xdr:row>19</xdr:row>
          <xdr:rowOff>0</xdr:rowOff>
        </xdr:to>
        <xdr:sp macro="" textlink="">
          <xdr:nvSpPr>
            <xdr:cNvPr id="37505" name="Drop Down 641" hidden="1">
              <a:extLst>
                <a:ext uri="{63B3BB69-23CF-44E3-9099-C40C66FF867C}">
                  <a14:compatExt spid="_x0000_s37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18</xdr:row>
          <xdr:rowOff>0</xdr:rowOff>
        </xdr:from>
        <xdr:to>
          <xdr:col>17</xdr:col>
          <xdr:colOff>0</xdr:colOff>
          <xdr:row>19</xdr:row>
          <xdr:rowOff>0</xdr:rowOff>
        </xdr:to>
        <xdr:sp macro="" textlink="">
          <xdr:nvSpPr>
            <xdr:cNvPr id="37506" name="Drop Down 642" hidden="1">
              <a:extLst>
                <a:ext uri="{63B3BB69-23CF-44E3-9099-C40C66FF867C}">
                  <a14:compatExt spid="_x0000_s37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19</xdr:row>
          <xdr:rowOff>0</xdr:rowOff>
        </xdr:from>
        <xdr:to>
          <xdr:col>4</xdr:col>
          <xdr:colOff>0</xdr:colOff>
          <xdr:row>20</xdr:row>
          <xdr:rowOff>0</xdr:rowOff>
        </xdr:to>
        <xdr:sp macro="" textlink="">
          <xdr:nvSpPr>
            <xdr:cNvPr id="37507" name="Drop Down 643" hidden="1">
              <a:extLst>
                <a:ext uri="{63B3BB69-23CF-44E3-9099-C40C66FF867C}">
                  <a14:compatExt spid="_x0000_s37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19</xdr:row>
          <xdr:rowOff>0</xdr:rowOff>
        </xdr:from>
        <xdr:to>
          <xdr:col>5</xdr:col>
          <xdr:colOff>9525</xdr:colOff>
          <xdr:row>20</xdr:row>
          <xdr:rowOff>0</xdr:rowOff>
        </xdr:to>
        <xdr:sp macro="" textlink="">
          <xdr:nvSpPr>
            <xdr:cNvPr id="37508" name="Drop Down 644" hidden="1">
              <a:extLst>
                <a:ext uri="{63B3BB69-23CF-44E3-9099-C40C66FF867C}">
                  <a14:compatExt spid="_x0000_s37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19</xdr:row>
          <xdr:rowOff>0</xdr:rowOff>
        </xdr:from>
        <xdr:to>
          <xdr:col>16</xdr:col>
          <xdr:colOff>9525</xdr:colOff>
          <xdr:row>20</xdr:row>
          <xdr:rowOff>0</xdr:rowOff>
        </xdr:to>
        <xdr:sp macro="" textlink="">
          <xdr:nvSpPr>
            <xdr:cNvPr id="37512" name="Drop Down 648" hidden="1">
              <a:extLst>
                <a:ext uri="{63B3BB69-23CF-44E3-9099-C40C66FF867C}">
                  <a14:compatExt spid="_x0000_s37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19</xdr:row>
          <xdr:rowOff>0</xdr:rowOff>
        </xdr:from>
        <xdr:to>
          <xdr:col>17</xdr:col>
          <xdr:colOff>0</xdr:colOff>
          <xdr:row>20</xdr:row>
          <xdr:rowOff>0</xdr:rowOff>
        </xdr:to>
        <xdr:sp macro="" textlink="">
          <xdr:nvSpPr>
            <xdr:cNvPr id="37513" name="Drop Down 649" hidden="1">
              <a:extLst>
                <a:ext uri="{63B3BB69-23CF-44E3-9099-C40C66FF867C}">
                  <a14:compatExt spid="_x0000_s37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39</xdr:row>
          <xdr:rowOff>0</xdr:rowOff>
        </xdr:from>
        <xdr:to>
          <xdr:col>13</xdr:col>
          <xdr:colOff>0</xdr:colOff>
          <xdr:row>40</xdr:row>
          <xdr:rowOff>0</xdr:rowOff>
        </xdr:to>
        <xdr:sp macro="" textlink="">
          <xdr:nvSpPr>
            <xdr:cNvPr id="37514" name="Drop Down 650" hidden="1">
              <a:extLst>
                <a:ext uri="{63B3BB69-23CF-44E3-9099-C40C66FF867C}">
                  <a14:compatExt spid="_x0000_s37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39</xdr:row>
          <xdr:rowOff>0</xdr:rowOff>
        </xdr:from>
        <xdr:to>
          <xdr:col>13</xdr:col>
          <xdr:colOff>828675</xdr:colOff>
          <xdr:row>40</xdr:row>
          <xdr:rowOff>0</xdr:rowOff>
        </xdr:to>
        <xdr:sp macro="" textlink="">
          <xdr:nvSpPr>
            <xdr:cNvPr id="37515" name="Drop Down 651" hidden="1">
              <a:extLst>
                <a:ext uri="{63B3BB69-23CF-44E3-9099-C40C66FF867C}">
                  <a14:compatExt spid="_x0000_s37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40</xdr:row>
          <xdr:rowOff>0</xdr:rowOff>
        </xdr:from>
        <xdr:to>
          <xdr:col>13</xdr:col>
          <xdr:colOff>0</xdr:colOff>
          <xdr:row>41</xdr:row>
          <xdr:rowOff>0</xdr:rowOff>
        </xdr:to>
        <xdr:sp macro="" textlink="">
          <xdr:nvSpPr>
            <xdr:cNvPr id="37516" name="Drop Down 652" hidden="1">
              <a:extLst>
                <a:ext uri="{63B3BB69-23CF-44E3-9099-C40C66FF867C}">
                  <a14:compatExt spid="_x0000_s37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40</xdr:row>
          <xdr:rowOff>0</xdr:rowOff>
        </xdr:from>
        <xdr:to>
          <xdr:col>13</xdr:col>
          <xdr:colOff>828675</xdr:colOff>
          <xdr:row>41</xdr:row>
          <xdr:rowOff>0</xdr:rowOff>
        </xdr:to>
        <xdr:sp macro="" textlink="">
          <xdr:nvSpPr>
            <xdr:cNvPr id="37517" name="Drop Down 653" hidden="1">
              <a:extLst>
                <a:ext uri="{63B3BB69-23CF-44E3-9099-C40C66FF867C}">
                  <a14:compatExt spid="_x0000_s37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41</xdr:row>
          <xdr:rowOff>0</xdr:rowOff>
        </xdr:from>
        <xdr:to>
          <xdr:col>13</xdr:col>
          <xdr:colOff>0</xdr:colOff>
          <xdr:row>42</xdr:row>
          <xdr:rowOff>0</xdr:rowOff>
        </xdr:to>
        <xdr:sp macro="" textlink="">
          <xdr:nvSpPr>
            <xdr:cNvPr id="37518" name="Drop Down 654" hidden="1">
              <a:extLst>
                <a:ext uri="{63B3BB69-23CF-44E3-9099-C40C66FF867C}">
                  <a14:compatExt spid="_x0000_s37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41</xdr:row>
          <xdr:rowOff>0</xdr:rowOff>
        </xdr:from>
        <xdr:to>
          <xdr:col>13</xdr:col>
          <xdr:colOff>828675</xdr:colOff>
          <xdr:row>42</xdr:row>
          <xdr:rowOff>0</xdr:rowOff>
        </xdr:to>
        <xdr:sp macro="" textlink="">
          <xdr:nvSpPr>
            <xdr:cNvPr id="37519" name="Drop Down 655" hidden="1">
              <a:extLst>
                <a:ext uri="{63B3BB69-23CF-44E3-9099-C40C66FF867C}">
                  <a14:compatExt spid="_x0000_s37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42</xdr:row>
          <xdr:rowOff>0</xdr:rowOff>
        </xdr:from>
        <xdr:to>
          <xdr:col>13</xdr:col>
          <xdr:colOff>0</xdr:colOff>
          <xdr:row>43</xdr:row>
          <xdr:rowOff>0</xdr:rowOff>
        </xdr:to>
        <xdr:sp macro="" textlink="">
          <xdr:nvSpPr>
            <xdr:cNvPr id="37520" name="Drop Down 656" hidden="1">
              <a:extLst>
                <a:ext uri="{63B3BB69-23CF-44E3-9099-C40C66FF867C}">
                  <a14:compatExt spid="_x0000_s37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42</xdr:row>
          <xdr:rowOff>0</xdr:rowOff>
        </xdr:from>
        <xdr:to>
          <xdr:col>13</xdr:col>
          <xdr:colOff>828675</xdr:colOff>
          <xdr:row>43</xdr:row>
          <xdr:rowOff>0</xdr:rowOff>
        </xdr:to>
        <xdr:sp macro="" textlink="">
          <xdr:nvSpPr>
            <xdr:cNvPr id="37521" name="Drop Down 657" hidden="1">
              <a:extLst>
                <a:ext uri="{63B3BB69-23CF-44E3-9099-C40C66FF867C}">
                  <a14:compatExt spid="_x0000_s37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43</xdr:row>
          <xdr:rowOff>0</xdr:rowOff>
        </xdr:from>
        <xdr:to>
          <xdr:col>13</xdr:col>
          <xdr:colOff>0</xdr:colOff>
          <xdr:row>44</xdr:row>
          <xdr:rowOff>0</xdr:rowOff>
        </xdr:to>
        <xdr:sp macro="" textlink="">
          <xdr:nvSpPr>
            <xdr:cNvPr id="37522" name="Drop Down 658" hidden="1">
              <a:extLst>
                <a:ext uri="{63B3BB69-23CF-44E3-9099-C40C66FF867C}">
                  <a14:compatExt spid="_x0000_s37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43</xdr:row>
          <xdr:rowOff>0</xdr:rowOff>
        </xdr:from>
        <xdr:to>
          <xdr:col>13</xdr:col>
          <xdr:colOff>828675</xdr:colOff>
          <xdr:row>44</xdr:row>
          <xdr:rowOff>0</xdr:rowOff>
        </xdr:to>
        <xdr:sp macro="" textlink="">
          <xdr:nvSpPr>
            <xdr:cNvPr id="37523" name="Drop Down 659" hidden="1">
              <a:extLst>
                <a:ext uri="{63B3BB69-23CF-44E3-9099-C40C66FF867C}">
                  <a14:compatExt spid="_x0000_s37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65</xdr:row>
          <xdr:rowOff>0</xdr:rowOff>
        </xdr:from>
        <xdr:to>
          <xdr:col>4</xdr:col>
          <xdr:colOff>0</xdr:colOff>
          <xdr:row>66</xdr:row>
          <xdr:rowOff>0</xdr:rowOff>
        </xdr:to>
        <xdr:sp macro="" textlink="">
          <xdr:nvSpPr>
            <xdr:cNvPr id="37524" name="Drop Down 660" hidden="1">
              <a:extLst>
                <a:ext uri="{63B3BB69-23CF-44E3-9099-C40C66FF867C}">
                  <a14:compatExt spid="_x0000_s37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65</xdr:row>
          <xdr:rowOff>0</xdr:rowOff>
        </xdr:from>
        <xdr:to>
          <xdr:col>5</xdr:col>
          <xdr:colOff>9525</xdr:colOff>
          <xdr:row>66</xdr:row>
          <xdr:rowOff>0</xdr:rowOff>
        </xdr:to>
        <xdr:sp macro="" textlink="">
          <xdr:nvSpPr>
            <xdr:cNvPr id="37525" name="Drop Down 661" hidden="1">
              <a:extLst>
                <a:ext uri="{63B3BB69-23CF-44E3-9099-C40C66FF867C}">
                  <a14:compatExt spid="_x0000_s37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65</xdr:row>
          <xdr:rowOff>0</xdr:rowOff>
        </xdr:from>
        <xdr:to>
          <xdr:col>16</xdr:col>
          <xdr:colOff>9525</xdr:colOff>
          <xdr:row>66</xdr:row>
          <xdr:rowOff>0</xdr:rowOff>
        </xdr:to>
        <xdr:sp macro="" textlink="">
          <xdr:nvSpPr>
            <xdr:cNvPr id="37531" name="Drop Down 667" hidden="1">
              <a:extLst>
                <a:ext uri="{63B3BB69-23CF-44E3-9099-C40C66FF867C}">
                  <a14:compatExt spid="_x0000_s37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65</xdr:row>
          <xdr:rowOff>0</xdr:rowOff>
        </xdr:from>
        <xdr:to>
          <xdr:col>17</xdr:col>
          <xdr:colOff>0</xdr:colOff>
          <xdr:row>66</xdr:row>
          <xdr:rowOff>0</xdr:rowOff>
        </xdr:to>
        <xdr:sp macro="" textlink="">
          <xdr:nvSpPr>
            <xdr:cNvPr id="37532" name="Drop Down 668" hidden="1">
              <a:extLst>
                <a:ext uri="{63B3BB69-23CF-44E3-9099-C40C66FF867C}">
                  <a14:compatExt spid="_x0000_s37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66</xdr:row>
          <xdr:rowOff>0</xdr:rowOff>
        </xdr:from>
        <xdr:to>
          <xdr:col>4</xdr:col>
          <xdr:colOff>0</xdr:colOff>
          <xdr:row>67</xdr:row>
          <xdr:rowOff>0</xdr:rowOff>
        </xdr:to>
        <xdr:sp macro="" textlink="">
          <xdr:nvSpPr>
            <xdr:cNvPr id="37533" name="Drop Down 669" hidden="1">
              <a:extLst>
                <a:ext uri="{63B3BB69-23CF-44E3-9099-C40C66FF867C}">
                  <a14:compatExt spid="_x0000_s37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66</xdr:row>
          <xdr:rowOff>0</xdr:rowOff>
        </xdr:from>
        <xdr:to>
          <xdr:col>5</xdr:col>
          <xdr:colOff>9525</xdr:colOff>
          <xdr:row>67</xdr:row>
          <xdr:rowOff>0</xdr:rowOff>
        </xdr:to>
        <xdr:sp macro="" textlink="">
          <xdr:nvSpPr>
            <xdr:cNvPr id="37534" name="Drop Down 670" hidden="1">
              <a:extLst>
                <a:ext uri="{63B3BB69-23CF-44E3-9099-C40C66FF867C}">
                  <a14:compatExt spid="_x0000_s37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66</xdr:row>
          <xdr:rowOff>0</xdr:rowOff>
        </xdr:from>
        <xdr:to>
          <xdr:col>16</xdr:col>
          <xdr:colOff>9525</xdr:colOff>
          <xdr:row>67</xdr:row>
          <xdr:rowOff>0</xdr:rowOff>
        </xdr:to>
        <xdr:sp macro="" textlink="">
          <xdr:nvSpPr>
            <xdr:cNvPr id="37540" name="Drop Down 676" hidden="1">
              <a:extLst>
                <a:ext uri="{63B3BB69-23CF-44E3-9099-C40C66FF867C}">
                  <a14:compatExt spid="_x0000_s37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66</xdr:row>
          <xdr:rowOff>0</xdr:rowOff>
        </xdr:from>
        <xdr:to>
          <xdr:col>17</xdr:col>
          <xdr:colOff>0</xdr:colOff>
          <xdr:row>67</xdr:row>
          <xdr:rowOff>0</xdr:rowOff>
        </xdr:to>
        <xdr:sp macro="" textlink="">
          <xdr:nvSpPr>
            <xdr:cNvPr id="37541" name="Drop Down 677" hidden="1">
              <a:extLst>
                <a:ext uri="{63B3BB69-23CF-44E3-9099-C40C66FF867C}">
                  <a14:compatExt spid="_x0000_s37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67</xdr:row>
          <xdr:rowOff>0</xdr:rowOff>
        </xdr:from>
        <xdr:to>
          <xdr:col>4</xdr:col>
          <xdr:colOff>0</xdr:colOff>
          <xdr:row>68</xdr:row>
          <xdr:rowOff>0</xdr:rowOff>
        </xdr:to>
        <xdr:sp macro="" textlink="">
          <xdr:nvSpPr>
            <xdr:cNvPr id="37542" name="Drop Down 678" hidden="1">
              <a:extLst>
                <a:ext uri="{63B3BB69-23CF-44E3-9099-C40C66FF867C}">
                  <a14:compatExt spid="_x0000_s37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67</xdr:row>
          <xdr:rowOff>0</xdr:rowOff>
        </xdr:from>
        <xdr:to>
          <xdr:col>5</xdr:col>
          <xdr:colOff>9525</xdr:colOff>
          <xdr:row>68</xdr:row>
          <xdr:rowOff>0</xdr:rowOff>
        </xdr:to>
        <xdr:sp macro="" textlink="">
          <xdr:nvSpPr>
            <xdr:cNvPr id="37543" name="Drop Down 679" hidden="1">
              <a:extLst>
                <a:ext uri="{63B3BB69-23CF-44E3-9099-C40C66FF867C}">
                  <a14:compatExt spid="_x0000_s37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67</xdr:row>
          <xdr:rowOff>0</xdr:rowOff>
        </xdr:from>
        <xdr:to>
          <xdr:col>16</xdr:col>
          <xdr:colOff>9525</xdr:colOff>
          <xdr:row>68</xdr:row>
          <xdr:rowOff>0</xdr:rowOff>
        </xdr:to>
        <xdr:sp macro="" textlink="">
          <xdr:nvSpPr>
            <xdr:cNvPr id="37549" name="Drop Down 685" hidden="1">
              <a:extLst>
                <a:ext uri="{63B3BB69-23CF-44E3-9099-C40C66FF867C}">
                  <a14:compatExt spid="_x0000_s37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67</xdr:row>
          <xdr:rowOff>0</xdr:rowOff>
        </xdr:from>
        <xdr:to>
          <xdr:col>17</xdr:col>
          <xdr:colOff>0</xdr:colOff>
          <xdr:row>68</xdr:row>
          <xdr:rowOff>0</xdr:rowOff>
        </xdr:to>
        <xdr:sp macro="" textlink="">
          <xdr:nvSpPr>
            <xdr:cNvPr id="37550" name="Drop Down 686" hidden="1">
              <a:extLst>
                <a:ext uri="{63B3BB69-23CF-44E3-9099-C40C66FF867C}">
                  <a14:compatExt spid="_x0000_s37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68</xdr:row>
          <xdr:rowOff>0</xdr:rowOff>
        </xdr:from>
        <xdr:to>
          <xdr:col>4</xdr:col>
          <xdr:colOff>0</xdr:colOff>
          <xdr:row>69</xdr:row>
          <xdr:rowOff>0</xdr:rowOff>
        </xdr:to>
        <xdr:sp macro="" textlink="">
          <xdr:nvSpPr>
            <xdr:cNvPr id="37551" name="Drop Down 687" hidden="1">
              <a:extLst>
                <a:ext uri="{63B3BB69-23CF-44E3-9099-C40C66FF867C}">
                  <a14:compatExt spid="_x0000_s37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68</xdr:row>
          <xdr:rowOff>0</xdr:rowOff>
        </xdr:from>
        <xdr:to>
          <xdr:col>5</xdr:col>
          <xdr:colOff>9525</xdr:colOff>
          <xdr:row>69</xdr:row>
          <xdr:rowOff>0</xdr:rowOff>
        </xdr:to>
        <xdr:sp macro="" textlink="">
          <xdr:nvSpPr>
            <xdr:cNvPr id="37552" name="Drop Down 688" hidden="1">
              <a:extLst>
                <a:ext uri="{63B3BB69-23CF-44E3-9099-C40C66FF867C}">
                  <a14:compatExt spid="_x0000_s37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68</xdr:row>
          <xdr:rowOff>0</xdr:rowOff>
        </xdr:from>
        <xdr:to>
          <xdr:col>16</xdr:col>
          <xdr:colOff>9525</xdr:colOff>
          <xdr:row>69</xdr:row>
          <xdr:rowOff>0</xdr:rowOff>
        </xdr:to>
        <xdr:sp macro="" textlink="">
          <xdr:nvSpPr>
            <xdr:cNvPr id="37558" name="Drop Down 694" hidden="1">
              <a:extLst>
                <a:ext uri="{63B3BB69-23CF-44E3-9099-C40C66FF867C}">
                  <a14:compatExt spid="_x0000_s37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68</xdr:row>
          <xdr:rowOff>0</xdr:rowOff>
        </xdr:from>
        <xdr:to>
          <xdr:col>17</xdr:col>
          <xdr:colOff>0</xdr:colOff>
          <xdr:row>69</xdr:row>
          <xdr:rowOff>0</xdr:rowOff>
        </xdr:to>
        <xdr:sp macro="" textlink="">
          <xdr:nvSpPr>
            <xdr:cNvPr id="37559" name="Drop Down 695" hidden="1">
              <a:extLst>
                <a:ext uri="{63B3BB69-23CF-44E3-9099-C40C66FF867C}">
                  <a14:compatExt spid="_x0000_s37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69</xdr:row>
          <xdr:rowOff>0</xdr:rowOff>
        </xdr:from>
        <xdr:to>
          <xdr:col>4</xdr:col>
          <xdr:colOff>0</xdr:colOff>
          <xdr:row>70</xdr:row>
          <xdr:rowOff>0</xdr:rowOff>
        </xdr:to>
        <xdr:sp macro="" textlink="">
          <xdr:nvSpPr>
            <xdr:cNvPr id="37560" name="Drop Down 696" hidden="1">
              <a:extLst>
                <a:ext uri="{63B3BB69-23CF-44E3-9099-C40C66FF867C}">
                  <a14:compatExt spid="_x0000_s37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69</xdr:row>
          <xdr:rowOff>0</xdr:rowOff>
        </xdr:from>
        <xdr:to>
          <xdr:col>5</xdr:col>
          <xdr:colOff>9525</xdr:colOff>
          <xdr:row>70</xdr:row>
          <xdr:rowOff>0</xdr:rowOff>
        </xdr:to>
        <xdr:sp macro="" textlink="">
          <xdr:nvSpPr>
            <xdr:cNvPr id="37561" name="Drop Down 697" hidden="1">
              <a:extLst>
                <a:ext uri="{63B3BB69-23CF-44E3-9099-C40C66FF867C}">
                  <a14:compatExt spid="_x0000_s37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69</xdr:row>
          <xdr:rowOff>0</xdr:rowOff>
        </xdr:from>
        <xdr:to>
          <xdr:col>16</xdr:col>
          <xdr:colOff>9525</xdr:colOff>
          <xdr:row>70</xdr:row>
          <xdr:rowOff>0</xdr:rowOff>
        </xdr:to>
        <xdr:sp macro="" textlink="">
          <xdr:nvSpPr>
            <xdr:cNvPr id="37567" name="Drop Down 703" hidden="1">
              <a:extLst>
                <a:ext uri="{63B3BB69-23CF-44E3-9099-C40C66FF867C}">
                  <a14:compatExt spid="_x0000_s37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69</xdr:row>
          <xdr:rowOff>0</xdr:rowOff>
        </xdr:from>
        <xdr:to>
          <xdr:col>17</xdr:col>
          <xdr:colOff>0</xdr:colOff>
          <xdr:row>70</xdr:row>
          <xdr:rowOff>0</xdr:rowOff>
        </xdr:to>
        <xdr:sp macro="" textlink="">
          <xdr:nvSpPr>
            <xdr:cNvPr id="37568" name="Drop Down 704" hidden="1">
              <a:extLst>
                <a:ext uri="{63B3BB69-23CF-44E3-9099-C40C66FF867C}">
                  <a14:compatExt spid="_x0000_s37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77</xdr:row>
          <xdr:rowOff>0</xdr:rowOff>
        </xdr:from>
        <xdr:to>
          <xdr:col>13</xdr:col>
          <xdr:colOff>0</xdr:colOff>
          <xdr:row>78</xdr:row>
          <xdr:rowOff>0</xdr:rowOff>
        </xdr:to>
        <xdr:sp macro="" textlink="">
          <xdr:nvSpPr>
            <xdr:cNvPr id="37579" name="Drop Down 715" hidden="1">
              <a:extLst>
                <a:ext uri="{63B3BB69-23CF-44E3-9099-C40C66FF867C}">
                  <a14:compatExt spid="_x0000_s37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77</xdr:row>
          <xdr:rowOff>0</xdr:rowOff>
        </xdr:from>
        <xdr:to>
          <xdr:col>13</xdr:col>
          <xdr:colOff>828675</xdr:colOff>
          <xdr:row>78</xdr:row>
          <xdr:rowOff>0</xdr:rowOff>
        </xdr:to>
        <xdr:sp macro="" textlink="">
          <xdr:nvSpPr>
            <xdr:cNvPr id="37580" name="Drop Down 716" hidden="1">
              <a:extLst>
                <a:ext uri="{63B3BB69-23CF-44E3-9099-C40C66FF867C}">
                  <a14:compatExt spid="_x0000_s37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78</xdr:row>
          <xdr:rowOff>0</xdr:rowOff>
        </xdr:from>
        <xdr:to>
          <xdr:col>13</xdr:col>
          <xdr:colOff>0</xdr:colOff>
          <xdr:row>79</xdr:row>
          <xdr:rowOff>0</xdr:rowOff>
        </xdr:to>
        <xdr:sp macro="" textlink="">
          <xdr:nvSpPr>
            <xdr:cNvPr id="37581" name="Drop Down 717" hidden="1">
              <a:extLst>
                <a:ext uri="{63B3BB69-23CF-44E3-9099-C40C66FF867C}">
                  <a14:compatExt spid="_x0000_s37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78</xdr:row>
          <xdr:rowOff>0</xdr:rowOff>
        </xdr:from>
        <xdr:to>
          <xdr:col>13</xdr:col>
          <xdr:colOff>828675</xdr:colOff>
          <xdr:row>79</xdr:row>
          <xdr:rowOff>0</xdr:rowOff>
        </xdr:to>
        <xdr:sp macro="" textlink="">
          <xdr:nvSpPr>
            <xdr:cNvPr id="37582" name="Drop Down 718" hidden="1">
              <a:extLst>
                <a:ext uri="{63B3BB69-23CF-44E3-9099-C40C66FF867C}">
                  <a14:compatExt spid="_x0000_s37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79</xdr:row>
          <xdr:rowOff>0</xdr:rowOff>
        </xdr:from>
        <xdr:to>
          <xdr:col>13</xdr:col>
          <xdr:colOff>0</xdr:colOff>
          <xdr:row>80</xdr:row>
          <xdr:rowOff>0</xdr:rowOff>
        </xdr:to>
        <xdr:sp macro="" textlink="">
          <xdr:nvSpPr>
            <xdr:cNvPr id="37583" name="Drop Down 719" hidden="1">
              <a:extLst>
                <a:ext uri="{63B3BB69-23CF-44E3-9099-C40C66FF867C}">
                  <a14:compatExt spid="_x0000_s37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79</xdr:row>
          <xdr:rowOff>0</xdr:rowOff>
        </xdr:from>
        <xdr:to>
          <xdr:col>13</xdr:col>
          <xdr:colOff>828675</xdr:colOff>
          <xdr:row>80</xdr:row>
          <xdr:rowOff>0</xdr:rowOff>
        </xdr:to>
        <xdr:sp macro="" textlink="">
          <xdr:nvSpPr>
            <xdr:cNvPr id="37584" name="Drop Down 720" hidden="1">
              <a:extLst>
                <a:ext uri="{63B3BB69-23CF-44E3-9099-C40C66FF867C}">
                  <a14:compatExt spid="_x0000_s37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80</xdr:row>
          <xdr:rowOff>0</xdr:rowOff>
        </xdr:from>
        <xdr:to>
          <xdr:col>13</xdr:col>
          <xdr:colOff>0</xdr:colOff>
          <xdr:row>81</xdr:row>
          <xdr:rowOff>0</xdr:rowOff>
        </xdr:to>
        <xdr:sp macro="" textlink="">
          <xdr:nvSpPr>
            <xdr:cNvPr id="37585" name="Drop Down 721" hidden="1">
              <a:extLst>
                <a:ext uri="{63B3BB69-23CF-44E3-9099-C40C66FF867C}">
                  <a14:compatExt spid="_x0000_s37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80</xdr:row>
          <xdr:rowOff>0</xdr:rowOff>
        </xdr:from>
        <xdr:to>
          <xdr:col>13</xdr:col>
          <xdr:colOff>828675</xdr:colOff>
          <xdr:row>81</xdr:row>
          <xdr:rowOff>0</xdr:rowOff>
        </xdr:to>
        <xdr:sp macro="" textlink="">
          <xdr:nvSpPr>
            <xdr:cNvPr id="37586" name="Drop Down 722" hidden="1">
              <a:extLst>
                <a:ext uri="{63B3BB69-23CF-44E3-9099-C40C66FF867C}">
                  <a14:compatExt spid="_x0000_s37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81</xdr:row>
          <xdr:rowOff>0</xdr:rowOff>
        </xdr:from>
        <xdr:to>
          <xdr:col>13</xdr:col>
          <xdr:colOff>0</xdr:colOff>
          <xdr:row>82</xdr:row>
          <xdr:rowOff>0</xdr:rowOff>
        </xdr:to>
        <xdr:sp macro="" textlink="">
          <xdr:nvSpPr>
            <xdr:cNvPr id="37587" name="Drop Down 723" hidden="1">
              <a:extLst>
                <a:ext uri="{63B3BB69-23CF-44E3-9099-C40C66FF867C}">
                  <a14:compatExt spid="_x0000_s37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81</xdr:row>
          <xdr:rowOff>0</xdr:rowOff>
        </xdr:from>
        <xdr:to>
          <xdr:col>13</xdr:col>
          <xdr:colOff>828675</xdr:colOff>
          <xdr:row>82</xdr:row>
          <xdr:rowOff>0</xdr:rowOff>
        </xdr:to>
        <xdr:sp macro="" textlink="">
          <xdr:nvSpPr>
            <xdr:cNvPr id="37588" name="Drop Down 724" hidden="1">
              <a:extLst>
                <a:ext uri="{63B3BB69-23CF-44E3-9099-C40C66FF867C}">
                  <a14:compatExt spid="_x0000_s37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8</xdr:row>
          <xdr:rowOff>0</xdr:rowOff>
        </xdr:from>
        <xdr:to>
          <xdr:col>3</xdr:col>
          <xdr:colOff>0</xdr:colOff>
          <xdr:row>9</xdr:row>
          <xdr:rowOff>9525</xdr:rowOff>
        </xdr:to>
        <xdr:sp macro="" textlink="">
          <xdr:nvSpPr>
            <xdr:cNvPr id="1335531" name="Drop Down 1259" hidden="1">
              <a:extLst>
                <a:ext uri="{63B3BB69-23CF-44E3-9099-C40C66FF867C}">
                  <a14:compatExt spid="_x0000_s1335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0</xdr:rowOff>
        </xdr:from>
        <xdr:to>
          <xdr:col>2</xdr:col>
          <xdr:colOff>0</xdr:colOff>
          <xdr:row>91</xdr:row>
          <xdr:rowOff>9525</xdr:rowOff>
        </xdr:to>
        <xdr:sp macro="" textlink="">
          <xdr:nvSpPr>
            <xdr:cNvPr id="2185224" name="Drop Down 2056" hidden="1">
              <a:extLst>
                <a:ext uri="{63B3BB69-23CF-44E3-9099-C40C66FF867C}">
                  <a14:compatExt spid="_x0000_s2185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0</xdr:rowOff>
        </xdr:from>
        <xdr:to>
          <xdr:col>2</xdr:col>
          <xdr:colOff>0</xdr:colOff>
          <xdr:row>92</xdr:row>
          <xdr:rowOff>9525</xdr:rowOff>
        </xdr:to>
        <xdr:sp macro="" textlink="">
          <xdr:nvSpPr>
            <xdr:cNvPr id="2185225" name="Drop Down 2057" hidden="1">
              <a:extLst>
                <a:ext uri="{63B3BB69-23CF-44E3-9099-C40C66FF867C}">
                  <a14:compatExt spid="_x0000_s2185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0</xdr:rowOff>
        </xdr:from>
        <xdr:to>
          <xdr:col>2</xdr:col>
          <xdr:colOff>0</xdr:colOff>
          <xdr:row>93</xdr:row>
          <xdr:rowOff>9525</xdr:rowOff>
        </xdr:to>
        <xdr:sp macro="" textlink="">
          <xdr:nvSpPr>
            <xdr:cNvPr id="2185226" name="Drop Down 2058" hidden="1">
              <a:extLst>
                <a:ext uri="{63B3BB69-23CF-44E3-9099-C40C66FF867C}">
                  <a14:compatExt spid="_x0000_s2185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0</xdr:rowOff>
        </xdr:from>
        <xdr:to>
          <xdr:col>2</xdr:col>
          <xdr:colOff>0</xdr:colOff>
          <xdr:row>94</xdr:row>
          <xdr:rowOff>9525</xdr:rowOff>
        </xdr:to>
        <xdr:sp macro="" textlink="">
          <xdr:nvSpPr>
            <xdr:cNvPr id="2185227" name="Drop Down 2059" hidden="1">
              <a:extLst>
                <a:ext uri="{63B3BB69-23CF-44E3-9099-C40C66FF867C}">
                  <a14:compatExt spid="_x0000_s2185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0</xdr:rowOff>
        </xdr:from>
        <xdr:to>
          <xdr:col>2</xdr:col>
          <xdr:colOff>0</xdr:colOff>
          <xdr:row>95</xdr:row>
          <xdr:rowOff>9525</xdr:rowOff>
        </xdr:to>
        <xdr:sp macro="" textlink="">
          <xdr:nvSpPr>
            <xdr:cNvPr id="2185228" name="Drop Down 2060" hidden="1">
              <a:extLst>
                <a:ext uri="{63B3BB69-23CF-44E3-9099-C40C66FF867C}">
                  <a14:compatExt spid="_x0000_s2185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600075</xdr:colOff>
      <xdr:row>10</xdr:row>
      <xdr:rowOff>38100</xdr:rowOff>
    </xdr:from>
    <xdr:to>
      <xdr:col>38</xdr:col>
      <xdr:colOff>314325</xdr:colOff>
      <xdr:row>28</xdr:row>
      <xdr:rowOff>9525</xdr:rowOff>
    </xdr:to>
    <xdr:graphicFrame macro="">
      <xdr:nvGraphicFramePr>
        <xdr:cNvPr id="3493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</xdr:row>
          <xdr:rowOff>0</xdr:rowOff>
        </xdr:from>
        <xdr:to>
          <xdr:col>3</xdr:col>
          <xdr:colOff>66675</xdr:colOff>
          <xdr:row>11</xdr:row>
          <xdr:rowOff>0</xdr:rowOff>
        </xdr:to>
        <xdr:sp macro="" textlink="">
          <xdr:nvSpPr>
            <xdr:cNvPr id="34818" name="Drop Down 2" hidden="1">
              <a:extLst>
                <a:ext uri="{63B3BB69-23CF-44E3-9099-C40C66FF867C}">
                  <a14:compatExt spid="_x0000_s34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3</xdr:col>
          <xdr:colOff>66675</xdr:colOff>
          <xdr:row>21</xdr:row>
          <xdr:rowOff>0</xdr:rowOff>
        </xdr:to>
        <xdr:sp macro="" textlink="">
          <xdr:nvSpPr>
            <xdr:cNvPr id="34819" name="Drop Down 3" hidden="1">
              <a:extLst>
                <a:ext uri="{63B3BB69-23CF-44E3-9099-C40C66FF867C}">
                  <a14:compatExt spid="_x0000_s34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0</xdr:rowOff>
        </xdr:from>
        <xdr:to>
          <xdr:col>3</xdr:col>
          <xdr:colOff>66675</xdr:colOff>
          <xdr:row>22</xdr:row>
          <xdr:rowOff>0</xdr:rowOff>
        </xdr:to>
        <xdr:sp macro="" textlink="">
          <xdr:nvSpPr>
            <xdr:cNvPr id="34820" name="Drop Down 4" hidden="1">
              <a:extLst>
                <a:ext uri="{63B3BB69-23CF-44E3-9099-C40C66FF867C}">
                  <a14:compatExt spid="_x0000_s34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0</xdr:rowOff>
        </xdr:from>
        <xdr:to>
          <xdr:col>3</xdr:col>
          <xdr:colOff>66675</xdr:colOff>
          <xdr:row>23</xdr:row>
          <xdr:rowOff>0</xdr:rowOff>
        </xdr:to>
        <xdr:sp macro="" textlink="">
          <xdr:nvSpPr>
            <xdr:cNvPr id="34821" name="Drop Down 5" hidden="1">
              <a:extLst>
                <a:ext uri="{63B3BB69-23CF-44E3-9099-C40C66FF867C}">
                  <a14:compatExt spid="_x0000_s34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0</xdr:rowOff>
        </xdr:from>
        <xdr:to>
          <xdr:col>3</xdr:col>
          <xdr:colOff>66675</xdr:colOff>
          <xdr:row>24</xdr:row>
          <xdr:rowOff>0</xdr:rowOff>
        </xdr:to>
        <xdr:sp macro="" textlink="">
          <xdr:nvSpPr>
            <xdr:cNvPr id="34822" name="Drop Down 6" hidden="1">
              <a:extLst>
                <a:ext uri="{63B3BB69-23CF-44E3-9099-C40C66FF867C}">
                  <a14:compatExt spid="_x0000_s34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0</xdr:rowOff>
        </xdr:from>
        <xdr:to>
          <xdr:col>3</xdr:col>
          <xdr:colOff>66675</xdr:colOff>
          <xdr:row>25</xdr:row>
          <xdr:rowOff>0</xdr:rowOff>
        </xdr:to>
        <xdr:sp macro="" textlink="">
          <xdr:nvSpPr>
            <xdr:cNvPr id="34823" name="Drop Down 7" hidden="1">
              <a:extLst>
                <a:ext uri="{63B3BB69-23CF-44E3-9099-C40C66FF867C}">
                  <a14:compatExt spid="_x0000_s34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0</xdr:rowOff>
        </xdr:from>
        <xdr:to>
          <xdr:col>3</xdr:col>
          <xdr:colOff>66675</xdr:colOff>
          <xdr:row>26</xdr:row>
          <xdr:rowOff>0</xdr:rowOff>
        </xdr:to>
        <xdr:sp macro="" textlink="">
          <xdr:nvSpPr>
            <xdr:cNvPr id="34824" name="Drop Down 8" hidden="1">
              <a:extLst>
                <a:ext uri="{63B3BB69-23CF-44E3-9099-C40C66FF867C}">
                  <a14:compatExt spid="_x0000_s34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0</xdr:rowOff>
        </xdr:from>
        <xdr:to>
          <xdr:col>3</xdr:col>
          <xdr:colOff>66675</xdr:colOff>
          <xdr:row>27</xdr:row>
          <xdr:rowOff>0</xdr:rowOff>
        </xdr:to>
        <xdr:sp macro="" textlink="">
          <xdr:nvSpPr>
            <xdr:cNvPr id="34825" name="Drop Down 9" hidden="1">
              <a:extLst>
                <a:ext uri="{63B3BB69-23CF-44E3-9099-C40C66FF867C}">
                  <a14:compatExt spid="_x0000_s34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0</xdr:rowOff>
        </xdr:from>
        <xdr:to>
          <xdr:col>3</xdr:col>
          <xdr:colOff>66675</xdr:colOff>
          <xdr:row>28</xdr:row>
          <xdr:rowOff>0</xdr:rowOff>
        </xdr:to>
        <xdr:sp macro="" textlink="">
          <xdr:nvSpPr>
            <xdr:cNvPr id="34826" name="Drop Down 10" hidden="1">
              <a:extLst>
                <a:ext uri="{63B3BB69-23CF-44E3-9099-C40C66FF867C}">
                  <a14:compatExt spid="_x0000_s34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0</xdr:rowOff>
        </xdr:from>
        <xdr:to>
          <xdr:col>3</xdr:col>
          <xdr:colOff>66675</xdr:colOff>
          <xdr:row>29</xdr:row>
          <xdr:rowOff>0</xdr:rowOff>
        </xdr:to>
        <xdr:sp macro="" textlink="">
          <xdr:nvSpPr>
            <xdr:cNvPr id="34827" name="Drop Down 11" hidden="1">
              <a:extLst>
                <a:ext uri="{63B3BB69-23CF-44E3-9099-C40C66FF867C}">
                  <a14:compatExt spid="_x0000_s34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</xdr:row>
          <xdr:rowOff>0</xdr:rowOff>
        </xdr:from>
        <xdr:to>
          <xdr:col>3</xdr:col>
          <xdr:colOff>66675</xdr:colOff>
          <xdr:row>12</xdr:row>
          <xdr:rowOff>0</xdr:rowOff>
        </xdr:to>
        <xdr:sp macro="" textlink="">
          <xdr:nvSpPr>
            <xdr:cNvPr id="34829" name="Drop Down 13" hidden="1">
              <a:extLst>
                <a:ext uri="{63B3BB69-23CF-44E3-9099-C40C66FF867C}">
                  <a14:compatExt spid="_x0000_s34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12</xdr:row>
          <xdr:rowOff>0</xdr:rowOff>
        </xdr:from>
        <xdr:to>
          <xdr:col>3</xdr:col>
          <xdr:colOff>66675</xdr:colOff>
          <xdr:row>13</xdr:row>
          <xdr:rowOff>0</xdr:rowOff>
        </xdr:to>
        <xdr:sp macro="" textlink="">
          <xdr:nvSpPr>
            <xdr:cNvPr id="34830" name="Drop Down 14" hidden="1">
              <a:extLst>
                <a:ext uri="{63B3BB69-23CF-44E3-9099-C40C66FF867C}">
                  <a14:compatExt spid="_x0000_s34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</xdr:row>
          <xdr:rowOff>0</xdr:rowOff>
        </xdr:from>
        <xdr:to>
          <xdr:col>3</xdr:col>
          <xdr:colOff>66675</xdr:colOff>
          <xdr:row>14</xdr:row>
          <xdr:rowOff>0</xdr:rowOff>
        </xdr:to>
        <xdr:sp macro="" textlink="">
          <xdr:nvSpPr>
            <xdr:cNvPr id="34831" name="Drop Down 15" hidden="1">
              <a:extLst>
                <a:ext uri="{63B3BB69-23CF-44E3-9099-C40C66FF867C}">
                  <a14:compatExt spid="_x0000_s34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</xdr:row>
          <xdr:rowOff>0</xdr:rowOff>
        </xdr:from>
        <xdr:to>
          <xdr:col>3</xdr:col>
          <xdr:colOff>66675</xdr:colOff>
          <xdr:row>15</xdr:row>
          <xdr:rowOff>0</xdr:rowOff>
        </xdr:to>
        <xdr:sp macro="" textlink="">
          <xdr:nvSpPr>
            <xdr:cNvPr id="34832" name="Drop Down 16" hidden="1">
              <a:extLst>
                <a:ext uri="{63B3BB69-23CF-44E3-9099-C40C66FF867C}">
                  <a14:compatExt spid="_x0000_s34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0</xdr:rowOff>
        </xdr:from>
        <xdr:to>
          <xdr:col>3</xdr:col>
          <xdr:colOff>66675</xdr:colOff>
          <xdr:row>16</xdr:row>
          <xdr:rowOff>0</xdr:rowOff>
        </xdr:to>
        <xdr:sp macro="" textlink="">
          <xdr:nvSpPr>
            <xdr:cNvPr id="34833" name="Drop Down 17" hidden="1">
              <a:extLst>
                <a:ext uri="{63B3BB69-23CF-44E3-9099-C40C66FF867C}">
                  <a14:compatExt spid="_x0000_s34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0</xdr:rowOff>
        </xdr:from>
        <xdr:to>
          <xdr:col>3</xdr:col>
          <xdr:colOff>66675</xdr:colOff>
          <xdr:row>17</xdr:row>
          <xdr:rowOff>0</xdr:rowOff>
        </xdr:to>
        <xdr:sp macro="" textlink="">
          <xdr:nvSpPr>
            <xdr:cNvPr id="34834" name="Drop Down 18" hidden="1">
              <a:extLst>
                <a:ext uri="{63B3BB69-23CF-44E3-9099-C40C66FF867C}">
                  <a14:compatExt spid="_x0000_s34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0</xdr:rowOff>
        </xdr:from>
        <xdr:to>
          <xdr:col>3</xdr:col>
          <xdr:colOff>66675</xdr:colOff>
          <xdr:row>18</xdr:row>
          <xdr:rowOff>0</xdr:rowOff>
        </xdr:to>
        <xdr:sp macro="" textlink="">
          <xdr:nvSpPr>
            <xdr:cNvPr id="34835" name="Drop Down 19" hidden="1">
              <a:extLst>
                <a:ext uri="{63B3BB69-23CF-44E3-9099-C40C66FF867C}">
                  <a14:compatExt spid="_x0000_s34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0</xdr:rowOff>
        </xdr:from>
        <xdr:to>
          <xdr:col>3</xdr:col>
          <xdr:colOff>66675</xdr:colOff>
          <xdr:row>19</xdr:row>
          <xdr:rowOff>0</xdr:rowOff>
        </xdr:to>
        <xdr:sp macro="" textlink="">
          <xdr:nvSpPr>
            <xdr:cNvPr id="34836" name="Drop Down 20" hidden="1">
              <a:extLst>
                <a:ext uri="{63B3BB69-23CF-44E3-9099-C40C66FF867C}">
                  <a14:compatExt spid="_x0000_s34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0</xdr:rowOff>
        </xdr:from>
        <xdr:to>
          <xdr:col>3</xdr:col>
          <xdr:colOff>66675</xdr:colOff>
          <xdr:row>20</xdr:row>
          <xdr:rowOff>0</xdr:rowOff>
        </xdr:to>
        <xdr:sp macro="" textlink="">
          <xdr:nvSpPr>
            <xdr:cNvPr id="34837" name="Drop Down 21" hidden="1">
              <a:extLst>
                <a:ext uri="{63B3BB69-23CF-44E3-9099-C40C66FF867C}">
                  <a14:compatExt spid="_x0000_s34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</xdr:row>
          <xdr:rowOff>0</xdr:rowOff>
        </xdr:from>
        <xdr:to>
          <xdr:col>8</xdr:col>
          <xdr:colOff>0</xdr:colOff>
          <xdr:row>7</xdr:row>
          <xdr:rowOff>0</xdr:rowOff>
        </xdr:to>
        <xdr:sp macro="" textlink="">
          <xdr:nvSpPr>
            <xdr:cNvPr id="32769" name="Drop Down 1" hidden="1">
              <a:extLst>
                <a:ext uri="{63B3BB69-23CF-44E3-9099-C40C66FF867C}">
                  <a14:compatExt spid="_x0000_s32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43</xdr:row>
          <xdr:rowOff>0</xdr:rowOff>
        </xdr:from>
        <xdr:to>
          <xdr:col>3</xdr:col>
          <xdr:colOff>28575</xdr:colOff>
          <xdr:row>44</xdr:row>
          <xdr:rowOff>0</xdr:rowOff>
        </xdr:to>
        <xdr:sp macro="" textlink="">
          <xdr:nvSpPr>
            <xdr:cNvPr id="32791" name="Drop Down 23" hidden="1">
              <a:extLst>
                <a:ext uri="{63B3BB69-23CF-44E3-9099-C40C66FF867C}">
                  <a14:compatExt spid="_x0000_s327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43</xdr:row>
          <xdr:rowOff>0</xdr:rowOff>
        </xdr:from>
        <xdr:to>
          <xdr:col>4</xdr:col>
          <xdr:colOff>28575</xdr:colOff>
          <xdr:row>44</xdr:row>
          <xdr:rowOff>9525</xdr:rowOff>
        </xdr:to>
        <xdr:sp macro="" textlink="">
          <xdr:nvSpPr>
            <xdr:cNvPr id="32792" name="Drop Down 24" hidden="1">
              <a:extLst>
                <a:ext uri="{63B3BB69-23CF-44E3-9099-C40C66FF867C}">
                  <a14:compatExt spid="_x0000_s327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0</xdr:rowOff>
        </xdr:from>
        <xdr:to>
          <xdr:col>4</xdr:col>
          <xdr:colOff>0</xdr:colOff>
          <xdr:row>52</xdr:row>
          <xdr:rowOff>9525</xdr:rowOff>
        </xdr:to>
        <xdr:sp macro="" textlink="">
          <xdr:nvSpPr>
            <xdr:cNvPr id="32793" name="Drop Down 25" hidden="1">
              <a:extLst>
                <a:ext uri="{63B3BB69-23CF-44E3-9099-C40C66FF867C}">
                  <a14:compatExt spid="_x0000_s32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52</xdr:row>
          <xdr:rowOff>0</xdr:rowOff>
        </xdr:from>
        <xdr:to>
          <xdr:col>4</xdr:col>
          <xdr:colOff>0</xdr:colOff>
          <xdr:row>53</xdr:row>
          <xdr:rowOff>0</xdr:rowOff>
        </xdr:to>
        <xdr:sp macro="" textlink="">
          <xdr:nvSpPr>
            <xdr:cNvPr id="32794" name="Drop Down 26" hidden="1">
              <a:extLst>
                <a:ext uri="{63B3BB69-23CF-44E3-9099-C40C66FF867C}">
                  <a14:compatExt spid="_x0000_s32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1247775</xdr:colOff>
          <xdr:row>53</xdr:row>
          <xdr:rowOff>0</xdr:rowOff>
        </xdr:from>
        <xdr:to>
          <xdr:col>4</xdr:col>
          <xdr:colOff>9525</xdr:colOff>
          <xdr:row>54</xdr:row>
          <xdr:rowOff>0</xdr:rowOff>
        </xdr:to>
        <xdr:sp macro="" textlink="">
          <xdr:nvSpPr>
            <xdr:cNvPr id="32795" name="Drop Down 27" hidden="1">
              <a:extLst>
                <a:ext uri="{63B3BB69-23CF-44E3-9099-C40C66FF867C}">
                  <a14:compatExt spid="_x0000_s32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54</xdr:row>
          <xdr:rowOff>0</xdr:rowOff>
        </xdr:from>
        <xdr:to>
          <xdr:col>4</xdr:col>
          <xdr:colOff>9525</xdr:colOff>
          <xdr:row>55</xdr:row>
          <xdr:rowOff>0</xdr:rowOff>
        </xdr:to>
        <xdr:sp macro="" textlink="">
          <xdr:nvSpPr>
            <xdr:cNvPr id="32796" name="Drop Down 28" hidden="1">
              <a:extLst>
                <a:ext uri="{63B3BB69-23CF-44E3-9099-C40C66FF867C}">
                  <a14:compatExt spid="_x0000_s32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55</xdr:row>
          <xdr:rowOff>0</xdr:rowOff>
        </xdr:from>
        <xdr:to>
          <xdr:col>4</xdr:col>
          <xdr:colOff>9525</xdr:colOff>
          <xdr:row>56</xdr:row>
          <xdr:rowOff>28575</xdr:rowOff>
        </xdr:to>
        <xdr:sp macro="" textlink="">
          <xdr:nvSpPr>
            <xdr:cNvPr id="32797" name="Drop Down 29" hidden="1">
              <a:extLst>
                <a:ext uri="{63B3BB69-23CF-44E3-9099-C40C66FF867C}">
                  <a14:compatExt spid="_x0000_s32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44</xdr:row>
          <xdr:rowOff>0</xdr:rowOff>
        </xdr:from>
        <xdr:to>
          <xdr:col>3</xdr:col>
          <xdr:colOff>9525</xdr:colOff>
          <xdr:row>45</xdr:row>
          <xdr:rowOff>0</xdr:rowOff>
        </xdr:to>
        <xdr:sp macro="" textlink="">
          <xdr:nvSpPr>
            <xdr:cNvPr id="32798" name="Drop Down 30" hidden="1">
              <a:extLst>
                <a:ext uri="{63B3BB69-23CF-44E3-9099-C40C66FF867C}">
                  <a14:compatExt spid="_x0000_s32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45</xdr:row>
          <xdr:rowOff>0</xdr:rowOff>
        </xdr:from>
        <xdr:to>
          <xdr:col>3</xdr:col>
          <xdr:colOff>9525</xdr:colOff>
          <xdr:row>46</xdr:row>
          <xdr:rowOff>0</xdr:rowOff>
        </xdr:to>
        <xdr:sp macro="" textlink="">
          <xdr:nvSpPr>
            <xdr:cNvPr id="32799" name="Drop Down 31" hidden="1">
              <a:extLst>
                <a:ext uri="{63B3BB69-23CF-44E3-9099-C40C66FF867C}">
                  <a14:compatExt spid="_x0000_s327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46</xdr:row>
          <xdr:rowOff>0</xdr:rowOff>
        </xdr:from>
        <xdr:to>
          <xdr:col>3</xdr:col>
          <xdr:colOff>9525</xdr:colOff>
          <xdr:row>47</xdr:row>
          <xdr:rowOff>0</xdr:rowOff>
        </xdr:to>
        <xdr:sp macro="" textlink="">
          <xdr:nvSpPr>
            <xdr:cNvPr id="32800" name="Drop Down 32" hidden="1">
              <a:extLst>
                <a:ext uri="{63B3BB69-23CF-44E3-9099-C40C66FF867C}">
                  <a14:compatExt spid="_x0000_s328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0</xdr:rowOff>
        </xdr:from>
        <xdr:to>
          <xdr:col>4</xdr:col>
          <xdr:colOff>28575</xdr:colOff>
          <xdr:row>45</xdr:row>
          <xdr:rowOff>9525</xdr:rowOff>
        </xdr:to>
        <xdr:sp macro="" textlink="">
          <xdr:nvSpPr>
            <xdr:cNvPr id="32801" name="Drop Down 33" hidden="1">
              <a:extLst>
                <a:ext uri="{63B3BB69-23CF-44E3-9099-C40C66FF867C}">
                  <a14:compatExt spid="_x0000_s32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1247775</xdr:colOff>
          <xdr:row>45</xdr:row>
          <xdr:rowOff>0</xdr:rowOff>
        </xdr:from>
        <xdr:to>
          <xdr:col>4</xdr:col>
          <xdr:colOff>28575</xdr:colOff>
          <xdr:row>46</xdr:row>
          <xdr:rowOff>9525</xdr:rowOff>
        </xdr:to>
        <xdr:sp macro="" textlink="">
          <xdr:nvSpPr>
            <xdr:cNvPr id="32802" name="Drop Down 34" hidden="1">
              <a:extLst>
                <a:ext uri="{63B3BB69-23CF-44E3-9099-C40C66FF867C}">
                  <a14:compatExt spid="_x0000_s328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209550</xdr:rowOff>
        </xdr:from>
        <xdr:to>
          <xdr:col>4</xdr:col>
          <xdr:colOff>9525</xdr:colOff>
          <xdr:row>47</xdr:row>
          <xdr:rowOff>9525</xdr:rowOff>
        </xdr:to>
        <xdr:sp macro="" textlink="">
          <xdr:nvSpPr>
            <xdr:cNvPr id="32803" name="Drop Down 35" hidden="1">
              <a:extLst>
                <a:ext uri="{63B3BB69-23CF-44E3-9099-C40C66FF867C}">
                  <a14:compatExt spid="_x0000_s32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161925</xdr:rowOff>
        </xdr:from>
        <xdr:to>
          <xdr:col>3</xdr:col>
          <xdr:colOff>9525</xdr:colOff>
          <xdr:row>7</xdr:row>
          <xdr:rowOff>0</xdr:rowOff>
        </xdr:to>
        <xdr:sp macro="" textlink="">
          <xdr:nvSpPr>
            <xdr:cNvPr id="32820" name="Drop Down 52" hidden="1">
              <a:extLst>
                <a:ext uri="{63B3BB69-23CF-44E3-9099-C40C66FF867C}">
                  <a14:compatExt spid="_x0000_s32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0</xdr:rowOff>
        </xdr:from>
        <xdr:to>
          <xdr:col>3</xdr:col>
          <xdr:colOff>0</xdr:colOff>
          <xdr:row>8</xdr:row>
          <xdr:rowOff>9525</xdr:rowOff>
        </xdr:to>
        <xdr:sp macro="" textlink="">
          <xdr:nvSpPr>
            <xdr:cNvPr id="32822" name="Drop Down 54" hidden="1">
              <a:extLst>
                <a:ext uri="{63B3BB69-23CF-44E3-9099-C40C66FF867C}">
                  <a14:compatExt spid="_x0000_s32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</xdr:row>
          <xdr:rowOff>9525</xdr:rowOff>
        </xdr:from>
        <xdr:to>
          <xdr:col>3</xdr:col>
          <xdr:colOff>0</xdr:colOff>
          <xdr:row>9</xdr:row>
          <xdr:rowOff>9525</xdr:rowOff>
        </xdr:to>
        <xdr:sp macro="" textlink="">
          <xdr:nvSpPr>
            <xdr:cNvPr id="32823" name="Drop Down 55" hidden="1">
              <a:extLst>
                <a:ext uri="{63B3BB69-23CF-44E3-9099-C40C66FF867C}">
                  <a14:compatExt spid="_x0000_s32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9525</xdr:rowOff>
        </xdr:from>
        <xdr:to>
          <xdr:col>3</xdr:col>
          <xdr:colOff>0</xdr:colOff>
          <xdr:row>10</xdr:row>
          <xdr:rowOff>9525</xdr:rowOff>
        </xdr:to>
        <xdr:sp macro="" textlink="">
          <xdr:nvSpPr>
            <xdr:cNvPr id="32824" name="Drop Down 56" hidden="1">
              <a:extLst>
                <a:ext uri="{63B3BB69-23CF-44E3-9099-C40C66FF867C}">
                  <a14:compatExt spid="_x0000_s32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</xdr:row>
          <xdr:rowOff>9525</xdr:rowOff>
        </xdr:from>
        <xdr:to>
          <xdr:col>3</xdr:col>
          <xdr:colOff>0</xdr:colOff>
          <xdr:row>11</xdr:row>
          <xdr:rowOff>9525</xdr:rowOff>
        </xdr:to>
        <xdr:sp macro="" textlink="">
          <xdr:nvSpPr>
            <xdr:cNvPr id="32825" name="Drop Down 57" hidden="1">
              <a:extLst>
                <a:ext uri="{63B3BB69-23CF-44E3-9099-C40C66FF867C}">
                  <a14:compatExt spid="_x0000_s32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</xdr:row>
          <xdr:rowOff>9525</xdr:rowOff>
        </xdr:from>
        <xdr:to>
          <xdr:col>3</xdr:col>
          <xdr:colOff>0</xdr:colOff>
          <xdr:row>12</xdr:row>
          <xdr:rowOff>9525</xdr:rowOff>
        </xdr:to>
        <xdr:sp macro="" textlink="">
          <xdr:nvSpPr>
            <xdr:cNvPr id="32826" name="Drop Down 58" hidden="1">
              <a:extLst>
                <a:ext uri="{63B3BB69-23CF-44E3-9099-C40C66FF867C}">
                  <a14:compatExt spid="_x0000_s32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</xdr:row>
          <xdr:rowOff>9525</xdr:rowOff>
        </xdr:from>
        <xdr:to>
          <xdr:col>3</xdr:col>
          <xdr:colOff>0</xdr:colOff>
          <xdr:row>13</xdr:row>
          <xdr:rowOff>28575</xdr:rowOff>
        </xdr:to>
        <xdr:sp macro="" textlink="">
          <xdr:nvSpPr>
            <xdr:cNvPr id="32827" name="Drop Down 59" hidden="1">
              <a:extLst>
                <a:ext uri="{63B3BB69-23CF-44E3-9099-C40C66FF867C}">
                  <a14:compatExt spid="_x0000_s32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9525</xdr:rowOff>
        </xdr:from>
        <xdr:to>
          <xdr:col>3</xdr:col>
          <xdr:colOff>0</xdr:colOff>
          <xdr:row>14</xdr:row>
          <xdr:rowOff>28575</xdr:rowOff>
        </xdr:to>
        <xdr:sp macro="" textlink="">
          <xdr:nvSpPr>
            <xdr:cNvPr id="32828" name="Drop Down 60" hidden="1">
              <a:extLst>
                <a:ext uri="{63B3BB69-23CF-44E3-9099-C40C66FF867C}">
                  <a14:compatExt spid="_x0000_s32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</xdr:row>
          <xdr:rowOff>9525</xdr:rowOff>
        </xdr:from>
        <xdr:to>
          <xdr:col>3</xdr:col>
          <xdr:colOff>0</xdr:colOff>
          <xdr:row>15</xdr:row>
          <xdr:rowOff>28575</xdr:rowOff>
        </xdr:to>
        <xdr:sp macro="" textlink="">
          <xdr:nvSpPr>
            <xdr:cNvPr id="32829" name="Drop Down 61" hidden="1">
              <a:extLst>
                <a:ext uri="{63B3BB69-23CF-44E3-9099-C40C66FF867C}">
                  <a14:compatExt spid="_x0000_s32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6</xdr:row>
          <xdr:rowOff>0</xdr:rowOff>
        </xdr:from>
        <xdr:to>
          <xdr:col>19</xdr:col>
          <xdr:colOff>0</xdr:colOff>
          <xdr:row>7</xdr:row>
          <xdr:rowOff>0</xdr:rowOff>
        </xdr:to>
        <xdr:sp macro="" textlink="">
          <xdr:nvSpPr>
            <xdr:cNvPr id="32831" name="Drop Down 63" hidden="1">
              <a:extLst>
                <a:ext uri="{63B3BB69-23CF-44E3-9099-C40C66FF867C}">
                  <a14:compatExt spid="_x0000_s32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6</xdr:row>
          <xdr:rowOff>0</xdr:rowOff>
        </xdr:from>
        <xdr:to>
          <xdr:col>20</xdr:col>
          <xdr:colOff>0</xdr:colOff>
          <xdr:row>7</xdr:row>
          <xdr:rowOff>0</xdr:rowOff>
        </xdr:to>
        <xdr:sp macro="" textlink="">
          <xdr:nvSpPr>
            <xdr:cNvPr id="32832" name="Drop Down 64" hidden="1">
              <a:extLst>
                <a:ext uri="{63B3BB69-23CF-44E3-9099-C40C66FF867C}">
                  <a14:compatExt spid="_x0000_s32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7</xdr:row>
          <xdr:rowOff>0</xdr:rowOff>
        </xdr:from>
        <xdr:to>
          <xdr:col>19</xdr:col>
          <xdr:colOff>0</xdr:colOff>
          <xdr:row>8</xdr:row>
          <xdr:rowOff>0</xdr:rowOff>
        </xdr:to>
        <xdr:sp macro="" textlink="">
          <xdr:nvSpPr>
            <xdr:cNvPr id="32833" name="Drop Down 65" hidden="1">
              <a:extLst>
                <a:ext uri="{63B3BB69-23CF-44E3-9099-C40C66FF867C}">
                  <a14:compatExt spid="_x0000_s32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8</xdr:row>
          <xdr:rowOff>0</xdr:rowOff>
        </xdr:from>
        <xdr:to>
          <xdr:col>19</xdr:col>
          <xdr:colOff>0</xdr:colOff>
          <xdr:row>9</xdr:row>
          <xdr:rowOff>0</xdr:rowOff>
        </xdr:to>
        <xdr:sp macro="" textlink="">
          <xdr:nvSpPr>
            <xdr:cNvPr id="32834" name="Drop Down 66" hidden="1">
              <a:extLst>
                <a:ext uri="{63B3BB69-23CF-44E3-9099-C40C66FF867C}">
                  <a14:compatExt spid="_x0000_s32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9</xdr:row>
          <xdr:rowOff>0</xdr:rowOff>
        </xdr:from>
        <xdr:to>
          <xdr:col>19</xdr:col>
          <xdr:colOff>0</xdr:colOff>
          <xdr:row>10</xdr:row>
          <xdr:rowOff>0</xdr:rowOff>
        </xdr:to>
        <xdr:sp macro="" textlink="">
          <xdr:nvSpPr>
            <xdr:cNvPr id="32835" name="Drop Down 67" hidden="1">
              <a:extLst>
                <a:ext uri="{63B3BB69-23CF-44E3-9099-C40C66FF867C}">
                  <a14:compatExt spid="_x0000_s32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10</xdr:row>
          <xdr:rowOff>0</xdr:rowOff>
        </xdr:from>
        <xdr:to>
          <xdr:col>19</xdr:col>
          <xdr:colOff>0</xdr:colOff>
          <xdr:row>11</xdr:row>
          <xdr:rowOff>0</xdr:rowOff>
        </xdr:to>
        <xdr:sp macro="" textlink="">
          <xdr:nvSpPr>
            <xdr:cNvPr id="32836" name="Drop Down 68" hidden="1">
              <a:extLst>
                <a:ext uri="{63B3BB69-23CF-44E3-9099-C40C66FF867C}">
                  <a14:compatExt spid="_x0000_s32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11</xdr:row>
          <xdr:rowOff>0</xdr:rowOff>
        </xdr:from>
        <xdr:to>
          <xdr:col>19</xdr:col>
          <xdr:colOff>0</xdr:colOff>
          <xdr:row>12</xdr:row>
          <xdr:rowOff>0</xdr:rowOff>
        </xdr:to>
        <xdr:sp macro="" textlink="">
          <xdr:nvSpPr>
            <xdr:cNvPr id="32837" name="Drop Down 69" hidden="1">
              <a:extLst>
                <a:ext uri="{63B3BB69-23CF-44E3-9099-C40C66FF867C}">
                  <a14:compatExt spid="_x0000_s32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12</xdr:row>
          <xdr:rowOff>0</xdr:rowOff>
        </xdr:from>
        <xdr:to>
          <xdr:col>19</xdr:col>
          <xdr:colOff>0</xdr:colOff>
          <xdr:row>13</xdr:row>
          <xdr:rowOff>0</xdr:rowOff>
        </xdr:to>
        <xdr:sp macro="" textlink="">
          <xdr:nvSpPr>
            <xdr:cNvPr id="32838" name="Drop Down 70" hidden="1">
              <a:extLst>
                <a:ext uri="{63B3BB69-23CF-44E3-9099-C40C66FF867C}">
                  <a14:compatExt spid="_x0000_s32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13</xdr:row>
          <xdr:rowOff>0</xdr:rowOff>
        </xdr:from>
        <xdr:to>
          <xdr:col>19</xdr:col>
          <xdr:colOff>0</xdr:colOff>
          <xdr:row>14</xdr:row>
          <xdr:rowOff>0</xdr:rowOff>
        </xdr:to>
        <xdr:sp macro="" textlink="">
          <xdr:nvSpPr>
            <xdr:cNvPr id="32839" name="Drop Down 71" hidden="1">
              <a:extLst>
                <a:ext uri="{63B3BB69-23CF-44E3-9099-C40C66FF867C}">
                  <a14:compatExt spid="_x0000_s32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14</xdr:row>
          <xdr:rowOff>0</xdr:rowOff>
        </xdr:from>
        <xdr:to>
          <xdr:col>19</xdr:col>
          <xdr:colOff>0</xdr:colOff>
          <xdr:row>15</xdr:row>
          <xdr:rowOff>0</xdr:rowOff>
        </xdr:to>
        <xdr:sp macro="" textlink="">
          <xdr:nvSpPr>
            <xdr:cNvPr id="32840" name="Drop Down 72" hidden="1">
              <a:extLst>
                <a:ext uri="{63B3BB69-23CF-44E3-9099-C40C66FF867C}">
                  <a14:compatExt spid="_x0000_s32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7</xdr:row>
          <xdr:rowOff>0</xdr:rowOff>
        </xdr:from>
        <xdr:to>
          <xdr:col>20</xdr:col>
          <xdr:colOff>0</xdr:colOff>
          <xdr:row>8</xdr:row>
          <xdr:rowOff>0</xdr:rowOff>
        </xdr:to>
        <xdr:sp macro="" textlink="">
          <xdr:nvSpPr>
            <xdr:cNvPr id="32841" name="Drop Down 73" hidden="1">
              <a:extLst>
                <a:ext uri="{63B3BB69-23CF-44E3-9099-C40C66FF867C}">
                  <a14:compatExt spid="_x0000_s32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8</xdr:row>
          <xdr:rowOff>0</xdr:rowOff>
        </xdr:from>
        <xdr:to>
          <xdr:col>20</xdr:col>
          <xdr:colOff>0</xdr:colOff>
          <xdr:row>9</xdr:row>
          <xdr:rowOff>0</xdr:rowOff>
        </xdr:to>
        <xdr:sp macro="" textlink="">
          <xdr:nvSpPr>
            <xdr:cNvPr id="32842" name="Drop Down 74" hidden="1">
              <a:extLst>
                <a:ext uri="{63B3BB69-23CF-44E3-9099-C40C66FF867C}">
                  <a14:compatExt spid="_x0000_s32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9</xdr:row>
          <xdr:rowOff>0</xdr:rowOff>
        </xdr:from>
        <xdr:to>
          <xdr:col>20</xdr:col>
          <xdr:colOff>0</xdr:colOff>
          <xdr:row>10</xdr:row>
          <xdr:rowOff>0</xdr:rowOff>
        </xdr:to>
        <xdr:sp macro="" textlink="">
          <xdr:nvSpPr>
            <xdr:cNvPr id="32843" name="Drop Down 75" hidden="1">
              <a:extLst>
                <a:ext uri="{63B3BB69-23CF-44E3-9099-C40C66FF867C}">
                  <a14:compatExt spid="_x0000_s32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10</xdr:row>
          <xdr:rowOff>0</xdr:rowOff>
        </xdr:from>
        <xdr:to>
          <xdr:col>20</xdr:col>
          <xdr:colOff>0</xdr:colOff>
          <xdr:row>11</xdr:row>
          <xdr:rowOff>0</xdr:rowOff>
        </xdr:to>
        <xdr:sp macro="" textlink="">
          <xdr:nvSpPr>
            <xdr:cNvPr id="32844" name="Drop Down 76" hidden="1">
              <a:extLst>
                <a:ext uri="{63B3BB69-23CF-44E3-9099-C40C66FF867C}">
                  <a14:compatExt spid="_x0000_s32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11</xdr:row>
          <xdr:rowOff>0</xdr:rowOff>
        </xdr:from>
        <xdr:to>
          <xdr:col>20</xdr:col>
          <xdr:colOff>0</xdr:colOff>
          <xdr:row>12</xdr:row>
          <xdr:rowOff>0</xdr:rowOff>
        </xdr:to>
        <xdr:sp macro="" textlink="">
          <xdr:nvSpPr>
            <xdr:cNvPr id="32845" name="Drop Down 77" hidden="1">
              <a:extLst>
                <a:ext uri="{63B3BB69-23CF-44E3-9099-C40C66FF867C}">
                  <a14:compatExt spid="_x0000_s32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12</xdr:row>
          <xdr:rowOff>0</xdr:rowOff>
        </xdr:from>
        <xdr:to>
          <xdr:col>20</xdr:col>
          <xdr:colOff>0</xdr:colOff>
          <xdr:row>13</xdr:row>
          <xdr:rowOff>0</xdr:rowOff>
        </xdr:to>
        <xdr:sp macro="" textlink="">
          <xdr:nvSpPr>
            <xdr:cNvPr id="32846" name="Drop Down 78" hidden="1">
              <a:extLst>
                <a:ext uri="{63B3BB69-23CF-44E3-9099-C40C66FF867C}">
                  <a14:compatExt spid="_x0000_s32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</xdr:row>
          <xdr:rowOff>0</xdr:rowOff>
        </xdr:from>
        <xdr:to>
          <xdr:col>20</xdr:col>
          <xdr:colOff>0</xdr:colOff>
          <xdr:row>14</xdr:row>
          <xdr:rowOff>0</xdr:rowOff>
        </xdr:to>
        <xdr:sp macro="" textlink="">
          <xdr:nvSpPr>
            <xdr:cNvPr id="32847" name="Drop Down 79" hidden="1">
              <a:extLst>
                <a:ext uri="{63B3BB69-23CF-44E3-9099-C40C66FF867C}">
                  <a14:compatExt spid="_x0000_s32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14</xdr:row>
          <xdr:rowOff>0</xdr:rowOff>
        </xdr:from>
        <xdr:to>
          <xdr:col>20</xdr:col>
          <xdr:colOff>0</xdr:colOff>
          <xdr:row>15</xdr:row>
          <xdr:rowOff>0</xdr:rowOff>
        </xdr:to>
        <xdr:sp macro="" textlink="">
          <xdr:nvSpPr>
            <xdr:cNvPr id="32848" name="Drop Down 80" hidden="1">
              <a:extLst>
                <a:ext uri="{63B3BB69-23CF-44E3-9099-C40C66FF867C}">
                  <a14:compatExt spid="_x0000_s32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51</xdr:row>
          <xdr:rowOff>0</xdr:rowOff>
        </xdr:from>
        <xdr:to>
          <xdr:col>8</xdr:col>
          <xdr:colOff>600075</xdr:colOff>
          <xdr:row>52</xdr:row>
          <xdr:rowOff>0</xdr:rowOff>
        </xdr:to>
        <xdr:sp macro="" textlink="">
          <xdr:nvSpPr>
            <xdr:cNvPr id="32857" name="Drop Down 89" hidden="1">
              <a:extLst>
                <a:ext uri="{63B3BB69-23CF-44E3-9099-C40C66FF867C}">
                  <a14:compatExt spid="_x0000_s32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51</xdr:row>
          <xdr:rowOff>0</xdr:rowOff>
        </xdr:from>
        <xdr:to>
          <xdr:col>10</xdr:col>
          <xdr:colOff>0</xdr:colOff>
          <xdr:row>52</xdr:row>
          <xdr:rowOff>0</xdr:rowOff>
        </xdr:to>
        <xdr:sp macro="" textlink="">
          <xdr:nvSpPr>
            <xdr:cNvPr id="32858" name="Drop Down 90" hidden="1">
              <a:extLst>
                <a:ext uri="{63B3BB69-23CF-44E3-9099-C40C66FF867C}">
                  <a14:compatExt spid="_x0000_s32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52</xdr:row>
          <xdr:rowOff>0</xdr:rowOff>
        </xdr:from>
        <xdr:to>
          <xdr:col>8</xdr:col>
          <xdr:colOff>600075</xdr:colOff>
          <xdr:row>53</xdr:row>
          <xdr:rowOff>0</xdr:rowOff>
        </xdr:to>
        <xdr:sp macro="" textlink="">
          <xdr:nvSpPr>
            <xdr:cNvPr id="32859" name="Drop Down 91" hidden="1">
              <a:extLst>
                <a:ext uri="{63B3BB69-23CF-44E3-9099-C40C66FF867C}">
                  <a14:compatExt spid="_x0000_s32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53</xdr:row>
          <xdr:rowOff>0</xdr:rowOff>
        </xdr:from>
        <xdr:to>
          <xdr:col>8</xdr:col>
          <xdr:colOff>600075</xdr:colOff>
          <xdr:row>54</xdr:row>
          <xdr:rowOff>0</xdr:rowOff>
        </xdr:to>
        <xdr:sp macro="" textlink="">
          <xdr:nvSpPr>
            <xdr:cNvPr id="32860" name="Drop Down 92" hidden="1">
              <a:extLst>
                <a:ext uri="{63B3BB69-23CF-44E3-9099-C40C66FF867C}">
                  <a14:compatExt spid="_x0000_s32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54</xdr:row>
          <xdr:rowOff>0</xdr:rowOff>
        </xdr:from>
        <xdr:to>
          <xdr:col>8</xdr:col>
          <xdr:colOff>600075</xdr:colOff>
          <xdr:row>55</xdr:row>
          <xdr:rowOff>0</xdr:rowOff>
        </xdr:to>
        <xdr:sp macro="" textlink="">
          <xdr:nvSpPr>
            <xdr:cNvPr id="32861" name="Drop Down 93" hidden="1">
              <a:extLst>
                <a:ext uri="{63B3BB69-23CF-44E3-9099-C40C66FF867C}">
                  <a14:compatExt spid="_x0000_s32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55</xdr:row>
          <xdr:rowOff>0</xdr:rowOff>
        </xdr:from>
        <xdr:to>
          <xdr:col>8</xdr:col>
          <xdr:colOff>600075</xdr:colOff>
          <xdr:row>56</xdr:row>
          <xdr:rowOff>28575</xdr:rowOff>
        </xdr:to>
        <xdr:sp macro="" textlink="">
          <xdr:nvSpPr>
            <xdr:cNvPr id="32862" name="Drop Down 94" hidden="1">
              <a:extLst>
                <a:ext uri="{63B3BB69-23CF-44E3-9099-C40C66FF867C}">
                  <a14:compatExt spid="_x0000_s32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52</xdr:row>
          <xdr:rowOff>0</xdr:rowOff>
        </xdr:from>
        <xdr:to>
          <xdr:col>10</xdr:col>
          <xdr:colOff>0</xdr:colOff>
          <xdr:row>53</xdr:row>
          <xdr:rowOff>0</xdr:rowOff>
        </xdr:to>
        <xdr:sp macro="" textlink="">
          <xdr:nvSpPr>
            <xdr:cNvPr id="32863" name="Drop Down 95" hidden="1">
              <a:extLst>
                <a:ext uri="{63B3BB69-23CF-44E3-9099-C40C66FF867C}">
                  <a14:compatExt spid="_x0000_s32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53</xdr:row>
          <xdr:rowOff>0</xdr:rowOff>
        </xdr:from>
        <xdr:to>
          <xdr:col>10</xdr:col>
          <xdr:colOff>0</xdr:colOff>
          <xdr:row>54</xdr:row>
          <xdr:rowOff>0</xdr:rowOff>
        </xdr:to>
        <xdr:sp macro="" textlink="">
          <xdr:nvSpPr>
            <xdr:cNvPr id="32864" name="Drop Down 96" hidden="1">
              <a:extLst>
                <a:ext uri="{63B3BB69-23CF-44E3-9099-C40C66FF867C}">
                  <a14:compatExt spid="_x0000_s32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54</xdr:row>
          <xdr:rowOff>0</xdr:rowOff>
        </xdr:from>
        <xdr:to>
          <xdr:col>10</xdr:col>
          <xdr:colOff>0</xdr:colOff>
          <xdr:row>55</xdr:row>
          <xdr:rowOff>0</xdr:rowOff>
        </xdr:to>
        <xdr:sp macro="" textlink="">
          <xdr:nvSpPr>
            <xdr:cNvPr id="32865" name="Drop Down 97" hidden="1">
              <a:extLst>
                <a:ext uri="{63B3BB69-23CF-44E3-9099-C40C66FF867C}">
                  <a14:compatExt spid="_x0000_s32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55</xdr:row>
          <xdr:rowOff>0</xdr:rowOff>
        </xdr:from>
        <xdr:to>
          <xdr:col>10</xdr:col>
          <xdr:colOff>0</xdr:colOff>
          <xdr:row>56</xdr:row>
          <xdr:rowOff>28575</xdr:rowOff>
        </xdr:to>
        <xdr:sp macro="" textlink="">
          <xdr:nvSpPr>
            <xdr:cNvPr id="32866" name="Drop Down 98" hidden="1">
              <a:extLst>
                <a:ext uri="{63B3BB69-23CF-44E3-9099-C40C66FF867C}">
                  <a14:compatExt spid="_x0000_s32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7</xdr:row>
          <xdr:rowOff>0</xdr:rowOff>
        </xdr:from>
        <xdr:to>
          <xdr:col>8</xdr:col>
          <xdr:colOff>0</xdr:colOff>
          <xdr:row>8</xdr:row>
          <xdr:rowOff>0</xdr:rowOff>
        </xdr:to>
        <xdr:sp macro="" textlink="">
          <xdr:nvSpPr>
            <xdr:cNvPr id="32875" name="Drop Down 107" hidden="1">
              <a:extLst>
                <a:ext uri="{63B3BB69-23CF-44E3-9099-C40C66FF867C}">
                  <a14:compatExt spid="_x0000_s32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</xdr:row>
          <xdr:rowOff>0</xdr:rowOff>
        </xdr:from>
        <xdr:to>
          <xdr:col>8</xdr:col>
          <xdr:colOff>0</xdr:colOff>
          <xdr:row>9</xdr:row>
          <xdr:rowOff>0</xdr:rowOff>
        </xdr:to>
        <xdr:sp macro="" textlink="">
          <xdr:nvSpPr>
            <xdr:cNvPr id="32876" name="Drop Down 108" hidden="1">
              <a:extLst>
                <a:ext uri="{63B3BB69-23CF-44E3-9099-C40C66FF867C}">
                  <a14:compatExt spid="_x0000_s32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9</xdr:row>
          <xdr:rowOff>0</xdr:rowOff>
        </xdr:from>
        <xdr:to>
          <xdr:col>8</xdr:col>
          <xdr:colOff>0</xdr:colOff>
          <xdr:row>10</xdr:row>
          <xdr:rowOff>0</xdr:rowOff>
        </xdr:to>
        <xdr:sp macro="" textlink="">
          <xdr:nvSpPr>
            <xdr:cNvPr id="32877" name="Drop Down 109" hidden="1">
              <a:extLst>
                <a:ext uri="{63B3BB69-23CF-44E3-9099-C40C66FF867C}">
                  <a14:compatExt spid="_x0000_s32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10</xdr:row>
          <xdr:rowOff>0</xdr:rowOff>
        </xdr:from>
        <xdr:to>
          <xdr:col>8</xdr:col>
          <xdr:colOff>0</xdr:colOff>
          <xdr:row>11</xdr:row>
          <xdr:rowOff>0</xdr:rowOff>
        </xdr:to>
        <xdr:sp macro="" textlink="">
          <xdr:nvSpPr>
            <xdr:cNvPr id="32878" name="Drop Down 110" hidden="1">
              <a:extLst>
                <a:ext uri="{63B3BB69-23CF-44E3-9099-C40C66FF867C}">
                  <a14:compatExt spid="_x0000_s32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11</xdr:row>
          <xdr:rowOff>0</xdr:rowOff>
        </xdr:from>
        <xdr:to>
          <xdr:col>8</xdr:col>
          <xdr:colOff>0</xdr:colOff>
          <xdr:row>12</xdr:row>
          <xdr:rowOff>0</xdr:rowOff>
        </xdr:to>
        <xdr:sp macro="" textlink="">
          <xdr:nvSpPr>
            <xdr:cNvPr id="32879" name="Drop Down 111" hidden="1">
              <a:extLst>
                <a:ext uri="{63B3BB69-23CF-44E3-9099-C40C66FF867C}">
                  <a14:compatExt spid="_x0000_s32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12</xdr:row>
          <xdr:rowOff>0</xdr:rowOff>
        </xdr:from>
        <xdr:to>
          <xdr:col>8</xdr:col>
          <xdr:colOff>0</xdr:colOff>
          <xdr:row>13</xdr:row>
          <xdr:rowOff>0</xdr:rowOff>
        </xdr:to>
        <xdr:sp macro="" textlink="">
          <xdr:nvSpPr>
            <xdr:cNvPr id="32880" name="Drop Down 112" hidden="1">
              <a:extLst>
                <a:ext uri="{63B3BB69-23CF-44E3-9099-C40C66FF867C}">
                  <a14:compatExt spid="_x0000_s32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13</xdr:row>
          <xdr:rowOff>0</xdr:rowOff>
        </xdr:from>
        <xdr:to>
          <xdr:col>8</xdr:col>
          <xdr:colOff>0</xdr:colOff>
          <xdr:row>14</xdr:row>
          <xdr:rowOff>0</xdr:rowOff>
        </xdr:to>
        <xdr:sp macro="" textlink="">
          <xdr:nvSpPr>
            <xdr:cNvPr id="32881" name="Drop Down 113" hidden="1">
              <a:extLst>
                <a:ext uri="{63B3BB69-23CF-44E3-9099-C40C66FF867C}">
                  <a14:compatExt spid="_x0000_s32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14</xdr:row>
          <xdr:rowOff>0</xdr:rowOff>
        </xdr:from>
        <xdr:to>
          <xdr:col>8</xdr:col>
          <xdr:colOff>0</xdr:colOff>
          <xdr:row>15</xdr:row>
          <xdr:rowOff>0</xdr:rowOff>
        </xdr:to>
        <xdr:sp macro="" textlink="">
          <xdr:nvSpPr>
            <xdr:cNvPr id="32882" name="Drop Down 114" hidden="1">
              <a:extLst>
                <a:ext uri="{63B3BB69-23CF-44E3-9099-C40C66FF867C}">
                  <a14:compatExt spid="_x0000_s32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0</xdr:colOff>
          <xdr:row>16</xdr:row>
          <xdr:rowOff>28575</xdr:rowOff>
        </xdr:to>
        <xdr:sp macro="" textlink="">
          <xdr:nvSpPr>
            <xdr:cNvPr id="32883" name="Drop Down 115" hidden="1">
              <a:extLst>
                <a:ext uri="{63B3BB69-23CF-44E3-9099-C40C66FF867C}">
                  <a14:compatExt spid="_x0000_s32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16</xdr:row>
          <xdr:rowOff>9525</xdr:rowOff>
        </xdr:from>
        <xdr:to>
          <xdr:col>3</xdr:col>
          <xdr:colOff>0</xdr:colOff>
          <xdr:row>17</xdr:row>
          <xdr:rowOff>9525</xdr:rowOff>
        </xdr:to>
        <xdr:sp macro="" textlink="">
          <xdr:nvSpPr>
            <xdr:cNvPr id="32884" name="Drop Down 116" hidden="1">
              <a:extLst>
                <a:ext uri="{63B3BB69-23CF-44E3-9099-C40C66FF867C}">
                  <a14:compatExt spid="_x0000_s32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17</xdr:row>
          <xdr:rowOff>9525</xdr:rowOff>
        </xdr:from>
        <xdr:to>
          <xdr:col>3</xdr:col>
          <xdr:colOff>0</xdr:colOff>
          <xdr:row>18</xdr:row>
          <xdr:rowOff>9525</xdr:rowOff>
        </xdr:to>
        <xdr:sp macro="" textlink="">
          <xdr:nvSpPr>
            <xdr:cNvPr id="32885" name="Drop Down 117" hidden="1">
              <a:extLst>
                <a:ext uri="{63B3BB69-23CF-44E3-9099-C40C66FF867C}">
                  <a14:compatExt spid="_x0000_s32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18</xdr:row>
          <xdr:rowOff>9525</xdr:rowOff>
        </xdr:from>
        <xdr:to>
          <xdr:col>3</xdr:col>
          <xdr:colOff>0</xdr:colOff>
          <xdr:row>19</xdr:row>
          <xdr:rowOff>28575</xdr:rowOff>
        </xdr:to>
        <xdr:sp macro="" textlink="">
          <xdr:nvSpPr>
            <xdr:cNvPr id="32886" name="Drop Down 118" hidden="1">
              <a:extLst>
                <a:ext uri="{63B3BB69-23CF-44E3-9099-C40C66FF867C}">
                  <a14:compatExt spid="_x0000_s32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19</xdr:row>
          <xdr:rowOff>9525</xdr:rowOff>
        </xdr:from>
        <xdr:to>
          <xdr:col>3</xdr:col>
          <xdr:colOff>0</xdr:colOff>
          <xdr:row>20</xdr:row>
          <xdr:rowOff>9525</xdr:rowOff>
        </xdr:to>
        <xdr:sp macro="" textlink="">
          <xdr:nvSpPr>
            <xdr:cNvPr id="32887" name="Drop Down 119" hidden="1">
              <a:extLst>
                <a:ext uri="{63B3BB69-23CF-44E3-9099-C40C66FF867C}">
                  <a14:compatExt spid="_x0000_s32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20</xdr:row>
          <xdr:rowOff>9525</xdr:rowOff>
        </xdr:from>
        <xdr:to>
          <xdr:col>3</xdr:col>
          <xdr:colOff>9525</xdr:colOff>
          <xdr:row>21</xdr:row>
          <xdr:rowOff>28575</xdr:rowOff>
        </xdr:to>
        <xdr:sp macro="" textlink="">
          <xdr:nvSpPr>
            <xdr:cNvPr id="32888" name="Drop Down 120" hidden="1">
              <a:extLst>
                <a:ext uri="{63B3BB69-23CF-44E3-9099-C40C66FF867C}">
                  <a14:compatExt spid="_x0000_s32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21</xdr:row>
          <xdr:rowOff>9525</xdr:rowOff>
        </xdr:from>
        <xdr:to>
          <xdr:col>3</xdr:col>
          <xdr:colOff>9525</xdr:colOff>
          <xdr:row>22</xdr:row>
          <xdr:rowOff>28575</xdr:rowOff>
        </xdr:to>
        <xdr:sp macro="" textlink="">
          <xdr:nvSpPr>
            <xdr:cNvPr id="32889" name="Drop Down 121" hidden="1">
              <a:extLst>
                <a:ext uri="{63B3BB69-23CF-44E3-9099-C40C66FF867C}">
                  <a14:compatExt spid="_x0000_s32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9525</xdr:rowOff>
        </xdr:from>
        <xdr:to>
          <xdr:col>3</xdr:col>
          <xdr:colOff>9525</xdr:colOff>
          <xdr:row>23</xdr:row>
          <xdr:rowOff>9525</xdr:rowOff>
        </xdr:to>
        <xdr:sp macro="" textlink="">
          <xdr:nvSpPr>
            <xdr:cNvPr id="32890" name="Drop Down 122" hidden="1">
              <a:extLst>
                <a:ext uri="{63B3BB69-23CF-44E3-9099-C40C66FF867C}">
                  <a14:compatExt spid="_x0000_s32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23</xdr:row>
          <xdr:rowOff>9525</xdr:rowOff>
        </xdr:from>
        <xdr:to>
          <xdr:col>3</xdr:col>
          <xdr:colOff>9525</xdr:colOff>
          <xdr:row>24</xdr:row>
          <xdr:rowOff>9525</xdr:rowOff>
        </xdr:to>
        <xdr:sp macro="" textlink="">
          <xdr:nvSpPr>
            <xdr:cNvPr id="32891" name="Drop Down 123" hidden="1">
              <a:extLst>
                <a:ext uri="{63B3BB69-23CF-44E3-9099-C40C66FF867C}">
                  <a14:compatExt spid="_x0000_s32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15</xdr:row>
          <xdr:rowOff>0</xdr:rowOff>
        </xdr:from>
        <xdr:to>
          <xdr:col>8</xdr:col>
          <xdr:colOff>0</xdr:colOff>
          <xdr:row>16</xdr:row>
          <xdr:rowOff>0</xdr:rowOff>
        </xdr:to>
        <xdr:sp macro="" textlink="">
          <xdr:nvSpPr>
            <xdr:cNvPr id="32892" name="Drop Down 124" hidden="1">
              <a:extLst>
                <a:ext uri="{63B3BB69-23CF-44E3-9099-C40C66FF867C}">
                  <a14:compatExt spid="_x0000_s32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16</xdr:row>
          <xdr:rowOff>0</xdr:rowOff>
        </xdr:from>
        <xdr:to>
          <xdr:col>8</xdr:col>
          <xdr:colOff>0</xdr:colOff>
          <xdr:row>17</xdr:row>
          <xdr:rowOff>0</xdr:rowOff>
        </xdr:to>
        <xdr:sp macro="" textlink="">
          <xdr:nvSpPr>
            <xdr:cNvPr id="32893" name="Drop Down 125" hidden="1">
              <a:extLst>
                <a:ext uri="{63B3BB69-23CF-44E3-9099-C40C66FF867C}">
                  <a14:compatExt spid="_x0000_s32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17</xdr:row>
          <xdr:rowOff>0</xdr:rowOff>
        </xdr:from>
        <xdr:to>
          <xdr:col>8</xdr:col>
          <xdr:colOff>0</xdr:colOff>
          <xdr:row>18</xdr:row>
          <xdr:rowOff>0</xdr:rowOff>
        </xdr:to>
        <xdr:sp macro="" textlink="">
          <xdr:nvSpPr>
            <xdr:cNvPr id="32894" name="Drop Down 126" hidden="1">
              <a:extLst>
                <a:ext uri="{63B3BB69-23CF-44E3-9099-C40C66FF867C}">
                  <a14:compatExt spid="_x0000_s32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18</xdr:row>
          <xdr:rowOff>0</xdr:rowOff>
        </xdr:from>
        <xdr:to>
          <xdr:col>8</xdr:col>
          <xdr:colOff>0</xdr:colOff>
          <xdr:row>19</xdr:row>
          <xdr:rowOff>0</xdr:rowOff>
        </xdr:to>
        <xdr:sp macro="" textlink="">
          <xdr:nvSpPr>
            <xdr:cNvPr id="32895" name="Drop Down 127" hidden="1">
              <a:extLst>
                <a:ext uri="{63B3BB69-23CF-44E3-9099-C40C66FF867C}">
                  <a14:compatExt spid="_x0000_s32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19</xdr:row>
          <xdr:rowOff>0</xdr:rowOff>
        </xdr:from>
        <xdr:to>
          <xdr:col>8</xdr:col>
          <xdr:colOff>0</xdr:colOff>
          <xdr:row>20</xdr:row>
          <xdr:rowOff>0</xdr:rowOff>
        </xdr:to>
        <xdr:sp macro="" textlink="">
          <xdr:nvSpPr>
            <xdr:cNvPr id="32896" name="Drop Down 128" hidden="1">
              <a:extLst>
                <a:ext uri="{63B3BB69-23CF-44E3-9099-C40C66FF867C}">
                  <a14:compatExt spid="_x0000_s32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20</xdr:row>
          <xdr:rowOff>0</xdr:rowOff>
        </xdr:from>
        <xdr:to>
          <xdr:col>8</xdr:col>
          <xdr:colOff>0</xdr:colOff>
          <xdr:row>21</xdr:row>
          <xdr:rowOff>0</xdr:rowOff>
        </xdr:to>
        <xdr:sp macro="" textlink="">
          <xdr:nvSpPr>
            <xdr:cNvPr id="32897" name="Drop Down 129" hidden="1">
              <a:extLst>
                <a:ext uri="{63B3BB69-23CF-44E3-9099-C40C66FF867C}">
                  <a14:compatExt spid="_x0000_s32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21</xdr:row>
          <xdr:rowOff>0</xdr:rowOff>
        </xdr:from>
        <xdr:to>
          <xdr:col>8</xdr:col>
          <xdr:colOff>0</xdr:colOff>
          <xdr:row>22</xdr:row>
          <xdr:rowOff>0</xdr:rowOff>
        </xdr:to>
        <xdr:sp macro="" textlink="">
          <xdr:nvSpPr>
            <xdr:cNvPr id="32898" name="Drop Down 130" hidden="1">
              <a:extLst>
                <a:ext uri="{63B3BB69-23CF-44E3-9099-C40C66FF867C}">
                  <a14:compatExt spid="_x0000_s32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22</xdr:row>
          <xdr:rowOff>0</xdr:rowOff>
        </xdr:from>
        <xdr:to>
          <xdr:col>8</xdr:col>
          <xdr:colOff>0</xdr:colOff>
          <xdr:row>23</xdr:row>
          <xdr:rowOff>0</xdr:rowOff>
        </xdr:to>
        <xdr:sp macro="" textlink="">
          <xdr:nvSpPr>
            <xdr:cNvPr id="32899" name="Drop Down 131" hidden="1">
              <a:extLst>
                <a:ext uri="{63B3BB69-23CF-44E3-9099-C40C66FF867C}">
                  <a14:compatExt spid="_x0000_s32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23</xdr:row>
          <xdr:rowOff>0</xdr:rowOff>
        </xdr:from>
        <xdr:to>
          <xdr:col>8</xdr:col>
          <xdr:colOff>0</xdr:colOff>
          <xdr:row>24</xdr:row>
          <xdr:rowOff>0</xdr:rowOff>
        </xdr:to>
        <xdr:sp macro="" textlink="">
          <xdr:nvSpPr>
            <xdr:cNvPr id="32900" name="Drop Down 132" hidden="1">
              <a:extLst>
                <a:ext uri="{63B3BB69-23CF-44E3-9099-C40C66FF867C}">
                  <a14:compatExt spid="_x0000_s32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15</xdr:row>
          <xdr:rowOff>0</xdr:rowOff>
        </xdr:from>
        <xdr:to>
          <xdr:col>19</xdr:col>
          <xdr:colOff>0</xdr:colOff>
          <xdr:row>16</xdr:row>
          <xdr:rowOff>0</xdr:rowOff>
        </xdr:to>
        <xdr:sp macro="" textlink="">
          <xdr:nvSpPr>
            <xdr:cNvPr id="32901" name="Drop Down 133" hidden="1">
              <a:extLst>
                <a:ext uri="{63B3BB69-23CF-44E3-9099-C40C66FF867C}">
                  <a14:compatExt spid="_x0000_s32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16</xdr:row>
          <xdr:rowOff>0</xdr:rowOff>
        </xdr:from>
        <xdr:to>
          <xdr:col>19</xdr:col>
          <xdr:colOff>0</xdr:colOff>
          <xdr:row>17</xdr:row>
          <xdr:rowOff>0</xdr:rowOff>
        </xdr:to>
        <xdr:sp macro="" textlink="">
          <xdr:nvSpPr>
            <xdr:cNvPr id="32902" name="Drop Down 134" hidden="1">
              <a:extLst>
                <a:ext uri="{63B3BB69-23CF-44E3-9099-C40C66FF867C}">
                  <a14:compatExt spid="_x0000_s32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17</xdr:row>
          <xdr:rowOff>0</xdr:rowOff>
        </xdr:from>
        <xdr:to>
          <xdr:col>19</xdr:col>
          <xdr:colOff>0</xdr:colOff>
          <xdr:row>18</xdr:row>
          <xdr:rowOff>0</xdr:rowOff>
        </xdr:to>
        <xdr:sp macro="" textlink="">
          <xdr:nvSpPr>
            <xdr:cNvPr id="32903" name="Drop Down 135" hidden="1">
              <a:extLst>
                <a:ext uri="{63B3BB69-23CF-44E3-9099-C40C66FF867C}">
                  <a14:compatExt spid="_x0000_s32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18</xdr:row>
          <xdr:rowOff>0</xdr:rowOff>
        </xdr:from>
        <xdr:to>
          <xdr:col>19</xdr:col>
          <xdr:colOff>0</xdr:colOff>
          <xdr:row>19</xdr:row>
          <xdr:rowOff>0</xdr:rowOff>
        </xdr:to>
        <xdr:sp macro="" textlink="">
          <xdr:nvSpPr>
            <xdr:cNvPr id="32904" name="Drop Down 136" hidden="1">
              <a:extLst>
                <a:ext uri="{63B3BB69-23CF-44E3-9099-C40C66FF867C}">
                  <a14:compatExt spid="_x0000_s32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19</xdr:row>
          <xdr:rowOff>0</xdr:rowOff>
        </xdr:from>
        <xdr:to>
          <xdr:col>19</xdr:col>
          <xdr:colOff>0</xdr:colOff>
          <xdr:row>20</xdr:row>
          <xdr:rowOff>0</xdr:rowOff>
        </xdr:to>
        <xdr:sp macro="" textlink="">
          <xdr:nvSpPr>
            <xdr:cNvPr id="32905" name="Drop Down 137" hidden="1">
              <a:extLst>
                <a:ext uri="{63B3BB69-23CF-44E3-9099-C40C66FF867C}">
                  <a14:compatExt spid="_x0000_s32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20</xdr:row>
          <xdr:rowOff>0</xdr:rowOff>
        </xdr:from>
        <xdr:to>
          <xdr:col>19</xdr:col>
          <xdr:colOff>0</xdr:colOff>
          <xdr:row>21</xdr:row>
          <xdr:rowOff>0</xdr:rowOff>
        </xdr:to>
        <xdr:sp macro="" textlink="">
          <xdr:nvSpPr>
            <xdr:cNvPr id="32906" name="Drop Down 138" hidden="1">
              <a:extLst>
                <a:ext uri="{63B3BB69-23CF-44E3-9099-C40C66FF867C}">
                  <a14:compatExt spid="_x0000_s32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21</xdr:row>
          <xdr:rowOff>0</xdr:rowOff>
        </xdr:from>
        <xdr:to>
          <xdr:col>19</xdr:col>
          <xdr:colOff>0</xdr:colOff>
          <xdr:row>22</xdr:row>
          <xdr:rowOff>0</xdr:rowOff>
        </xdr:to>
        <xdr:sp macro="" textlink="">
          <xdr:nvSpPr>
            <xdr:cNvPr id="32907" name="Drop Down 139" hidden="1">
              <a:extLst>
                <a:ext uri="{63B3BB69-23CF-44E3-9099-C40C66FF867C}">
                  <a14:compatExt spid="_x0000_s32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22</xdr:row>
          <xdr:rowOff>0</xdr:rowOff>
        </xdr:from>
        <xdr:to>
          <xdr:col>19</xdr:col>
          <xdr:colOff>0</xdr:colOff>
          <xdr:row>23</xdr:row>
          <xdr:rowOff>0</xdr:rowOff>
        </xdr:to>
        <xdr:sp macro="" textlink="">
          <xdr:nvSpPr>
            <xdr:cNvPr id="32908" name="Drop Down 140" hidden="1">
              <a:extLst>
                <a:ext uri="{63B3BB69-23CF-44E3-9099-C40C66FF867C}">
                  <a14:compatExt spid="_x0000_s32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23</xdr:row>
          <xdr:rowOff>0</xdr:rowOff>
        </xdr:from>
        <xdr:to>
          <xdr:col>19</xdr:col>
          <xdr:colOff>0</xdr:colOff>
          <xdr:row>24</xdr:row>
          <xdr:rowOff>0</xdr:rowOff>
        </xdr:to>
        <xdr:sp macro="" textlink="">
          <xdr:nvSpPr>
            <xdr:cNvPr id="32909" name="Drop Down 141" hidden="1">
              <a:extLst>
                <a:ext uri="{63B3BB69-23CF-44E3-9099-C40C66FF867C}">
                  <a14:compatExt spid="_x0000_s32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15</xdr:row>
          <xdr:rowOff>0</xdr:rowOff>
        </xdr:from>
        <xdr:to>
          <xdr:col>20</xdr:col>
          <xdr:colOff>0</xdr:colOff>
          <xdr:row>16</xdr:row>
          <xdr:rowOff>0</xdr:rowOff>
        </xdr:to>
        <xdr:sp macro="" textlink="">
          <xdr:nvSpPr>
            <xdr:cNvPr id="32910" name="Drop Down 142" hidden="1">
              <a:extLst>
                <a:ext uri="{63B3BB69-23CF-44E3-9099-C40C66FF867C}">
                  <a14:compatExt spid="_x0000_s32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16</xdr:row>
          <xdr:rowOff>0</xdr:rowOff>
        </xdr:from>
        <xdr:to>
          <xdr:col>20</xdr:col>
          <xdr:colOff>0</xdr:colOff>
          <xdr:row>17</xdr:row>
          <xdr:rowOff>0</xdr:rowOff>
        </xdr:to>
        <xdr:sp macro="" textlink="">
          <xdr:nvSpPr>
            <xdr:cNvPr id="32911" name="Drop Down 143" hidden="1">
              <a:extLst>
                <a:ext uri="{63B3BB69-23CF-44E3-9099-C40C66FF867C}">
                  <a14:compatExt spid="_x0000_s32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20</xdr:col>
          <xdr:colOff>0</xdr:colOff>
          <xdr:row>18</xdr:row>
          <xdr:rowOff>0</xdr:rowOff>
        </xdr:to>
        <xdr:sp macro="" textlink="">
          <xdr:nvSpPr>
            <xdr:cNvPr id="32912" name="Drop Down 144" hidden="1">
              <a:extLst>
                <a:ext uri="{63B3BB69-23CF-44E3-9099-C40C66FF867C}">
                  <a14:compatExt spid="_x0000_s32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18</xdr:row>
          <xdr:rowOff>0</xdr:rowOff>
        </xdr:from>
        <xdr:to>
          <xdr:col>20</xdr:col>
          <xdr:colOff>0</xdr:colOff>
          <xdr:row>19</xdr:row>
          <xdr:rowOff>0</xdr:rowOff>
        </xdr:to>
        <xdr:sp macro="" textlink="">
          <xdr:nvSpPr>
            <xdr:cNvPr id="32913" name="Drop Down 145" hidden="1">
              <a:extLst>
                <a:ext uri="{63B3BB69-23CF-44E3-9099-C40C66FF867C}">
                  <a14:compatExt spid="_x0000_s32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19</xdr:row>
          <xdr:rowOff>0</xdr:rowOff>
        </xdr:from>
        <xdr:to>
          <xdr:col>20</xdr:col>
          <xdr:colOff>0</xdr:colOff>
          <xdr:row>20</xdr:row>
          <xdr:rowOff>0</xdr:rowOff>
        </xdr:to>
        <xdr:sp macro="" textlink="">
          <xdr:nvSpPr>
            <xdr:cNvPr id="32914" name="Drop Down 146" hidden="1">
              <a:extLst>
                <a:ext uri="{63B3BB69-23CF-44E3-9099-C40C66FF867C}">
                  <a14:compatExt spid="_x0000_s32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20</xdr:row>
          <xdr:rowOff>0</xdr:rowOff>
        </xdr:from>
        <xdr:to>
          <xdr:col>20</xdr:col>
          <xdr:colOff>0</xdr:colOff>
          <xdr:row>21</xdr:row>
          <xdr:rowOff>0</xdr:rowOff>
        </xdr:to>
        <xdr:sp macro="" textlink="">
          <xdr:nvSpPr>
            <xdr:cNvPr id="32915" name="Drop Down 147" hidden="1">
              <a:extLst>
                <a:ext uri="{63B3BB69-23CF-44E3-9099-C40C66FF867C}">
                  <a14:compatExt spid="_x0000_s32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21</xdr:row>
          <xdr:rowOff>0</xdr:rowOff>
        </xdr:from>
        <xdr:to>
          <xdr:col>20</xdr:col>
          <xdr:colOff>0</xdr:colOff>
          <xdr:row>22</xdr:row>
          <xdr:rowOff>0</xdr:rowOff>
        </xdr:to>
        <xdr:sp macro="" textlink="">
          <xdr:nvSpPr>
            <xdr:cNvPr id="32916" name="Drop Down 148" hidden="1">
              <a:extLst>
                <a:ext uri="{63B3BB69-23CF-44E3-9099-C40C66FF867C}">
                  <a14:compatExt spid="_x0000_s32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22</xdr:row>
          <xdr:rowOff>0</xdr:rowOff>
        </xdr:from>
        <xdr:to>
          <xdr:col>20</xdr:col>
          <xdr:colOff>0</xdr:colOff>
          <xdr:row>23</xdr:row>
          <xdr:rowOff>0</xdr:rowOff>
        </xdr:to>
        <xdr:sp macro="" textlink="">
          <xdr:nvSpPr>
            <xdr:cNvPr id="32917" name="Drop Down 149" hidden="1">
              <a:extLst>
                <a:ext uri="{63B3BB69-23CF-44E3-9099-C40C66FF867C}">
                  <a14:compatExt spid="_x0000_s32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23</xdr:row>
          <xdr:rowOff>0</xdr:rowOff>
        </xdr:from>
        <xdr:to>
          <xdr:col>20</xdr:col>
          <xdr:colOff>0</xdr:colOff>
          <xdr:row>24</xdr:row>
          <xdr:rowOff>0</xdr:rowOff>
        </xdr:to>
        <xdr:sp macro="" textlink="">
          <xdr:nvSpPr>
            <xdr:cNvPr id="32918" name="Drop Down 150" hidden="1">
              <a:extLst>
                <a:ext uri="{63B3BB69-23CF-44E3-9099-C40C66FF867C}">
                  <a14:compatExt spid="_x0000_s32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23</xdr:row>
          <xdr:rowOff>9525</xdr:rowOff>
        </xdr:from>
        <xdr:to>
          <xdr:col>3</xdr:col>
          <xdr:colOff>9525</xdr:colOff>
          <xdr:row>24</xdr:row>
          <xdr:rowOff>9525</xdr:rowOff>
        </xdr:to>
        <xdr:sp macro="" textlink="">
          <xdr:nvSpPr>
            <xdr:cNvPr id="32934" name="Drop Down 166" hidden="1">
              <a:extLst>
                <a:ext uri="{63B3BB69-23CF-44E3-9099-C40C66FF867C}">
                  <a14:compatExt spid="_x0000_s329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24</xdr:row>
          <xdr:rowOff>9525</xdr:rowOff>
        </xdr:from>
        <xdr:to>
          <xdr:col>3</xdr:col>
          <xdr:colOff>9525</xdr:colOff>
          <xdr:row>25</xdr:row>
          <xdr:rowOff>9525</xdr:rowOff>
        </xdr:to>
        <xdr:sp macro="" textlink="">
          <xdr:nvSpPr>
            <xdr:cNvPr id="32935" name="Drop Down 167" hidden="1">
              <a:extLst>
                <a:ext uri="{63B3BB69-23CF-44E3-9099-C40C66FF867C}">
                  <a14:compatExt spid="_x0000_s329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24</xdr:row>
          <xdr:rowOff>0</xdr:rowOff>
        </xdr:from>
        <xdr:to>
          <xdr:col>8</xdr:col>
          <xdr:colOff>0</xdr:colOff>
          <xdr:row>25</xdr:row>
          <xdr:rowOff>0</xdr:rowOff>
        </xdr:to>
        <xdr:sp macro="" textlink="">
          <xdr:nvSpPr>
            <xdr:cNvPr id="32936" name="Drop Down 168" hidden="1">
              <a:extLst>
                <a:ext uri="{63B3BB69-23CF-44E3-9099-C40C66FF867C}">
                  <a14:compatExt spid="_x0000_s32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24</xdr:row>
          <xdr:rowOff>0</xdr:rowOff>
        </xdr:from>
        <xdr:to>
          <xdr:col>19</xdr:col>
          <xdr:colOff>0</xdr:colOff>
          <xdr:row>25</xdr:row>
          <xdr:rowOff>0</xdr:rowOff>
        </xdr:to>
        <xdr:sp macro="" textlink="">
          <xdr:nvSpPr>
            <xdr:cNvPr id="32937" name="Drop Down 169" hidden="1">
              <a:extLst>
                <a:ext uri="{63B3BB69-23CF-44E3-9099-C40C66FF867C}">
                  <a14:compatExt spid="_x0000_s32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24</xdr:row>
          <xdr:rowOff>0</xdr:rowOff>
        </xdr:from>
        <xdr:to>
          <xdr:col>20</xdr:col>
          <xdr:colOff>0</xdr:colOff>
          <xdr:row>25</xdr:row>
          <xdr:rowOff>0</xdr:rowOff>
        </xdr:to>
        <xdr:sp macro="" textlink="">
          <xdr:nvSpPr>
            <xdr:cNvPr id="32938" name="Drop Down 170" hidden="1">
              <a:extLst>
                <a:ext uri="{63B3BB69-23CF-44E3-9099-C40C66FF867C}">
                  <a14:compatExt spid="_x0000_s32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24</xdr:row>
          <xdr:rowOff>9525</xdr:rowOff>
        </xdr:from>
        <xdr:to>
          <xdr:col>3</xdr:col>
          <xdr:colOff>9525</xdr:colOff>
          <xdr:row>25</xdr:row>
          <xdr:rowOff>9525</xdr:rowOff>
        </xdr:to>
        <xdr:sp macro="" textlink="">
          <xdr:nvSpPr>
            <xdr:cNvPr id="32939" name="Drop Down 171" hidden="1">
              <a:extLst>
                <a:ext uri="{63B3BB69-23CF-44E3-9099-C40C66FF867C}">
                  <a14:compatExt spid="_x0000_s329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25</xdr:row>
          <xdr:rowOff>9525</xdr:rowOff>
        </xdr:from>
        <xdr:to>
          <xdr:col>3</xdr:col>
          <xdr:colOff>9525</xdr:colOff>
          <xdr:row>26</xdr:row>
          <xdr:rowOff>9525</xdr:rowOff>
        </xdr:to>
        <xdr:sp macro="" textlink="">
          <xdr:nvSpPr>
            <xdr:cNvPr id="32940" name="Drop Down 172" hidden="1">
              <a:extLst>
                <a:ext uri="{63B3BB69-23CF-44E3-9099-C40C66FF867C}">
                  <a14:compatExt spid="_x0000_s329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</xdr:row>
          <xdr:rowOff>0</xdr:rowOff>
        </xdr:from>
        <xdr:to>
          <xdr:col>8</xdr:col>
          <xdr:colOff>0</xdr:colOff>
          <xdr:row>26</xdr:row>
          <xdr:rowOff>0</xdr:rowOff>
        </xdr:to>
        <xdr:sp macro="" textlink="">
          <xdr:nvSpPr>
            <xdr:cNvPr id="32941" name="Drop Down 173" hidden="1">
              <a:extLst>
                <a:ext uri="{63B3BB69-23CF-44E3-9099-C40C66FF867C}">
                  <a14:compatExt spid="_x0000_s32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25</xdr:row>
          <xdr:rowOff>0</xdr:rowOff>
        </xdr:from>
        <xdr:to>
          <xdr:col>19</xdr:col>
          <xdr:colOff>0</xdr:colOff>
          <xdr:row>26</xdr:row>
          <xdr:rowOff>0</xdr:rowOff>
        </xdr:to>
        <xdr:sp macro="" textlink="">
          <xdr:nvSpPr>
            <xdr:cNvPr id="32942" name="Drop Down 174" hidden="1">
              <a:extLst>
                <a:ext uri="{63B3BB69-23CF-44E3-9099-C40C66FF867C}">
                  <a14:compatExt spid="_x0000_s32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25</xdr:row>
          <xdr:rowOff>0</xdr:rowOff>
        </xdr:from>
        <xdr:to>
          <xdr:col>20</xdr:col>
          <xdr:colOff>0</xdr:colOff>
          <xdr:row>26</xdr:row>
          <xdr:rowOff>0</xdr:rowOff>
        </xdr:to>
        <xdr:sp macro="" textlink="">
          <xdr:nvSpPr>
            <xdr:cNvPr id="32943" name="Drop Down 175" hidden="1">
              <a:extLst>
                <a:ext uri="{63B3BB69-23CF-44E3-9099-C40C66FF867C}">
                  <a14:compatExt spid="_x0000_s32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25</xdr:row>
          <xdr:rowOff>9525</xdr:rowOff>
        </xdr:from>
        <xdr:to>
          <xdr:col>3</xdr:col>
          <xdr:colOff>9525</xdr:colOff>
          <xdr:row>26</xdr:row>
          <xdr:rowOff>9525</xdr:rowOff>
        </xdr:to>
        <xdr:sp macro="" textlink="">
          <xdr:nvSpPr>
            <xdr:cNvPr id="32944" name="Drop Down 176" hidden="1">
              <a:extLst>
                <a:ext uri="{63B3BB69-23CF-44E3-9099-C40C66FF867C}">
                  <a14:compatExt spid="_x0000_s32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25</xdr:row>
          <xdr:rowOff>9525</xdr:rowOff>
        </xdr:from>
        <xdr:to>
          <xdr:col>3</xdr:col>
          <xdr:colOff>9525</xdr:colOff>
          <xdr:row>26</xdr:row>
          <xdr:rowOff>9525</xdr:rowOff>
        </xdr:to>
        <xdr:sp macro="" textlink="">
          <xdr:nvSpPr>
            <xdr:cNvPr id="32945" name="Drop Down 177" hidden="1">
              <a:extLst>
                <a:ext uri="{63B3BB69-23CF-44E3-9099-C40C66FF867C}">
                  <a14:compatExt spid="_x0000_s32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26</xdr:row>
          <xdr:rowOff>9525</xdr:rowOff>
        </xdr:from>
        <xdr:to>
          <xdr:col>3</xdr:col>
          <xdr:colOff>9525</xdr:colOff>
          <xdr:row>27</xdr:row>
          <xdr:rowOff>9525</xdr:rowOff>
        </xdr:to>
        <xdr:sp macro="" textlink="">
          <xdr:nvSpPr>
            <xdr:cNvPr id="32946" name="Drop Down 178" hidden="1">
              <a:extLst>
                <a:ext uri="{63B3BB69-23CF-44E3-9099-C40C66FF867C}">
                  <a14:compatExt spid="_x0000_s32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26</xdr:row>
          <xdr:rowOff>0</xdr:rowOff>
        </xdr:from>
        <xdr:to>
          <xdr:col>8</xdr:col>
          <xdr:colOff>0</xdr:colOff>
          <xdr:row>27</xdr:row>
          <xdr:rowOff>0</xdr:rowOff>
        </xdr:to>
        <xdr:sp macro="" textlink="">
          <xdr:nvSpPr>
            <xdr:cNvPr id="32947" name="Drop Down 179" hidden="1">
              <a:extLst>
                <a:ext uri="{63B3BB69-23CF-44E3-9099-C40C66FF867C}">
                  <a14:compatExt spid="_x0000_s329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26</xdr:row>
          <xdr:rowOff>0</xdr:rowOff>
        </xdr:from>
        <xdr:to>
          <xdr:col>19</xdr:col>
          <xdr:colOff>0</xdr:colOff>
          <xdr:row>27</xdr:row>
          <xdr:rowOff>0</xdr:rowOff>
        </xdr:to>
        <xdr:sp macro="" textlink="">
          <xdr:nvSpPr>
            <xdr:cNvPr id="32948" name="Drop Down 180" hidden="1">
              <a:extLst>
                <a:ext uri="{63B3BB69-23CF-44E3-9099-C40C66FF867C}">
                  <a14:compatExt spid="_x0000_s32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26</xdr:row>
          <xdr:rowOff>0</xdr:rowOff>
        </xdr:from>
        <xdr:to>
          <xdr:col>20</xdr:col>
          <xdr:colOff>0</xdr:colOff>
          <xdr:row>27</xdr:row>
          <xdr:rowOff>0</xdr:rowOff>
        </xdr:to>
        <xdr:sp macro="" textlink="">
          <xdr:nvSpPr>
            <xdr:cNvPr id="32949" name="Drop Down 181" hidden="1">
              <a:extLst>
                <a:ext uri="{63B3BB69-23CF-44E3-9099-C40C66FF867C}">
                  <a14:compatExt spid="_x0000_s329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26</xdr:row>
          <xdr:rowOff>9525</xdr:rowOff>
        </xdr:from>
        <xdr:to>
          <xdr:col>3</xdr:col>
          <xdr:colOff>9525</xdr:colOff>
          <xdr:row>27</xdr:row>
          <xdr:rowOff>9525</xdr:rowOff>
        </xdr:to>
        <xdr:sp macro="" textlink="">
          <xdr:nvSpPr>
            <xdr:cNvPr id="32950" name="Drop Down 182" hidden="1">
              <a:extLst>
                <a:ext uri="{63B3BB69-23CF-44E3-9099-C40C66FF867C}">
                  <a14:compatExt spid="_x0000_s32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26</xdr:row>
          <xdr:rowOff>9525</xdr:rowOff>
        </xdr:from>
        <xdr:to>
          <xdr:col>3</xdr:col>
          <xdr:colOff>9525</xdr:colOff>
          <xdr:row>27</xdr:row>
          <xdr:rowOff>9525</xdr:rowOff>
        </xdr:to>
        <xdr:sp macro="" textlink="">
          <xdr:nvSpPr>
            <xdr:cNvPr id="32951" name="Drop Down 183" hidden="1">
              <a:extLst>
                <a:ext uri="{63B3BB69-23CF-44E3-9099-C40C66FF867C}">
                  <a14:compatExt spid="_x0000_s32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27</xdr:row>
          <xdr:rowOff>9525</xdr:rowOff>
        </xdr:from>
        <xdr:to>
          <xdr:col>3</xdr:col>
          <xdr:colOff>9525</xdr:colOff>
          <xdr:row>28</xdr:row>
          <xdr:rowOff>9525</xdr:rowOff>
        </xdr:to>
        <xdr:sp macro="" textlink="">
          <xdr:nvSpPr>
            <xdr:cNvPr id="32952" name="Drop Down 184" hidden="1">
              <a:extLst>
                <a:ext uri="{63B3BB69-23CF-44E3-9099-C40C66FF867C}">
                  <a14:compatExt spid="_x0000_s32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</xdr:row>
          <xdr:rowOff>0</xdr:rowOff>
        </xdr:from>
        <xdr:to>
          <xdr:col>8</xdr:col>
          <xdr:colOff>0</xdr:colOff>
          <xdr:row>28</xdr:row>
          <xdr:rowOff>0</xdr:rowOff>
        </xdr:to>
        <xdr:sp macro="" textlink="">
          <xdr:nvSpPr>
            <xdr:cNvPr id="32953" name="Drop Down 185" hidden="1">
              <a:extLst>
                <a:ext uri="{63B3BB69-23CF-44E3-9099-C40C66FF867C}">
                  <a14:compatExt spid="_x0000_s329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27</xdr:row>
          <xdr:rowOff>0</xdr:rowOff>
        </xdr:from>
        <xdr:to>
          <xdr:col>19</xdr:col>
          <xdr:colOff>0</xdr:colOff>
          <xdr:row>28</xdr:row>
          <xdr:rowOff>0</xdr:rowOff>
        </xdr:to>
        <xdr:sp macro="" textlink="">
          <xdr:nvSpPr>
            <xdr:cNvPr id="32954" name="Drop Down 186" hidden="1">
              <a:extLst>
                <a:ext uri="{63B3BB69-23CF-44E3-9099-C40C66FF867C}">
                  <a14:compatExt spid="_x0000_s32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27</xdr:row>
          <xdr:rowOff>0</xdr:rowOff>
        </xdr:from>
        <xdr:to>
          <xdr:col>20</xdr:col>
          <xdr:colOff>0</xdr:colOff>
          <xdr:row>28</xdr:row>
          <xdr:rowOff>0</xdr:rowOff>
        </xdr:to>
        <xdr:sp macro="" textlink="">
          <xdr:nvSpPr>
            <xdr:cNvPr id="32955" name="Drop Down 187" hidden="1">
              <a:extLst>
                <a:ext uri="{63B3BB69-23CF-44E3-9099-C40C66FF867C}">
                  <a14:compatExt spid="_x0000_s329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27</xdr:row>
          <xdr:rowOff>9525</xdr:rowOff>
        </xdr:from>
        <xdr:to>
          <xdr:col>3</xdr:col>
          <xdr:colOff>9525</xdr:colOff>
          <xdr:row>28</xdr:row>
          <xdr:rowOff>9525</xdr:rowOff>
        </xdr:to>
        <xdr:sp macro="" textlink="">
          <xdr:nvSpPr>
            <xdr:cNvPr id="32956" name="Drop Down 188" hidden="1">
              <a:extLst>
                <a:ext uri="{63B3BB69-23CF-44E3-9099-C40C66FF867C}">
                  <a14:compatExt spid="_x0000_s32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27</xdr:row>
          <xdr:rowOff>9525</xdr:rowOff>
        </xdr:from>
        <xdr:to>
          <xdr:col>3</xdr:col>
          <xdr:colOff>9525</xdr:colOff>
          <xdr:row>28</xdr:row>
          <xdr:rowOff>9525</xdr:rowOff>
        </xdr:to>
        <xdr:sp macro="" textlink="">
          <xdr:nvSpPr>
            <xdr:cNvPr id="32957" name="Drop Down 189" hidden="1">
              <a:extLst>
                <a:ext uri="{63B3BB69-23CF-44E3-9099-C40C66FF867C}">
                  <a14:compatExt spid="_x0000_s329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28</xdr:row>
          <xdr:rowOff>9525</xdr:rowOff>
        </xdr:from>
        <xdr:to>
          <xdr:col>3</xdr:col>
          <xdr:colOff>9525</xdr:colOff>
          <xdr:row>29</xdr:row>
          <xdr:rowOff>9525</xdr:rowOff>
        </xdr:to>
        <xdr:sp macro="" textlink="">
          <xdr:nvSpPr>
            <xdr:cNvPr id="32958" name="Drop Down 190" hidden="1">
              <a:extLst>
                <a:ext uri="{63B3BB69-23CF-44E3-9099-C40C66FF867C}">
                  <a14:compatExt spid="_x0000_s32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</xdr:row>
          <xdr:rowOff>0</xdr:rowOff>
        </xdr:from>
        <xdr:to>
          <xdr:col>8</xdr:col>
          <xdr:colOff>0</xdr:colOff>
          <xdr:row>29</xdr:row>
          <xdr:rowOff>0</xdr:rowOff>
        </xdr:to>
        <xdr:sp macro="" textlink="">
          <xdr:nvSpPr>
            <xdr:cNvPr id="32959" name="Drop Down 191" hidden="1">
              <a:extLst>
                <a:ext uri="{63B3BB69-23CF-44E3-9099-C40C66FF867C}">
                  <a14:compatExt spid="_x0000_s329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28</xdr:row>
          <xdr:rowOff>0</xdr:rowOff>
        </xdr:from>
        <xdr:to>
          <xdr:col>19</xdr:col>
          <xdr:colOff>0</xdr:colOff>
          <xdr:row>29</xdr:row>
          <xdr:rowOff>0</xdr:rowOff>
        </xdr:to>
        <xdr:sp macro="" textlink="">
          <xdr:nvSpPr>
            <xdr:cNvPr id="32960" name="Drop Down 192" hidden="1">
              <a:extLst>
                <a:ext uri="{63B3BB69-23CF-44E3-9099-C40C66FF867C}">
                  <a14:compatExt spid="_x0000_s329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28</xdr:row>
          <xdr:rowOff>0</xdr:rowOff>
        </xdr:from>
        <xdr:to>
          <xdr:col>20</xdr:col>
          <xdr:colOff>0</xdr:colOff>
          <xdr:row>29</xdr:row>
          <xdr:rowOff>0</xdr:rowOff>
        </xdr:to>
        <xdr:sp macro="" textlink="">
          <xdr:nvSpPr>
            <xdr:cNvPr id="32961" name="Drop Down 193" hidden="1">
              <a:extLst>
                <a:ext uri="{63B3BB69-23CF-44E3-9099-C40C66FF867C}">
                  <a14:compatExt spid="_x0000_s32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28</xdr:row>
          <xdr:rowOff>9525</xdr:rowOff>
        </xdr:from>
        <xdr:to>
          <xdr:col>3</xdr:col>
          <xdr:colOff>9525</xdr:colOff>
          <xdr:row>29</xdr:row>
          <xdr:rowOff>9525</xdr:rowOff>
        </xdr:to>
        <xdr:sp macro="" textlink="">
          <xdr:nvSpPr>
            <xdr:cNvPr id="32962" name="Drop Down 194" hidden="1">
              <a:extLst>
                <a:ext uri="{63B3BB69-23CF-44E3-9099-C40C66FF867C}">
                  <a14:compatExt spid="_x0000_s32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28</xdr:row>
          <xdr:rowOff>9525</xdr:rowOff>
        </xdr:from>
        <xdr:to>
          <xdr:col>3</xdr:col>
          <xdr:colOff>9525</xdr:colOff>
          <xdr:row>29</xdr:row>
          <xdr:rowOff>9525</xdr:rowOff>
        </xdr:to>
        <xdr:sp macro="" textlink="">
          <xdr:nvSpPr>
            <xdr:cNvPr id="32963" name="Drop Down 195" hidden="1">
              <a:extLst>
                <a:ext uri="{63B3BB69-23CF-44E3-9099-C40C66FF867C}">
                  <a14:compatExt spid="_x0000_s329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29</xdr:row>
          <xdr:rowOff>9525</xdr:rowOff>
        </xdr:from>
        <xdr:to>
          <xdr:col>3</xdr:col>
          <xdr:colOff>9525</xdr:colOff>
          <xdr:row>30</xdr:row>
          <xdr:rowOff>9525</xdr:rowOff>
        </xdr:to>
        <xdr:sp macro="" textlink="">
          <xdr:nvSpPr>
            <xdr:cNvPr id="32964" name="Drop Down 196" hidden="1">
              <a:extLst>
                <a:ext uri="{63B3BB69-23CF-44E3-9099-C40C66FF867C}">
                  <a14:compatExt spid="_x0000_s329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29</xdr:row>
          <xdr:rowOff>0</xdr:rowOff>
        </xdr:from>
        <xdr:to>
          <xdr:col>8</xdr:col>
          <xdr:colOff>0</xdr:colOff>
          <xdr:row>30</xdr:row>
          <xdr:rowOff>0</xdr:rowOff>
        </xdr:to>
        <xdr:sp macro="" textlink="">
          <xdr:nvSpPr>
            <xdr:cNvPr id="32965" name="Drop Down 197" hidden="1">
              <a:extLst>
                <a:ext uri="{63B3BB69-23CF-44E3-9099-C40C66FF867C}">
                  <a14:compatExt spid="_x0000_s32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29</xdr:row>
          <xdr:rowOff>0</xdr:rowOff>
        </xdr:from>
        <xdr:to>
          <xdr:col>19</xdr:col>
          <xdr:colOff>0</xdr:colOff>
          <xdr:row>30</xdr:row>
          <xdr:rowOff>0</xdr:rowOff>
        </xdr:to>
        <xdr:sp macro="" textlink="">
          <xdr:nvSpPr>
            <xdr:cNvPr id="32966" name="Drop Down 198" hidden="1">
              <a:extLst>
                <a:ext uri="{63B3BB69-23CF-44E3-9099-C40C66FF867C}">
                  <a14:compatExt spid="_x0000_s32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29</xdr:row>
          <xdr:rowOff>0</xdr:rowOff>
        </xdr:from>
        <xdr:to>
          <xdr:col>20</xdr:col>
          <xdr:colOff>0</xdr:colOff>
          <xdr:row>30</xdr:row>
          <xdr:rowOff>0</xdr:rowOff>
        </xdr:to>
        <xdr:sp macro="" textlink="">
          <xdr:nvSpPr>
            <xdr:cNvPr id="32967" name="Drop Down 199" hidden="1">
              <a:extLst>
                <a:ext uri="{63B3BB69-23CF-44E3-9099-C40C66FF867C}">
                  <a14:compatExt spid="_x0000_s32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29</xdr:row>
          <xdr:rowOff>9525</xdr:rowOff>
        </xdr:from>
        <xdr:to>
          <xdr:col>3</xdr:col>
          <xdr:colOff>9525</xdr:colOff>
          <xdr:row>30</xdr:row>
          <xdr:rowOff>9525</xdr:rowOff>
        </xdr:to>
        <xdr:sp macro="" textlink="">
          <xdr:nvSpPr>
            <xdr:cNvPr id="32968" name="Drop Down 200" hidden="1">
              <a:extLst>
                <a:ext uri="{63B3BB69-23CF-44E3-9099-C40C66FF867C}">
                  <a14:compatExt spid="_x0000_s32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29</xdr:row>
          <xdr:rowOff>9525</xdr:rowOff>
        </xdr:from>
        <xdr:to>
          <xdr:col>3</xdr:col>
          <xdr:colOff>9525</xdr:colOff>
          <xdr:row>30</xdr:row>
          <xdr:rowOff>9525</xdr:rowOff>
        </xdr:to>
        <xdr:sp macro="" textlink="">
          <xdr:nvSpPr>
            <xdr:cNvPr id="32969" name="Drop Down 201" hidden="1">
              <a:extLst>
                <a:ext uri="{63B3BB69-23CF-44E3-9099-C40C66FF867C}">
                  <a14:compatExt spid="_x0000_s32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33</xdr:row>
          <xdr:rowOff>9525</xdr:rowOff>
        </xdr:from>
        <xdr:to>
          <xdr:col>3</xdr:col>
          <xdr:colOff>9525</xdr:colOff>
          <xdr:row>34</xdr:row>
          <xdr:rowOff>9525</xdr:rowOff>
        </xdr:to>
        <xdr:sp macro="" textlink="">
          <xdr:nvSpPr>
            <xdr:cNvPr id="32970" name="Drop Down 202" hidden="1">
              <a:extLst>
                <a:ext uri="{63B3BB69-23CF-44E3-9099-C40C66FF867C}">
                  <a14:compatExt spid="_x0000_s32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33</xdr:row>
          <xdr:rowOff>0</xdr:rowOff>
        </xdr:from>
        <xdr:to>
          <xdr:col>8</xdr:col>
          <xdr:colOff>0</xdr:colOff>
          <xdr:row>34</xdr:row>
          <xdr:rowOff>0</xdr:rowOff>
        </xdr:to>
        <xdr:sp macro="" textlink="">
          <xdr:nvSpPr>
            <xdr:cNvPr id="32971" name="Drop Down 203" hidden="1">
              <a:extLst>
                <a:ext uri="{63B3BB69-23CF-44E3-9099-C40C66FF867C}">
                  <a14:compatExt spid="_x0000_s32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33</xdr:row>
          <xdr:rowOff>0</xdr:rowOff>
        </xdr:from>
        <xdr:to>
          <xdr:col>19</xdr:col>
          <xdr:colOff>0</xdr:colOff>
          <xdr:row>34</xdr:row>
          <xdr:rowOff>0</xdr:rowOff>
        </xdr:to>
        <xdr:sp macro="" textlink="">
          <xdr:nvSpPr>
            <xdr:cNvPr id="32972" name="Drop Down 204" hidden="1">
              <a:extLst>
                <a:ext uri="{63B3BB69-23CF-44E3-9099-C40C66FF867C}">
                  <a14:compatExt spid="_x0000_s32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33</xdr:row>
          <xdr:rowOff>0</xdr:rowOff>
        </xdr:from>
        <xdr:to>
          <xdr:col>20</xdr:col>
          <xdr:colOff>0</xdr:colOff>
          <xdr:row>34</xdr:row>
          <xdr:rowOff>0</xdr:rowOff>
        </xdr:to>
        <xdr:sp macro="" textlink="">
          <xdr:nvSpPr>
            <xdr:cNvPr id="32973" name="Drop Down 205" hidden="1">
              <a:extLst>
                <a:ext uri="{63B3BB69-23CF-44E3-9099-C40C66FF867C}">
                  <a14:compatExt spid="_x0000_s32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33</xdr:row>
          <xdr:rowOff>9525</xdr:rowOff>
        </xdr:from>
        <xdr:to>
          <xdr:col>3</xdr:col>
          <xdr:colOff>9525</xdr:colOff>
          <xdr:row>34</xdr:row>
          <xdr:rowOff>9525</xdr:rowOff>
        </xdr:to>
        <xdr:sp macro="" textlink="">
          <xdr:nvSpPr>
            <xdr:cNvPr id="32974" name="Drop Down 206" hidden="1">
              <a:extLst>
                <a:ext uri="{63B3BB69-23CF-44E3-9099-C40C66FF867C}">
                  <a14:compatExt spid="_x0000_s32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33</xdr:row>
          <xdr:rowOff>9525</xdr:rowOff>
        </xdr:from>
        <xdr:to>
          <xdr:col>3</xdr:col>
          <xdr:colOff>9525</xdr:colOff>
          <xdr:row>34</xdr:row>
          <xdr:rowOff>9525</xdr:rowOff>
        </xdr:to>
        <xdr:sp macro="" textlink="">
          <xdr:nvSpPr>
            <xdr:cNvPr id="32975" name="Drop Down 207" hidden="1">
              <a:extLst>
                <a:ext uri="{63B3BB69-23CF-44E3-9099-C40C66FF867C}">
                  <a14:compatExt spid="_x0000_s32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34</xdr:row>
          <xdr:rowOff>9525</xdr:rowOff>
        </xdr:from>
        <xdr:to>
          <xdr:col>3</xdr:col>
          <xdr:colOff>9525</xdr:colOff>
          <xdr:row>35</xdr:row>
          <xdr:rowOff>9525</xdr:rowOff>
        </xdr:to>
        <xdr:sp macro="" textlink="">
          <xdr:nvSpPr>
            <xdr:cNvPr id="32976" name="Drop Down 208" hidden="1">
              <a:extLst>
                <a:ext uri="{63B3BB69-23CF-44E3-9099-C40C66FF867C}">
                  <a14:compatExt spid="_x0000_s32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34</xdr:row>
          <xdr:rowOff>0</xdr:rowOff>
        </xdr:from>
        <xdr:to>
          <xdr:col>8</xdr:col>
          <xdr:colOff>0</xdr:colOff>
          <xdr:row>35</xdr:row>
          <xdr:rowOff>0</xdr:rowOff>
        </xdr:to>
        <xdr:sp macro="" textlink="">
          <xdr:nvSpPr>
            <xdr:cNvPr id="32977" name="Drop Down 209" hidden="1">
              <a:extLst>
                <a:ext uri="{63B3BB69-23CF-44E3-9099-C40C66FF867C}">
                  <a14:compatExt spid="_x0000_s32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34</xdr:row>
          <xdr:rowOff>0</xdr:rowOff>
        </xdr:from>
        <xdr:to>
          <xdr:col>19</xdr:col>
          <xdr:colOff>0</xdr:colOff>
          <xdr:row>35</xdr:row>
          <xdr:rowOff>0</xdr:rowOff>
        </xdr:to>
        <xdr:sp macro="" textlink="">
          <xdr:nvSpPr>
            <xdr:cNvPr id="32978" name="Drop Down 210" hidden="1">
              <a:extLst>
                <a:ext uri="{63B3BB69-23CF-44E3-9099-C40C66FF867C}">
                  <a14:compatExt spid="_x0000_s32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34</xdr:row>
          <xdr:rowOff>0</xdr:rowOff>
        </xdr:from>
        <xdr:to>
          <xdr:col>20</xdr:col>
          <xdr:colOff>0</xdr:colOff>
          <xdr:row>35</xdr:row>
          <xdr:rowOff>0</xdr:rowOff>
        </xdr:to>
        <xdr:sp macro="" textlink="">
          <xdr:nvSpPr>
            <xdr:cNvPr id="32979" name="Drop Down 211" hidden="1">
              <a:extLst>
                <a:ext uri="{63B3BB69-23CF-44E3-9099-C40C66FF867C}">
                  <a14:compatExt spid="_x0000_s32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34</xdr:row>
          <xdr:rowOff>9525</xdr:rowOff>
        </xdr:from>
        <xdr:to>
          <xdr:col>3</xdr:col>
          <xdr:colOff>9525</xdr:colOff>
          <xdr:row>35</xdr:row>
          <xdr:rowOff>9525</xdr:rowOff>
        </xdr:to>
        <xdr:sp macro="" textlink="">
          <xdr:nvSpPr>
            <xdr:cNvPr id="32980" name="Drop Down 212" hidden="1">
              <a:extLst>
                <a:ext uri="{63B3BB69-23CF-44E3-9099-C40C66FF867C}">
                  <a14:compatExt spid="_x0000_s32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34</xdr:row>
          <xdr:rowOff>9525</xdr:rowOff>
        </xdr:from>
        <xdr:to>
          <xdr:col>3</xdr:col>
          <xdr:colOff>9525</xdr:colOff>
          <xdr:row>35</xdr:row>
          <xdr:rowOff>9525</xdr:rowOff>
        </xdr:to>
        <xdr:sp macro="" textlink="">
          <xdr:nvSpPr>
            <xdr:cNvPr id="32981" name="Drop Down 213" hidden="1">
              <a:extLst>
                <a:ext uri="{63B3BB69-23CF-44E3-9099-C40C66FF867C}">
                  <a14:compatExt spid="_x0000_s32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35</xdr:row>
          <xdr:rowOff>9525</xdr:rowOff>
        </xdr:from>
        <xdr:to>
          <xdr:col>3</xdr:col>
          <xdr:colOff>9525</xdr:colOff>
          <xdr:row>36</xdr:row>
          <xdr:rowOff>9525</xdr:rowOff>
        </xdr:to>
        <xdr:sp macro="" textlink="">
          <xdr:nvSpPr>
            <xdr:cNvPr id="32982" name="Drop Down 214" hidden="1">
              <a:extLst>
                <a:ext uri="{63B3BB69-23CF-44E3-9099-C40C66FF867C}">
                  <a14:compatExt spid="_x0000_s32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35</xdr:row>
          <xdr:rowOff>0</xdr:rowOff>
        </xdr:from>
        <xdr:to>
          <xdr:col>8</xdr:col>
          <xdr:colOff>0</xdr:colOff>
          <xdr:row>36</xdr:row>
          <xdr:rowOff>0</xdr:rowOff>
        </xdr:to>
        <xdr:sp macro="" textlink="">
          <xdr:nvSpPr>
            <xdr:cNvPr id="32983" name="Drop Down 215" hidden="1">
              <a:extLst>
                <a:ext uri="{63B3BB69-23CF-44E3-9099-C40C66FF867C}">
                  <a14:compatExt spid="_x0000_s32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35</xdr:row>
          <xdr:rowOff>0</xdr:rowOff>
        </xdr:from>
        <xdr:to>
          <xdr:col>19</xdr:col>
          <xdr:colOff>0</xdr:colOff>
          <xdr:row>36</xdr:row>
          <xdr:rowOff>0</xdr:rowOff>
        </xdr:to>
        <xdr:sp macro="" textlink="">
          <xdr:nvSpPr>
            <xdr:cNvPr id="32984" name="Drop Down 216" hidden="1">
              <a:extLst>
                <a:ext uri="{63B3BB69-23CF-44E3-9099-C40C66FF867C}">
                  <a14:compatExt spid="_x0000_s32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35</xdr:row>
          <xdr:rowOff>0</xdr:rowOff>
        </xdr:from>
        <xdr:to>
          <xdr:col>20</xdr:col>
          <xdr:colOff>0</xdr:colOff>
          <xdr:row>36</xdr:row>
          <xdr:rowOff>0</xdr:rowOff>
        </xdr:to>
        <xdr:sp macro="" textlink="">
          <xdr:nvSpPr>
            <xdr:cNvPr id="32985" name="Drop Down 217" hidden="1">
              <a:extLst>
                <a:ext uri="{63B3BB69-23CF-44E3-9099-C40C66FF867C}">
                  <a14:compatExt spid="_x0000_s32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35</xdr:row>
          <xdr:rowOff>9525</xdr:rowOff>
        </xdr:from>
        <xdr:to>
          <xdr:col>3</xdr:col>
          <xdr:colOff>9525</xdr:colOff>
          <xdr:row>36</xdr:row>
          <xdr:rowOff>9525</xdr:rowOff>
        </xdr:to>
        <xdr:sp macro="" textlink="">
          <xdr:nvSpPr>
            <xdr:cNvPr id="32986" name="Drop Down 218" hidden="1">
              <a:extLst>
                <a:ext uri="{63B3BB69-23CF-44E3-9099-C40C66FF867C}">
                  <a14:compatExt spid="_x0000_s32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35</xdr:row>
          <xdr:rowOff>9525</xdr:rowOff>
        </xdr:from>
        <xdr:to>
          <xdr:col>3</xdr:col>
          <xdr:colOff>9525</xdr:colOff>
          <xdr:row>36</xdr:row>
          <xdr:rowOff>9525</xdr:rowOff>
        </xdr:to>
        <xdr:sp macro="" textlink="">
          <xdr:nvSpPr>
            <xdr:cNvPr id="32987" name="Drop Down 219" hidden="1">
              <a:extLst>
                <a:ext uri="{63B3BB69-23CF-44E3-9099-C40C66FF867C}">
                  <a14:compatExt spid="_x0000_s32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36</xdr:row>
          <xdr:rowOff>9525</xdr:rowOff>
        </xdr:from>
        <xdr:to>
          <xdr:col>3</xdr:col>
          <xdr:colOff>9525</xdr:colOff>
          <xdr:row>37</xdr:row>
          <xdr:rowOff>9525</xdr:rowOff>
        </xdr:to>
        <xdr:sp macro="" textlink="">
          <xdr:nvSpPr>
            <xdr:cNvPr id="32988" name="Drop Down 220" hidden="1">
              <a:extLst>
                <a:ext uri="{63B3BB69-23CF-44E3-9099-C40C66FF867C}">
                  <a14:compatExt spid="_x0000_s32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36</xdr:row>
          <xdr:rowOff>0</xdr:rowOff>
        </xdr:from>
        <xdr:to>
          <xdr:col>8</xdr:col>
          <xdr:colOff>0</xdr:colOff>
          <xdr:row>37</xdr:row>
          <xdr:rowOff>0</xdr:rowOff>
        </xdr:to>
        <xdr:sp macro="" textlink="">
          <xdr:nvSpPr>
            <xdr:cNvPr id="32989" name="Drop Down 221" hidden="1">
              <a:extLst>
                <a:ext uri="{63B3BB69-23CF-44E3-9099-C40C66FF867C}">
                  <a14:compatExt spid="_x0000_s32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36</xdr:row>
          <xdr:rowOff>0</xdr:rowOff>
        </xdr:from>
        <xdr:to>
          <xdr:col>19</xdr:col>
          <xdr:colOff>0</xdr:colOff>
          <xdr:row>37</xdr:row>
          <xdr:rowOff>0</xdr:rowOff>
        </xdr:to>
        <xdr:sp macro="" textlink="">
          <xdr:nvSpPr>
            <xdr:cNvPr id="32990" name="Drop Down 222" hidden="1">
              <a:extLst>
                <a:ext uri="{63B3BB69-23CF-44E3-9099-C40C66FF867C}">
                  <a14:compatExt spid="_x0000_s32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36</xdr:row>
          <xdr:rowOff>0</xdr:rowOff>
        </xdr:from>
        <xdr:to>
          <xdr:col>20</xdr:col>
          <xdr:colOff>0</xdr:colOff>
          <xdr:row>37</xdr:row>
          <xdr:rowOff>0</xdr:rowOff>
        </xdr:to>
        <xdr:sp macro="" textlink="">
          <xdr:nvSpPr>
            <xdr:cNvPr id="32991" name="Drop Down 223" hidden="1">
              <a:extLst>
                <a:ext uri="{63B3BB69-23CF-44E3-9099-C40C66FF867C}">
                  <a14:compatExt spid="_x0000_s32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36</xdr:row>
          <xdr:rowOff>9525</xdr:rowOff>
        </xdr:from>
        <xdr:to>
          <xdr:col>3</xdr:col>
          <xdr:colOff>9525</xdr:colOff>
          <xdr:row>37</xdr:row>
          <xdr:rowOff>9525</xdr:rowOff>
        </xdr:to>
        <xdr:sp macro="" textlink="">
          <xdr:nvSpPr>
            <xdr:cNvPr id="32992" name="Drop Down 224" hidden="1">
              <a:extLst>
                <a:ext uri="{63B3BB69-23CF-44E3-9099-C40C66FF867C}">
                  <a14:compatExt spid="_x0000_s32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36</xdr:row>
          <xdr:rowOff>9525</xdr:rowOff>
        </xdr:from>
        <xdr:to>
          <xdr:col>3</xdr:col>
          <xdr:colOff>9525</xdr:colOff>
          <xdr:row>37</xdr:row>
          <xdr:rowOff>9525</xdr:rowOff>
        </xdr:to>
        <xdr:sp macro="" textlink="">
          <xdr:nvSpPr>
            <xdr:cNvPr id="32993" name="Drop Down 225" hidden="1">
              <a:extLst>
                <a:ext uri="{63B3BB69-23CF-44E3-9099-C40C66FF867C}">
                  <a14:compatExt spid="_x0000_s32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37</xdr:row>
          <xdr:rowOff>9525</xdr:rowOff>
        </xdr:from>
        <xdr:to>
          <xdr:col>3</xdr:col>
          <xdr:colOff>9525</xdr:colOff>
          <xdr:row>38</xdr:row>
          <xdr:rowOff>9525</xdr:rowOff>
        </xdr:to>
        <xdr:sp macro="" textlink="">
          <xdr:nvSpPr>
            <xdr:cNvPr id="32994" name="Drop Down 226" hidden="1">
              <a:extLst>
                <a:ext uri="{63B3BB69-23CF-44E3-9099-C40C66FF867C}">
                  <a14:compatExt spid="_x0000_s32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37</xdr:row>
          <xdr:rowOff>0</xdr:rowOff>
        </xdr:from>
        <xdr:to>
          <xdr:col>8</xdr:col>
          <xdr:colOff>0</xdr:colOff>
          <xdr:row>38</xdr:row>
          <xdr:rowOff>0</xdr:rowOff>
        </xdr:to>
        <xdr:sp macro="" textlink="">
          <xdr:nvSpPr>
            <xdr:cNvPr id="32995" name="Drop Down 227" hidden="1">
              <a:extLst>
                <a:ext uri="{63B3BB69-23CF-44E3-9099-C40C66FF867C}">
                  <a14:compatExt spid="_x0000_s32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37</xdr:row>
          <xdr:rowOff>0</xdr:rowOff>
        </xdr:from>
        <xdr:to>
          <xdr:col>19</xdr:col>
          <xdr:colOff>0</xdr:colOff>
          <xdr:row>38</xdr:row>
          <xdr:rowOff>0</xdr:rowOff>
        </xdr:to>
        <xdr:sp macro="" textlink="">
          <xdr:nvSpPr>
            <xdr:cNvPr id="32996" name="Drop Down 228" hidden="1">
              <a:extLst>
                <a:ext uri="{63B3BB69-23CF-44E3-9099-C40C66FF867C}">
                  <a14:compatExt spid="_x0000_s32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37</xdr:row>
          <xdr:rowOff>0</xdr:rowOff>
        </xdr:from>
        <xdr:to>
          <xdr:col>20</xdr:col>
          <xdr:colOff>0</xdr:colOff>
          <xdr:row>38</xdr:row>
          <xdr:rowOff>0</xdr:rowOff>
        </xdr:to>
        <xdr:sp macro="" textlink="">
          <xdr:nvSpPr>
            <xdr:cNvPr id="32997" name="Drop Down 229" hidden="1">
              <a:extLst>
                <a:ext uri="{63B3BB69-23CF-44E3-9099-C40C66FF867C}">
                  <a14:compatExt spid="_x0000_s32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37</xdr:row>
          <xdr:rowOff>9525</xdr:rowOff>
        </xdr:from>
        <xdr:to>
          <xdr:col>3</xdr:col>
          <xdr:colOff>9525</xdr:colOff>
          <xdr:row>38</xdr:row>
          <xdr:rowOff>9525</xdr:rowOff>
        </xdr:to>
        <xdr:sp macro="" textlink="">
          <xdr:nvSpPr>
            <xdr:cNvPr id="32998" name="Drop Down 230" hidden="1">
              <a:extLst>
                <a:ext uri="{63B3BB69-23CF-44E3-9099-C40C66FF867C}">
                  <a14:compatExt spid="_x0000_s32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37</xdr:row>
          <xdr:rowOff>9525</xdr:rowOff>
        </xdr:from>
        <xdr:to>
          <xdr:col>3</xdr:col>
          <xdr:colOff>9525</xdr:colOff>
          <xdr:row>38</xdr:row>
          <xdr:rowOff>9525</xdr:rowOff>
        </xdr:to>
        <xdr:sp macro="" textlink="">
          <xdr:nvSpPr>
            <xdr:cNvPr id="32999" name="Drop Down 231" hidden="1">
              <a:extLst>
                <a:ext uri="{63B3BB69-23CF-44E3-9099-C40C66FF867C}">
                  <a14:compatExt spid="_x0000_s32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38</xdr:row>
          <xdr:rowOff>9525</xdr:rowOff>
        </xdr:from>
        <xdr:to>
          <xdr:col>3</xdr:col>
          <xdr:colOff>9525</xdr:colOff>
          <xdr:row>39</xdr:row>
          <xdr:rowOff>9525</xdr:rowOff>
        </xdr:to>
        <xdr:sp macro="" textlink="">
          <xdr:nvSpPr>
            <xdr:cNvPr id="33000" name="Drop Down 232" hidden="1">
              <a:extLst>
                <a:ext uri="{63B3BB69-23CF-44E3-9099-C40C66FF867C}">
                  <a14:compatExt spid="_x0000_s33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38</xdr:row>
          <xdr:rowOff>0</xdr:rowOff>
        </xdr:from>
        <xdr:to>
          <xdr:col>8</xdr:col>
          <xdr:colOff>0</xdr:colOff>
          <xdr:row>39</xdr:row>
          <xdr:rowOff>0</xdr:rowOff>
        </xdr:to>
        <xdr:sp macro="" textlink="">
          <xdr:nvSpPr>
            <xdr:cNvPr id="33001" name="Drop Down 233" hidden="1">
              <a:extLst>
                <a:ext uri="{63B3BB69-23CF-44E3-9099-C40C66FF867C}">
                  <a14:compatExt spid="_x0000_s33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38</xdr:row>
          <xdr:rowOff>0</xdr:rowOff>
        </xdr:from>
        <xdr:to>
          <xdr:col>19</xdr:col>
          <xdr:colOff>0</xdr:colOff>
          <xdr:row>39</xdr:row>
          <xdr:rowOff>0</xdr:rowOff>
        </xdr:to>
        <xdr:sp macro="" textlink="">
          <xdr:nvSpPr>
            <xdr:cNvPr id="33002" name="Drop Down 234" hidden="1">
              <a:extLst>
                <a:ext uri="{63B3BB69-23CF-44E3-9099-C40C66FF867C}">
                  <a14:compatExt spid="_x0000_s33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38</xdr:row>
          <xdr:rowOff>0</xdr:rowOff>
        </xdr:from>
        <xdr:to>
          <xdr:col>20</xdr:col>
          <xdr:colOff>0</xdr:colOff>
          <xdr:row>39</xdr:row>
          <xdr:rowOff>0</xdr:rowOff>
        </xdr:to>
        <xdr:sp macro="" textlink="">
          <xdr:nvSpPr>
            <xdr:cNvPr id="33003" name="Drop Down 235" hidden="1">
              <a:extLst>
                <a:ext uri="{63B3BB69-23CF-44E3-9099-C40C66FF867C}">
                  <a14:compatExt spid="_x0000_s33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38</xdr:row>
          <xdr:rowOff>9525</xdr:rowOff>
        </xdr:from>
        <xdr:to>
          <xdr:col>3</xdr:col>
          <xdr:colOff>9525</xdr:colOff>
          <xdr:row>39</xdr:row>
          <xdr:rowOff>9525</xdr:rowOff>
        </xdr:to>
        <xdr:sp macro="" textlink="">
          <xdr:nvSpPr>
            <xdr:cNvPr id="33004" name="Drop Down 236" hidden="1">
              <a:extLst>
                <a:ext uri="{63B3BB69-23CF-44E3-9099-C40C66FF867C}">
                  <a14:compatExt spid="_x0000_s33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38</xdr:row>
          <xdr:rowOff>9525</xdr:rowOff>
        </xdr:from>
        <xdr:to>
          <xdr:col>3</xdr:col>
          <xdr:colOff>9525</xdr:colOff>
          <xdr:row>39</xdr:row>
          <xdr:rowOff>9525</xdr:rowOff>
        </xdr:to>
        <xdr:sp macro="" textlink="">
          <xdr:nvSpPr>
            <xdr:cNvPr id="33005" name="Drop Down 237" hidden="1">
              <a:extLst>
                <a:ext uri="{63B3BB69-23CF-44E3-9099-C40C66FF867C}">
                  <a14:compatExt spid="_x0000_s33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38</xdr:row>
          <xdr:rowOff>9525</xdr:rowOff>
        </xdr:from>
        <xdr:to>
          <xdr:col>3</xdr:col>
          <xdr:colOff>9525</xdr:colOff>
          <xdr:row>39</xdr:row>
          <xdr:rowOff>9525</xdr:rowOff>
        </xdr:to>
        <xdr:sp macro="" textlink="">
          <xdr:nvSpPr>
            <xdr:cNvPr id="33006" name="Drop Down 238" hidden="1">
              <a:extLst>
                <a:ext uri="{63B3BB69-23CF-44E3-9099-C40C66FF867C}">
                  <a14:compatExt spid="_x0000_s33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38</xdr:row>
          <xdr:rowOff>9525</xdr:rowOff>
        </xdr:from>
        <xdr:to>
          <xdr:col>3</xdr:col>
          <xdr:colOff>9525</xdr:colOff>
          <xdr:row>39</xdr:row>
          <xdr:rowOff>9525</xdr:rowOff>
        </xdr:to>
        <xdr:sp macro="" textlink="">
          <xdr:nvSpPr>
            <xdr:cNvPr id="33007" name="Drop Down 239" hidden="1">
              <a:extLst>
                <a:ext uri="{63B3BB69-23CF-44E3-9099-C40C66FF867C}">
                  <a14:compatExt spid="_x0000_s330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39</xdr:row>
          <xdr:rowOff>9525</xdr:rowOff>
        </xdr:from>
        <xdr:to>
          <xdr:col>3</xdr:col>
          <xdr:colOff>9525</xdr:colOff>
          <xdr:row>40</xdr:row>
          <xdr:rowOff>9525</xdr:rowOff>
        </xdr:to>
        <xdr:sp macro="" textlink="">
          <xdr:nvSpPr>
            <xdr:cNvPr id="33008" name="Drop Down 240" hidden="1">
              <a:extLst>
                <a:ext uri="{63B3BB69-23CF-44E3-9099-C40C66FF867C}">
                  <a14:compatExt spid="_x0000_s330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39</xdr:row>
          <xdr:rowOff>0</xdr:rowOff>
        </xdr:from>
        <xdr:to>
          <xdr:col>8</xdr:col>
          <xdr:colOff>0</xdr:colOff>
          <xdr:row>40</xdr:row>
          <xdr:rowOff>0</xdr:rowOff>
        </xdr:to>
        <xdr:sp macro="" textlink="">
          <xdr:nvSpPr>
            <xdr:cNvPr id="33009" name="Drop Down 241" hidden="1">
              <a:extLst>
                <a:ext uri="{63B3BB69-23CF-44E3-9099-C40C66FF867C}">
                  <a14:compatExt spid="_x0000_s33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39</xdr:row>
          <xdr:rowOff>0</xdr:rowOff>
        </xdr:from>
        <xdr:to>
          <xdr:col>19</xdr:col>
          <xdr:colOff>0</xdr:colOff>
          <xdr:row>40</xdr:row>
          <xdr:rowOff>0</xdr:rowOff>
        </xdr:to>
        <xdr:sp macro="" textlink="">
          <xdr:nvSpPr>
            <xdr:cNvPr id="33010" name="Drop Down 242" hidden="1">
              <a:extLst>
                <a:ext uri="{63B3BB69-23CF-44E3-9099-C40C66FF867C}">
                  <a14:compatExt spid="_x0000_s33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39</xdr:row>
          <xdr:rowOff>0</xdr:rowOff>
        </xdr:from>
        <xdr:to>
          <xdr:col>20</xdr:col>
          <xdr:colOff>0</xdr:colOff>
          <xdr:row>40</xdr:row>
          <xdr:rowOff>0</xdr:rowOff>
        </xdr:to>
        <xdr:sp macro="" textlink="">
          <xdr:nvSpPr>
            <xdr:cNvPr id="33011" name="Drop Down 243" hidden="1">
              <a:extLst>
                <a:ext uri="{63B3BB69-23CF-44E3-9099-C40C66FF867C}">
                  <a14:compatExt spid="_x0000_s330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39</xdr:row>
          <xdr:rowOff>9525</xdr:rowOff>
        </xdr:from>
        <xdr:to>
          <xdr:col>3</xdr:col>
          <xdr:colOff>9525</xdr:colOff>
          <xdr:row>40</xdr:row>
          <xdr:rowOff>9525</xdr:rowOff>
        </xdr:to>
        <xdr:sp macro="" textlink="">
          <xdr:nvSpPr>
            <xdr:cNvPr id="33012" name="Drop Down 244" hidden="1">
              <a:extLst>
                <a:ext uri="{63B3BB69-23CF-44E3-9099-C40C66FF867C}">
                  <a14:compatExt spid="_x0000_s330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19050</xdr:rowOff>
        </xdr:from>
        <xdr:to>
          <xdr:col>3</xdr:col>
          <xdr:colOff>9525</xdr:colOff>
          <xdr:row>32</xdr:row>
          <xdr:rowOff>28575</xdr:rowOff>
        </xdr:to>
        <xdr:sp macro="" textlink="">
          <xdr:nvSpPr>
            <xdr:cNvPr id="33030" name="Drop Down 262" hidden="1">
              <a:extLst>
                <a:ext uri="{63B3BB69-23CF-44E3-9099-C40C66FF867C}">
                  <a14:compatExt spid="_x0000_s33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32</xdr:row>
          <xdr:rowOff>19050</xdr:rowOff>
        </xdr:from>
        <xdr:to>
          <xdr:col>3</xdr:col>
          <xdr:colOff>9525</xdr:colOff>
          <xdr:row>33</xdr:row>
          <xdr:rowOff>28575</xdr:rowOff>
        </xdr:to>
        <xdr:sp macro="" textlink="">
          <xdr:nvSpPr>
            <xdr:cNvPr id="33031" name="Drop Down 263" hidden="1">
              <a:extLst>
                <a:ext uri="{63B3BB69-23CF-44E3-9099-C40C66FF867C}">
                  <a14:compatExt spid="_x0000_s33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30</xdr:row>
          <xdr:rowOff>19050</xdr:rowOff>
        </xdr:from>
        <xdr:to>
          <xdr:col>3</xdr:col>
          <xdr:colOff>9525</xdr:colOff>
          <xdr:row>31</xdr:row>
          <xdr:rowOff>28575</xdr:rowOff>
        </xdr:to>
        <xdr:sp macro="" textlink="">
          <xdr:nvSpPr>
            <xdr:cNvPr id="33032" name="Drop Down 264" hidden="1">
              <a:extLst>
                <a:ext uri="{63B3BB69-23CF-44E3-9099-C40C66FF867C}">
                  <a14:compatExt spid="_x0000_s33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30</xdr:row>
          <xdr:rowOff>9525</xdr:rowOff>
        </xdr:from>
        <xdr:to>
          <xdr:col>8</xdr:col>
          <xdr:colOff>0</xdr:colOff>
          <xdr:row>31</xdr:row>
          <xdr:rowOff>9525</xdr:rowOff>
        </xdr:to>
        <xdr:sp macro="" textlink="">
          <xdr:nvSpPr>
            <xdr:cNvPr id="33033" name="Drop Down 265" hidden="1">
              <a:extLst>
                <a:ext uri="{63B3BB69-23CF-44E3-9099-C40C66FF867C}">
                  <a14:compatExt spid="_x0000_s33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30</xdr:row>
          <xdr:rowOff>200025</xdr:rowOff>
        </xdr:from>
        <xdr:to>
          <xdr:col>7</xdr:col>
          <xdr:colOff>1409700</xdr:colOff>
          <xdr:row>32</xdr:row>
          <xdr:rowOff>0</xdr:rowOff>
        </xdr:to>
        <xdr:sp macro="" textlink="">
          <xdr:nvSpPr>
            <xdr:cNvPr id="33034" name="Drop Down 266" hidden="1">
              <a:extLst>
                <a:ext uri="{63B3BB69-23CF-44E3-9099-C40C66FF867C}">
                  <a14:compatExt spid="_x0000_s33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31</xdr:row>
          <xdr:rowOff>200025</xdr:rowOff>
        </xdr:from>
        <xdr:to>
          <xdr:col>8</xdr:col>
          <xdr:colOff>9525</xdr:colOff>
          <xdr:row>33</xdr:row>
          <xdr:rowOff>0</xdr:rowOff>
        </xdr:to>
        <xdr:sp macro="" textlink="">
          <xdr:nvSpPr>
            <xdr:cNvPr id="33035" name="Drop Down 267" hidden="1">
              <a:extLst>
                <a:ext uri="{63B3BB69-23CF-44E3-9099-C40C66FF867C}">
                  <a14:compatExt spid="_x0000_s33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30</xdr:row>
          <xdr:rowOff>9525</xdr:rowOff>
        </xdr:from>
        <xdr:to>
          <xdr:col>19</xdr:col>
          <xdr:colOff>0</xdr:colOff>
          <xdr:row>31</xdr:row>
          <xdr:rowOff>9525</xdr:rowOff>
        </xdr:to>
        <xdr:sp macro="" textlink="">
          <xdr:nvSpPr>
            <xdr:cNvPr id="33036" name="Drop Down 268" hidden="1">
              <a:extLst>
                <a:ext uri="{63B3BB69-23CF-44E3-9099-C40C66FF867C}">
                  <a14:compatExt spid="_x0000_s33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31</xdr:row>
          <xdr:rowOff>9525</xdr:rowOff>
        </xdr:from>
        <xdr:to>
          <xdr:col>18</xdr:col>
          <xdr:colOff>552450</xdr:colOff>
          <xdr:row>32</xdr:row>
          <xdr:rowOff>9525</xdr:rowOff>
        </xdr:to>
        <xdr:sp macro="" textlink="">
          <xdr:nvSpPr>
            <xdr:cNvPr id="33037" name="Drop Down 269" hidden="1">
              <a:extLst>
                <a:ext uri="{63B3BB69-23CF-44E3-9099-C40C66FF867C}">
                  <a14:compatExt spid="_x0000_s33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9525</xdr:colOff>
          <xdr:row>32</xdr:row>
          <xdr:rowOff>9525</xdr:rowOff>
        </xdr:from>
        <xdr:to>
          <xdr:col>19</xdr:col>
          <xdr:colOff>9525</xdr:colOff>
          <xdr:row>33</xdr:row>
          <xdr:rowOff>9525</xdr:rowOff>
        </xdr:to>
        <xdr:sp macro="" textlink="">
          <xdr:nvSpPr>
            <xdr:cNvPr id="33038" name="Drop Down 270" hidden="1">
              <a:extLst>
                <a:ext uri="{63B3BB69-23CF-44E3-9099-C40C66FF867C}">
                  <a14:compatExt spid="_x0000_s33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30</xdr:row>
          <xdr:rowOff>9525</xdr:rowOff>
        </xdr:from>
        <xdr:to>
          <xdr:col>20</xdr:col>
          <xdr:colOff>0</xdr:colOff>
          <xdr:row>31</xdr:row>
          <xdr:rowOff>9525</xdr:rowOff>
        </xdr:to>
        <xdr:sp macro="" textlink="">
          <xdr:nvSpPr>
            <xdr:cNvPr id="33039" name="Drop Down 271" hidden="1">
              <a:extLst>
                <a:ext uri="{63B3BB69-23CF-44E3-9099-C40C66FF867C}">
                  <a14:compatExt spid="_x0000_s33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552450</xdr:colOff>
          <xdr:row>31</xdr:row>
          <xdr:rowOff>19050</xdr:rowOff>
        </xdr:from>
        <xdr:to>
          <xdr:col>19</xdr:col>
          <xdr:colOff>552450</xdr:colOff>
          <xdr:row>32</xdr:row>
          <xdr:rowOff>28575</xdr:rowOff>
        </xdr:to>
        <xdr:sp macro="" textlink="">
          <xdr:nvSpPr>
            <xdr:cNvPr id="33040" name="Drop Down 272" hidden="1">
              <a:extLst>
                <a:ext uri="{63B3BB69-23CF-44E3-9099-C40C66FF867C}">
                  <a14:compatExt spid="_x0000_s33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9525</xdr:colOff>
          <xdr:row>32</xdr:row>
          <xdr:rowOff>9525</xdr:rowOff>
        </xdr:from>
        <xdr:to>
          <xdr:col>20</xdr:col>
          <xdr:colOff>9525</xdr:colOff>
          <xdr:row>33</xdr:row>
          <xdr:rowOff>9525</xdr:rowOff>
        </xdr:to>
        <xdr:sp macro="" textlink="">
          <xdr:nvSpPr>
            <xdr:cNvPr id="33041" name="Drop Down 273" hidden="1">
              <a:extLst>
                <a:ext uri="{63B3BB69-23CF-44E3-9099-C40C66FF867C}">
                  <a14:compatExt spid="_x0000_s33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43</xdr:row>
          <xdr:rowOff>0</xdr:rowOff>
        </xdr:from>
        <xdr:to>
          <xdr:col>8</xdr:col>
          <xdr:colOff>609600</xdr:colOff>
          <xdr:row>43</xdr:row>
          <xdr:rowOff>200025</xdr:rowOff>
        </xdr:to>
        <xdr:sp macro="" textlink="">
          <xdr:nvSpPr>
            <xdr:cNvPr id="33045" name="Drop Down 277" hidden="1">
              <a:extLst>
                <a:ext uri="{63B3BB69-23CF-44E3-9099-C40C66FF867C}">
                  <a14:compatExt spid="_x0000_s33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44</xdr:row>
          <xdr:rowOff>9525</xdr:rowOff>
        </xdr:from>
        <xdr:to>
          <xdr:col>8</xdr:col>
          <xdr:colOff>609600</xdr:colOff>
          <xdr:row>45</xdr:row>
          <xdr:rowOff>0</xdr:rowOff>
        </xdr:to>
        <xdr:sp macro="" textlink="">
          <xdr:nvSpPr>
            <xdr:cNvPr id="33046" name="Drop Down 278" hidden="1">
              <a:extLst>
                <a:ext uri="{63B3BB69-23CF-44E3-9099-C40C66FF867C}">
                  <a14:compatExt spid="_x0000_s33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45</xdr:row>
          <xdr:rowOff>9525</xdr:rowOff>
        </xdr:from>
        <xdr:to>
          <xdr:col>8</xdr:col>
          <xdr:colOff>609600</xdr:colOff>
          <xdr:row>46</xdr:row>
          <xdr:rowOff>0</xdr:rowOff>
        </xdr:to>
        <xdr:sp macro="" textlink="">
          <xdr:nvSpPr>
            <xdr:cNvPr id="33047" name="Drop Down 279" hidden="1">
              <a:extLst>
                <a:ext uri="{63B3BB69-23CF-44E3-9099-C40C66FF867C}">
                  <a14:compatExt spid="_x0000_s33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46</xdr:row>
          <xdr:rowOff>9525</xdr:rowOff>
        </xdr:from>
        <xdr:to>
          <xdr:col>8</xdr:col>
          <xdr:colOff>609600</xdr:colOff>
          <xdr:row>47</xdr:row>
          <xdr:rowOff>0</xdr:rowOff>
        </xdr:to>
        <xdr:sp macro="" textlink="">
          <xdr:nvSpPr>
            <xdr:cNvPr id="33048" name="Drop Down 280" hidden="1">
              <a:extLst>
                <a:ext uri="{63B3BB69-23CF-44E3-9099-C40C66FF867C}">
                  <a14:compatExt spid="_x0000_s33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43</xdr:row>
          <xdr:rowOff>9525</xdr:rowOff>
        </xdr:from>
        <xdr:to>
          <xdr:col>10</xdr:col>
          <xdr:colOff>0</xdr:colOff>
          <xdr:row>44</xdr:row>
          <xdr:rowOff>0</xdr:rowOff>
        </xdr:to>
        <xdr:sp macro="" textlink="">
          <xdr:nvSpPr>
            <xdr:cNvPr id="33049" name="Drop Down 281" hidden="1">
              <a:extLst>
                <a:ext uri="{63B3BB69-23CF-44E3-9099-C40C66FF867C}">
                  <a14:compatExt spid="_x0000_s33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44</xdr:row>
          <xdr:rowOff>19050</xdr:rowOff>
        </xdr:from>
        <xdr:to>
          <xdr:col>10</xdr:col>
          <xdr:colOff>9525</xdr:colOff>
          <xdr:row>45</xdr:row>
          <xdr:rowOff>9525</xdr:rowOff>
        </xdr:to>
        <xdr:sp macro="" textlink="">
          <xdr:nvSpPr>
            <xdr:cNvPr id="33050" name="Drop Down 282" hidden="1">
              <a:extLst>
                <a:ext uri="{63B3BB69-23CF-44E3-9099-C40C66FF867C}">
                  <a14:compatExt spid="_x0000_s33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45</xdr:row>
          <xdr:rowOff>19050</xdr:rowOff>
        </xdr:from>
        <xdr:to>
          <xdr:col>10</xdr:col>
          <xdr:colOff>9525</xdr:colOff>
          <xdr:row>46</xdr:row>
          <xdr:rowOff>9525</xdr:rowOff>
        </xdr:to>
        <xdr:sp macro="" textlink="">
          <xdr:nvSpPr>
            <xdr:cNvPr id="33051" name="Drop Down 283" hidden="1">
              <a:extLst>
                <a:ext uri="{63B3BB69-23CF-44E3-9099-C40C66FF867C}">
                  <a14:compatExt spid="_x0000_s33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46</xdr:row>
          <xdr:rowOff>19050</xdr:rowOff>
        </xdr:from>
        <xdr:to>
          <xdr:col>10</xdr:col>
          <xdr:colOff>9525</xdr:colOff>
          <xdr:row>47</xdr:row>
          <xdr:rowOff>9525</xdr:rowOff>
        </xdr:to>
        <xdr:sp macro="" textlink="">
          <xdr:nvSpPr>
            <xdr:cNvPr id="33052" name="Drop Down 284" hidden="1">
              <a:extLst>
                <a:ext uri="{63B3BB69-23CF-44E3-9099-C40C66FF867C}">
                  <a14:compatExt spid="_x0000_s33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</xdr:row>
          <xdr:rowOff>0</xdr:rowOff>
        </xdr:from>
        <xdr:to>
          <xdr:col>7</xdr:col>
          <xdr:colOff>1419225</xdr:colOff>
          <xdr:row>7</xdr:row>
          <xdr:rowOff>0</xdr:rowOff>
        </xdr:to>
        <xdr:sp macro="" textlink="">
          <xdr:nvSpPr>
            <xdr:cNvPr id="39937" name="Drop Down 1" hidden="1">
              <a:extLst>
                <a:ext uri="{63B3BB69-23CF-44E3-9099-C40C66FF867C}">
                  <a14:compatExt spid="_x0000_s39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28</xdr:row>
          <xdr:rowOff>0</xdr:rowOff>
        </xdr:from>
        <xdr:to>
          <xdr:col>3</xdr:col>
          <xdr:colOff>28575</xdr:colOff>
          <xdr:row>29</xdr:row>
          <xdr:rowOff>28575</xdr:rowOff>
        </xdr:to>
        <xdr:sp macro="" textlink="">
          <xdr:nvSpPr>
            <xdr:cNvPr id="39938" name="Drop Down 2" hidden="1">
              <a:extLst>
                <a:ext uri="{63B3BB69-23CF-44E3-9099-C40C66FF867C}">
                  <a14:compatExt spid="_x0000_s39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28</xdr:row>
          <xdr:rowOff>9525</xdr:rowOff>
        </xdr:from>
        <xdr:to>
          <xdr:col>4</xdr:col>
          <xdr:colOff>0</xdr:colOff>
          <xdr:row>29</xdr:row>
          <xdr:rowOff>38100</xdr:rowOff>
        </xdr:to>
        <xdr:sp macro="" textlink="">
          <xdr:nvSpPr>
            <xdr:cNvPr id="39939" name="Drop Down 3" hidden="1">
              <a:extLst>
                <a:ext uri="{63B3BB69-23CF-44E3-9099-C40C66FF867C}">
                  <a14:compatExt spid="_x0000_s399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36</xdr:row>
          <xdr:rowOff>0</xdr:rowOff>
        </xdr:from>
        <xdr:to>
          <xdr:col>4</xdr:col>
          <xdr:colOff>28575</xdr:colOff>
          <xdr:row>37</xdr:row>
          <xdr:rowOff>28575</xdr:rowOff>
        </xdr:to>
        <xdr:sp macro="" textlink="">
          <xdr:nvSpPr>
            <xdr:cNvPr id="39940" name="Drop Down 4" hidden="1">
              <a:extLst>
                <a:ext uri="{63B3BB69-23CF-44E3-9099-C40C66FF867C}">
                  <a14:compatExt spid="_x0000_s399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37</xdr:row>
          <xdr:rowOff>0</xdr:rowOff>
        </xdr:from>
        <xdr:to>
          <xdr:col>4</xdr:col>
          <xdr:colOff>0</xdr:colOff>
          <xdr:row>38</xdr:row>
          <xdr:rowOff>0</xdr:rowOff>
        </xdr:to>
        <xdr:sp macro="" textlink="">
          <xdr:nvSpPr>
            <xdr:cNvPr id="39941" name="Drop Down 5" hidden="1">
              <a:extLst>
                <a:ext uri="{63B3BB69-23CF-44E3-9099-C40C66FF867C}">
                  <a14:compatExt spid="_x0000_s39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38</xdr:row>
          <xdr:rowOff>0</xdr:rowOff>
        </xdr:from>
        <xdr:to>
          <xdr:col>4</xdr:col>
          <xdr:colOff>0</xdr:colOff>
          <xdr:row>39</xdr:row>
          <xdr:rowOff>0</xdr:rowOff>
        </xdr:to>
        <xdr:sp macro="" textlink="">
          <xdr:nvSpPr>
            <xdr:cNvPr id="39942" name="Drop Down 6" hidden="1">
              <a:extLst>
                <a:ext uri="{63B3BB69-23CF-44E3-9099-C40C66FF867C}">
                  <a14:compatExt spid="_x0000_s39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39</xdr:row>
          <xdr:rowOff>0</xdr:rowOff>
        </xdr:from>
        <xdr:to>
          <xdr:col>4</xdr:col>
          <xdr:colOff>0</xdr:colOff>
          <xdr:row>40</xdr:row>
          <xdr:rowOff>0</xdr:rowOff>
        </xdr:to>
        <xdr:sp macro="" textlink="">
          <xdr:nvSpPr>
            <xdr:cNvPr id="39943" name="Drop Down 7" hidden="1">
              <a:extLst>
                <a:ext uri="{63B3BB69-23CF-44E3-9099-C40C66FF867C}">
                  <a14:compatExt spid="_x0000_s39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4</xdr:col>
          <xdr:colOff>0</xdr:colOff>
          <xdr:row>41</xdr:row>
          <xdr:rowOff>0</xdr:rowOff>
        </xdr:to>
        <xdr:sp macro="" textlink="">
          <xdr:nvSpPr>
            <xdr:cNvPr id="39944" name="Drop Down 8" hidden="1">
              <a:extLst>
                <a:ext uri="{63B3BB69-23CF-44E3-9099-C40C66FF867C}">
                  <a14:compatExt spid="_x0000_s39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29</xdr:row>
          <xdr:rowOff>0</xdr:rowOff>
        </xdr:from>
        <xdr:to>
          <xdr:col>3</xdr:col>
          <xdr:colOff>0</xdr:colOff>
          <xdr:row>30</xdr:row>
          <xdr:rowOff>28575</xdr:rowOff>
        </xdr:to>
        <xdr:sp macro="" textlink="">
          <xdr:nvSpPr>
            <xdr:cNvPr id="39945" name="Drop Down 9" hidden="1">
              <a:extLst>
                <a:ext uri="{63B3BB69-23CF-44E3-9099-C40C66FF867C}">
                  <a14:compatExt spid="_x0000_s39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30</xdr:row>
          <xdr:rowOff>0</xdr:rowOff>
        </xdr:from>
        <xdr:to>
          <xdr:col>3</xdr:col>
          <xdr:colOff>0</xdr:colOff>
          <xdr:row>31</xdr:row>
          <xdr:rowOff>28575</xdr:rowOff>
        </xdr:to>
        <xdr:sp macro="" textlink="">
          <xdr:nvSpPr>
            <xdr:cNvPr id="39946" name="Drop Down 10" hidden="1">
              <a:extLst>
                <a:ext uri="{63B3BB69-23CF-44E3-9099-C40C66FF867C}">
                  <a14:compatExt spid="_x0000_s39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9525</xdr:rowOff>
        </xdr:from>
        <xdr:to>
          <xdr:col>3</xdr:col>
          <xdr:colOff>28575</xdr:colOff>
          <xdr:row>32</xdr:row>
          <xdr:rowOff>28575</xdr:rowOff>
        </xdr:to>
        <xdr:sp macro="" textlink="">
          <xdr:nvSpPr>
            <xdr:cNvPr id="39947" name="Drop Down 11" hidden="1">
              <a:extLst>
                <a:ext uri="{63B3BB69-23CF-44E3-9099-C40C66FF867C}">
                  <a14:compatExt spid="_x0000_s399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29</xdr:row>
          <xdr:rowOff>9525</xdr:rowOff>
        </xdr:from>
        <xdr:to>
          <xdr:col>4</xdr:col>
          <xdr:colOff>0</xdr:colOff>
          <xdr:row>30</xdr:row>
          <xdr:rowOff>38100</xdr:rowOff>
        </xdr:to>
        <xdr:sp macro="" textlink="">
          <xdr:nvSpPr>
            <xdr:cNvPr id="39948" name="Drop Down 12" hidden="1">
              <a:extLst>
                <a:ext uri="{63B3BB69-23CF-44E3-9099-C40C66FF867C}">
                  <a14:compatExt spid="_x0000_s39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30</xdr:row>
          <xdr:rowOff>0</xdr:rowOff>
        </xdr:from>
        <xdr:to>
          <xdr:col>4</xdr:col>
          <xdr:colOff>0</xdr:colOff>
          <xdr:row>31</xdr:row>
          <xdr:rowOff>28575</xdr:rowOff>
        </xdr:to>
        <xdr:sp macro="" textlink="">
          <xdr:nvSpPr>
            <xdr:cNvPr id="39949" name="Drop Down 13" hidden="1">
              <a:extLst>
                <a:ext uri="{63B3BB69-23CF-44E3-9099-C40C66FF867C}">
                  <a14:compatExt spid="_x0000_s399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30</xdr:row>
          <xdr:rowOff>200025</xdr:rowOff>
        </xdr:from>
        <xdr:to>
          <xdr:col>4</xdr:col>
          <xdr:colOff>0</xdr:colOff>
          <xdr:row>32</xdr:row>
          <xdr:rowOff>28575</xdr:rowOff>
        </xdr:to>
        <xdr:sp macro="" textlink="">
          <xdr:nvSpPr>
            <xdr:cNvPr id="39950" name="Drop Down 14" hidden="1">
              <a:extLst>
                <a:ext uri="{63B3BB69-23CF-44E3-9099-C40C66FF867C}">
                  <a14:compatExt spid="_x0000_s39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0</xdr:rowOff>
        </xdr:from>
        <xdr:to>
          <xdr:col>3</xdr:col>
          <xdr:colOff>0</xdr:colOff>
          <xdr:row>7</xdr:row>
          <xdr:rowOff>28575</xdr:rowOff>
        </xdr:to>
        <xdr:sp macro="" textlink="">
          <xdr:nvSpPr>
            <xdr:cNvPr id="39951" name="Drop Down 15" hidden="1">
              <a:extLst>
                <a:ext uri="{63B3BB69-23CF-44E3-9099-C40C66FF867C}">
                  <a14:compatExt spid="_x0000_s39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0</xdr:rowOff>
        </xdr:from>
        <xdr:to>
          <xdr:col>3</xdr:col>
          <xdr:colOff>0</xdr:colOff>
          <xdr:row>8</xdr:row>
          <xdr:rowOff>28575</xdr:rowOff>
        </xdr:to>
        <xdr:sp macro="" textlink="">
          <xdr:nvSpPr>
            <xdr:cNvPr id="39952" name="Drop Down 16" hidden="1">
              <a:extLst>
                <a:ext uri="{63B3BB69-23CF-44E3-9099-C40C66FF867C}">
                  <a14:compatExt spid="_x0000_s39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</xdr:row>
          <xdr:rowOff>9525</xdr:rowOff>
        </xdr:from>
        <xdr:to>
          <xdr:col>3</xdr:col>
          <xdr:colOff>0</xdr:colOff>
          <xdr:row>9</xdr:row>
          <xdr:rowOff>28575</xdr:rowOff>
        </xdr:to>
        <xdr:sp macro="" textlink="">
          <xdr:nvSpPr>
            <xdr:cNvPr id="39953" name="Drop Down 17" hidden="1">
              <a:extLst>
                <a:ext uri="{63B3BB69-23CF-44E3-9099-C40C66FF867C}">
                  <a14:compatExt spid="_x0000_s399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9525</xdr:rowOff>
        </xdr:from>
        <xdr:to>
          <xdr:col>3</xdr:col>
          <xdr:colOff>0</xdr:colOff>
          <xdr:row>10</xdr:row>
          <xdr:rowOff>28575</xdr:rowOff>
        </xdr:to>
        <xdr:sp macro="" textlink="">
          <xdr:nvSpPr>
            <xdr:cNvPr id="39954" name="Drop Down 18" hidden="1">
              <a:extLst>
                <a:ext uri="{63B3BB69-23CF-44E3-9099-C40C66FF867C}">
                  <a14:compatExt spid="_x0000_s39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</xdr:row>
          <xdr:rowOff>9525</xdr:rowOff>
        </xdr:from>
        <xdr:to>
          <xdr:col>3</xdr:col>
          <xdr:colOff>0</xdr:colOff>
          <xdr:row>11</xdr:row>
          <xdr:rowOff>28575</xdr:rowOff>
        </xdr:to>
        <xdr:sp macro="" textlink="">
          <xdr:nvSpPr>
            <xdr:cNvPr id="39955" name="Drop Down 19" hidden="1">
              <a:extLst>
                <a:ext uri="{63B3BB69-23CF-44E3-9099-C40C66FF867C}">
                  <a14:compatExt spid="_x0000_s399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</xdr:row>
          <xdr:rowOff>9525</xdr:rowOff>
        </xdr:from>
        <xdr:to>
          <xdr:col>3</xdr:col>
          <xdr:colOff>0</xdr:colOff>
          <xdr:row>12</xdr:row>
          <xdr:rowOff>28575</xdr:rowOff>
        </xdr:to>
        <xdr:sp macro="" textlink="">
          <xdr:nvSpPr>
            <xdr:cNvPr id="39956" name="Drop Down 20" hidden="1">
              <a:extLst>
                <a:ext uri="{63B3BB69-23CF-44E3-9099-C40C66FF867C}">
                  <a14:compatExt spid="_x0000_s39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</xdr:row>
          <xdr:rowOff>9525</xdr:rowOff>
        </xdr:from>
        <xdr:to>
          <xdr:col>3</xdr:col>
          <xdr:colOff>0</xdr:colOff>
          <xdr:row>13</xdr:row>
          <xdr:rowOff>38100</xdr:rowOff>
        </xdr:to>
        <xdr:sp macro="" textlink="">
          <xdr:nvSpPr>
            <xdr:cNvPr id="39957" name="Drop Down 21" hidden="1">
              <a:extLst>
                <a:ext uri="{63B3BB69-23CF-44E3-9099-C40C66FF867C}">
                  <a14:compatExt spid="_x0000_s399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9525</xdr:rowOff>
        </xdr:from>
        <xdr:to>
          <xdr:col>3</xdr:col>
          <xdr:colOff>0</xdr:colOff>
          <xdr:row>14</xdr:row>
          <xdr:rowOff>38100</xdr:rowOff>
        </xdr:to>
        <xdr:sp macro="" textlink="">
          <xdr:nvSpPr>
            <xdr:cNvPr id="39958" name="Drop Down 22" hidden="1">
              <a:extLst>
                <a:ext uri="{63B3BB69-23CF-44E3-9099-C40C66FF867C}">
                  <a14:compatExt spid="_x0000_s39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</xdr:row>
          <xdr:rowOff>9525</xdr:rowOff>
        </xdr:from>
        <xdr:to>
          <xdr:col>3</xdr:col>
          <xdr:colOff>0</xdr:colOff>
          <xdr:row>15</xdr:row>
          <xdr:rowOff>38100</xdr:rowOff>
        </xdr:to>
        <xdr:sp macro="" textlink="">
          <xdr:nvSpPr>
            <xdr:cNvPr id="39959" name="Drop Down 23" hidden="1">
              <a:extLst>
                <a:ext uri="{63B3BB69-23CF-44E3-9099-C40C66FF867C}">
                  <a14:compatExt spid="_x0000_s399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6</xdr:row>
          <xdr:rowOff>0</xdr:rowOff>
        </xdr:from>
        <xdr:to>
          <xdr:col>17</xdr:col>
          <xdr:colOff>0</xdr:colOff>
          <xdr:row>7</xdr:row>
          <xdr:rowOff>0</xdr:rowOff>
        </xdr:to>
        <xdr:sp macro="" textlink="">
          <xdr:nvSpPr>
            <xdr:cNvPr id="39960" name="Drop Down 24" hidden="1">
              <a:extLst>
                <a:ext uri="{63B3BB69-23CF-44E3-9099-C40C66FF867C}">
                  <a14:compatExt spid="_x0000_s399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6</xdr:row>
          <xdr:rowOff>0</xdr:rowOff>
        </xdr:from>
        <xdr:to>
          <xdr:col>18</xdr:col>
          <xdr:colOff>0</xdr:colOff>
          <xdr:row>7</xdr:row>
          <xdr:rowOff>0</xdr:rowOff>
        </xdr:to>
        <xdr:sp macro="" textlink="">
          <xdr:nvSpPr>
            <xdr:cNvPr id="39961" name="Drop Down 25" hidden="1">
              <a:extLst>
                <a:ext uri="{63B3BB69-23CF-44E3-9099-C40C66FF867C}">
                  <a14:compatExt spid="_x0000_s39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7</xdr:row>
          <xdr:rowOff>0</xdr:rowOff>
        </xdr:from>
        <xdr:to>
          <xdr:col>17</xdr:col>
          <xdr:colOff>0</xdr:colOff>
          <xdr:row>8</xdr:row>
          <xdr:rowOff>0</xdr:rowOff>
        </xdr:to>
        <xdr:sp macro="" textlink="">
          <xdr:nvSpPr>
            <xdr:cNvPr id="39962" name="Drop Down 26" hidden="1">
              <a:extLst>
                <a:ext uri="{63B3BB69-23CF-44E3-9099-C40C66FF867C}">
                  <a14:compatExt spid="_x0000_s39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8</xdr:row>
          <xdr:rowOff>0</xdr:rowOff>
        </xdr:from>
        <xdr:to>
          <xdr:col>17</xdr:col>
          <xdr:colOff>0</xdr:colOff>
          <xdr:row>9</xdr:row>
          <xdr:rowOff>0</xdr:rowOff>
        </xdr:to>
        <xdr:sp macro="" textlink="">
          <xdr:nvSpPr>
            <xdr:cNvPr id="39963" name="Drop Down 27" hidden="1">
              <a:extLst>
                <a:ext uri="{63B3BB69-23CF-44E3-9099-C40C66FF867C}">
                  <a14:compatExt spid="_x0000_s399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9</xdr:row>
          <xdr:rowOff>0</xdr:rowOff>
        </xdr:from>
        <xdr:to>
          <xdr:col>17</xdr:col>
          <xdr:colOff>0</xdr:colOff>
          <xdr:row>10</xdr:row>
          <xdr:rowOff>0</xdr:rowOff>
        </xdr:to>
        <xdr:sp macro="" textlink="">
          <xdr:nvSpPr>
            <xdr:cNvPr id="39964" name="Drop Down 28" hidden="1">
              <a:extLst>
                <a:ext uri="{63B3BB69-23CF-44E3-9099-C40C66FF867C}">
                  <a14:compatExt spid="_x0000_s399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10</xdr:row>
          <xdr:rowOff>0</xdr:rowOff>
        </xdr:from>
        <xdr:to>
          <xdr:col>17</xdr:col>
          <xdr:colOff>0</xdr:colOff>
          <xdr:row>11</xdr:row>
          <xdr:rowOff>0</xdr:rowOff>
        </xdr:to>
        <xdr:sp macro="" textlink="">
          <xdr:nvSpPr>
            <xdr:cNvPr id="39965" name="Drop Down 29" hidden="1">
              <a:extLst>
                <a:ext uri="{63B3BB69-23CF-44E3-9099-C40C66FF867C}">
                  <a14:compatExt spid="_x0000_s39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11</xdr:row>
          <xdr:rowOff>0</xdr:rowOff>
        </xdr:from>
        <xdr:to>
          <xdr:col>17</xdr:col>
          <xdr:colOff>0</xdr:colOff>
          <xdr:row>12</xdr:row>
          <xdr:rowOff>0</xdr:rowOff>
        </xdr:to>
        <xdr:sp macro="" textlink="">
          <xdr:nvSpPr>
            <xdr:cNvPr id="39966" name="Drop Down 30" hidden="1">
              <a:extLst>
                <a:ext uri="{63B3BB69-23CF-44E3-9099-C40C66FF867C}">
                  <a14:compatExt spid="_x0000_s39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12</xdr:row>
          <xdr:rowOff>0</xdr:rowOff>
        </xdr:from>
        <xdr:to>
          <xdr:col>17</xdr:col>
          <xdr:colOff>0</xdr:colOff>
          <xdr:row>13</xdr:row>
          <xdr:rowOff>0</xdr:rowOff>
        </xdr:to>
        <xdr:sp macro="" textlink="">
          <xdr:nvSpPr>
            <xdr:cNvPr id="39967" name="Drop Down 31" hidden="1">
              <a:extLst>
                <a:ext uri="{63B3BB69-23CF-44E3-9099-C40C66FF867C}">
                  <a14:compatExt spid="_x0000_s39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13</xdr:row>
          <xdr:rowOff>0</xdr:rowOff>
        </xdr:from>
        <xdr:to>
          <xdr:col>17</xdr:col>
          <xdr:colOff>0</xdr:colOff>
          <xdr:row>14</xdr:row>
          <xdr:rowOff>0</xdr:rowOff>
        </xdr:to>
        <xdr:sp macro="" textlink="">
          <xdr:nvSpPr>
            <xdr:cNvPr id="39968" name="Drop Down 32" hidden="1">
              <a:extLst>
                <a:ext uri="{63B3BB69-23CF-44E3-9099-C40C66FF867C}">
                  <a14:compatExt spid="_x0000_s39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14</xdr:row>
          <xdr:rowOff>0</xdr:rowOff>
        </xdr:from>
        <xdr:to>
          <xdr:col>17</xdr:col>
          <xdr:colOff>0</xdr:colOff>
          <xdr:row>15</xdr:row>
          <xdr:rowOff>0</xdr:rowOff>
        </xdr:to>
        <xdr:sp macro="" textlink="">
          <xdr:nvSpPr>
            <xdr:cNvPr id="39969" name="Drop Down 33" hidden="1">
              <a:extLst>
                <a:ext uri="{63B3BB69-23CF-44E3-9099-C40C66FF867C}">
                  <a14:compatExt spid="_x0000_s39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7</xdr:row>
          <xdr:rowOff>0</xdr:rowOff>
        </xdr:from>
        <xdr:to>
          <xdr:col>18</xdr:col>
          <xdr:colOff>0</xdr:colOff>
          <xdr:row>8</xdr:row>
          <xdr:rowOff>0</xdr:rowOff>
        </xdr:to>
        <xdr:sp macro="" textlink="">
          <xdr:nvSpPr>
            <xdr:cNvPr id="39970" name="Drop Down 34" hidden="1">
              <a:extLst>
                <a:ext uri="{63B3BB69-23CF-44E3-9099-C40C66FF867C}">
                  <a14:compatExt spid="_x0000_s39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8</xdr:row>
          <xdr:rowOff>0</xdr:rowOff>
        </xdr:from>
        <xdr:to>
          <xdr:col>18</xdr:col>
          <xdr:colOff>0</xdr:colOff>
          <xdr:row>9</xdr:row>
          <xdr:rowOff>0</xdr:rowOff>
        </xdr:to>
        <xdr:sp macro="" textlink="">
          <xdr:nvSpPr>
            <xdr:cNvPr id="39971" name="Drop Down 35" hidden="1">
              <a:extLst>
                <a:ext uri="{63B3BB69-23CF-44E3-9099-C40C66FF867C}">
                  <a14:compatExt spid="_x0000_s39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9</xdr:row>
          <xdr:rowOff>0</xdr:rowOff>
        </xdr:from>
        <xdr:to>
          <xdr:col>18</xdr:col>
          <xdr:colOff>0</xdr:colOff>
          <xdr:row>10</xdr:row>
          <xdr:rowOff>0</xdr:rowOff>
        </xdr:to>
        <xdr:sp macro="" textlink="">
          <xdr:nvSpPr>
            <xdr:cNvPr id="39972" name="Drop Down 36" hidden="1">
              <a:extLst>
                <a:ext uri="{63B3BB69-23CF-44E3-9099-C40C66FF867C}">
                  <a14:compatExt spid="_x0000_s39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10</xdr:row>
          <xdr:rowOff>0</xdr:rowOff>
        </xdr:from>
        <xdr:to>
          <xdr:col>18</xdr:col>
          <xdr:colOff>0</xdr:colOff>
          <xdr:row>11</xdr:row>
          <xdr:rowOff>0</xdr:rowOff>
        </xdr:to>
        <xdr:sp macro="" textlink="">
          <xdr:nvSpPr>
            <xdr:cNvPr id="39973" name="Drop Down 37" hidden="1">
              <a:extLst>
                <a:ext uri="{63B3BB69-23CF-44E3-9099-C40C66FF867C}">
                  <a14:compatExt spid="_x0000_s39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11</xdr:row>
          <xdr:rowOff>0</xdr:rowOff>
        </xdr:from>
        <xdr:to>
          <xdr:col>18</xdr:col>
          <xdr:colOff>0</xdr:colOff>
          <xdr:row>12</xdr:row>
          <xdr:rowOff>0</xdr:rowOff>
        </xdr:to>
        <xdr:sp macro="" textlink="">
          <xdr:nvSpPr>
            <xdr:cNvPr id="39974" name="Drop Down 38" hidden="1">
              <a:extLst>
                <a:ext uri="{63B3BB69-23CF-44E3-9099-C40C66FF867C}">
                  <a14:compatExt spid="_x0000_s39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12</xdr:row>
          <xdr:rowOff>0</xdr:rowOff>
        </xdr:from>
        <xdr:to>
          <xdr:col>18</xdr:col>
          <xdr:colOff>0</xdr:colOff>
          <xdr:row>13</xdr:row>
          <xdr:rowOff>0</xdr:rowOff>
        </xdr:to>
        <xdr:sp macro="" textlink="">
          <xdr:nvSpPr>
            <xdr:cNvPr id="39975" name="Drop Down 39" hidden="1">
              <a:extLst>
                <a:ext uri="{63B3BB69-23CF-44E3-9099-C40C66FF867C}">
                  <a14:compatExt spid="_x0000_s39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13</xdr:row>
          <xdr:rowOff>0</xdr:rowOff>
        </xdr:from>
        <xdr:to>
          <xdr:col>18</xdr:col>
          <xdr:colOff>0</xdr:colOff>
          <xdr:row>14</xdr:row>
          <xdr:rowOff>0</xdr:rowOff>
        </xdr:to>
        <xdr:sp macro="" textlink="">
          <xdr:nvSpPr>
            <xdr:cNvPr id="39976" name="Drop Down 40" hidden="1">
              <a:extLst>
                <a:ext uri="{63B3BB69-23CF-44E3-9099-C40C66FF867C}">
                  <a14:compatExt spid="_x0000_s39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14</xdr:row>
          <xdr:rowOff>0</xdr:rowOff>
        </xdr:from>
        <xdr:to>
          <xdr:col>18</xdr:col>
          <xdr:colOff>0</xdr:colOff>
          <xdr:row>15</xdr:row>
          <xdr:rowOff>0</xdr:rowOff>
        </xdr:to>
        <xdr:sp macro="" textlink="">
          <xdr:nvSpPr>
            <xdr:cNvPr id="39977" name="Drop Down 41" hidden="1">
              <a:extLst>
                <a:ext uri="{63B3BB69-23CF-44E3-9099-C40C66FF867C}">
                  <a14:compatExt spid="_x0000_s39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28</xdr:row>
          <xdr:rowOff>0</xdr:rowOff>
        </xdr:from>
        <xdr:to>
          <xdr:col>9</xdr:col>
          <xdr:colOff>0</xdr:colOff>
          <xdr:row>29</xdr:row>
          <xdr:rowOff>28575</xdr:rowOff>
        </xdr:to>
        <xdr:sp macro="" textlink="">
          <xdr:nvSpPr>
            <xdr:cNvPr id="39978" name="Drop Down 42" hidden="1">
              <a:extLst>
                <a:ext uri="{63B3BB69-23CF-44E3-9099-C40C66FF867C}">
                  <a14:compatExt spid="_x0000_s39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28</xdr:row>
          <xdr:rowOff>0</xdr:rowOff>
        </xdr:from>
        <xdr:to>
          <xdr:col>10</xdr:col>
          <xdr:colOff>28575</xdr:colOff>
          <xdr:row>29</xdr:row>
          <xdr:rowOff>28575</xdr:rowOff>
        </xdr:to>
        <xdr:sp macro="" textlink="">
          <xdr:nvSpPr>
            <xdr:cNvPr id="39979" name="Drop Down 43" hidden="1">
              <a:extLst>
                <a:ext uri="{63B3BB69-23CF-44E3-9099-C40C66FF867C}">
                  <a14:compatExt spid="_x0000_s39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29</xdr:row>
          <xdr:rowOff>0</xdr:rowOff>
        </xdr:from>
        <xdr:to>
          <xdr:col>9</xdr:col>
          <xdr:colOff>0</xdr:colOff>
          <xdr:row>30</xdr:row>
          <xdr:rowOff>28575</xdr:rowOff>
        </xdr:to>
        <xdr:sp macro="" textlink="">
          <xdr:nvSpPr>
            <xdr:cNvPr id="39980" name="Drop Down 44" hidden="1">
              <a:extLst>
                <a:ext uri="{63B3BB69-23CF-44E3-9099-C40C66FF867C}">
                  <a14:compatExt spid="_x0000_s39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30</xdr:row>
          <xdr:rowOff>0</xdr:rowOff>
        </xdr:from>
        <xdr:to>
          <xdr:col>9</xdr:col>
          <xdr:colOff>0</xdr:colOff>
          <xdr:row>31</xdr:row>
          <xdr:rowOff>28575</xdr:rowOff>
        </xdr:to>
        <xdr:sp macro="" textlink="">
          <xdr:nvSpPr>
            <xdr:cNvPr id="39981" name="Drop Down 45" hidden="1">
              <a:extLst>
                <a:ext uri="{63B3BB69-23CF-44E3-9099-C40C66FF867C}">
                  <a14:compatExt spid="_x0000_s39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31</xdr:row>
          <xdr:rowOff>0</xdr:rowOff>
        </xdr:from>
        <xdr:to>
          <xdr:col>9</xdr:col>
          <xdr:colOff>0</xdr:colOff>
          <xdr:row>32</xdr:row>
          <xdr:rowOff>28575</xdr:rowOff>
        </xdr:to>
        <xdr:sp macro="" textlink="">
          <xdr:nvSpPr>
            <xdr:cNvPr id="39982" name="Drop Down 46" hidden="1">
              <a:extLst>
                <a:ext uri="{63B3BB69-23CF-44E3-9099-C40C66FF867C}">
                  <a14:compatExt spid="_x0000_s39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29</xdr:row>
          <xdr:rowOff>0</xdr:rowOff>
        </xdr:from>
        <xdr:to>
          <xdr:col>10</xdr:col>
          <xdr:colOff>28575</xdr:colOff>
          <xdr:row>30</xdr:row>
          <xdr:rowOff>28575</xdr:rowOff>
        </xdr:to>
        <xdr:sp macro="" textlink="">
          <xdr:nvSpPr>
            <xdr:cNvPr id="39983" name="Drop Down 47" hidden="1">
              <a:extLst>
                <a:ext uri="{63B3BB69-23CF-44E3-9099-C40C66FF867C}">
                  <a14:compatExt spid="_x0000_s39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30</xdr:row>
          <xdr:rowOff>0</xdr:rowOff>
        </xdr:from>
        <xdr:to>
          <xdr:col>10</xdr:col>
          <xdr:colOff>38100</xdr:colOff>
          <xdr:row>31</xdr:row>
          <xdr:rowOff>28575</xdr:rowOff>
        </xdr:to>
        <xdr:sp macro="" textlink="">
          <xdr:nvSpPr>
            <xdr:cNvPr id="39984" name="Drop Down 48" hidden="1">
              <a:extLst>
                <a:ext uri="{63B3BB69-23CF-44E3-9099-C40C66FF867C}">
                  <a14:compatExt spid="_x0000_s39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31</xdr:row>
          <xdr:rowOff>0</xdr:rowOff>
        </xdr:from>
        <xdr:to>
          <xdr:col>10</xdr:col>
          <xdr:colOff>28575</xdr:colOff>
          <xdr:row>32</xdr:row>
          <xdr:rowOff>28575</xdr:rowOff>
        </xdr:to>
        <xdr:sp macro="" textlink="">
          <xdr:nvSpPr>
            <xdr:cNvPr id="39985" name="Drop Down 49" hidden="1">
              <a:extLst>
                <a:ext uri="{63B3BB69-23CF-44E3-9099-C40C66FF867C}">
                  <a14:compatExt spid="_x0000_s39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36</xdr:row>
          <xdr:rowOff>0</xdr:rowOff>
        </xdr:from>
        <xdr:to>
          <xdr:col>9</xdr:col>
          <xdr:colOff>0</xdr:colOff>
          <xdr:row>37</xdr:row>
          <xdr:rowOff>0</xdr:rowOff>
        </xdr:to>
        <xdr:sp macro="" textlink="">
          <xdr:nvSpPr>
            <xdr:cNvPr id="39986" name="Drop Down 50" hidden="1">
              <a:extLst>
                <a:ext uri="{63B3BB69-23CF-44E3-9099-C40C66FF867C}">
                  <a14:compatExt spid="_x0000_s39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36</xdr:row>
          <xdr:rowOff>0</xdr:rowOff>
        </xdr:from>
        <xdr:to>
          <xdr:col>10</xdr:col>
          <xdr:colOff>0</xdr:colOff>
          <xdr:row>37</xdr:row>
          <xdr:rowOff>0</xdr:rowOff>
        </xdr:to>
        <xdr:sp macro="" textlink="">
          <xdr:nvSpPr>
            <xdr:cNvPr id="39987" name="Drop Down 51" hidden="1">
              <a:extLst>
                <a:ext uri="{63B3BB69-23CF-44E3-9099-C40C66FF867C}">
                  <a14:compatExt spid="_x0000_s39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37</xdr:row>
          <xdr:rowOff>0</xdr:rowOff>
        </xdr:from>
        <xdr:to>
          <xdr:col>9</xdr:col>
          <xdr:colOff>0</xdr:colOff>
          <xdr:row>38</xdr:row>
          <xdr:rowOff>0</xdr:rowOff>
        </xdr:to>
        <xdr:sp macro="" textlink="">
          <xdr:nvSpPr>
            <xdr:cNvPr id="39988" name="Drop Down 52" hidden="1">
              <a:extLst>
                <a:ext uri="{63B3BB69-23CF-44E3-9099-C40C66FF867C}">
                  <a14:compatExt spid="_x0000_s39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38</xdr:row>
          <xdr:rowOff>0</xdr:rowOff>
        </xdr:from>
        <xdr:to>
          <xdr:col>9</xdr:col>
          <xdr:colOff>0</xdr:colOff>
          <xdr:row>39</xdr:row>
          <xdr:rowOff>0</xdr:rowOff>
        </xdr:to>
        <xdr:sp macro="" textlink="">
          <xdr:nvSpPr>
            <xdr:cNvPr id="39989" name="Drop Down 53" hidden="1">
              <a:extLst>
                <a:ext uri="{63B3BB69-23CF-44E3-9099-C40C66FF867C}">
                  <a14:compatExt spid="_x0000_s39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39</xdr:row>
          <xdr:rowOff>0</xdr:rowOff>
        </xdr:from>
        <xdr:to>
          <xdr:col>9</xdr:col>
          <xdr:colOff>0</xdr:colOff>
          <xdr:row>40</xdr:row>
          <xdr:rowOff>0</xdr:rowOff>
        </xdr:to>
        <xdr:sp macro="" textlink="">
          <xdr:nvSpPr>
            <xdr:cNvPr id="39990" name="Drop Down 54" hidden="1">
              <a:extLst>
                <a:ext uri="{63B3BB69-23CF-44E3-9099-C40C66FF867C}">
                  <a14:compatExt spid="_x0000_s39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40</xdr:row>
          <xdr:rowOff>0</xdr:rowOff>
        </xdr:from>
        <xdr:to>
          <xdr:col>9</xdr:col>
          <xdr:colOff>0</xdr:colOff>
          <xdr:row>41</xdr:row>
          <xdr:rowOff>0</xdr:rowOff>
        </xdr:to>
        <xdr:sp macro="" textlink="">
          <xdr:nvSpPr>
            <xdr:cNvPr id="39991" name="Drop Down 55" hidden="1">
              <a:extLst>
                <a:ext uri="{63B3BB69-23CF-44E3-9099-C40C66FF867C}">
                  <a14:compatExt spid="_x0000_s39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37</xdr:row>
          <xdr:rowOff>0</xdr:rowOff>
        </xdr:from>
        <xdr:to>
          <xdr:col>10</xdr:col>
          <xdr:colOff>0</xdr:colOff>
          <xdr:row>38</xdr:row>
          <xdr:rowOff>0</xdr:rowOff>
        </xdr:to>
        <xdr:sp macro="" textlink="">
          <xdr:nvSpPr>
            <xdr:cNvPr id="39992" name="Drop Down 56" hidden="1">
              <a:extLst>
                <a:ext uri="{63B3BB69-23CF-44E3-9099-C40C66FF867C}">
                  <a14:compatExt spid="_x0000_s39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38</xdr:row>
          <xdr:rowOff>0</xdr:rowOff>
        </xdr:from>
        <xdr:to>
          <xdr:col>10</xdr:col>
          <xdr:colOff>0</xdr:colOff>
          <xdr:row>39</xdr:row>
          <xdr:rowOff>0</xdr:rowOff>
        </xdr:to>
        <xdr:sp macro="" textlink="">
          <xdr:nvSpPr>
            <xdr:cNvPr id="39993" name="Drop Down 57" hidden="1">
              <a:extLst>
                <a:ext uri="{63B3BB69-23CF-44E3-9099-C40C66FF867C}">
                  <a14:compatExt spid="_x0000_s39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39</xdr:row>
          <xdr:rowOff>0</xdr:rowOff>
        </xdr:from>
        <xdr:to>
          <xdr:col>10</xdr:col>
          <xdr:colOff>0</xdr:colOff>
          <xdr:row>40</xdr:row>
          <xdr:rowOff>0</xdr:rowOff>
        </xdr:to>
        <xdr:sp macro="" textlink="">
          <xdr:nvSpPr>
            <xdr:cNvPr id="39994" name="Drop Down 58" hidden="1">
              <a:extLst>
                <a:ext uri="{63B3BB69-23CF-44E3-9099-C40C66FF867C}">
                  <a14:compatExt spid="_x0000_s39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40</xdr:row>
          <xdr:rowOff>0</xdr:rowOff>
        </xdr:from>
        <xdr:to>
          <xdr:col>10</xdr:col>
          <xdr:colOff>0</xdr:colOff>
          <xdr:row>41</xdr:row>
          <xdr:rowOff>0</xdr:rowOff>
        </xdr:to>
        <xdr:sp macro="" textlink="">
          <xdr:nvSpPr>
            <xdr:cNvPr id="39995" name="Drop Down 59" hidden="1">
              <a:extLst>
                <a:ext uri="{63B3BB69-23CF-44E3-9099-C40C66FF867C}">
                  <a14:compatExt spid="_x0000_s39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7</xdr:row>
          <xdr:rowOff>0</xdr:rowOff>
        </xdr:from>
        <xdr:to>
          <xdr:col>7</xdr:col>
          <xdr:colOff>1419225</xdr:colOff>
          <xdr:row>8</xdr:row>
          <xdr:rowOff>0</xdr:rowOff>
        </xdr:to>
        <xdr:sp macro="" textlink="">
          <xdr:nvSpPr>
            <xdr:cNvPr id="39996" name="Drop Down 60" hidden="1">
              <a:extLst>
                <a:ext uri="{63B3BB69-23CF-44E3-9099-C40C66FF867C}">
                  <a14:compatExt spid="_x0000_s39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</xdr:row>
          <xdr:rowOff>0</xdr:rowOff>
        </xdr:from>
        <xdr:to>
          <xdr:col>7</xdr:col>
          <xdr:colOff>1419225</xdr:colOff>
          <xdr:row>9</xdr:row>
          <xdr:rowOff>0</xdr:rowOff>
        </xdr:to>
        <xdr:sp macro="" textlink="">
          <xdr:nvSpPr>
            <xdr:cNvPr id="39997" name="Drop Down 61" hidden="1">
              <a:extLst>
                <a:ext uri="{63B3BB69-23CF-44E3-9099-C40C66FF867C}">
                  <a14:compatExt spid="_x0000_s39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9</xdr:row>
          <xdr:rowOff>0</xdr:rowOff>
        </xdr:from>
        <xdr:to>
          <xdr:col>7</xdr:col>
          <xdr:colOff>1419225</xdr:colOff>
          <xdr:row>10</xdr:row>
          <xdr:rowOff>0</xdr:rowOff>
        </xdr:to>
        <xdr:sp macro="" textlink="">
          <xdr:nvSpPr>
            <xdr:cNvPr id="39998" name="Drop Down 62" hidden="1">
              <a:extLst>
                <a:ext uri="{63B3BB69-23CF-44E3-9099-C40C66FF867C}">
                  <a14:compatExt spid="_x0000_s39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10</xdr:row>
          <xdr:rowOff>0</xdr:rowOff>
        </xdr:from>
        <xdr:to>
          <xdr:col>7</xdr:col>
          <xdr:colOff>1419225</xdr:colOff>
          <xdr:row>11</xdr:row>
          <xdr:rowOff>0</xdr:rowOff>
        </xdr:to>
        <xdr:sp macro="" textlink="">
          <xdr:nvSpPr>
            <xdr:cNvPr id="39999" name="Drop Down 63" hidden="1">
              <a:extLst>
                <a:ext uri="{63B3BB69-23CF-44E3-9099-C40C66FF867C}">
                  <a14:compatExt spid="_x0000_s39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11</xdr:row>
          <xdr:rowOff>0</xdr:rowOff>
        </xdr:from>
        <xdr:to>
          <xdr:col>7</xdr:col>
          <xdr:colOff>1419225</xdr:colOff>
          <xdr:row>12</xdr:row>
          <xdr:rowOff>0</xdr:rowOff>
        </xdr:to>
        <xdr:sp macro="" textlink="">
          <xdr:nvSpPr>
            <xdr:cNvPr id="40000" name="Drop Down 64" hidden="1">
              <a:extLst>
                <a:ext uri="{63B3BB69-23CF-44E3-9099-C40C66FF867C}">
                  <a14:compatExt spid="_x0000_s40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12</xdr:row>
          <xdr:rowOff>0</xdr:rowOff>
        </xdr:from>
        <xdr:to>
          <xdr:col>7</xdr:col>
          <xdr:colOff>1419225</xdr:colOff>
          <xdr:row>13</xdr:row>
          <xdr:rowOff>0</xdr:rowOff>
        </xdr:to>
        <xdr:sp macro="" textlink="">
          <xdr:nvSpPr>
            <xdr:cNvPr id="40001" name="Drop Down 65" hidden="1">
              <a:extLst>
                <a:ext uri="{63B3BB69-23CF-44E3-9099-C40C66FF867C}">
                  <a14:compatExt spid="_x0000_s40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13</xdr:row>
          <xdr:rowOff>0</xdr:rowOff>
        </xdr:from>
        <xdr:to>
          <xdr:col>7</xdr:col>
          <xdr:colOff>1419225</xdr:colOff>
          <xdr:row>14</xdr:row>
          <xdr:rowOff>0</xdr:rowOff>
        </xdr:to>
        <xdr:sp macro="" textlink="">
          <xdr:nvSpPr>
            <xdr:cNvPr id="40002" name="Drop Down 66" hidden="1">
              <a:extLst>
                <a:ext uri="{63B3BB69-23CF-44E3-9099-C40C66FF867C}">
                  <a14:compatExt spid="_x0000_s40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14</xdr:row>
          <xdr:rowOff>0</xdr:rowOff>
        </xdr:from>
        <xdr:to>
          <xdr:col>7</xdr:col>
          <xdr:colOff>1419225</xdr:colOff>
          <xdr:row>15</xdr:row>
          <xdr:rowOff>0</xdr:rowOff>
        </xdr:to>
        <xdr:sp macro="" textlink="">
          <xdr:nvSpPr>
            <xdr:cNvPr id="40003" name="Drop Down 67" hidden="1">
              <a:extLst>
                <a:ext uri="{63B3BB69-23CF-44E3-9099-C40C66FF867C}">
                  <a14:compatExt spid="_x0000_s40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0</xdr:colOff>
          <xdr:row>16</xdr:row>
          <xdr:rowOff>38100</xdr:rowOff>
        </xdr:to>
        <xdr:sp macro="" textlink="">
          <xdr:nvSpPr>
            <xdr:cNvPr id="40004" name="Drop Down 68" hidden="1">
              <a:extLst>
                <a:ext uri="{63B3BB69-23CF-44E3-9099-C40C66FF867C}">
                  <a14:compatExt spid="_x0000_s40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16</xdr:row>
          <xdr:rowOff>9525</xdr:rowOff>
        </xdr:from>
        <xdr:to>
          <xdr:col>3</xdr:col>
          <xdr:colOff>0</xdr:colOff>
          <xdr:row>17</xdr:row>
          <xdr:rowOff>28575</xdr:rowOff>
        </xdr:to>
        <xdr:sp macro="" textlink="">
          <xdr:nvSpPr>
            <xdr:cNvPr id="40005" name="Drop Down 69" hidden="1">
              <a:extLst>
                <a:ext uri="{63B3BB69-23CF-44E3-9099-C40C66FF867C}">
                  <a14:compatExt spid="_x0000_s40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17</xdr:row>
          <xdr:rowOff>9525</xdr:rowOff>
        </xdr:from>
        <xdr:to>
          <xdr:col>3</xdr:col>
          <xdr:colOff>0</xdr:colOff>
          <xdr:row>18</xdr:row>
          <xdr:rowOff>28575</xdr:rowOff>
        </xdr:to>
        <xdr:sp macro="" textlink="">
          <xdr:nvSpPr>
            <xdr:cNvPr id="40006" name="Drop Down 70" hidden="1">
              <a:extLst>
                <a:ext uri="{63B3BB69-23CF-44E3-9099-C40C66FF867C}">
                  <a14:compatExt spid="_x0000_s40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18</xdr:row>
          <xdr:rowOff>9525</xdr:rowOff>
        </xdr:from>
        <xdr:to>
          <xdr:col>3</xdr:col>
          <xdr:colOff>0</xdr:colOff>
          <xdr:row>19</xdr:row>
          <xdr:rowOff>38100</xdr:rowOff>
        </xdr:to>
        <xdr:sp macro="" textlink="">
          <xdr:nvSpPr>
            <xdr:cNvPr id="40007" name="Drop Down 71" hidden="1">
              <a:extLst>
                <a:ext uri="{63B3BB69-23CF-44E3-9099-C40C66FF867C}">
                  <a14:compatExt spid="_x0000_s400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19</xdr:row>
          <xdr:rowOff>9525</xdr:rowOff>
        </xdr:from>
        <xdr:to>
          <xdr:col>3</xdr:col>
          <xdr:colOff>0</xdr:colOff>
          <xdr:row>20</xdr:row>
          <xdr:rowOff>28575</xdr:rowOff>
        </xdr:to>
        <xdr:sp macro="" textlink="">
          <xdr:nvSpPr>
            <xdr:cNvPr id="40008" name="Drop Down 72" hidden="1">
              <a:extLst>
                <a:ext uri="{63B3BB69-23CF-44E3-9099-C40C66FF867C}">
                  <a14:compatExt spid="_x0000_s400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20</xdr:row>
          <xdr:rowOff>9525</xdr:rowOff>
        </xdr:from>
        <xdr:to>
          <xdr:col>3</xdr:col>
          <xdr:colOff>28575</xdr:colOff>
          <xdr:row>21</xdr:row>
          <xdr:rowOff>38100</xdr:rowOff>
        </xdr:to>
        <xdr:sp macro="" textlink="">
          <xdr:nvSpPr>
            <xdr:cNvPr id="40009" name="Drop Down 73" hidden="1">
              <a:extLst>
                <a:ext uri="{63B3BB69-23CF-44E3-9099-C40C66FF867C}">
                  <a14:compatExt spid="_x0000_s40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21</xdr:row>
          <xdr:rowOff>9525</xdr:rowOff>
        </xdr:from>
        <xdr:to>
          <xdr:col>3</xdr:col>
          <xdr:colOff>28575</xdr:colOff>
          <xdr:row>22</xdr:row>
          <xdr:rowOff>38100</xdr:rowOff>
        </xdr:to>
        <xdr:sp macro="" textlink="">
          <xdr:nvSpPr>
            <xdr:cNvPr id="40010" name="Drop Down 74" hidden="1">
              <a:extLst>
                <a:ext uri="{63B3BB69-23CF-44E3-9099-C40C66FF867C}">
                  <a14:compatExt spid="_x0000_s40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9525</xdr:rowOff>
        </xdr:from>
        <xdr:to>
          <xdr:col>3</xdr:col>
          <xdr:colOff>28575</xdr:colOff>
          <xdr:row>23</xdr:row>
          <xdr:rowOff>28575</xdr:rowOff>
        </xdr:to>
        <xdr:sp macro="" textlink="">
          <xdr:nvSpPr>
            <xdr:cNvPr id="40011" name="Drop Down 75" hidden="1">
              <a:extLst>
                <a:ext uri="{63B3BB69-23CF-44E3-9099-C40C66FF867C}">
                  <a14:compatExt spid="_x0000_s400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23</xdr:row>
          <xdr:rowOff>9525</xdr:rowOff>
        </xdr:from>
        <xdr:to>
          <xdr:col>3</xdr:col>
          <xdr:colOff>28575</xdr:colOff>
          <xdr:row>24</xdr:row>
          <xdr:rowOff>28575</xdr:rowOff>
        </xdr:to>
        <xdr:sp macro="" textlink="">
          <xdr:nvSpPr>
            <xdr:cNvPr id="40012" name="Drop Down 76" hidden="1">
              <a:extLst>
                <a:ext uri="{63B3BB69-23CF-44E3-9099-C40C66FF867C}">
                  <a14:compatExt spid="_x0000_s400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15</xdr:row>
          <xdr:rowOff>0</xdr:rowOff>
        </xdr:from>
        <xdr:to>
          <xdr:col>7</xdr:col>
          <xdr:colOff>1419225</xdr:colOff>
          <xdr:row>16</xdr:row>
          <xdr:rowOff>0</xdr:rowOff>
        </xdr:to>
        <xdr:sp macro="" textlink="">
          <xdr:nvSpPr>
            <xdr:cNvPr id="40013" name="Drop Down 77" hidden="1">
              <a:extLst>
                <a:ext uri="{63B3BB69-23CF-44E3-9099-C40C66FF867C}">
                  <a14:compatExt spid="_x0000_s400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16</xdr:row>
          <xdr:rowOff>0</xdr:rowOff>
        </xdr:from>
        <xdr:to>
          <xdr:col>7</xdr:col>
          <xdr:colOff>1419225</xdr:colOff>
          <xdr:row>17</xdr:row>
          <xdr:rowOff>0</xdr:rowOff>
        </xdr:to>
        <xdr:sp macro="" textlink="">
          <xdr:nvSpPr>
            <xdr:cNvPr id="40014" name="Drop Down 78" hidden="1">
              <a:extLst>
                <a:ext uri="{63B3BB69-23CF-44E3-9099-C40C66FF867C}">
                  <a14:compatExt spid="_x0000_s400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17</xdr:row>
          <xdr:rowOff>0</xdr:rowOff>
        </xdr:from>
        <xdr:to>
          <xdr:col>7</xdr:col>
          <xdr:colOff>1419225</xdr:colOff>
          <xdr:row>18</xdr:row>
          <xdr:rowOff>0</xdr:rowOff>
        </xdr:to>
        <xdr:sp macro="" textlink="">
          <xdr:nvSpPr>
            <xdr:cNvPr id="40015" name="Drop Down 79" hidden="1">
              <a:extLst>
                <a:ext uri="{63B3BB69-23CF-44E3-9099-C40C66FF867C}">
                  <a14:compatExt spid="_x0000_s400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18</xdr:row>
          <xdr:rowOff>0</xdr:rowOff>
        </xdr:from>
        <xdr:to>
          <xdr:col>7</xdr:col>
          <xdr:colOff>1419225</xdr:colOff>
          <xdr:row>19</xdr:row>
          <xdr:rowOff>0</xdr:rowOff>
        </xdr:to>
        <xdr:sp macro="" textlink="">
          <xdr:nvSpPr>
            <xdr:cNvPr id="40016" name="Drop Down 80" hidden="1">
              <a:extLst>
                <a:ext uri="{63B3BB69-23CF-44E3-9099-C40C66FF867C}">
                  <a14:compatExt spid="_x0000_s400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19</xdr:row>
          <xdr:rowOff>0</xdr:rowOff>
        </xdr:from>
        <xdr:to>
          <xdr:col>7</xdr:col>
          <xdr:colOff>1419225</xdr:colOff>
          <xdr:row>20</xdr:row>
          <xdr:rowOff>0</xdr:rowOff>
        </xdr:to>
        <xdr:sp macro="" textlink="">
          <xdr:nvSpPr>
            <xdr:cNvPr id="40017" name="Drop Down 81" hidden="1">
              <a:extLst>
                <a:ext uri="{63B3BB69-23CF-44E3-9099-C40C66FF867C}">
                  <a14:compatExt spid="_x0000_s400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20</xdr:row>
          <xdr:rowOff>0</xdr:rowOff>
        </xdr:from>
        <xdr:to>
          <xdr:col>7</xdr:col>
          <xdr:colOff>1419225</xdr:colOff>
          <xdr:row>21</xdr:row>
          <xdr:rowOff>0</xdr:rowOff>
        </xdr:to>
        <xdr:sp macro="" textlink="">
          <xdr:nvSpPr>
            <xdr:cNvPr id="40018" name="Drop Down 82" hidden="1">
              <a:extLst>
                <a:ext uri="{63B3BB69-23CF-44E3-9099-C40C66FF867C}">
                  <a14:compatExt spid="_x0000_s400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21</xdr:row>
          <xdr:rowOff>0</xdr:rowOff>
        </xdr:from>
        <xdr:to>
          <xdr:col>7</xdr:col>
          <xdr:colOff>1419225</xdr:colOff>
          <xdr:row>22</xdr:row>
          <xdr:rowOff>0</xdr:rowOff>
        </xdr:to>
        <xdr:sp macro="" textlink="">
          <xdr:nvSpPr>
            <xdr:cNvPr id="40019" name="Drop Down 83" hidden="1">
              <a:extLst>
                <a:ext uri="{63B3BB69-23CF-44E3-9099-C40C66FF867C}">
                  <a14:compatExt spid="_x0000_s40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22</xdr:row>
          <xdr:rowOff>0</xdr:rowOff>
        </xdr:from>
        <xdr:to>
          <xdr:col>7</xdr:col>
          <xdr:colOff>1419225</xdr:colOff>
          <xdr:row>23</xdr:row>
          <xdr:rowOff>0</xdr:rowOff>
        </xdr:to>
        <xdr:sp macro="" textlink="">
          <xdr:nvSpPr>
            <xdr:cNvPr id="40020" name="Drop Down 84" hidden="1">
              <a:extLst>
                <a:ext uri="{63B3BB69-23CF-44E3-9099-C40C66FF867C}">
                  <a14:compatExt spid="_x0000_s40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23</xdr:row>
          <xdr:rowOff>0</xdr:rowOff>
        </xdr:from>
        <xdr:to>
          <xdr:col>7</xdr:col>
          <xdr:colOff>1419225</xdr:colOff>
          <xdr:row>24</xdr:row>
          <xdr:rowOff>0</xdr:rowOff>
        </xdr:to>
        <xdr:sp macro="" textlink="">
          <xdr:nvSpPr>
            <xdr:cNvPr id="40021" name="Drop Down 85" hidden="1">
              <a:extLst>
                <a:ext uri="{63B3BB69-23CF-44E3-9099-C40C66FF867C}">
                  <a14:compatExt spid="_x0000_s400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15</xdr:row>
          <xdr:rowOff>0</xdr:rowOff>
        </xdr:from>
        <xdr:to>
          <xdr:col>17</xdr:col>
          <xdr:colOff>0</xdr:colOff>
          <xdr:row>16</xdr:row>
          <xdr:rowOff>0</xdr:rowOff>
        </xdr:to>
        <xdr:sp macro="" textlink="">
          <xdr:nvSpPr>
            <xdr:cNvPr id="40022" name="Drop Down 86" hidden="1">
              <a:extLst>
                <a:ext uri="{63B3BB69-23CF-44E3-9099-C40C66FF867C}">
                  <a14:compatExt spid="_x0000_s400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16</xdr:row>
          <xdr:rowOff>0</xdr:rowOff>
        </xdr:from>
        <xdr:to>
          <xdr:col>17</xdr:col>
          <xdr:colOff>0</xdr:colOff>
          <xdr:row>17</xdr:row>
          <xdr:rowOff>0</xdr:rowOff>
        </xdr:to>
        <xdr:sp macro="" textlink="">
          <xdr:nvSpPr>
            <xdr:cNvPr id="40023" name="Drop Down 87" hidden="1">
              <a:extLst>
                <a:ext uri="{63B3BB69-23CF-44E3-9099-C40C66FF867C}">
                  <a14:compatExt spid="_x0000_s400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17</xdr:row>
          <xdr:rowOff>0</xdr:rowOff>
        </xdr:from>
        <xdr:to>
          <xdr:col>17</xdr:col>
          <xdr:colOff>0</xdr:colOff>
          <xdr:row>18</xdr:row>
          <xdr:rowOff>0</xdr:rowOff>
        </xdr:to>
        <xdr:sp macro="" textlink="">
          <xdr:nvSpPr>
            <xdr:cNvPr id="40024" name="Drop Down 88" hidden="1">
              <a:extLst>
                <a:ext uri="{63B3BB69-23CF-44E3-9099-C40C66FF867C}">
                  <a14:compatExt spid="_x0000_s400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18</xdr:row>
          <xdr:rowOff>0</xdr:rowOff>
        </xdr:from>
        <xdr:to>
          <xdr:col>17</xdr:col>
          <xdr:colOff>0</xdr:colOff>
          <xdr:row>19</xdr:row>
          <xdr:rowOff>0</xdr:rowOff>
        </xdr:to>
        <xdr:sp macro="" textlink="">
          <xdr:nvSpPr>
            <xdr:cNvPr id="40025" name="Drop Down 89" hidden="1">
              <a:extLst>
                <a:ext uri="{63B3BB69-23CF-44E3-9099-C40C66FF867C}">
                  <a14:compatExt spid="_x0000_s40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19</xdr:row>
          <xdr:rowOff>0</xdr:rowOff>
        </xdr:from>
        <xdr:to>
          <xdr:col>17</xdr:col>
          <xdr:colOff>0</xdr:colOff>
          <xdr:row>20</xdr:row>
          <xdr:rowOff>0</xdr:rowOff>
        </xdr:to>
        <xdr:sp macro="" textlink="">
          <xdr:nvSpPr>
            <xdr:cNvPr id="40026" name="Drop Down 90" hidden="1">
              <a:extLst>
                <a:ext uri="{63B3BB69-23CF-44E3-9099-C40C66FF867C}">
                  <a14:compatExt spid="_x0000_s40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20</xdr:row>
          <xdr:rowOff>0</xdr:rowOff>
        </xdr:from>
        <xdr:to>
          <xdr:col>17</xdr:col>
          <xdr:colOff>0</xdr:colOff>
          <xdr:row>21</xdr:row>
          <xdr:rowOff>0</xdr:rowOff>
        </xdr:to>
        <xdr:sp macro="" textlink="">
          <xdr:nvSpPr>
            <xdr:cNvPr id="40027" name="Drop Down 91" hidden="1">
              <a:extLst>
                <a:ext uri="{63B3BB69-23CF-44E3-9099-C40C66FF867C}">
                  <a14:compatExt spid="_x0000_s40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21</xdr:row>
          <xdr:rowOff>0</xdr:rowOff>
        </xdr:from>
        <xdr:to>
          <xdr:col>17</xdr:col>
          <xdr:colOff>0</xdr:colOff>
          <xdr:row>22</xdr:row>
          <xdr:rowOff>0</xdr:rowOff>
        </xdr:to>
        <xdr:sp macro="" textlink="">
          <xdr:nvSpPr>
            <xdr:cNvPr id="40028" name="Drop Down 92" hidden="1">
              <a:extLst>
                <a:ext uri="{63B3BB69-23CF-44E3-9099-C40C66FF867C}">
                  <a14:compatExt spid="_x0000_s40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22</xdr:row>
          <xdr:rowOff>0</xdr:rowOff>
        </xdr:from>
        <xdr:to>
          <xdr:col>17</xdr:col>
          <xdr:colOff>0</xdr:colOff>
          <xdr:row>23</xdr:row>
          <xdr:rowOff>0</xdr:rowOff>
        </xdr:to>
        <xdr:sp macro="" textlink="">
          <xdr:nvSpPr>
            <xdr:cNvPr id="40029" name="Drop Down 93" hidden="1">
              <a:extLst>
                <a:ext uri="{63B3BB69-23CF-44E3-9099-C40C66FF867C}">
                  <a14:compatExt spid="_x0000_s40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23</xdr:row>
          <xdr:rowOff>0</xdr:rowOff>
        </xdr:from>
        <xdr:to>
          <xdr:col>17</xdr:col>
          <xdr:colOff>0</xdr:colOff>
          <xdr:row>24</xdr:row>
          <xdr:rowOff>0</xdr:rowOff>
        </xdr:to>
        <xdr:sp macro="" textlink="">
          <xdr:nvSpPr>
            <xdr:cNvPr id="40030" name="Drop Down 94" hidden="1">
              <a:extLst>
                <a:ext uri="{63B3BB69-23CF-44E3-9099-C40C66FF867C}">
                  <a14:compatExt spid="_x0000_s40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15</xdr:row>
          <xdr:rowOff>0</xdr:rowOff>
        </xdr:from>
        <xdr:to>
          <xdr:col>18</xdr:col>
          <xdr:colOff>0</xdr:colOff>
          <xdr:row>16</xdr:row>
          <xdr:rowOff>0</xdr:rowOff>
        </xdr:to>
        <xdr:sp macro="" textlink="">
          <xdr:nvSpPr>
            <xdr:cNvPr id="40031" name="Drop Down 95" hidden="1">
              <a:extLst>
                <a:ext uri="{63B3BB69-23CF-44E3-9099-C40C66FF867C}">
                  <a14:compatExt spid="_x0000_s40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16</xdr:row>
          <xdr:rowOff>0</xdr:rowOff>
        </xdr:from>
        <xdr:to>
          <xdr:col>18</xdr:col>
          <xdr:colOff>0</xdr:colOff>
          <xdr:row>17</xdr:row>
          <xdr:rowOff>0</xdr:rowOff>
        </xdr:to>
        <xdr:sp macro="" textlink="">
          <xdr:nvSpPr>
            <xdr:cNvPr id="40032" name="Drop Down 96" hidden="1">
              <a:extLst>
                <a:ext uri="{63B3BB69-23CF-44E3-9099-C40C66FF867C}">
                  <a14:compatExt spid="_x0000_s40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17</xdr:row>
          <xdr:rowOff>0</xdr:rowOff>
        </xdr:from>
        <xdr:to>
          <xdr:col>18</xdr:col>
          <xdr:colOff>0</xdr:colOff>
          <xdr:row>18</xdr:row>
          <xdr:rowOff>0</xdr:rowOff>
        </xdr:to>
        <xdr:sp macro="" textlink="">
          <xdr:nvSpPr>
            <xdr:cNvPr id="40033" name="Drop Down 97" hidden="1">
              <a:extLst>
                <a:ext uri="{63B3BB69-23CF-44E3-9099-C40C66FF867C}">
                  <a14:compatExt spid="_x0000_s40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18</xdr:row>
          <xdr:rowOff>0</xdr:rowOff>
        </xdr:from>
        <xdr:to>
          <xdr:col>18</xdr:col>
          <xdr:colOff>0</xdr:colOff>
          <xdr:row>19</xdr:row>
          <xdr:rowOff>0</xdr:rowOff>
        </xdr:to>
        <xdr:sp macro="" textlink="">
          <xdr:nvSpPr>
            <xdr:cNvPr id="40034" name="Drop Down 98" hidden="1">
              <a:extLst>
                <a:ext uri="{63B3BB69-23CF-44E3-9099-C40C66FF867C}">
                  <a14:compatExt spid="_x0000_s40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19</xdr:row>
          <xdr:rowOff>0</xdr:rowOff>
        </xdr:from>
        <xdr:to>
          <xdr:col>18</xdr:col>
          <xdr:colOff>0</xdr:colOff>
          <xdr:row>20</xdr:row>
          <xdr:rowOff>0</xdr:rowOff>
        </xdr:to>
        <xdr:sp macro="" textlink="">
          <xdr:nvSpPr>
            <xdr:cNvPr id="40035" name="Drop Down 99" hidden="1">
              <a:extLst>
                <a:ext uri="{63B3BB69-23CF-44E3-9099-C40C66FF867C}">
                  <a14:compatExt spid="_x0000_s40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20</xdr:row>
          <xdr:rowOff>0</xdr:rowOff>
        </xdr:from>
        <xdr:to>
          <xdr:col>18</xdr:col>
          <xdr:colOff>0</xdr:colOff>
          <xdr:row>21</xdr:row>
          <xdr:rowOff>0</xdr:rowOff>
        </xdr:to>
        <xdr:sp macro="" textlink="">
          <xdr:nvSpPr>
            <xdr:cNvPr id="40036" name="Drop Down 100" hidden="1">
              <a:extLst>
                <a:ext uri="{63B3BB69-23CF-44E3-9099-C40C66FF867C}">
                  <a14:compatExt spid="_x0000_s40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21</xdr:row>
          <xdr:rowOff>0</xdr:rowOff>
        </xdr:from>
        <xdr:to>
          <xdr:col>18</xdr:col>
          <xdr:colOff>0</xdr:colOff>
          <xdr:row>22</xdr:row>
          <xdr:rowOff>0</xdr:rowOff>
        </xdr:to>
        <xdr:sp macro="" textlink="">
          <xdr:nvSpPr>
            <xdr:cNvPr id="40037" name="Drop Down 101" hidden="1">
              <a:extLst>
                <a:ext uri="{63B3BB69-23CF-44E3-9099-C40C66FF867C}">
                  <a14:compatExt spid="_x0000_s40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22</xdr:row>
          <xdr:rowOff>0</xdr:rowOff>
        </xdr:from>
        <xdr:to>
          <xdr:col>18</xdr:col>
          <xdr:colOff>0</xdr:colOff>
          <xdr:row>23</xdr:row>
          <xdr:rowOff>0</xdr:rowOff>
        </xdr:to>
        <xdr:sp macro="" textlink="">
          <xdr:nvSpPr>
            <xdr:cNvPr id="40038" name="Drop Down 102" hidden="1">
              <a:extLst>
                <a:ext uri="{63B3BB69-23CF-44E3-9099-C40C66FF867C}">
                  <a14:compatExt spid="_x0000_s40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23</xdr:row>
          <xdr:rowOff>0</xdr:rowOff>
        </xdr:from>
        <xdr:to>
          <xdr:col>18</xdr:col>
          <xdr:colOff>0</xdr:colOff>
          <xdr:row>24</xdr:row>
          <xdr:rowOff>0</xdr:rowOff>
        </xdr:to>
        <xdr:sp macro="" textlink="">
          <xdr:nvSpPr>
            <xdr:cNvPr id="40039" name="Drop Down 103" hidden="1">
              <a:extLst>
                <a:ext uri="{63B3BB69-23CF-44E3-9099-C40C66FF867C}">
                  <a14:compatExt spid="_x0000_s40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6</xdr:row>
          <xdr:rowOff>0</xdr:rowOff>
        </xdr:from>
        <xdr:to>
          <xdr:col>14</xdr:col>
          <xdr:colOff>0</xdr:colOff>
          <xdr:row>7</xdr:row>
          <xdr:rowOff>9525</xdr:rowOff>
        </xdr:to>
        <xdr:sp macro="" textlink="">
          <xdr:nvSpPr>
            <xdr:cNvPr id="33793" name="Drop Down 1" hidden="1">
              <a:extLst>
                <a:ext uri="{63B3BB69-23CF-44E3-9099-C40C66FF867C}">
                  <a14:compatExt spid="_x0000_s33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</xdr:row>
          <xdr:rowOff>0</xdr:rowOff>
        </xdr:from>
        <xdr:to>
          <xdr:col>7</xdr:col>
          <xdr:colOff>0</xdr:colOff>
          <xdr:row>7</xdr:row>
          <xdr:rowOff>0</xdr:rowOff>
        </xdr:to>
        <xdr:sp macro="" textlink="">
          <xdr:nvSpPr>
            <xdr:cNvPr id="33794" name="Drop Down 2" hidden="1">
              <a:extLst>
                <a:ext uri="{63B3BB69-23CF-44E3-9099-C40C66FF867C}">
                  <a14:compatExt spid="_x0000_s33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6</xdr:row>
          <xdr:rowOff>0</xdr:rowOff>
        </xdr:from>
        <xdr:to>
          <xdr:col>18</xdr:col>
          <xdr:colOff>9525</xdr:colOff>
          <xdr:row>7</xdr:row>
          <xdr:rowOff>0</xdr:rowOff>
        </xdr:to>
        <xdr:sp macro="" textlink="">
          <xdr:nvSpPr>
            <xdr:cNvPr id="33801" name="Drop Down 9" hidden="1">
              <a:extLst>
                <a:ext uri="{63B3BB69-23CF-44E3-9099-C40C66FF867C}">
                  <a14:compatExt spid="_x0000_s33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7</xdr:row>
          <xdr:rowOff>0</xdr:rowOff>
        </xdr:from>
        <xdr:to>
          <xdr:col>18</xdr:col>
          <xdr:colOff>9525</xdr:colOff>
          <xdr:row>8</xdr:row>
          <xdr:rowOff>0</xdr:rowOff>
        </xdr:to>
        <xdr:sp macro="" textlink="">
          <xdr:nvSpPr>
            <xdr:cNvPr id="33804" name="Drop Down 12" hidden="1">
              <a:extLst>
                <a:ext uri="{63B3BB69-23CF-44E3-9099-C40C66FF867C}">
                  <a14:compatExt spid="_x0000_s33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8</xdr:row>
          <xdr:rowOff>0</xdr:rowOff>
        </xdr:from>
        <xdr:to>
          <xdr:col>18</xdr:col>
          <xdr:colOff>9525</xdr:colOff>
          <xdr:row>9</xdr:row>
          <xdr:rowOff>0</xdr:rowOff>
        </xdr:to>
        <xdr:sp macro="" textlink="">
          <xdr:nvSpPr>
            <xdr:cNvPr id="33805" name="Drop Down 13" hidden="1">
              <a:extLst>
                <a:ext uri="{63B3BB69-23CF-44E3-9099-C40C66FF867C}">
                  <a14:compatExt spid="_x0000_s338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9</xdr:row>
          <xdr:rowOff>0</xdr:rowOff>
        </xdr:from>
        <xdr:to>
          <xdr:col>18</xdr:col>
          <xdr:colOff>9525</xdr:colOff>
          <xdr:row>10</xdr:row>
          <xdr:rowOff>0</xdr:rowOff>
        </xdr:to>
        <xdr:sp macro="" textlink="">
          <xdr:nvSpPr>
            <xdr:cNvPr id="33806" name="Drop Down 14" hidden="1">
              <a:extLst>
                <a:ext uri="{63B3BB69-23CF-44E3-9099-C40C66FF867C}">
                  <a14:compatExt spid="_x0000_s338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10</xdr:row>
          <xdr:rowOff>0</xdr:rowOff>
        </xdr:from>
        <xdr:to>
          <xdr:col>18</xdr:col>
          <xdr:colOff>9525</xdr:colOff>
          <xdr:row>11</xdr:row>
          <xdr:rowOff>0</xdr:rowOff>
        </xdr:to>
        <xdr:sp macro="" textlink="">
          <xdr:nvSpPr>
            <xdr:cNvPr id="33807" name="Drop Down 15" hidden="1">
              <a:extLst>
                <a:ext uri="{63B3BB69-23CF-44E3-9099-C40C66FF867C}">
                  <a14:compatExt spid="_x0000_s338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15</xdr:row>
          <xdr:rowOff>0</xdr:rowOff>
        </xdr:from>
        <xdr:to>
          <xdr:col>18</xdr:col>
          <xdr:colOff>9525</xdr:colOff>
          <xdr:row>16</xdr:row>
          <xdr:rowOff>0</xdr:rowOff>
        </xdr:to>
        <xdr:sp macro="" textlink="">
          <xdr:nvSpPr>
            <xdr:cNvPr id="33816" name="Drop Down 24" hidden="1">
              <a:extLst>
                <a:ext uri="{63B3BB69-23CF-44E3-9099-C40C66FF867C}">
                  <a14:compatExt spid="_x0000_s338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16</xdr:row>
          <xdr:rowOff>0</xdr:rowOff>
        </xdr:from>
        <xdr:to>
          <xdr:col>18</xdr:col>
          <xdr:colOff>9525</xdr:colOff>
          <xdr:row>17</xdr:row>
          <xdr:rowOff>0</xdr:rowOff>
        </xdr:to>
        <xdr:sp macro="" textlink="">
          <xdr:nvSpPr>
            <xdr:cNvPr id="33819" name="Drop Down 27" hidden="1">
              <a:extLst>
                <a:ext uri="{63B3BB69-23CF-44E3-9099-C40C66FF867C}">
                  <a14:compatExt spid="_x0000_s33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17</xdr:row>
          <xdr:rowOff>0</xdr:rowOff>
        </xdr:from>
        <xdr:to>
          <xdr:col>18</xdr:col>
          <xdr:colOff>9525</xdr:colOff>
          <xdr:row>18</xdr:row>
          <xdr:rowOff>0</xdr:rowOff>
        </xdr:to>
        <xdr:sp macro="" textlink="">
          <xdr:nvSpPr>
            <xdr:cNvPr id="33820" name="Drop Down 28" hidden="1">
              <a:extLst>
                <a:ext uri="{63B3BB69-23CF-44E3-9099-C40C66FF867C}">
                  <a14:compatExt spid="_x0000_s33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18</xdr:row>
          <xdr:rowOff>0</xdr:rowOff>
        </xdr:from>
        <xdr:to>
          <xdr:col>18</xdr:col>
          <xdr:colOff>9525</xdr:colOff>
          <xdr:row>19</xdr:row>
          <xdr:rowOff>0</xdr:rowOff>
        </xdr:to>
        <xdr:sp macro="" textlink="">
          <xdr:nvSpPr>
            <xdr:cNvPr id="33821" name="Drop Down 29" hidden="1">
              <a:extLst>
                <a:ext uri="{63B3BB69-23CF-44E3-9099-C40C66FF867C}">
                  <a14:compatExt spid="_x0000_s33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19</xdr:row>
          <xdr:rowOff>0</xdr:rowOff>
        </xdr:from>
        <xdr:to>
          <xdr:col>18</xdr:col>
          <xdr:colOff>9525</xdr:colOff>
          <xdr:row>20</xdr:row>
          <xdr:rowOff>0</xdr:rowOff>
        </xdr:to>
        <xdr:sp macro="" textlink="">
          <xdr:nvSpPr>
            <xdr:cNvPr id="33822" name="Drop Down 30" hidden="1">
              <a:extLst>
                <a:ext uri="{63B3BB69-23CF-44E3-9099-C40C66FF867C}">
                  <a14:compatExt spid="_x0000_s33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24</xdr:row>
          <xdr:rowOff>0</xdr:rowOff>
        </xdr:from>
        <xdr:to>
          <xdr:col>18</xdr:col>
          <xdr:colOff>9525</xdr:colOff>
          <xdr:row>25</xdr:row>
          <xdr:rowOff>0</xdr:rowOff>
        </xdr:to>
        <xdr:sp macro="" textlink="">
          <xdr:nvSpPr>
            <xdr:cNvPr id="33851" name="Drop Down 59" hidden="1">
              <a:extLst>
                <a:ext uri="{63B3BB69-23CF-44E3-9099-C40C66FF867C}">
                  <a14:compatExt spid="_x0000_s33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25</xdr:row>
          <xdr:rowOff>0</xdr:rowOff>
        </xdr:from>
        <xdr:to>
          <xdr:col>18</xdr:col>
          <xdr:colOff>9525</xdr:colOff>
          <xdr:row>26</xdr:row>
          <xdr:rowOff>0</xdr:rowOff>
        </xdr:to>
        <xdr:sp macro="" textlink="">
          <xdr:nvSpPr>
            <xdr:cNvPr id="33854" name="Drop Down 62" hidden="1">
              <a:extLst>
                <a:ext uri="{63B3BB69-23CF-44E3-9099-C40C66FF867C}">
                  <a14:compatExt spid="_x0000_s33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26</xdr:row>
          <xdr:rowOff>0</xdr:rowOff>
        </xdr:from>
        <xdr:to>
          <xdr:col>18</xdr:col>
          <xdr:colOff>9525</xdr:colOff>
          <xdr:row>27</xdr:row>
          <xdr:rowOff>0</xdr:rowOff>
        </xdr:to>
        <xdr:sp macro="" textlink="">
          <xdr:nvSpPr>
            <xdr:cNvPr id="33855" name="Drop Down 63" hidden="1">
              <a:extLst>
                <a:ext uri="{63B3BB69-23CF-44E3-9099-C40C66FF867C}">
                  <a14:compatExt spid="_x0000_s33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27</xdr:row>
          <xdr:rowOff>0</xdr:rowOff>
        </xdr:from>
        <xdr:to>
          <xdr:col>18</xdr:col>
          <xdr:colOff>9525</xdr:colOff>
          <xdr:row>28</xdr:row>
          <xdr:rowOff>0</xdr:rowOff>
        </xdr:to>
        <xdr:sp macro="" textlink="">
          <xdr:nvSpPr>
            <xdr:cNvPr id="33856" name="Drop Down 64" hidden="1">
              <a:extLst>
                <a:ext uri="{63B3BB69-23CF-44E3-9099-C40C66FF867C}">
                  <a14:compatExt spid="_x0000_s33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28</xdr:row>
          <xdr:rowOff>0</xdr:rowOff>
        </xdr:from>
        <xdr:to>
          <xdr:col>18</xdr:col>
          <xdr:colOff>9525</xdr:colOff>
          <xdr:row>29</xdr:row>
          <xdr:rowOff>0</xdr:rowOff>
        </xdr:to>
        <xdr:sp macro="" textlink="">
          <xdr:nvSpPr>
            <xdr:cNvPr id="33857" name="Drop Down 65" hidden="1">
              <a:extLst>
                <a:ext uri="{63B3BB69-23CF-44E3-9099-C40C66FF867C}">
                  <a14:compatExt spid="_x0000_s33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33</xdr:row>
          <xdr:rowOff>0</xdr:rowOff>
        </xdr:from>
        <xdr:to>
          <xdr:col>18</xdr:col>
          <xdr:colOff>9525</xdr:colOff>
          <xdr:row>34</xdr:row>
          <xdr:rowOff>0</xdr:rowOff>
        </xdr:to>
        <xdr:sp macro="" textlink="">
          <xdr:nvSpPr>
            <xdr:cNvPr id="33876" name="Drop Down 84" hidden="1">
              <a:extLst>
                <a:ext uri="{63B3BB69-23CF-44E3-9099-C40C66FF867C}">
                  <a14:compatExt spid="_x0000_s33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34</xdr:row>
          <xdr:rowOff>0</xdr:rowOff>
        </xdr:from>
        <xdr:to>
          <xdr:col>18</xdr:col>
          <xdr:colOff>9525</xdr:colOff>
          <xdr:row>35</xdr:row>
          <xdr:rowOff>0</xdr:rowOff>
        </xdr:to>
        <xdr:sp macro="" textlink="">
          <xdr:nvSpPr>
            <xdr:cNvPr id="33879" name="Drop Down 87" hidden="1">
              <a:extLst>
                <a:ext uri="{63B3BB69-23CF-44E3-9099-C40C66FF867C}">
                  <a14:compatExt spid="_x0000_s33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35</xdr:row>
          <xdr:rowOff>0</xdr:rowOff>
        </xdr:from>
        <xdr:to>
          <xdr:col>18</xdr:col>
          <xdr:colOff>9525</xdr:colOff>
          <xdr:row>36</xdr:row>
          <xdr:rowOff>0</xdr:rowOff>
        </xdr:to>
        <xdr:sp macro="" textlink="">
          <xdr:nvSpPr>
            <xdr:cNvPr id="33880" name="Drop Down 88" hidden="1">
              <a:extLst>
                <a:ext uri="{63B3BB69-23CF-44E3-9099-C40C66FF867C}">
                  <a14:compatExt spid="_x0000_s33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36</xdr:row>
          <xdr:rowOff>0</xdr:rowOff>
        </xdr:from>
        <xdr:to>
          <xdr:col>18</xdr:col>
          <xdr:colOff>9525</xdr:colOff>
          <xdr:row>37</xdr:row>
          <xdr:rowOff>0</xdr:rowOff>
        </xdr:to>
        <xdr:sp macro="" textlink="">
          <xdr:nvSpPr>
            <xdr:cNvPr id="33881" name="Drop Down 89" hidden="1">
              <a:extLst>
                <a:ext uri="{63B3BB69-23CF-44E3-9099-C40C66FF867C}">
                  <a14:compatExt spid="_x0000_s33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37</xdr:row>
          <xdr:rowOff>0</xdr:rowOff>
        </xdr:from>
        <xdr:to>
          <xdr:col>18</xdr:col>
          <xdr:colOff>9525</xdr:colOff>
          <xdr:row>38</xdr:row>
          <xdr:rowOff>0</xdr:rowOff>
        </xdr:to>
        <xdr:sp macro="" textlink="">
          <xdr:nvSpPr>
            <xdr:cNvPr id="33882" name="Drop Down 90" hidden="1">
              <a:extLst>
                <a:ext uri="{63B3BB69-23CF-44E3-9099-C40C66FF867C}">
                  <a14:compatExt spid="_x0000_s33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42</xdr:row>
          <xdr:rowOff>0</xdr:rowOff>
        </xdr:from>
        <xdr:to>
          <xdr:col>18</xdr:col>
          <xdr:colOff>9525</xdr:colOff>
          <xdr:row>43</xdr:row>
          <xdr:rowOff>0</xdr:rowOff>
        </xdr:to>
        <xdr:sp macro="" textlink="">
          <xdr:nvSpPr>
            <xdr:cNvPr id="33901" name="Drop Down 109" hidden="1">
              <a:extLst>
                <a:ext uri="{63B3BB69-23CF-44E3-9099-C40C66FF867C}">
                  <a14:compatExt spid="_x0000_s33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43</xdr:row>
          <xdr:rowOff>0</xdr:rowOff>
        </xdr:from>
        <xdr:to>
          <xdr:col>18</xdr:col>
          <xdr:colOff>9525</xdr:colOff>
          <xdr:row>44</xdr:row>
          <xdr:rowOff>0</xdr:rowOff>
        </xdr:to>
        <xdr:sp macro="" textlink="">
          <xdr:nvSpPr>
            <xdr:cNvPr id="33904" name="Drop Down 112" hidden="1">
              <a:extLst>
                <a:ext uri="{63B3BB69-23CF-44E3-9099-C40C66FF867C}">
                  <a14:compatExt spid="_x0000_s33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44</xdr:row>
          <xdr:rowOff>0</xdr:rowOff>
        </xdr:from>
        <xdr:to>
          <xdr:col>18</xdr:col>
          <xdr:colOff>9525</xdr:colOff>
          <xdr:row>45</xdr:row>
          <xdr:rowOff>0</xdr:rowOff>
        </xdr:to>
        <xdr:sp macro="" textlink="">
          <xdr:nvSpPr>
            <xdr:cNvPr id="33905" name="Drop Down 113" hidden="1">
              <a:extLst>
                <a:ext uri="{63B3BB69-23CF-44E3-9099-C40C66FF867C}">
                  <a14:compatExt spid="_x0000_s33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45</xdr:row>
          <xdr:rowOff>0</xdr:rowOff>
        </xdr:from>
        <xdr:to>
          <xdr:col>18</xdr:col>
          <xdr:colOff>9525</xdr:colOff>
          <xdr:row>46</xdr:row>
          <xdr:rowOff>0</xdr:rowOff>
        </xdr:to>
        <xdr:sp macro="" textlink="">
          <xdr:nvSpPr>
            <xdr:cNvPr id="33906" name="Drop Down 114" hidden="1">
              <a:extLst>
                <a:ext uri="{63B3BB69-23CF-44E3-9099-C40C66FF867C}">
                  <a14:compatExt spid="_x0000_s33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46</xdr:row>
          <xdr:rowOff>0</xdr:rowOff>
        </xdr:from>
        <xdr:to>
          <xdr:col>18</xdr:col>
          <xdr:colOff>9525</xdr:colOff>
          <xdr:row>47</xdr:row>
          <xdr:rowOff>0</xdr:rowOff>
        </xdr:to>
        <xdr:sp macro="" textlink="">
          <xdr:nvSpPr>
            <xdr:cNvPr id="33907" name="Drop Down 115" hidden="1">
              <a:extLst>
                <a:ext uri="{63B3BB69-23CF-44E3-9099-C40C66FF867C}">
                  <a14:compatExt spid="_x0000_s33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51</xdr:row>
          <xdr:rowOff>0</xdr:rowOff>
        </xdr:from>
        <xdr:to>
          <xdr:col>18</xdr:col>
          <xdr:colOff>9525</xdr:colOff>
          <xdr:row>52</xdr:row>
          <xdr:rowOff>0</xdr:rowOff>
        </xdr:to>
        <xdr:sp macro="" textlink="">
          <xdr:nvSpPr>
            <xdr:cNvPr id="33926" name="Drop Down 134" hidden="1">
              <a:extLst>
                <a:ext uri="{63B3BB69-23CF-44E3-9099-C40C66FF867C}">
                  <a14:compatExt spid="_x0000_s339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52</xdr:row>
          <xdr:rowOff>0</xdr:rowOff>
        </xdr:from>
        <xdr:to>
          <xdr:col>18</xdr:col>
          <xdr:colOff>9525</xdr:colOff>
          <xdr:row>53</xdr:row>
          <xdr:rowOff>0</xdr:rowOff>
        </xdr:to>
        <xdr:sp macro="" textlink="">
          <xdr:nvSpPr>
            <xdr:cNvPr id="33929" name="Drop Down 137" hidden="1">
              <a:extLst>
                <a:ext uri="{63B3BB69-23CF-44E3-9099-C40C66FF867C}">
                  <a14:compatExt spid="_x0000_s33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53</xdr:row>
          <xdr:rowOff>0</xdr:rowOff>
        </xdr:from>
        <xdr:to>
          <xdr:col>18</xdr:col>
          <xdr:colOff>9525</xdr:colOff>
          <xdr:row>54</xdr:row>
          <xdr:rowOff>0</xdr:rowOff>
        </xdr:to>
        <xdr:sp macro="" textlink="">
          <xdr:nvSpPr>
            <xdr:cNvPr id="33930" name="Drop Down 138" hidden="1">
              <a:extLst>
                <a:ext uri="{63B3BB69-23CF-44E3-9099-C40C66FF867C}">
                  <a14:compatExt spid="_x0000_s33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54</xdr:row>
          <xdr:rowOff>0</xdr:rowOff>
        </xdr:from>
        <xdr:to>
          <xdr:col>18</xdr:col>
          <xdr:colOff>9525</xdr:colOff>
          <xdr:row>55</xdr:row>
          <xdr:rowOff>0</xdr:rowOff>
        </xdr:to>
        <xdr:sp macro="" textlink="">
          <xdr:nvSpPr>
            <xdr:cNvPr id="33931" name="Drop Down 139" hidden="1">
              <a:extLst>
                <a:ext uri="{63B3BB69-23CF-44E3-9099-C40C66FF867C}">
                  <a14:compatExt spid="_x0000_s33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55</xdr:row>
          <xdr:rowOff>0</xdr:rowOff>
        </xdr:from>
        <xdr:to>
          <xdr:col>18</xdr:col>
          <xdr:colOff>9525</xdr:colOff>
          <xdr:row>56</xdr:row>
          <xdr:rowOff>0</xdr:rowOff>
        </xdr:to>
        <xdr:sp macro="" textlink="">
          <xdr:nvSpPr>
            <xdr:cNvPr id="33932" name="Drop Down 140" hidden="1">
              <a:extLst>
                <a:ext uri="{63B3BB69-23CF-44E3-9099-C40C66FF867C}">
                  <a14:compatExt spid="_x0000_s33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5</xdr:col>
          <xdr:colOff>0</xdr:colOff>
          <xdr:row>7</xdr:row>
          <xdr:rowOff>0</xdr:rowOff>
        </xdr:to>
        <xdr:sp macro="" textlink="">
          <xdr:nvSpPr>
            <xdr:cNvPr id="33943" name="Drop Down 151" hidden="1">
              <a:extLst>
                <a:ext uri="{63B3BB69-23CF-44E3-9099-C40C66FF867C}">
                  <a14:compatExt spid="_x0000_s33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</xdr:row>
          <xdr:rowOff>0</xdr:rowOff>
        </xdr:from>
        <xdr:to>
          <xdr:col>5</xdr:col>
          <xdr:colOff>0</xdr:colOff>
          <xdr:row>8</xdr:row>
          <xdr:rowOff>0</xdr:rowOff>
        </xdr:to>
        <xdr:sp macro="" textlink="">
          <xdr:nvSpPr>
            <xdr:cNvPr id="33944" name="Drop Down 152" hidden="1">
              <a:extLst>
                <a:ext uri="{63B3BB69-23CF-44E3-9099-C40C66FF867C}">
                  <a14:compatExt spid="_x0000_s33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</xdr:row>
          <xdr:rowOff>0</xdr:rowOff>
        </xdr:from>
        <xdr:to>
          <xdr:col>5</xdr:col>
          <xdr:colOff>0</xdr:colOff>
          <xdr:row>9</xdr:row>
          <xdr:rowOff>0</xdr:rowOff>
        </xdr:to>
        <xdr:sp macro="" textlink="">
          <xdr:nvSpPr>
            <xdr:cNvPr id="33945" name="Drop Down 153" hidden="1">
              <a:extLst>
                <a:ext uri="{63B3BB69-23CF-44E3-9099-C40C66FF867C}">
                  <a14:compatExt spid="_x0000_s33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</xdr:row>
          <xdr:rowOff>0</xdr:rowOff>
        </xdr:from>
        <xdr:to>
          <xdr:col>5</xdr:col>
          <xdr:colOff>0</xdr:colOff>
          <xdr:row>10</xdr:row>
          <xdr:rowOff>0</xdr:rowOff>
        </xdr:to>
        <xdr:sp macro="" textlink="">
          <xdr:nvSpPr>
            <xdr:cNvPr id="33946" name="Drop Down 154" hidden="1">
              <a:extLst>
                <a:ext uri="{63B3BB69-23CF-44E3-9099-C40C66FF867C}">
                  <a14:compatExt spid="_x0000_s33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</xdr:row>
          <xdr:rowOff>0</xdr:rowOff>
        </xdr:from>
        <xdr:to>
          <xdr:col>5</xdr:col>
          <xdr:colOff>0</xdr:colOff>
          <xdr:row>11</xdr:row>
          <xdr:rowOff>0</xdr:rowOff>
        </xdr:to>
        <xdr:sp macro="" textlink="">
          <xdr:nvSpPr>
            <xdr:cNvPr id="33947" name="Drop Down 155" hidden="1">
              <a:extLst>
                <a:ext uri="{63B3BB69-23CF-44E3-9099-C40C66FF867C}">
                  <a14:compatExt spid="_x0000_s339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</xdr:row>
          <xdr:rowOff>0</xdr:rowOff>
        </xdr:from>
        <xdr:to>
          <xdr:col>7</xdr:col>
          <xdr:colOff>0</xdr:colOff>
          <xdr:row>8</xdr:row>
          <xdr:rowOff>0</xdr:rowOff>
        </xdr:to>
        <xdr:sp macro="" textlink="">
          <xdr:nvSpPr>
            <xdr:cNvPr id="33948" name="Drop Down 156" hidden="1">
              <a:extLst>
                <a:ext uri="{63B3BB69-23CF-44E3-9099-C40C66FF867C}">
                  <a14:compatExt spid="_x0000_s33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</xdr:row>
          <xdr:rowOff>0</xdr:rowOff>
        </xdr:from>
        <xdr:to>
          <xdr:col>7</xdr:col>
          <xdr:colOff>0</xdr:colOff>
          <xdr:row>9</xdr:row>
          <xdr:rowOff>0</xdr:rowOff>
        </xdr:to>
        <xdr:sp macro="" textlink="">
          <xdr:nvSpPr>
            <xdr:cNvPr id="33949" name="Drop Down 157" hidden="1">
              <a:extLst>
                <a:ext uri="{63B3BB69-23CF-44E3-9099-C40C66FF867C}">
                  <a14:compatExt spid="_x0000_s339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33950" name="Drop Down 158" hidden="1">
              <a:extLst>
                <a:ext uri="{63B3BB69-23CF-44E3-9099-C40C66FF867C}">
                  <a14:compatExt spid="_x0000_s33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</xdr:row>
          <xdr:rowOff>0</xdr:rowOff>
        </xdr:from>
        <xdr:to>
          <xdr:col>7</xdr:col>
          <xdr:colOff>0</xdr:colOff>
          <xdr:row>11</xdr:row>
          <xdr:rowOff>0</xdr:rowOff>
        </xdr:to>
        <xdr:sp macro="" textlink="">
          <xdr:nvSpPr>
            <xdr:cNvPr id="33951" name="Drop Down 159" hidden="1">
              <a:extLst>
                <a:ext uri="{63B3BB69-23CF-44E3-9099-C40C66FF867C}">
                  <a14:compatExt spid="_x0000_s33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15</xdr:row>
          <xdr:rowOff>0</xdr:rowOff>
        </xdr:from>
        <xdr:to>
          <xdr:col>7</xdr:col>
          <xdr:colOff>0</xdr:colOff>
          <xdr:row>16</xdr:row>
          <xdr:rowOff>0</xdr:rowOff>
        </xdr:to>
        <xdr:sp macro="" textlink="">
          <xdr:nvSpPr>
            <xdr:cNvPr id="33952" name="Drop Down 160" hidden="1">
              <a:extLst>
                <a:ext uri="{63B3BB69-23CF-44E3-9099-C40C66FF867C}">
                  <a14:compatExt spid="_x0000_s33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16</xdr:row>
          <xdr:rowOff>0</xdr:rowOff>
        </xdr:from>
        <xdr:to>
          <xdr:col>7</xdr:col>
          <xdr:colOff>0</xdr:colOff>
          <xdr:row>17</xdr:row>
          <xdr:rowOff>0</xdr:rowOff>
        </xdr:to>
        <xdr:sp macro="" textlink="">
          <xdr:nvSpPr>
            <xdr:cNvPr id="33953" name="Drop Down 161" hidden="1">
              <a:extLst>
                <a:ext uri="{63B3BB69-23CF-44E3-9099-C40C66FF867C}">
                  <a14:compatExt spid="_x0000_s339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17</xdr:row>
          <xdr:rowOff>0</xdr:rowOff>
        </xdr:from>
        <xdr:to>
          <xdr:col>7</xdr:col>
          <xdr:colOff>0</xdr:colOff>
          <xdr:row>18</xdr:row>
          <xdr:rowOff>0</xdr:rowOff>
        </xdr:to>
        <xdr:sp macro="" textlink="">
          <xdr:nvSpPr>
            <xdr:cNvPr id="33954" name="Drop Down 162" hidden="1">
              <a:extLst>
                <a:ext uri="{63B3BB69-23CF-44E3-9099-C40C66FF867C}">
                  <a14:compatExt spid="_x0000_s33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18</xdr:row>
          <xdr:rowOff>0</xdr:rowOff>
        </xdr:from>
        <xdr:to>
          <xdr:col>7</xdr:col>
          <xdr:colOff>0</xdr:colOff>
          <xdr:row>19</xdr:row>
          <xdr:rowOff>0</xdr:rowOff>
        </xdr:to>
        <xdr:sp macro="" textlink="">
          <xdr:nvSpPr>
            <xdr:cNvPr id="33955" name="Drop Down 163" hidden="1">
              <a:extLst>
                <a:ext uri="{63B3BB69-23CF-44E3-9099-C40C66FF867C}">
                  <a14:compatExt spid="_x0000_s339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19</xdr:row>
          <xdr:rowOff>0</xdr:rowOff>
        </xdr:from>
        <xdr:to>
          <xdr:col>7</xdr:col>
          <xdr:colOff>0</xdr:colOff>
          <xdr:row>20</xdr:row>
          <xdr:rowOff>0</xdr:rowOff>
        </xdr:to>
        <xdr:sp macro="" textlink="">
          <xdr:nvSpPr>
            <xdr:cNvPr id="33956" name="Drop Down 164" hidden="1">
              <a:extLst>
                <a:ext uri="{63B3BB69-23CF-44E3-9099-C40C66FF867C}">
                  <a14:compatExt spid="_x0000_s33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</xdr:row>
          <xdr:rowOff>0</xdr:rowOff>
        </xdr:from>
        <xdr:to>
          <xdr:col>5</xdr:col>
          <xdr:colOff>0</xdr:colOff>
          <xdr:row>16</xdr:row>
          <xdr:rowOff>0</xdr:rowOff>
        </xdr:to>
        <xdr:sp macro="" textlink="">
          <xdr:nvSpPr>
            <xdr:cNvPr id="33957" name="Drop Down 165" hidden="1">
              <a:extLst>
                <a:ext uri="{63B3BB69-23CF-44E3-9099-C40C66FF867C}">
                  <a14:compatExt spid="_x0000_s339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16</xdr:row>
          <xdr:rowOff>0</xdr:rowOff>
        </xdr:from>
        <xdr:to>
          <xdr:col>5</xdr:col>
          <xdr:colOff>0</xdr:colOff>
          <xdr:row>17</xdr:row>
          <xdr:rowOff>0</xdr:rowOff>
        </xdr:to>
        <xdr:sp macro="" textlink="">
          <xdr:nvSpPr>
            <xdr:cNvPr id="33958" name="Drop Down 166" hidden="1">
              <a:extLst>
                <a:ext uri="{63B3BB69-23CF-44E3-9099-C40C66FF867C}">
                  <a14:compatExt spid="_x0000_s33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17</xdr:row>
          <xdr:rowOff>0</xdr:rowOff>
        </xdr:from>
        <xdr:to>
          <xdr:col>5</xdr:col>
          <xdr:colOff>0</xdr:colOff>
          <xdr:row>18</xdr:row>
          <xdr:rowOff>0</xdr:rowOff>
        </xdr:to>
        <xdr:sp macro="" textlink="">
          <xdr:nvSpPr>
            <xdr:cNvPr id="33959" name="Drop Down 167" hidden="1">
              <a:extLst>
                <a:ext uri="{63B3BB69-23CF-44E3-9099-C40C66FF867C}">
                  <a14:compatExt spid="_x0000_s339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18</xdr:row>
          <xdr:rowOff>0</xdr:rowOff>
        </xdr:from>
        <xdr:to>
          <xdr:col>5</xdr:col>
          <xdr:colOff>0</xdr:colOff>
          <xdr:row>19</xdr:row>
          <xdr:rowOff>0</xdr:rowOff>
        </xdr:to>
        <xdr:sp macro="" textlink="">
          <xdr:nvSpPr>
            <xdr:cNvPr id="33960" name="Drop Down 168" hidden="1">
              <a:extLst>
                <a:ext uri="{63B3BB69-23CF-44E3-9099-C40C66FF867C}">
                  <a14:compatExt spid="_x0000_s339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19</xdr:row>
          <xdr:rowOff>0</xdr:rowOff>
        </xdr:from>
        <xdr:to>
          <xdr:col>5</xdr:col>
          <xdr:colOff>0</xdr:colOff>
          <xdr:row>20</xdr:row>
          <xdr:rowOff>0</xdr:rowOff>
        </xdr:to>
        <xdr:sp macro="" textlink="">
          <xdr:nvSpPr>
            <xdr:cNvPr id="33961" name="Drop Down 169" hidden="1">
              <a:extLst>
                <a:ext uri="{63B3BB69-23CF-44E3-9099-C40C66FF867C}">
                  <a14:compatExt spid="_x0000_s33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24</xdr:row>
          <xdr:rowOff>0</xdr:rowOff>
        </xdr:from>
        <xdr:to>
          <xdr:col>7</xdr:col>
          <xdr:colOff>0</xdr:colOff>
          <xdr:row>25</xdr:row>
          <xdr:rowOff>0</xdr:rowOff>
        </xdr:to>
        <xdr:sp macro="" textlink="">
          <xdr:nvSpPr>
            <xdr:cNvPr id="33962" name="Drop Down 170" hidden="1">
              <a:extLst>
                <a:ext uri="{63B3BB69-23CF-44E3-9099-C40C66FF867C}">
                  <a14:compatExt spid="_x0000_s33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25</xdr:row>
          <xdr:rowOff>0</xdr:rowOff>
        </xdr:from>
        <xdr:to>
          <xdr:col>7</xdr:col>
          <xdr:colOff>0</xdr:colOff>
          <xdr:row>26</xdr:row>
          <xdr:rowOff>0</xdr:rowOff>
        </xdr:to>
        <xdr:sp macro="" textlink="">
          <xdr:nvSpPr>
            <xdr:cNvPr id="33963" name="Drop Down 171" hidden="1">
              <a:extLst>
                <a:ext uri="{63B3BB69-23CF-44E3-9099-C40C66FF867C}">
                  <a14:compatExt spid="_x0000_s339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26</xdr:row>
          <xdr:rowOff>0</xdr:rowOff>
        </xdr:from>
        <xdr:to>
          <xdr:col>7</xdr:col>
          <xdr:colOff>0</xdr:colOff>
          <xdr:row>27</xdr:row>
          <xdr:rowOff>0</xdr:rowOff>
        </xdr:to>
        <xdr:sp macro="" textlink="">
          <xdr:nvSpPr>
            <xdr:cNvPr id="33964" name="Drop Down 172" hidden="1">
              <a:extLst>
                <a:ext uri="{63B3BB69-23CF-44E3-9099-C40C66FF867C}">
                  <a14:compatExt spid="_x0000_s339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27</xdr:row>
          <xdr:rowOff>0</xdr:rowOff>
        </xdr:from>
        <xdr:to>
          <xdr:col>7</xdr:col>
          <xdr:colOff>0</xdr:colOff>
          <xdr:row>28</xdr:row>
          <xdr:rowOff>0</xdr:rowOff>
        </xdr:to>
        <xdr:sp macro="" textlink="">
          <xdr:nvSpPr>
            <xdr:cNvPr id="33965" name="Drop Down 173" hidden="1">
              <a:extLst>
                <a:ext uri="{63B3BB69-23CF-44E3-9099-C40C66FF867C}">
                  <a14:compatExt spid="_x0000_s33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28</xdr:row>
          <xdr:rowOff>0</xdr:rowOff>
        </xdr:from>
        <xdr:to>
          <xdr:col>7</xdr:col>
          <xdr:colOff>0</xdr:colOff>
          <xdr:row>29</xdr:row>
          <xdr:rowOff>0</xdr:rowOff>
        </xdr:to>
        <xdr:sp macro="" textlink="">
          <xdr:nvSpPr>
            <xdr:cNvPr id="33966" name="Drop Down 174" hidden="1">
              <a:extLst>
                <a:ext uri="{63B3BB69-23CF-44E3-9099-C40C66FF867C}">
                  <a14:compatExt spid="_x0000_s33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24</xdr:row>
          <xdr:rowOff>0</xdr:rowOff>
        </xdr:from>
        <xdr:to>
          <xdr:col>5</xdr:col>
          <xdr:colOff>0</xdr:colOff>
          <xdr:row>25</xdr:row>
          <xdr:rowOff>0</xdr:rowOff>
        </xdr:to>
        <xdr:sp macro="" textlink="">
          <xdr:nvSpPr>
            <xdr:cNvPr id="33967" name="Drop Down 175" hidden="1">
              <a:extLst>
                <a:ext uri="{63B3BB69-23CF-44E3-9099-C40C66FF867C}">
                  <a14:compatExt spid="_x0000_s33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5</xdr:col>
          <xdr:colOff>0</xdr:colOff>
          <xdr:row>26</xdr:row>
          <xdr:rowOff>0</xdr:rowOff>
        </xdr:to>
        <xdr:sp macro="" textlink="">
          <xdr:nvSpPr>
            <xdr:cNvPr id="33968" name="Drop Down 176" hidden="1">
              <a:extLst>
                <a:ext uri="{63B3BB69-23CF-44E3-9099-C40C66FF867C}">
                  <a14:compatExt spid="_x0000_s33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26</xdr:row>
          <xdr:rowOff>0</xdr:rowOff>
        </xdr:from>
        <xdr:to>
          <xdr:col>5</xdr:col>
          <xdr:colOff>0</xdr:colOff>
          <xdr:row>27</xdr:row>
          <xdr:rowOff>0</xdr:rowOff>
        </xdr:to>
        <xdr:sp macro="" textlink="">
          <xdr:nvSpPr>
            <xdr:cNvPr id="33969" name="Drop Down 177" hidden="1">
              <a:extLst>
                <a:ext uri="{63B3BB69-23CF-44E3-9099-C40C66FF867C}">
                  <a14:compatExt spid="_x0000_s33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27</xdr:row>
          <xdr:rowOff>0</xdr:rowOff>
        </xdr:from>
        <xdr:to>
          <xdr:col>5</xdr:col>
          <xdr:colOff>0</xdr:colOff>
          <xdr:row>28</xdr:row>
          <xdr:rowOff>0</xdr:rowOff>
        </xdr:to>
        <xdr:sp macro="" textlink="">
          <xdr:nvSpPr>
            <xdr:cNvPr id="33970" name="Drop Down 178" hidden="1">
              <a:extLst>
                <a:ext uri="{63B3BB69-23CF-44E3-9099-C40C66FF867C}">
                  <a14:compatExt spid="_x0000_s33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28</xdr:row>
          <xdr:rowOff>0</xdr:rowOff>
        </xdr:from>
        <xdr:to>
          <xdr:col>5</xdr:col>
          <xdr:colOff>0</xdr:colOff>
          <xdr:row>29</xdr:row>
          <xdr:rowOff>0</xdr:rowOff>
        </xdr:to>
        <xdr:sp macro="" textlink="">
          <xdr:nvSpPr>
            <xdr:cNvPr id="33971" name="Drop Down 179" hidden="1">
              <a:extLst>
                <a:ext uri="{63B3BB69-23CF-44E3-9099-C40C66FF867C}">
                  <a14:compatExt spid="_x0000_s33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33</xdr:row>
          <xdr:rowOff>0</xdr:rowOff>
        </xdr:from>
        <xdr:to>
          <xdr:col>7</xdr:col>
          <xdr:colOff>0</xdr:colOff>
          <xdr:row>34</xdr:row>
          <xdr:rowOff>0</xdr:rowOff>
        </xdr:to>
        <xdr:sp macro="" textlink="">
          <xdr:nvSpPr>
            <xdr:cNvPr id="33972" name="Drop Down 180" hidden="1">
              <a:extLst>
                <a:ext uri="{63B3BB69-23CF-44E3-9099-C40C66FF867C}">
                  <a14:compatExt spid="_x0000_s33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34</xdr:row>
          <xdr:rowOff>0</xdr:rowOff>
        </xdr:from>
        <xdr:to>
          <xdr:col>7</xdr:col>
          <xdr:colOff>0</xdr:colOff>
          <xdr:row>35</xdr:row>
          <xdr:rowOff>0</xdr:rowOff>
        </xdr:to>
        <xdr:sp macro="" textlink="">
          <xdr:nvSpPr>
            <xdr:cNvPr id="33973" name="Drop Down 181" hidden="1">
              <a:extLst>
                <a:ext uri="{63B3BB69-23CF-44E3-9099-C40C66FF867C}">
                  <a14:compatExt spid="_x0000_s33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35</xdr:row>
          <xdr:rowOff>0</xdr:rowOff>
        </xdr:from>
        <xdr:to>
          <xdr:col>7</xdr:col>
          <xdr:colOff>0</xdr:colOff>
          <xdr:row>36</xdr:row>
          <xdr:rowOff>0</xdr:rowOff>
        </xdr:to>
        <xdr:sp macro="" textlink="">
          <xdr:nvSpPr>
            <xdr:cNvPr id="33974" name="Drop Down 182" hidden="1">
              <a:extLst>
                <a:ext uri="{63B3BB69-23CF-44E3-9099-C40C66FF867C}">
                  <a14:compatExt spid="_x0000_s33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36</xdr:row>
          <xdr:rowOff>0</xdr:rowOff>
        </xdr:from>
        <xdr:to>
          <xdr:col>7</xdr:col>
          <xdr:colOff>0</xdr:colOff>
          <xdr:row>37</xdr:row>
          <xdr:rowOff>0</xdr:rowOff>
        </xdr:to>
        <xdr:sp macro="" textlink="">
          <xdr:nvSpPr>
            <xdr:cNvPr id="33975" name="Drop Down 183" hidden="1">
              <a:extLst>
                <a:ext uri="{63B3BB69-23CF-44E3-9099-C40C66FF867C}">
                  <a14:compatExt spid="_x0000_s33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37</xdr:row>
          <xdr:rowOff>0</xdr:rowOff>
        </xdr:from>
        <xdr:to>
          <xdr:col>7</xdr:col>
          <xdr:colOff>0</xdr:colOff>
          <xdr:row>38</xdr:row>
          <xdr:rowOff>0</xdr:rowOff>
        </xdr:to>
        <xdr:sp macro="" textlink="">
          <xdr:nvSpPr>
            <xdr:cNvPr id="33976" name="Drop Down 184" hidden="1">
              <a:extLst>
                <a:ext uri="{63B3BB69-23CF-44E3-9099-C40C66FF867C}">
                  <a14:compatExt spid="_x0000_s33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33</xdr:row>
          <xdr:rowOff>0</xdr:rowOff>
        </xdr:from>
        <xdr:to>
          <xdr:col>5</xdr:col>
          <xdr:colOff>0</xdr:colOff>
          <xdr:row>34</xdr:row>
          <xdr:rowOff>0</xdr:rowOff>
        </xdr:to>
        <xdr:sp macro="" textlink="">
          <xdr:nvSpPr>
            <xdr:cNvPr id="33977" name="Drop Down 185" hidden="1">
              <a:extLst>
                <a:ext uri="{63B3BB69-23CF-44E3-9099-C40C66FF867C}">
                  <a14:compatExt spid="_x0000_s33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34</xdr:row>
          <xdr:rowOff>0</xdr:rowOff>
        </xdr:from>
        <xdr:to>
          <xdr:col>5</xdr:col>
          <xdr:colOff>0</xdr:colOff>
          <xdr:row>35</xdr:row>
          <xdr:rowOff>0</xdr:rowOff>
        </xdr:to>
        <xdr:sp macro="" textlink="">
          <xdr:nvSpPr>
            <xdr:cNvPr id="33978" name="Drop Down 186" hidden="1">
              <a:extLst>
                <a:ext uri="{63B3BB69-23CF-44E3-9099-C40C66FF867C}">
                  <a14:compatExt spid="_x0000_s33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5</xdr:col>
          <xdr:colOff>0</xdr:colOff>
          <xdr:row>36</xdr:row>
          <xdr:rowOff>0</xdr:rowOff>
        </xdr:to>
        <xdr:sp macro="" textlink="">
          <xdr:nvSpPr>
            <xdr:cNvPr id="33979" name="Drop Down 187" hidden="1">
              <a:extLst>
                <a:ext uri="{63B3BB69-23CF-44E3-9099-C40C66FF867C}">
                  <a14:compatExt spid="_x0000_s33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36</xdr:row>
          <xdr:rowOff>0</xdr:rowOff>
        </xdr:from>
        <xdr:to>
          <xdr:col>5</xdr:col>
          <xdr:colOff>0</xdr:colOff>
          <xdr:row>37</xdr:row>
          <xdr:rowOff>0</xdr:rowOff>
        </xdr:to>
        <xdr:sp macro="" textlink="">
          <xdr:nvSpPr>
            <xdr:cNvPr id="33980" name="Drop Down 188" hidden="1">
              <a:extLst>
                <a:ext uri="{63B3BB69-23CF-44E3-9099-C40C66FF867C}">
                  <a14:compatExt spid="_x0000_s33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37</xdr:row>
          <xdr:rowOff>0</xdr:rowOff>
        </xdr:from>
        <xdr:to>
          <xdr:col>5</xdr:col>
          <xdr:colOff>0</xdr:colOff>
          <xdr:row>38</xdr:row>
          <xdr:rowOff>0</xdr:rowOff>
        </xdr:to>
        <xdr:sp macro="" textlink="">
          <xdr:nvSpPr>
            <xdr:cNvPr id="33981" name="Drop Down 189" hidden="1">
              <a:extLst>
                <a:ext uri="{63B3BB69-23CF-44E3-9099-C40C66FF867C}">
                  <a14:compatExt spid="_x0000_s33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42</xdr:row>
          <xdr:rowOff>0</xdr:rowOff>
        </xdr:from>
        <xdr:to>
          <xdr:col>7</xdr:col>
          <xdr:colOff>0</xdr:colOff>
          <xdr:row>43</xdr:row>
          <xdr:rowOff>0</xdr:rowOff>
        </xdr:to>
        <xdr:sp macro="" textlink="">
          <xdr:nvSpPr>
            <xdr:cNvPr id="33982" name="Drop Down 190" hidden="1">
              <a:extLst>
                <a:ext uri="{63B3BB69-23CF-44E3-9099-C40C66FF867C}">
                  <a14:compatExt spid="_x0000_s33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43</xdr:row>
          <xdr:rowOff>0</xdr:rowOff>
        </xdr:from>
        <xdr:to>
          <xdr:col>7</xdr:col>
          <xdr:colOff>0</xdr:colOff>
          <xdr:row>44</xdr:row>
          <xdr:rowOff>0</xdr:rowOff>
        </xdr:to>
        <xdr:sp macro="" textlink="">
          <xdr:nvSpPr>
            <xdr:cNvPr id="33983" name="Drop Down 191" hidden="1">
              <a:extLst>
                <a:ext uri="{63B3BB69-23CF-44E3-9099-C40C66FF867C}">
                  <a14:compatExt spid="_x0000_s33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44</xdr:row>
          <xdr:rowOff>0</xdr:rowOff>
        </xdr:from>
        <xdr:to>
          <xdr:col>7</xdr:col>
          <xdr:colOff>0</xdr:colOff>
          <xdr:row>45</xdr:row>
          <xdr:rowOff>0</xdr:rowOff>
        </xdr:to>
        <xdr:sp macro="" textlink="">
          <xdr:nvSpPr>
            <xdr:cNvPr id="33984" name="Drop Down 192" hidden="1">
              <a:extLst>
                <a:ext uri="{63B3BB69-23CF-44E3-9099-C40C66FF867C}">
                  <a14:compatExt spid="_x0000_s33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45</xdr:row>
          <xdr:rowOff>0</xdr:rowOff>
        </xdr:from>
        <xdr:to>
          <xdr:col>7</xdr:col>
          <xdr:colOff>0</xdr:colOff>
          <xdr:row>46</xdr:row>
          <xdr:rowOff>0</xdr:rowOff>
        </xdr:to>
        <xdr:sp macro="" textlink="">
          <xdr:nvSpPr>
            <xdr:cNvPr id="33985" name="Drop Down 193" hidden="1">
              <a:extLst>
                <a:ext uri="{63B3BB69-23CF-44E3-9099-C40C66FF867C}">
                  <a14:compatExt spid="_x0000_s33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46</xdr:row>
          <xdr:rowOff>0</xdr:rowOff>
        </xdr:from>
        <xdr:to>
          <xdr:col>7</xdr:col>
          <xdr:colOff>0</xdr:colOff>
          <xdr:row>47</xdr:row>
          <xdr:rowOff>0</xdr:rowOff>
        </xdr:to>
        <xdr:sp macro="" textlink="">
          <xdr:nvSpPr>
            <xdr:cNvPr id="33986" name="Drop Down 194" hidden="1">
              <a:extLst>
                <a:ext uri="{63B3BB69-23CF-44E3-9099-C40C66FF867C}">
                  <a14:compatExt spid="_x0000_s33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5</xdr:col>
          <xdr:colOff>0</xdr:colOff>
          <xdr:row>43</xdr:row>
          <xdr:rowOff>0</xdr:rowOff>
        </xdr:to>
        <xdr:sp macro="" textlink="">
          <xdr:nvSpPr>
            <xdr:cNvPr id="33987" name="Drop Down 195" hidden="1">
              <a:extLst>
                <a:ext uri="{63B3BB69-23CF-44E3-9099-C40C66FF867C}">
                  <a14:compatExt spid="_x0000_s33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43</xdr:row>
          <xdr:rowOff>0</xdr:rowOff>
        </xdr:from>
        <xdr:to>
          <xdr:col>5</xdr:col>
          <xdr:colOff>0</xdr:colOff>
          <xdr:row>44</xdr:row>
          <xdr:rowOff>0</xdr:rowOff>
        </xdr:to>
        <xdr:sp macro="" textlink="">
          <xdr:nvSpPr>
            <xdr:cNvPr id="33988" name="Drop Down 196" hidden="1">
              <a:extLst>
                <a:ext uri="{63B3BB69-23CF-44E3-9099-C40C66FF867C}">
                  <a14:compatExt spid="_x0000_s33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44</xdr:row>
          <xdr:rowOff>0</xdr:rowOff>
        </xdr:from>
        <xdr:to>
          <xdr:col>5</xdr:col>
          <xdr:colOff>0</xdr:colOff>
          <xdr:row>45</xdr:row>
          <xdr:rowOff>0</xdr:rowOff>
        </xdr:to>
        <xdr:sp macro="" textlink="">
          <xdr:nvSpPr>
            <xdr:cNvPr id="33989" name="Drop Down 197" hidden="1">
              <a:extLst>
                <a:ext uri="{63B3BB69-23CF-44E3-9099-C40C66FF867C}">
                  <a14:compatExt spid="_x0000_s33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45</xdr:row>
          <xdr:rowOff>0</xdr:rowOff>
        </xdr:from>
        <xdr:to>
          <xdr:col>5</xdr:col>
          <xdr:colOff>0</xdr:colOff>
          <xdr:row>46</xdr:row>
          <xdr:rowOff>0</xdr:rowOff>
        </xdr:to>
        <xdr:sp macro="" textlink="">
          <xdr:nvSpPr>
            <xdr:cNvPr id="33990" name="Drop Down 198" hidden="1">
              <a:extLst>
                <a:ext uri="{63B3BB69-23CF-44E3-9099-C40C66FF867C}">
                  <a14:compatExt spid="_x0000_s33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46</xdr:row>
          <xdr:rowOff>0</xdr:rowOff>
        </xdr:from>
        <xdr:to>
          <xdr:col>5</xdr:col>
          <xdr:colOff>0</xdr:colOff>
          <xdr:row>47</xdr:row>
          <xdr:rowOff>0</xdr:rowOff>
        </xdr:to>
        <xdr:sp macro="" textlink="">
          <xdr:nvSpPr>
            <xdr:cNvPr id="33991" name="Drop Down 199" hidden="1">
              <a:extLst>
                <a:ext uri="{63B3BB69-23CF-44E3-9099-C40C66FF867C}">
                  <a14:compatExt spid="_x0000_s33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51</xdr:row>
          <xdr:rowOff>0</xdr:rowOff>
        </xdr:from>
        <xdr:to>
          <xdr:col>7</xdr:col>
          <xdr:colOff>0</xdr:colOff>
          <xdr:row>52</xdr:row>
          <xdr:rowOff>0</xdr:rowOff>
        </xdr:to>
        <xdr:sp macro="" textlink="">
          <xdr:nvSpPr>
            <xdr:cNvPr id="33992" name="Drop Down 200" hidden="1">
              <a:extLst>
                <a:ext uri="{63B3BB69-23CF-44E3-9099-C40C66FF867C}">
                  <a14:compatExt spid="_x0000_s33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52</xdr:row>
          <xdr:rowOff>0</xdr:rowOff>
        </xdr:from>
        <xdr:to>
          <xdr:col>7</xdr:col>
          <xdr:colOff>0</xdr:colOff>
          <xdr:row>53</xdr:row>
          <xdr:rowOff>0</xdr:rowOff>
        </xdr:to>
        <xdr:sp macro="" textlink="">
          <xdr:nvSpPr>
            <xdr:cNvPr id="33993" name="Drop Down 201" hidden="1">
              <a:extLst>
                <a:ext uri="{63B3BB69-23CF-44E3-9099-C40C66FF867C}">
                  <a14:compatExt spid="_x0000_s33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53</xdr:row>
          <xdr:rowOff>0</xdr:rowOff>
        </xdr:from>
        <xdr:to>
          <xdr:col>7</xdr:col>
          <xdr:colOff>0</xdr:colOff>
          <xdr:row>54</xdr:row>
          <xdr:rowOff>0</xdr:rowOff>
        </xdr:to>
        <xdr:sp macro="" textlink="">
          <xdr:nvSpPr>
            <xdr:cNvPr id="33994" name="Drop Down 202" hidden="1">
              <a:extLst>
                <a:ext uri="{63B3BB69-23CF-44E3-9099-C40C66FF867C}">
                  <a14:compatExt spid="_x0000_s33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54</xdr:row>
          <xdr:rowOff>0</xdr:rowOff>
        </xdr:from>
        <xdr:to>
          <xdr:col>7</xdr:col>
          <xdr:colOff>0</xdr:colOff>
          <xdr:row>55</xdr:row>
          <xdr:rowOff>0</xdr:rowOff>
        </xdr:to>
        <xdr:sp macro="" textlink="">
          <xdr:nvSpPr>
            <xdr:cNvPr id="33995" name="Drop Down 203" hidden="1">
              <a:extLst>
                <a:ext uri="{63B3BB69-23CF-44E3-9099-C40C66FF867C}">
                  <a14:compatExt spid="_x0000_s33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55</xdr:row>
          <xdr:rowOff>0</xdr:rowOff>
        </xdr:from>
        <xdr:to>
          <xdr:col>7</xdr:col>
          <xdr:colOff>0</xdr:colOff>
          <xdr:row>56</xdr:row>
          <xdr:rowOff>0</xdr:rowOff>
        </xdr:to>
        <xdr:sp macro="" textlink="">
          <xdr:nvSpPr>
            <xdr:cNvPr id="33996" name="Drop Down 204" hidden="1">
              <a:extLst>
                <a:ext uri="{63B3BB69-23CF-44E3-9099-C40C66FF867C}">
                  <a14:compatExt spid="_x0000_s33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51</xdr:row>
          <xdr:rowOff>0</xdr:rowOff>
        </xdr:from>
        <xdr:to>
          <xdr:col>5</xdr:col>
          <xdr:colOff>0</xdr:colOff>
          <xdr:row>52</xdr:row>
          <xdr:rowOff>0</xdr:rowOff>
        </xdr:to>
        <xdr:sp macro="" textlink="">
          <xdr:nvSpPr>
            <xdr:cNvPr id="33997" name="Drop Down 205" hidden="1">
              <a:extLst>
                <a:ext uri="{63B3BB69-23CF-44E3-9099-C40C66FF867C}">
                  <a14:compatExt spid="_x0000_s33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52</xdr:row>
          <xdr:rowOff>0</xdr:rowOff>
        </xdr:from>
        <xdr:to>
          <xdr:col>5</xdr:col>
          <xdr:colOff>0</xdr:colOff>
          <xdr:row>53</xdr:row>
          <xdr:rowOff>0</xdr:rowOff>
        </xdr:to>
        <xdr:sp macro="" textlink="">
          <xdr:nvSpPr>
            <xdr:cNvPr id="33998" name="Drop Down 206" hidden="1">
              <a:extLst>
                <a:ext uri="{63B3BB69-23CF-44E3-9099-C40C66FF867C}">
                  <a14:compatExt spid="_x0000_s33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53</xdr:row>
          <xdr:rowOff>0</xdr:rowOff>
        </xdr:from>
        <xdr:to>
          <xdr:col>5</xdr:col>
          <xdr:colOff>0</xdr:colOff>
          <xdr:row>54</xdr:row>
          <xdr:rowOff>0</xdr:rowOff>
        </xdr:to>
        <xdr:sp macro="" textlink="">
          <xdr:nvSpPr>
            <xdr:cNvPr id="33999" name="Drop Down 207" hidden="1">
              <a:extLst>
                <a:ext uri="{63B3BB69-23CF-44E3-9099-C40C66FF867C}">
                  <a14:compatExt spid="_x0000_s33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54</xdr:row>
          <xdr:rowOff>0</xdr:rowOff>
        </xdr:from>
        <xdr:to>
          <xdr:col>5</xdr:col>
          <xdr:colOff>0</xdr:colOff>
          <xdr:row>55</xdr:row>
          <xdr:rowOff>0</xdr:rowOff>
        </xdr:to>
        <xdr:sp macro="" textlink="">
          <xdr:nvSpPr>
            <xdr:cNvPr id="34000" name="Drop Down 208" hidden="1">
              <a:extLst>
                <a:ext uri="{63B3BB69-23CF-44E3-9099-C40C66FF867C}">
                  <a14:compatExt spid="_x0000_s34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55</xdr:row>
          <xdr:rowOff>0</xdr:rowOff>
        </xdr:from>
        <xdr:to>
          <xdr:col>5</xdr:col>
          <xdr:colOff>0</xdr:colOff>
          <xdr:row>56</xdr:row>
          <xdr:rowOff>0</xdr:rowOff>
        </xdr:to>
        <xdr:sp macro="" textlink="">
          <xdr:nvSpPr>
            <xdr:cNvPr id="34001" name="Drop Down 209" hidden="1">
              <a:extLst>
                <a:ext uri="{63B3BB69-23CF-44E3-9099-C40C66FF867C}">
                  <a14:compatExt spid="_x0000_s34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6</xdr:row>
          <xdr:rowOff>0</xdr:rowOff>
        </xdr:from>
        <xdr:to>
          <xdr:col>24</xdr:col>
          <xdr:colOff>0</xdr:colOff>
          <xdr:row>7</xdr:row>
          <xdr:rowOff>0</xdr:rowOff>
        </xdr:to>
        <xdr:sp macro="" textlink="">
          <xdr:nvSpPr>
            <xdr:cNvPr id="34002" name="Drop Down 210" hidden="1">
              <a:extLst>
                <a:ext uri="{63B3BB69-23CF-44E3-9099-C40C66FF867C}">
                  <a14:compatExt spid="_x0000_s34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6</xdr:row>
          <xdr:rowOff>0</xdr:rowOff>
        </xdr:from>
        <xdr:to>
          <xdr:col>25</xdr:col>
          <xdr:colOff>0</xdr:colOff>
          <xdr:row>7</xdr:row>
          <xdr:rowOff>0</xdr:rowOff>
        </xdr:to>
        <xdr:sp macro="" textlink="">
          <xdr:nvSpPr>
            <xdr:cNvPr id="34003" name="Drop Down 211" hidden="1">
              <a:extLst>
                <a:ext uri="{63B3BB69-23CF-44E3-9099-C40C66FF867C}">
                  <a14:compatExt spid="_x0000_s34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7</xdr:row>
          <xdr:rowOff>0</xdr:rowOff>
        </xdr:from>
        <xdr:to>
          <xdr:col>24</xdr:col>
          <xdr:colOff>0</xdr:colOff>
          <xdr:row>8</xdr:row>
          <xdr:rowOff>0</xdr:rowOff>
        </xdr:to>
        <xdr:sp macro="" textlink="">
          <xdr:nvSpPr>
            <xdr:cNvPr id="34004" name="Drop Down 212" hidden="1">
              <a:extLst>
                <a:ext uri="{63B3BB69-23CF-44E3-9099-C40C66FF867C}">
                  <a14:compatExt spid="_x0000_s34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8</xdr:row>
          <xdr:rowOff>0</xdr:rowOff>
        </xdr:from>
        <xdr:to>
          <xdr:col>24</xdr:col>
          <xdr:colOff>0</xdr:colOff>
          <xdr:row>9</xdr:row>
          <xdr:rowOff>0</xdr:rowOff>
        </xdr:to>
        <xdr:sp macro="" textlink="">
          <xdr:nvSpPr>
            <xdr:cNvPr id="34005" name="Drop Down 213" hidden="1">
              <a:extLst>
                <a:ext uri="{63B3BB69-23CF-44E3-9099-C40C66FF867C}">
                  <a14:compatExt spid="_x0000_s34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9</xdr:row>
          <xdr:rowOff>0</xdr:rowOff>
        </xdr:from>
        <xdr:to>
          <xdr:col>24</xdr:col>
          <xdr:colOff>0</xdr:colOff>
          <xdr:row>10</xdr:row>
          <xdr:rowOff>0</xdr:rowOff>
        </xdr:to>
        <xdr:sp macro="" textlink="">
          <xdr:nvSpPr>
            <xdr:cNvPr id="34006" name="Drop Down 214" hidden="1">
              <a:extLst>
                <a:ext uri="{63B3BB69-23CF-44E3-9099-C40C66FF867C}">
                  <a14:compatExt spid="_x0000_s34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10</xdr:row>
          <xdr:rowOff>0</xdr:rowOff>
        </xdr:from>
        <xdr:to>
          <xdr:col>24</xdr:col>
          <xdr:colOff>0</xdr:colOff>
          <xdr:row>11</xdr:row>
          <xdr:rowOff>0</xdr:rowOff>
        </xdr:to>
        <xdr:sp macro="" textlink="">
          <xdr:nvSpPr>
            <xdr:cNvPr id="34007" name="Drop Down 215" hidden="1">
              <a:extLst>
                <a:ext uri="{63B3BB69-23CF-44E3-9099-C40C66FF867C}">
                  <a14:compatExt spid="_x0000_s340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7</xdr:row>
          <xdr:rowOff>0</xdr:rowOff>
        </xdr:from>
        <xdr:to>
          <xdr:col>25</xdr:col>
          <xdr:colOff>0</xdr:colOff>
          <xdr:row>8</xdr:row>
          <xdr:rowOff>0</xdr:rowOff>
        </xdr:to>
        <xdr:sp macro="" textlink="">
          <xdr:nvSpPr>
            <xdr:cNvPr id="34008" name="Drop Down 216" hidden="1">
              <a:extLst>
                <a:ext uri="{63B3BB69-23CF-44E3-9099-C40C66FF867C}">
                  <a14:compatExt spid="_x0000_s340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8</xdr:row>
          <xdr:rowOff>0</xdr:rowOff>
        </xdr:from>
        <xdr:to>
          <xdr:col>25</xdr:col>
          <xdr:colOff>0</xdr:colOff>
          <xdr:row>9</xdr:row>
          <xdr:rowOff>0</xdr:rowOff>
        </xdr:to>
        <xdr:sp macro="" textlink="">
          <xdr:nvSpPr>
            <xdr:cNvPr id="34009" name="Drop Down 217" hidden="1">
              <a:extLst>
                <a:ext uri="{63B3BB69-23CF-44E3-9099-C40C66FF867C}">
                  <a14:compatExt spid="_x0000_s34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9</xdr:row>
          <xdr:rowOff>0</xdr:rowOff>
        </xdr:from>
        <xdr:to>
          <xdr:col>25</xdr:col>
          <xdr:colOff>0</xdr:colOff>
          <xdr:row>10</xdr:row>
          <xdr:rowOff>0</xdr:rowOff>
        </xdr:to>
        <xdr:sp macro="" textlink="">
          <xdr:nvSpPr>
            <xdr:cNvPr id="34010" name="Drop Down 218" hidden="1">
              <a:extLst>
                <a:ext uri="{63B3BB69-23CF-44E3-9099-C40C66FF867C}">
                  <a14:compatExt spid="_x0000_s34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10</xdr:row>
          <xdr:rowOff>0</xdr:rowOff>
        </xdr:from>
        <xdr:to>
          <xdr:col>25</xdr:col>
          <xdr:colOff>0</xdr:colOff>
          <xdr:row>11</xdr:row>
          <xdr:rowOff>0</xdr:rowOff>
        </xdr:to>
        <xdr:sp macro="" textlink="">
          <xdr:nvSpPr>
            <xdr:cNvPr id="34011" name="Drop Down 219" hidden="1">
              <a:extLst>
                <a:ext uri="{63B3BB69-23CF-44E3-9099-C40C66FF867C}">
                  <a14:compatExt spid="_x0000_s340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15</xdr:row>
          <xdr:rowOff>0</xdr:rowOff>
        </xdr:from>
        <xdr:to>
          <xdr:col>24</xdr:col>
          <xdr:colOff>0</xdr:colOff>
          <xdr:row>16</xdr:row>
          <xdr:rowOff>0</xdr:rowOff>
        </xdr:to>
        <xdr:sp macro="" textlink="">
          <xdr:nvSpPr>
            <xdr:cNvPr id="34012" name="Drop Down 220" hidden="1">
              <a:extLst>
                <a:ext uri="{63B3BB69-23CF-44E3-9099-C40C66FF867C}">
                  <a14:compatExt spid="_x0000_s340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16</xdr:row>
          <xdr:rowOff>0</xdr:rowOff>
        </xdr:from>
        <xdr:to>
          <xdr:col>24</xdr:col>
          <xdr:colOff>0</xdr:colOff>
          <xdr:row>17</xdr:row>
          <xdr:rowOff>0</xdr:rowOff>
        </xdr:to>
        <xdr:sp macro="" textlink="">
          <xdr:nvSpPr>
            <xdr:cNvPr id="34013" name="Drop Down 221" hidden="1">
              <a:extLst>
                <a:ext uri="{63B3BB69-23CF-44E3-9099-C40C66FF867C}">
                  <a14:compatExt spid="_x0000_s340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17</xdr:row>
          <xdr:rowOff>0</xdr:rowOff>
        </xdr:from>
        <xdr:to>
          <xdr:col>24</xdr:col>
          <xdr:colOff>0</xdr:colOff>
          <xdr:row>18</xdr:row>
          <xdr:rowOff>0</xdr:rowOff>
        </xdr:to>
        <xdr:sp macro="" textlink="">
          <xdr:nvSpPr>
            <xdr:cNvPr id="34014" name="Drop Down 222" hidden="1">
              <a:extLst>
                <a:ext uri="{63B3BB69-23CF-44E3-9099-C40C66FF867C}">
                  <a14:compatExt spid="_x0000_s340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18</xdr:row>
          <xdr:rowOff>0</xdr:rowOff>
        </xdr:from>
        <xdr:to>
          <xdr:col>24</xdr:col>
          <xdr:colOff>0</xdr:colOff>
          <xdr:row>19</xdr:row>
          <xdr:rowOff>0</xdr:rowOff>
        </xdr:to>
        <xdr:sp macro="" textlink="">
          <xdr:nvSpPr>
            <xdr:cNvPr id="34015" name="Drop Down 223" hidden="1">
              <a:extLst>
                <a:ext uri="{63B3BB69-23CF-44E3-9099-C40C66FF867C}">
                  <a14:compatExt spid="_x0000_s340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19</xdr:row>
          <xdr:rowOff>0</xdr:rowOff>
        </xdr:from>
        <xdr:to>
          <xdr:col>24</xdr:col>
          <xdr:colOff>0</xdr:colOff>
          <xdr:row>20</xdr:row>
          <xdr:rowOff>0</xdr:rowOff>
        </xdr:to>
        <xdr:sp macro="" textlink="">
          <xdr:nvSpPr>
            <xdr:cNvPr id="34016" name="Drop Down 224" hidden="1">
              <a:extLst>
                <a:ext uri="{63B3BB69-23CF-44E3-9099-C40C66FF867C}">
                  <a14:compatExt spid="_x0000_s340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15</xdr:row>
          <xdr:rowOff>0</xdr:rowOff>
        </xdr:from>
        <xdr:to>
          <xdr:col>25</xdr:col>
          <xdr:colOff>0</xdr:colOff>
          <xdr:row>16</xdr:row>
          <xdr:rowOff>0</xdr:rowOff>
        </xdr:to>
        <xdr:sp macro="" textlink="">
          <xdr:nvSpPr>
            <xdr:cNvPr id="34017" name="Drop Down 225" hidden="1">
              <a:extLst>
                <a:ext uri="{63B3BB69-23CF-44E3-9099-C40C66FF867C}">
                  <a14:compatExt spid="_x0000_s340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16</xdr:row>
          <xdr:rowOff>0</xdr:rowOff>
        </xdr:from>
        <xdr:to>
          <xdr:col>25</xdr:col>
          <xdr:colOff>0</xdr:colOff>
          <xdr:row>17</xdr:row>
          <xdr:rowOff>0</xdr:rowOff>
        </xdr:to>
        <xdr:sp macro="" textlink="">
          <xdr:nvSpPr>
            <xdr:cNvPr id="34018" name="Drop Down 226" hidden="1">
              <a:extLst>
                <a:ext uri="{63B3BB69-23CF-44E3-9099-C40C66FF867C}">
                  <a14:compatExt spid="_x0000_s340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17</xdr:row>
          <xdr:rowOff>0</xdr:rowOff>
        </xdr:from>
        <xdr:to>
          <xdr:col>25</xdr:col>
          <xdr:colOff>0</xdr:colOff>
          <xdr:row>18</xdr:row>
          <xdr:rowOff>0</xdr:rowOff>
        </xdr:to>
        <xdr:sp macro="" textlink="">
          <xdr:nvSpPr>
            <xdr:cNvPr id="34019" name="Drop Down 227" hidden="1">
              <a:extLst>
                <a:ext uri="{63B3BB69-23CF-44E3-9099-C40C66FF867C}">
                  <a14:compatExt spid="_x0000_s34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18</xdr:row>
          <xdr:rowOff>0</xdr:rowOff>
        </xdr:from>
        <xdr:to>
          <xdr:col>25</xdr:col>
          <xdr:colOff>0</xdr:colOff>
          <xdr:row>19</xdr:row>
          <xdr:rowOff>0</xdr:rowOff>
        </xdr:to>
        <xdr:sp macro="" textlink="">
          <xdr:nvSpPr>
            <xdr:cNvPr id="34020" name="Drop Down 228" hidden="1">
              <a:extLst>
                <a:ext uri="{63B3BB69-23CF-44E3-9099-C40C66FF867C}">
                  <a14:compatExt spid="_x0000_s34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19</xdr:row>
          <xdr:rowOff>0</xdr:rowOff>
        </xdr:from>
        <xdr:to>
          <xdr:col>25</xdr:col>
          <xdr:colOff>0</xdr:colOff>
          <xdr:row>20</xdr:row>
          <xdr:rowOff>0</xdr:rowOff>
        </xdr:to>
        <xdr:sp macro="" textlink="">
          <xdr:nvSpPr>
            <xdr:cNvPr id="34021" name="Drop Down 229" hidden="1">
              <a:extLst>
                <a:ext uri="{63B3BB69-23CF-44E3-9099-C40C66FF867C}">
                  <a14:compatExt spid="_x0000_s340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24</xdr:row>
          <xdr:rowOff>0</xdr:rowOff>
        </xdr:from>
        <xdr:to>
          <xdr:col>24</xdr:col>
          <xdr:colOff>0</xdr:colOff>
          <xdr:row>25</xdr:row>
          <xdr:rowOff>0</xdr:rowOff>
        </xdr:to>
        <xdr:sp macro="" textlink="">
          <xdr:nvSpPr>
            <xdr:cNvPr id="34022" name="Drop Down 230" hidden="1">
              <a:extLst>
                <a:ext uri="{63B3BB69-23CF-44E3-9099-C40C66FF867C}">
                  <a14:compatExt spid="_x0000_s340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24</xdr:row>
          <xdr:rowOff>0</xdr:rowOff>
        </xdr:from>
        <xdr:to>
          <xdr:col>25</xdr:col>
          <xdr:colOff>0</xdr:colOff>
          <xdr:row>25</xdr:row>
          <xdr:rowOff>0</xdr:rowOff>
        </xdr:to>
        <xdr:sp macro="" textlink="">
          <xdr:nvSpPr>
            <xdr:cNvPr id="34023" name="Drop Down 231" hidden="1">
              <a:extLst>
                <a:ext uri="{63B3BB69-23CF-44E3-9099-C40C66FF867C}">
                  <a14:compatExt spid="_x0000_s340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25</xdr:row>
          <xdr:rowOff>0</xdr:rowOff>
        </xdr:from>
        <xdr:to>
          <xdr:col>25</xdr:col>
          <xdr:colOff>0</xdr:colOff>
          <xdr:row>26</xdr:row>
          <xdr:rowOff>0</xdr:rowOff>
        </xdr:to>
        <xdr:sp macro="" textlink="">
          <xdr:nvSpPr>
            <xdr:cNvPr id="34024" name="Drop Down 232" hidden="1">
              <a:extLst>
                <a:ext uri="{63B3BB69-23CF-44E3-9099-C40C66FF867C}">
                  <a14:compatExt spid="_x0000_s340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26</xdr:row>
          <xdr:rowOff>0</xdr:rowOff>
        </xdr:from>
        <xdr:to>
          <xdr:col>25</xdr:col>
          <xdr:colOff>0</xdr:colOff>
          <xdr:row>27</xdr:row>
          <xdr:rowOff>0</xdr:rowOff>
        </xdr:to>
        <xdr:sp macro="" textlink="">
          <xdr:nvSpPr>
            <xdr:cNvPr id="34025" name="Drop Down 233" hidden="1">
              <a:extLst>
                <a:ext uri="{63B3BB69-23CF-44E3-9099-C40C66FF867C}">
                  <a14:compatExt spid="_x0000_s34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27</xdr:row>
          <xdr:rowOff>0</xdr:rowOff>
        </xdr:from>
        <xdr:to>
          <xdr:col>25</xdr:col>
          <xdr:colOff>0</xdr:colOff>
          <xdr:row>28</xdr:row>
          <xdr:rowOff>0</xdr:rowOff>
        </xdr:to>
        <xdr:sp macro="" textlink="">
          <xdr:nvSpPr>
            <xdr:cNvPr id="34026" name="Drop Down 234" hidden="1">
              <a:extLst>
                <a:ext uri="{63B3BB69-23CF-44E3-9099-C40C66FF867C}">
                  <a14:compatExt spid="_x0000_s34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28</xdr:row>
          <xdr:rowOff>0</xdr:rowOff>
        </xdr:from>
        <xdr:to>
          <xdr:col>25</xdr:col>
          <xdr:colOff>0</xdr:colOff>
          <xdr:row>29</xdr:row>
          <xdr:rowOff>0</xdr:rowOff>
        </xdr:to>
        <xdr:sp macro="" textlink="">
          <xdr:nvSpPr>
            <xdr:cNvPr id="34027" name="Drop Down 235" hidden="1">
              <a:extLst>
                <a:ext uri="{63B3BB69-23CF-44E3-9099-C40C66FF867C}">
                  <a14:compatExt spid="_x0000_s34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25</xdr:row>
          <xdr:rowOff>0</xdr:rowOff>
        </xdr:from>
        <xdr:to>
          <xdr:col>24</xdr:col>
          <xdr:colOff>0</xdr:colOff>
          <xdr:row>26</xdr:row>
          <xdr:rowOff>0</xdr:rowOff>
        </xdr:to>
        <xdr:sp macro="" textlink="">
          <xdr:nvSpPr>
            <xdr:cNvPr id="34028" name="Drop Down 236" hidden="1">
              <a:extLst>
                <a:ext uri="{63B3BB69-23CF-44E3-9099-C40C66FF867C}">
                  <a14:compatExt spid="_x0000_s34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26</xdr:row>
          <xdr:rowOff>0</xdr:rowOff>
        </xdr:from>
        <xdr:to>
          <xdr:col>24</xdr:col>
          <xdr:colOff>0</xdr:colOff>
          <xdr:row>27</xdr:row>
          <xdr:rowOff>0</xdr:rowOff>
        </xdr:to>
        <xdr:sp macro="" textlink="">
          <xdr:nvSpPr>
            <xdr:cNvPr id="34029" name="Drop Down 237" hidden="1">
              <a:extLst>
                <a:ext uri="{63B3BB69-23CF-44E3-9099-C40C66FF867C}">
                  <a14:compatExt spid="_x0000_s34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27</xdr:row>
          <xdr:rowOff>0</xdr:rowOff>
        </xdr:from>
        <xdr:to>
          <xdr:col>24</xdr:col>
          <xdr:colOff>0</xdr:colOff>
          <xdr:row>28</xdr:row>
          <xdr:rowOff>0</xdr:rowOff>
        </xdr:to>
        <xdr:sp macro="" textlink="">
          <xdr:nvSpPr>
            <xdr:cNvPr id="34030" name="Drop Down 238" hidden="1">
              <a:extLst>
                <a:ext uri="{63B3BB69-23CF-44E3-9099-C40C66FF867C}">
                  <a14:compatExt spid="_x0000_s34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28</xdr:row>
          <xdr:rowOff>0</xdr:rowOff>
        </xdr:from>
        <xdr:to>
          <xdr:col>24</xdr:col>
          <xdr:colOff>0</xdr:colOff>
          <xdr:row>29</xdr:row>
          <xdr:rowOff>0</xdr:rowOff>
        </xdr:to>
        <xdr:sp macro="" textlink="">
          <xdr:nvSpPr>
            <xdr:cNvPr id="34031" name="Drop Down 239" hidden="1">
              <a:extLst>
                <a:ext uri="{63B3BB69-23CF-44E3-9099-C40C66FF867C}">
                  <a14:compatExt spid="_x0000_s34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33</xdr:row>
          <xdr:rowOff>0</xdr:rowOff>
        </xdr:from>
        <xdr:to>
          <xdr:col>24</xdr:col>
          <xdr:colOff>0</xdr:colOff>
          <xdr:row>34</xdr:row>
          <xdr:rowOff>0</xdr:rowOff>
        </xdr:to>
        <xdr:sp macro="" textlink="">
          <xdr:nvSpPr>
            <xdr:cNvPr id="34032" name="Drop Down 240" hidden="1">
              <a:extLst>
                <a:ext uri="{63B3BB69-23CF-44E3-9099-C40C66FF867C}">
                  <a14:compatExt spid="_x0000_s34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33</xdr:row>
          <xdr:rowOff>0</xdr:rowOff>
        </xdr:from>
        <xdr:to>
          <xdr:col>25</xdr:col>
          <xdr:colOff>0</xdr:colOff>
          <xdr:row>34</xdr:row>
          <xdr:rowOff>0</xdr:rowOff>
        </xdr:to>
        <xdr:sp macro="" textlink="">
          <xdr:nvSpPr>
            <xdr:cNvPr id="34033" name="Drop Down 241" hidden="1">
              <a:extLst>
                <a:ext uri="{63B3BB69-23CF-44E3-9099-C40C66FF867C}">
                  <a14:compatExt spid="_x0000_s34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34</xdr:row>
          <xdr:rowOff>0</xdr:rowOff>
        </xdr:from>
        <xdr:to>
          <xdr:col>24</xdr:col>
          <xdr:colOff>0</xdr:colOff>
          <xdr:row>35</xdr:row>
          <xdr:rowOff>0</xdr:rowOff>
        </xdr:to>
        <xdr:sp macro="" textlink="">
          <xdr:nvSpPr>
            <xdr:cNvPr id="34034" name="Drop Down 242" hidden="1">
              <a:extLst>
                <a:ext uri="{63B3BB69-23CF-44E3-9099-C40C66FF867C}">
                  <a14:compatExt spid="_x0000_s34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35</xdr:row>
          <xdr:rowOff>0</xdr:rowOff>
        </xdr:from>
        <xdr:to>
          <xdr:col>24</xdr:col>
          <xdr:colOff>0</xdr:colOff>
          <xdr:row>36</xdr:row>
          <xdr:rowOff>0</xdr:rowOff>
        </xdr:to>
        <xdr:sp macro="" textlink="">
          <xdr:nvSpPr>
            <xdr:cNvPr id="34035" name="Drop Down 243" hidden="1">
              <a:extLst>
                <a:ext uri="{63B3BB69-23CF-44E3-9099-C40C66FF867C}">
                  <a14:compatExt spid="_x0000_s34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36</xdr:row>
          <xdr:rowOff>0</xdr:rowOff>
        </xdr:from>
        <xdr:to>
          <xdr:col>24</xdr:col>
          <xdr:colOff>0</xdr:colOff>
          <xdr:row>37</xdr:row>
          <xdr:rowOff>0</xdr:rowOff>
        </xdr:to>
        <xdr:sp macro="" textlink="">
          <xdr:nvSpPr>
            <xdr:cNvPr id="34036" name="Drop Down 244" hidden="1">
              <a:extLst>
                <a:ext uri="{63B3BB69-23CF-44E3-9099-C40C66FF867C}">
                  <a14:compatExt spid="_x0000_s34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37</xdr:row>
          <xdr:rowOff>0</xdr:rowOff>
        </xdr:from>
        <xdr:to>
          <xdr:col>24</xdr:col>
          <xdr:colOff>0</xdr:colOff>
          <xdr:row>38</xdr:row>
          <xdr:rowOff>0</xdr:rowOff>
        </xdr:to>
        <xdr:sp macro="" textlink="">
          <xdr:nvSpPr>
            <xdr:cNvPr id="34037" name="Drop Down 245" hidden="1">
              <a:extLst>
                <a:ext uri="{63B3BB69-23CF-44E3-9099-C40C66FF867C}">
                  <a14:compatExt spid="_x0000_s34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34</xdr:row>
          <xdr:rowOff>0</xdr:rowOff>
        </xdr:from>
        <xdr:to>
          <xdr:col>25</xdr:col>
          <xdr:colOff>0</xdr:colOff>
          <xdr:row>35</xdr:row>
          <xdr:rowOff>0</xdr:rowOff>
        </xdr:to>
        <xdr:sp macro="" textlink="">
          <xdr:nvSpPr>
            <xdr:cNvPr id="34038" name="Drop Down 246" hidden="1">
              <a:extLst>
                <a:ext uri="{63B3BB69-23CF-44E3-9099-C40C66FF867C}">
                  <a14:compatExt spid="_x0000_s34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35</xdr:row>
          <xdr:rowOff>0</xdr:rowOff>
        </xdr:from>
        <xdr:to>
          <xdr:col>25</xdr:col>
          <xdr:colOff>0</xdr:colOff>
          <xdr:row>36</xdr:row>
          <xdr:rowOff>0</xdr:rowOff>
        </xdr:to>
        <xdr:sp macro="" textlink="">
          <xdr:nvSpPr>
            <xdr:cNvPr id="34039" name="Drop Down 247" hidden="1">
              <a:extLst>
                <a:ext uri="{63B3BB69-23CF-44E3-9099-C40C66FF867C}">
                  <a14:compatExt spid="_x0000_s34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36</xdr:row>
          <xdr:rowOff>0</xdr:rowOff>
        </xdr:from>
        <xdr:to>
          <xdr:col>25</xdr:col>
          <xdr:colOff>0</xdr:colOff>
          <xdr:row>37</xdr:row>
          <xdr:rowOff>0</xdr:rowOff>
        </xdr:to>
        <xdr:sp macro="" textlink="">
          <xdr:nvSpPr>
            <xdr:cNvPr id="34040" name="Drop Down 248" hidden="1">
              <a:extLst>
                <a:ext uri="{63B3BB69-23CF-44E3-9099-C40C66FF867C}">
                  <a14:compatExt spid="_x0000_s34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37</xdr:row>
          <xdr:rowOff>0</xdr:rowOff>
        </xdr:from>
        <xdr:to>
          <xdr:col>25</xdr:col>
          <xdr:colOff>0</xdr:colOff>
          <xdr:row>38</xdr:row>
          <xdr:rowOff>0</xdr:rowOff>
        </xdr:to>
        <xdr:sp macro="" textlink="">
          <xdr:nvSpPr>
            <xdr:cNvPr id="34041" name="Drop Down 249" hidden="1">
              <a:extLst>
                <a:ext uri="{63B3BB69-23CF-44E3-9099-C40C66FF867C}">
                  <a14:compatExt spid="_x0000_s34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42</xdr:row>
          <xdr:rowOff>0</xdr:rowOff>
        </xdr:from>
        <xdr:to>
          <xdr:col>24</xdr:col>
          <xdr:colOff>0</xdr:colOff>
          <xdr:row>43</xdr:row>
          <xdr:rowOff>0</xdr:rowOff>
        </xdr:to>
        <xdr:sp macro="" textlink="">
          <xdr:nvSpPr>
            <xdr:cNvPr id="34042" name="Drop Down 250" hidden="1">
              <a:extLst>
                <a:ext uri="{63B3BB69-23CF-44E3-9099-C40C66FF867C}">
                  <a14:compatExt spid="_x0000_s34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42</xdr:row>
          <xdr:rowOff>0</xdr:rowOff>
        </xdr:from>
        <xdr:to>
          <xdr:col>25</xdr:col>
          <xdr:colOff>0</xdr:colOff>
          <xdr:row>43</xdr:row>
          <xdr:rowOff>0</xdr:rowOff>
        </xdr:to>
        <xdr:sp macro="" textlink="">
          <xdr:nvSpPr>
            <xdr:cNvPr id="34043" name="Drop Down 251" hidden="1">
              <a:extLst>
                <a:ext uri="{63B3BB69-23CF-44E3-9099-C40C66FF867C}">
                  <a14:compatExt spid="_x0000_s34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43</xdr:row>
          <xdr:rowOff>0</xdr:rowOff>
        </xdr:from>
        <xdr:to>
          <xdr:col>24</xdr:col>
          <xdr:colOff>0</xdr:colOff>
          <xdr:row>44</xdr:row>
          <xdr:rowOff>0</xdr:rowOff>
        </xdr:to>
        <xdr:sp macro="" textlink="">
          <xdr:nvSpPr>
            <xdr:cNvPr id="34044" name="Drop Down 252" hidden="1">
              <a:extLst>
                <a:ext uri="{63B3BB69-23CF-44E3-9099-C40C66FF867C}">
                  <a14:compatExt spid="_x0000_s34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44</xdr:row>
          <xdr:rowOff>0</xdr:rowOff>
        </xdr:from>
        <xdr:to>
          <xdr:col>24</xdr:col>
          <xdr:colOff>0</xdr:colOff>
          <xdr:row>45</xdr:row>
          <xdr:rowOff>0</xdr:rowOff>
        </xdr:to>
        <xdr:sp macro="" textlink="">
          <xdr:nvSpPr>
            <xdr:cNvPr id="34045" name="Drop Down 253" hidden="1">
              <a:extLst>
                <a:ext uri="{63B3BB69-23CF-44E3-9099-C40C66FF867C}">
                  <a14:compatExt spid="_x0000_s34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45</xdr:row>
          <xdr:rowOff>0</xdr:rowOff>
        </xdr:from>
        <xdr:to>
          <xdr:col>24</xdr:col>
          <xdr:colOff>0</xdr:colOff>
          <xdr:row>46</xdr:row>
          <xdr:rowOff>0</xdr:rowOff>
        </xdr:to>
        <xdr:sp macro="" textlink="">
          <xdr:nvSpPr>
            <xdr:cNvPr id="34046" name="Drop Down 254" hidden="1">
              <a:extLst>
                <a:ext uri="{63B3BB69-23CF-44E3-9099-C40C66FF867C}">
                  <a14:compatExt spid="_x0000_s34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46</xdr:row>
          <xdr:rowOff>0</xdr:rowOff>
        </xdr:from>
        <xdr:to>
          <xdr:col>24</xdr:col>
          <xdr:colOff>0</xdr:colOff>
          <xdr:row>47</xdr:row>
          <xdr:rowOff>0</xdr:rowOff>
        </xdr:to>
        <xdr:sp macro="" textlink="">
          <xdr:nvSpPr>
            <xdr:cNvPr id="34047" name="Drop Down 255" hidden="1">
              <a:extLst>
                <a:ext uri="{63B3BB69-23CF-44E3-9099-C40C66FF867C}">
                  <a14:compatExt spid="_x0000_s34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43</xdr:row>
          <xdr:rowOff>0</xdr:rowOff>
        </xdr:from>
        <xdr:to>
          <xdr:col>25</xdr:col>
          <xdr:colOff>0</xdr:colOff>
          <xdr:row>44</xdr:row>
          <xdr:rowOff>0</xdr:rowOff>
        </xdr:to>
        <xdr:sp macro="" textlink="">
          <xdr:nvSpPr>
            <xdr:cNvPr id="34048" name="Drop Down 256" hidden="1">
              <a:extLst>
                <a:ext uri="{63B3BB69-23CF-44E3-9099-C40C66FF867C}">
                  <a14:compatExt spid="_x0000_s34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44</xdr:row>
          <xdr:rowOff>0</xdr:rowOff>
        </xdr:from>
        <xdr:to>
          <xdr:col>25</xdr:col>
          <xdr:colOff>0</xdr:colOff>
          <xdr:row>45</xdr:row>
          <xdr:rowOff>0</xdr:rowOff>
        </xdr:to>
        <xdr:sp macro="" textlink="">
          <xdr:nvSpPr>
            <xdr:cNvPr id="34049" name="Drop Down 257" hidden="1">
              <a:extLst>
                <a:ext uri="{63B3BB69-23CF-44E3-9099-C40C66FF867C}">
                  <a14:compatExt spid="_x0000_s34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45</xdr:row>
          <xdr:rowOff>0</xdr:rowOff>
        </xdr:from>
        <xdr:to>
          <xdr:col>25</xdr:col>
          <xdr:colOff>0</xdr:colOff>
          <xdr:row>46</xdr:row>
          <xdr:rowOff>0</xdr:rowOff>
        </xdr:to>
        <xdr:sp macro="" textlink="">
          <xdr:nvSpPr>
            <xdr:cNvPr id="34050" name="Drop Down 258" hidden="1">
              <a:extLst>
                <a:ext uri="{63B3BB69-23CF-44E3-9099-C40C66FF867C}">
                  <a14:compatExt spid="_x0000_s34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46</xdr:row>
          <xdr:rowOff>0</xdr:rowOff>
        </xdr:from>
        <xdr:to>
          <xdr:col>25</xdr:col>
          <xdr:colOff>0</xdr:colOff>
          <xdr:row>47</xdr:row>
          <xdr:rowOff>0</xdr:rowOff>
        </xdr:to>
        <xdr:sp macro="" textlink="">
          <xdr:nvSpPr>
            <xdr:cNvPr id="34051" name="Drop Down 259" hidden="1">
              <a:extLst>
                <a:ext uri="{63B3BB69-23CF-44E3-9099-C40C66FF867C}">
                  <a14:compatExt spid="_x0000_s34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51</xdr:row>
          <xdr:rowOff>0</xdr:rowOff>
        </xdr:from>
        <xdr:to>
          <xdr:col>24</xdr:col>
          <xdr:colOff>0</xdr:colOff>
          <xdr:row>52</xdr:row>
          <xdr:rowOff>0</xdr:rowOff>
        </xdr:to>
        <xdr:sp macro="" textlink="">
          <xdr:nvSpPr>
            <xdr:cNvPr id="34052" name="Drop Down 260" hidden="1">
              <a:extLst>
                <a:ext uri="{63B3BB69-23CF-44E3-9099-C40C66FF867C}">
                  <a14:compatExt spid="_x0000_s34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51</xdr:row>
          <xdr:rowOff>0</xdr:rowOff>
        </xdr:from>
        <xdr:to>
          <xdr:col>25</xdr:col>
          <xdr:colOff>0</xdr:colOff>
          <xdr:row>52</xdr:row>
          <xdr:rowOff>0</xdr:rowOff>
        </xdr:to>
        <xdr:sp macro="" textlink="">
          <xdr:nvSpPr>
            <xdr:cNvPr id="34053" name="Drop Down 261" hidden="1">
              <a:extLst>
                <a:ext uri="{63B3BB69-23CF-44E3-9099-C40C66FF867C}">
                  <a14:compatExt spid="_x0000_s34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52</xdr:row>
          <xdr:rowOff>0</xdr:rowOff>
        </xdr:from>
        <xdr:to>
          <xdr:col>24</xdr:col>
          <xdr:colOff>0</xdr:colOff>
          <xdr:row>53</xdr:row>
          <xdr:rowOff>0</xdr:rowOff>
        </xdr:to>
        <xdr:sp macro="" textlink="">
          <xdr:nvSpPr>
            <xdr:cNvPr id="34054" name="Drop Down 262" hidden="1">
              <a:extLst>
                <a:ext uri="{63B3BB69-23CF-44E3-9099-C40C66FF867C}">
                  <a14:compatExt spid="_x0000_s34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53</xdr:row>
          <xdr:rowOff>0</xdr:rowOff>
        </xdr:from>
        <xdr:to>
          <xdr:col>24</xdr:col>
          <xdr:colOff>0</xdr:colOff>
          <xdr:row>54</xdr:row>
          <xdr:rowOff>0</xdr:rowOff>
        </xdr:to>
        <xdr:sp macro="" textlink="">
          <xdr:nvSpPr>
            <xdr:cNvPr id="34055" name="Drop Down 263" hidden="1">
              <a:extLst>
                <a:ext uri="{63B3BB69-23CF-44E3-9099-C40C66FF867C}">
                  <a14:compatExt spid="_x0000_s34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54</xdr:row>
          <xdr:rowOff>0</xdr:rowOff>
        </xdr:from>
        <xdr:to>
          <xdr:col>24</xdr:col>
          <xdr:colOff>0</xdr:colOff>
          <xdr:row>55</xdr:row>
          <xdr:rowOff>0</xdr:rowOff>
        </xdr:to>
        <xdr:sp macro="" textlink="">
          <xdr:nvSpPr>
            <xdr:cNvPr id="34056" name="Drop Down 264" hidden="1">
              <a:extLst>
                <a:ext uri="{63B3BB69-23CF-44E3-9099-C40C66FF867C}">
                  <a14:compatExt spid="_x0000_s34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55</xdr:row>
          <xdr:rowOff>0</xdr:rowOff>
        </xdr:from>
        <xdr:to>
          <xdr:col>24</xdr:col>
          <xdr:colOff>0</xdr:colOff>
          <xdr:row>56</xdr:row>
          <xdr:rowOff>0</xdr:rowOff>
        </xdr:to>
        <xdr:sp macro="" textlink="">
          <xdr:nvSpPr>
            <xdr:cNvPr id="34057" name="Drop Down 265" hidden="1">
              <a:extLst>
                <a:ext uri="{63B3BB69-23CF-44E3-9099-C40C66FF867C}">
                  <a14:compatExt spid="_x0000_s34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52</xdr:row>
          <xdr:rowOff>0</xdr:rowOff>
        </xdr:from>
        <xdr:to>
          <xdr:col>25</xdr:col>
          <xdr:colOff>0</xdr:colOff>
          <xdr:row>53</xdr:row>
          <xdr:rowOff>0</xdr:rowOff>
        </xdr:to>
        <xdr:sp macro="" textlink="">
          <xdr:nvSpPr>
            <xdr:cNvPr id="34058" name="Drop Down 266" hidden="1">
              <a:extLst>
                <a:ext uri="{63B3BB69-23CF-44E3-9099-C40C66FF867C}">
                  <a14:compatExt spid="_x0000_s34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53</xdr:row>
          <xdr:rowOff>0</xdr:rowOff>
        </xdr:from>
        <xdr:to>
          <xdr:col>25</xdr:col>
          <xdr:colOff>0</xdr:colOff>
          <xdr:row>54</xdr:row>
          <xdr:rowOff>0</xdr:rowOff>
        </xdr:to>
        <xdr:sp macro="" textlink="">
          <xdr:nvSpPr>
            <xdr:cNvPr id="34059" name="Drop Down 267" hidden="1">
              <a:extLst>
                <a:ext uri="{63B3BB69-23CF-44E3-9099-C40C66FF867C}">
                  <a14:compatExt spid="_x0000_s34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54</xdr:row>
          <xdr:rowOff>0</xdr:rowOff>
        </xdr:from>
        <xdr:to>
          <xdr:col>25</xdr:col>
          <xdr:colOff>0</xdr:colOff>
          <xdr:row>55</xdr:row>
          <xdr:rowOff>0</xdr:rowOff>
        </xdr:to>
        <xdr:sp macro="" textlink="">
          <xdr:nvSpPr>
            <xdr:cNvPr id="34060" name="Drop Down 268" hidden="1">
              <a:extLst>
                <a:ext uri="{63B3BB69-23CF-44E3-9099-C40C66FF867C}">
                  <a14:compatExt spid="_x0000_s34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55</xdr:row>
          <xdr:rowOff>0</xdr:rowOff>
        </xdr:from>
        <xdr:to>
          <xdr:col>25</xdr:col>
          <xdr:colOff>0</xdr:colOff>
          <xdr:row>56</xdr:row>
          <xdr:rowOff>0</xdr:rowOff>
        </xdr:to>
        <xdr:sp macro="" textlink="">
          <xdr:nvSpPr>
            <xdr:cNvPr id="34061" name="Drop Down 269" hidden="1">
              <a:extLst>
                <a:ext uri="{63B3BB69-23CF-44E3-9099-C40C66FF867C}">
                  <a14:compatExt spid="_x0000_s34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7</xdr:row>
          <xdr:rowOff>0</xdr:rowOff>
        </xdr:from>
        <xdr:to>
          <xdr:col>14</xdr:col>
          <xdr:colOff>0</xdr:colOff>
          <xdr:row>8</xdr:row>
          <xdr:rowOff>9525</xdr:rowOff>
        </xdr:to>
        <xdr:sp macro="" textlink="">
          <xdr:nvSpPr>
            <xdr:cNvPr id="34062" name="Drop Down 270" hidden="1">
              <a:extLst>
                <a:ext uri="{63B3BB69-23CF-44E3-9099-C40C66FF867C}">
                  <a14:compatExt spid="_x0000_s34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8</xdr:row>
          <xdr:rowOff>0</xdr:rowOff>
        </xdr:from>
        <xdr:to>
          <xdr:col>14</xdr:col>
          <xdr:colOff>0</xdr:colOff>
          <xdr:row>9</xdr:row>
          <xdr:rowOff>9525</xdr:rowOff>
        </xdr:to>
        <xdr:sp macro="" textlink="">
          <xdr:nvSpPr>
            <xdr:cNvPr id="34063" name="Drop Down 271" hidden="1">
              <a:extLst>
                <a:ext uri="{63B3BB69-23CF-44E3-9099-C40C66FF867C}">
                  <a14:compatExt spid="_x0000_s34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9</xdr:row>
          <xdr:rowOff>0</xdr:rowOff>
        </xdr:from>
        <xdr:to>
          <xdr:col>14</xdr:col>
          <xdr:colOff>0</xdr:colOff>
          <xdr:row>10</xdr:row>
          <xdr:rowOff>9525</xdr:rowOff>
        </xdr:to>
        <xdr:sp macro="" textlink="">
          <xdr:nvSpPr>
            <xdr:cNvPr id="34064" name="Drop Down 272" hidden="1">
              <a:extLst>
                <a:ext uri="{63B3BB69-23CF-44E3-9099-C40C66FF867C}">
                  <a14:compatExt spid="_x0000_s34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10</xdr:row>
          <xdr:rowOff>0</xdr:rowOff>
        </xdr:from>
        <xdr:to>
          <xdr:col>14</xdr:col>
          <xdr:colOff>0</xdr:colOff>
          <xdr:row>11</xdr:row>
          <xdr:rowOff>9525</xdr:rowOff>
        </xdr:to>
        <xdr:sp macro="" textlink="">
          <xdr:nvSpPr>
            <xdr:cNvPr id="34065" name="Drop Down 273" hidden="1">
              <a:extLst>
                <a:ext uri="{63B3BB69-23CF-44E3-9099-C40C66FF867C}">
                  <a14:compatExt spid="_x0000_s34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15</xdr:row>
          <xdr:rowOff>0</xdr:rowOff>
        </xdr:from>
        <xdr:to>
          <xdr:col>14</xdr:col>
          <xdr:colOff>0</xdr:colOff>
          <xdr:row>16</xdr:row>
          <xdr:rowOff>9525</xdr:rowOff>
        </xdr:to>
        <xdr:sp macro="" textlink="">
          <xdr:nvSpPr>
            <xdr:cNvPr id="34066" name="Drop Down 274" hidden="1">
              <a:extLst>
                <a:ext uri="{63B3BB69-23CF-44E3-9099-C40C66FF867C}">
                  <a14:compatExt spid="_x0000_s34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16</xdr:row>
          <xdr:rowOff>0</xdr:rowOff>
        </xdr:from>
        <xdr:to>
          <xdr:col>14</xdr:col>
          <xdr:colOff>0</xdr:colOff>
          <xdr:row>17</xdr:row>
          <xdr:rowOff>9525</xdr:rowOff>
        </xdr:to>
        <xdr:sp macro="" textlink="">
          <xdr:nvSpPr>
            <xdr:cNvPr id="34067" name="Drop Down 275" hidden="1">
              <a:extLst>
                <a:ext uri="{63B3BB69-23CF-44E3-9099-C40C66FF867C}">
                  <a14:compatExt spid="_x0000_s34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17</xdr:row>
          <xdr:rowOff>0</xdr:rowOff>
        </xdr:from>
        <xdr:to>
          <xdr:col>14</xdr:col>
          <xdr:colOff>0</xdr:colOff>
          <xdr:row>18</xdr:row>
          <xdr:rowOff>9525</xdr:rowOff>
        </xdr:to>
        <xdr:sp macro="" textlink="">
          <xdr:nvSpPr>
            <xdr:cNvPr id="34068" name="Drop Down 276" hidden="1">
              <a:extLst>
                <a:ext uri="{63B3BB69-23CF-44E3-9099-C40C66FF867C}">
                  <a14:compatExt spid="_x0000_s34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18</xdr:row>
          <xdr:rowOff>0</xdr:rowOff>
        </xdr:from>
        <xdr:to>
          <xdr:col>14</xdr:col>
          <xdr:colOff>0</xdr:colOff>
          <xdr:row>19</xdr:row>
          <xdr:rowOff>9525</xdr:rowOff>
        </xdr:to>
        <xdr:sp macro="" textlink="">
          <xdr:nvSpPr>
            <xdr:cNvPr id="34069" name="Drop Down 277" hidden="1">
              <a:extLst>
                <a:ext uri="{63B3BB69-23CF-44E3-9099-C40C66FF867C}">
                  <a14:compatExt spid="_x0000_s34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19</xdr:row>
          <xdr:rowOff>0</xdr:rowOff>
        </xdr:from>
        <xdr:to>
          <xdr:col>14</xdr:col>
          <xdr:colOff>0</xdr:colOff>
          <xdr:row>20</xdr:row>
          <xdr:rowOff>9525</xdr:rowOff>
        </xdr:to>
        <xdr:sp macro="" textlink="">
          <xdr:nvSpPr>
            <xdr:cNvPr id="34070" name="Drop Down 278" hidden="1">
              <a:extLst>
                <a:ext uri="{63B3BB69-23CF-44E3-9099-C40C66FF867C}">
                  <a14:compatExt spid="_x0000_s34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24</xdr:row>
          <xdr:rowOff>0</xdr:rowOff>
        </xdr:from>
        <xdr:to>
          <xdr:col>14</xdr:col>
          <xdr:colOff>0</xdr:colOff>
          <xdr:row>25</xdr:row>
          <xdr:rowOff>9525</xdr:rowOff>
        </xdr:to>
        <xdr:sp macro="" textlink="">
          <xdr:nvSpPr>
            <xdr:cNvPr id="34071" name="Drop Down 279" hidden="1">
              <a:extLst>
                <a:ext uri="{63B3BB69-23CF-44E3-9099-C40C66FF867C}">
                  <a14:compatExt spid="_x0000_s34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25</xdr:row>
          <xdr:rowOff>0</xdr:rowOff>
        </xdr:from>
        <xdr:to>
          <xdr:col>14</xdr:col>
          <xdr:colOff>0</xdr:colOff>
          <xdr:row>26</xdr:row>
          <xdr:rowOff>9525</xdr:rowOff>
        </xdr:to>
        <xdr:sp macro="" textlink="">
          <xdr:nvSpPr>
            <xdr:cNvPr id="34072" name="Drop Down 280" hidden="1">
              <a:extLst>
                <a:ext uri="{63B3BB69-23CF-44E3-9099-C40C66FF867C}">
                  <a14:compatExt spid="_x0000_s34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26</xdr:row>
          <xdr:rowOff>0</xdr:rowOff>
        </xdr:from>
        <xdr:to>
          <xdr:col>14</xdr:col>
          <xdr:colOff>0</xdr:colOff>
          <xdr:row>27</xdr:row>
          <xdr:rowOff>9525</xdr:rowOff>
        </xdr:to>
        <xdr:sp macro="" textlink="">
          <xdr:nvSpPr>
            <xdr:cNvPr id="34073" name="Drop Down 281" hidden="1">
              <a:extLst>
                <a:ext uri="{63B3BB69-23CF-44E3-9099-C40C66FF867C}">
                  <a14:compatExt spid="_x0000_s34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27</xdr:row>
          <xdr:rowOff>0</xdr:rowOff>
        </xdr:from>
        <xdr:to>
          <xdr:col>14</xdr:col>
          <xdr:colOff>0</xdr:colOff>
          <xdr:row>28</xdr:row>
          <xdr:rowOff>9525</xdr:rowOff>
        </xdr:to>
        <xdr:sp macro="" textlink="">
          <xdr:nvSpPr>
            <xdr:cNvPr id="34074" name="Drop Down 282" hidden="1">
              <a:extLst>
                <a:ext uri="{63B3BB69-23CF-44E3-9099-C40C66FF867C}">
                  <a14:compatExt spid="_x0000_s34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28</xdr:row>
          <xdr:rowOff>0</xdr:rowOff>
        </xdr:from>
        <xdr:to>
          <xdr:col>14</xdr:col>
          <xdr:colOff>0</xdr:colOff>
          <xdr:row>29</xdr:row>
          <xdr:rowOff>9525</xdr:rowOff>
        </xdr:to>
        <xdr:sp macro="" textlink="">
          <xdr:nvSpPr>
            <xdr:cNvPr id="34075" name="Drop Down 283" hidden="1">
              <a:extLst>
                <a:ext uri="{63B3BB69-23CF-44E3-9099-C40C66FF867C}">
                  <a14:compatExt spid="_x0000_s34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33</xdr:row>
          <xdr:rowOff>0</xdr:rowOff>
        </xdr:from>
        <xdr:to>
          <xdr:col>14</xdr:col>
          <xdr:colOff>0</xdr:colOff>
          <xdr:row>34</xdr:row>
          <xdr:rowOff>9525</xdr:rowOff>
        </xdr:to>
        <xdr:sp macro="" textlink="">
          <xdr:nvSpPr>
            <xdr:cNvPr id="34076" name="Drop Down 284" hidden="1">
              <a:extLst>
                <a:ext uri="{63B3BB69-23CF-44E3-9099-C40C66FF867C}">
                  <a14:compatExt spid="_x0000_s34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34</xdr:row>
          <xdr:rowOff>0</xdr:rowOff>
        </xdr:from>
        <xdr:to>
          <xdr:col>14</xdr:col>
          <xdr:colOff>0</xdr:colOff>
          <xdr:row>35</xdr:row>
          <xdr:rowOff>9525</xdr:rowOff>
        </xdr:to>
        <xdr:sp macro="" textlink="">
          <xdr:nvSpPr>
            <xdr:cNvPr id="34077" name="Drop Down 285" hidden="1">
              <a:extLst>
                <a:ext uri="{63B3BB69-23CF-44E3-9099-C40C66FF867C}">
                  <a14:compatExt spid="_x0000_s34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35</xdr:row>
          <xdr:rowOff>0</xdr:rowOff>
        </xdr:from>
        <xdr:to>
          <xdr:col>14</xdr:col>
          <xdr:colOff>0</xdr:colOff>
          <xdr:row>36</xdr:row>
          <xdr:rowOff>9525</xdr:rowOff>
        </xdr:to>
        <xdr:sp macro="" textlink="">
          <xdr:nvSpPr>
            <xdr:cNvPr id="34078" name="Drop Down 286" hidden="1">
              <a:extLst>
                <a:ext uri="{63B3BB69-23CF-44E3-9099-C40C66FF867C}">
                  <a14:compatExt spid="_x0000_s34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36</xdr:row>
          <xdr:rowOff>0</xdr:rowOff>
        </xdr:from>
        <xdr:to>
          <xdr:col>14</xdr:col>
          <xdr:colOff>0</xdr:colOff>
          <xdr:row>37</xdr:row>
          <xdr:rowOff>9525</xdr:rowOff>
        </xdr:to>
        <xdr:sp macro="" textlink="">
          <xdr:nvSpPr>
            <xdr:cNvPr id="34079" name="Drop Down 287" hidden="1">
              <a:extLst>
                <a:ext uri="{63B3BB69-23CF-44E3-9099-C40C66FF867C}">
                  <a14:compatExt spid="_x0000_s34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37</xdr:row>
          <xdr:rowOff>0</xdr:rowOff>
        </xdr:from>
        <xdr:to>
          <xdr:col>14</xdr:col>
          <xdr:colOff>0</xdr:colOff>
          <xdr:row>38</xdr:row>
          <xdr:rowOff>9525</xdr:rowOff>
        </xdr:to>
        <xdr:sp macro="" textlink="">
          <xdr:nvSpPr>
            <xdr:cNvPr id="34080" name="Drop Down 288" hidden="1">
              <a:extLst>
                <a:ext uri="{63B3BB69-23CF-44E3-9099-C40C66FF867C}">
                  <a14:compatExt spid="_x0000_s34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42</xdr:row>
          <xdr:rowOff>0</xdr:rowOff>
        </xdr:from>
        <xdr:to>
          <xdr:col>14</xdr:col>
          <xdr:colOff>0</xdr:colOff>
          <xdr:row>43</xdr:row>
          <xdr:rowOff>9525</xdr:rowOff>
        </xdr:to>
        <xdr:sp macro="" textlink="">
          <xdr:nvSpPr>
            <xdr:cNvPr id="34081" name="Drop Down 289" hidden="1">
              <a:extLst>
                <a:ext uri="{63B3BB69-23CF-44E3-9099-C40C66FF867C}">
                  <a14:compatExt spid="_x0000_s34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43</xdr:row>
          <xdr:rowOff>0</xdr:rowOff>
        </xdr:from>
        <xdr:to>
          <xdr:col>14</xdr:col>
          <xdr:colOff>0</xdr:colOff>
          <xdr:row>44</xdr:row>
          <xdr:rowOff>9525</xdr:rowOff>
        </xdr:to>
        <xdr:sp macro="" textlink="">
          <xdr:nvSpPr>
            <xdr:cNvPr id="34082" name="Drop Down 290" hidden="1">
              <a:extLst>
                <a:ext uri="{63B3BB69-23CF-44E3-9099-C40C66FF867C}">
                  <a14:compatExt spid="_x0000_s34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44</xdr:row>
          <xdr:rowOff>0</xdr:rowOff>
        </xdr:from>
        <xdr:to>
          <xdr:col>14</xdr:col>
          <xdr:colOff>0</xdr:colOff>
          <xdr:row>45</xdr:row>
          <xdr:rowOff>9525</xdr:rowOff>
        </xdr:to>
        <xdr:sp macro="" textlink="">
          <xdr:nvSpPr>
            <xdr:cNvPr id="34083" name="Drop Down 291" hidden="1">
              <a:extLst>
                <a:ext uri="{63B3BB69-23CF-44E3-9099-C40C66FF867C}">
                  <a14:compatExt spid="_x0000_s34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45</xdr:row>
          <xdr:rowOff>0</xdr:rowOff>
        </xdr:from>
        <xdr:to>
          <xdr:col>14</xdr:col>
          <xdr:colOff>0</xdr:colOff>
          <xdr:row>46</xdr:row>
          <xdr:rowOff>9525</xdr:rowOff>
        </xdr:to>
        <xdr:sp macro="" textlink="">
          <xdr:nvSpPr>
            <xdr:cNvPr id="34084" name="Drop Down 292" hidden="1">
              <a:extLst>
                <a:ext uri="{63B3BB69-23CF-44E3-9099-C40C66FF867C}">
                  <a14:compatExt spid="_x0000_s34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46</xdr:row>
          <xdr:rowOff>0</xdr:rowOff>
        </xdr:from>
        <xdr:to>
          <xdr:col>14</xdr:col>
          <xdr:colOff>0</xdr:colOff>
          <xdr:row>47</xdr:row>
          <xdr:rowOff>9525</xdr:rowOff>
        </xdr:to>
        <xdr:sp macro="" textlink="">
          <xdr:nvSpPr>
            <xdr:cNvPr id="34085" name="Drop Down 293" hidden="1">
              <a:extLst>
                <a:ext uri="{63B3BB69-23CF-44E3-9099-C40C66FF867C}">
                  <a14:compatExt spid="_x0000_s34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51</xdr:row>
          <xdr:rowOff>0</xdr:rowOff>
        </xdr:from>
        <xdr:to>
          <xdr:col>14</xdr:col>
          <xdr:colOff>0</xdr:colOff>
          <xdr:row>52</xdr:row>
          <xdr:rowOff>9525</xdr:rowOff>
        </xdr:to>
        <xdr:sp macro="" textlink="">
          <xdr:nvSpPr>
            <xdr:cNvPr id="34086" name="Drop Down 294" hidden="1">
              <a:extLst>
                <a:ext uri="{63B3BB69-23CF-44E3-9099-C40C66FF867C}">
                  <a14:compatExt spid="_x0000_s34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52</xdr:row>
          <xdr:rowOff>0</xdr:rowOff>
        </xdr:from>
        <xdr:to>
          <xdr:col>14</xdr:col>
          <xdr:colOff>0</xdr:colOff>
          <xdr:row>53</xdr:row>
          <xdr:rowOff>9525</xdr:rowOff>
        </xdr:to>
        <xdr:sp macro="" textlink="">
          <xdr:nvSpPr>
            <xdr:cNvPr id="34087" name="Drop Down 295" hidden="1">
              <a:extLst>
                <a:ext uri="{63B3BB69-23CF-44E3-9099-C40C66FF867C}">
                  <a14:compatExt spid="_x0000_s34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53</xdr:row>
          <xdr:rowOff>0</xdr:rowOff>
        </xdr:from>
        <xdr:to>
          <xdr:col>14</xdr:col>
          <xdr:colOff>0</xdr:colOff>
          <xdr:row>54</xdr:row>
          <xdr:rowOff>9525</xdr:rowOff>
        </xdr:to>
        <xdr:sp macro="" textlink="">
          <xdr:nvSpPr>
            <xdr:cNvPr id="34088" name="Drop Down 296" hidden="1">
              <a:extLst>
                <a:ext uri="{63B3BB69-23CF-44E3-9099-C40C66FF867C}">
                  <a14:compatExt spid="_x0000_s34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54</xdr:row>
          <xdr:rowOff>0</xdr:rowOff>
        </xdr:from>
        <xdr:to>
          <xdr:col>14</xdr:col>
          <xdr:colOff>0</xdr:colOff>
          <xdr:row>55</xdr:row>
          <xdr:rowOff>9525</xdr:rowOff>
        </xdr:to>
        <xdr:sp macro="" textlink="">
          <xdr:nvSpPr>
            <xdr:cNvPr id="34089" name="Drop Down 297" hidden="1">
              <a:extLst>
                <a:ext uri="{63B3BB69-23CF-44E3-9099-C40C66FF867C}">
                  <a14:compatExt spid="_x0000_s34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55</xdr:row>
          <xdr:rowOff>0</xdr:rowOff>
        </xdr:from>
        <xdr:to>
          <xdr:col>14</xdr:col>
          <xdr:colOff>0</xdr:colOff>
          <xdr:row>56</xdr:row>
          <xdr:rowOff>9525</xdr:rowOff>
        </xdr:to>
        <xdr:sp macro="" textlink="">
          <xdr:nvSpPr>
            <xdr:cNvPr id="34090" name="Drop Down 298" hidden="1">
              <a:extLst>
                <a:ext uri="{63B3BB69-23CF-44E3-9099-C40C66FF867C}">
                  <a14:compatExt spid="_x0000_s34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60</xdr:row>
          <xdr:rowOff>0</xdr:rowOff>
        </xdr:from>
        <xdr:to>
          <xdr:col>18</xdr:col>
          <xdr:colOff>9525</xdr:colOff>
          <xdr:row>61</xdr:row>
          <xdr:rowOff>0</xdr:rowOff>
        </xdr:to>
        <xdr:sp macro="" textlink="">
          <xdr:nvSpPr>
            <xdr:cNvPr id="34091" name="Drop Down 299" hidden="1">
              <a:extLst>
                <a:ext uri="{63B3BB69-23CF-44E3-9099-C40C66FF867C}">
                  <a14:compatExt spid="_x0000_s34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61</xdr:row>
          <xdr:rowOff>0</xdr:rowOff>
        </xdr:from>
        <xdr:to>
          <xdr:col>18</xdr:col>
          <xdr:colOff>9525</xdr:colOff>
          <xdr:row>62</xdr:row>
          <xdr:rowOff>0</xdr:rowOff>
        </xdr:to>
        <xdr:sp macro="" textlink="">
          <xdr:nvSpPr>
            <xdr:cNvPr id="34092" name="Drop Down 300" hidden="1">
              <a:extLst>
                <a:ext uri="{63B3BB69-23CF-44E3-9099-C40C66FF867C}">
                  <a14:compatExt spid="_x0000_s34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62</xdr:row>
          <xdr:rowOff>0</xdr:rowOff>
        </xdr:from>
        <xdr:to>
          <xdr:col>18</xdr:col>
          <xdr:colOff>9525</xdr:colOff>
          <xdr:row>63</xdr:row>
          <xdr:rowOff>0</xdr:rowOff>
        </xdr:to>
        <xdr:sp macro="" textlink="">
          <xdr:nvSpPr>
            <xdr:cNvPr id="34093" name="Drop Down 301" hidden="1">
              <a:extLst>
                <a:ext uri="{63B3BB69-23CF-44E3-9099-C40C66FF867C}">
                  <a14:compatExt spid="_x0000_s34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63</xdr:row>
          <xdr:rowOff>0</xdr:rowOff>
        </xdr:from>
        <xdr:to>
          <xdr:col>18</xdr:col>
          <xdr:colOff>9525</xdr:colOff>
          <xdr:row>64</xdr:row>
          <xdr:rowOff>0</xdr:rowOff>
        </xdr:to>
        <xdr:sp macro="" textlink="">
          <xdr:nvSpPr>
            <xdr:cNvPr id="34094" name="Drop Down 302" hidden="1">
              <a:extLst>
                <a:ext uri="{63B3BB69-23CF-44E3-9099-C40C66FF867C}">
                  <a14:compatExt spid="_x0000_s34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64</xdr:row>
          <xdr:rowOff>0</xdr:rowOff>
        </xdr:from>
        <xdr:to>
          <xdr:col>18</xdr:col>
          <xdr:colOff>9525</xdr:colOff>
          <xdr:row>65</xdr:row>
          <xdr:rowOff>0</xdr:rowOff>
        </xdr:to>
        <xdr:sp macro="" textlink="">
          <xdr:nvSpPr>
            <xdr:cNvPr id="34095" name="Drop Down 303" hidden="1">
              <a:extLst>
                <a:ext uri="{63B3BB69-23CF-44E3-9099-C40C66FF867C}">
                  <a14:compatExt spid="_x0000_s34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60</xdr:row>
          <xdr:rowOff>0</xdr:rowOff>
        </xdr:from>
        <xdr:to>
          <xdr:col>7</xdr:col>
          <xdr:colOff>0</xdr:colOff>
          <xdr:row>61</xdr:row>
          <xdr:rowOff>0</xdr:rowOff>
        </xdr:to>
        <xdr:sp macro="" textlink="">
          <xdr:nvSpPr>
            <xdr:cNvPr id="34096" name="Drop Down 304" hidden="1">
              <a:extLst>
                <a:ext uri="{63B3BB69-23CF-44E3-9099-C40C66FF867C}">
                  <a14:compatExt spid="_x0000_s34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61</xdr:row>
          <xdr:rowOff>0</xdr:rowOff>
        </xdr:from>
        <xdr:to>
          <xdr:col>7</xdr:col>
          <xdr:colOff>0</xdr:colOff>
          <xdr:row>62</xdr:row>
          <xdr:rowOff>0</xdr:rowOff>
        </xdr:to>
        <xdr:sp macro="" textlink="">
          <xdr:nvSpPr>
            <xdr:cNvPr id="34097" name="Drop Down 305" hidden="1">
              <a:extLst>
                <a:ext uri="{63B3BB69-23CF-44E3-9099-C40C66FF867C}">
                  <a14:compatExt spid="_x0000_s3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62</xdr:row>
          <xdr:rowOff>0</xdr:rowOff>
        </xdr:from>
        <xdr:to>
          <xdr:col>7</xdr:col>
          <xdr:colOff>0</xdr:colOff>
          <xdr:row>63</xdr:row>
          <xdr:rowOff>0</xdr:rowOff>
        </xdr:to>
        <xdr:sp macro="" textlink="">
          <xdr:nvSpPr>
            <xdr:cNvPr id="34098" name="Drop Down 306" hidden="1">
              <a:extLst>
                <a:ext uri="{63B3BB69-23CF-44E3-9099-C40C66FF867C}">
                  <a14:compatExt spid="_x0000_s3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63</xdr:row>
          <xdr:rowOff>0</xdr:rowOff>
        </xdr:from>
        <xdr:to>
          <xdr:col>7</xdr:col>
          <xdr:colOff>0</xdr:colOff>
          <xdr:row>64</xdr:row>
          <xdr:rowOff>0</xdr:rowOff>
        </xdr:to>
        <xdr:sp macro="" textlink="">
          <xdr:nvSpPr>
            <xdr:cNvPr id="34099" name="Drop Down 307" hidden="1">
              <a:extLst>
                <a:ext uri="{63B3BB69-23CF-44E3-9099-C40C66FF867C}">
                  <a14:compatExt spid="_x0000_s34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64</xdr:row>
          <xdr:rowOff>0</xdr:rowOff>
        </xdr:from>
        <xdr:to>
          <xdr:col>7</xdr:col>
          <xdr:colOff>0</xdr:colOff>
          <xdr:row>65</xdr:row>
          <xdr:rowOff>0</xdr:rowOff>
        </xdr:to>
        <xdr:sp macro="" textlink="">
          <xdr:nvSpPr>
            <xdr:cNvPr id="34100" name="Drop Down 308" hidden="1">
              <a:extLst>
                <a:ext uri="{63B3BB69-23CF-44E3-9099-C40C66FF867C}">
                  <a14:compatExt spid="_x0000_s34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60</xdr:row>
          <xdr:rowOff>0</xdr:rowOff>
        </xdr:from>
        <xdr:to>
          <xdr:col>5</xdr:col>
          <xdr:colOff>0</xdr:colOff>
          <xdr:row>61</xdr:row>
          <xdr:rowOff>0</xdr:rowOff>
        </xdr:to>
        <xdr:sp macro="" textlink="">
          <xdr:nvSpPr>
            <xdr:cNvPr id="34101" name="Drop Down 309" hidden="1">
              <a:extLst>
                <a:ext uri="{63B3BB69-23CF-44E3-9099-C40C66FF867C}">
                  <a14:compatExt spid="_x0000_s34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61</xdr:row>
          <xdr:rowOff>0</xdr:rowOff>
        </xdr:from>
        <xdr:to>
          <xdr:col>5</xdr:col>
          <xdr:colOff>0</xdr:colOff>
          <xdr:row>62</xdr:row>
          <xdr:rowOff>0</xdr:rowOff>
        </xdr:to>
        <xdr:sp macro="" textlink="">
          <xdr:nvSpPr>
            <xdr:cNvPr id="34102" name="Drop Down 310" hidden="1">
              <a:extLst>
                <a:ext uri="{63B3BB69-23CF-44E3-9099-C40C66FF867C}">
                  <a14:compatExt spid="_x0000_s34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62</xdr:row>
          <xdr:rowOff>0</xdr:rowOff>
        </xdr:from>
        <xdr:to>
          <xdr:col>5</xdr:col>
          <xdr:colOff>0</xdr:colOff>
          <xdr:row>63</xdr:row>
          <xdr:rowOff>0</xdr:rowOff>
        </xdr:to>
        <xdr:sp macro="" textlink="">
          <xdr:nvSpPr>
            <xdr:cNvPr id="34103" name="Drop Down 311" hidden="1">
              <a:extLst>
                <a:ext uri="{63B3BB69-23CF-44E3-9099-C40C66FF867C}">
                  <a14:compatExt spid="_x0000_s34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63</xdr:row>
          <xdr:rowOff>0</xdr:rowOff>
        </xdr:from>
        <xdr:to>
          <xdr:col>5</xdr:col>
          <xdr:colOff>0</xdr:colOff>
          <xdr:row>64</xdr:row>
          <xdr:rowOff>0</xdr:rowOff>
        </xdr:to>
        <xdr:sp macro="" textlink="">
          <xdr:nvSpPr>
            <xdr:cNvPr id="34104" name="Drop Down 312" hidden="1">
              <a:extLst>
                <a:ext uri="{63B3BB69-23CF-44E3-9099-C40C66FF867C}">
                  <a14:compatExt spid="_x0000_s34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64</xdr:row>
          <xdr:rowOff>0</xdr:rowOff>
        </xdr:from>
        <xdr:to>
          <xdr:col>5</xdr:col>
          <xdr:colOff>0</xdr:colOff>
          <xdr:row>65</xdr:row>
          <xdr:rowOff>0</xdr:rowOff>
        </xdr:to>
        <xdr:sp macro="" textlink="">
          <xdr:nvSpPr>
            <xdr:cNvPr id="34105" name="Drop Down 313" hidden="1">
              <a:extLst>
                <a:ext uri="{63B3BB69-23CF-44E3-9099-C40C66FF867C}">
                  <a14:compatExt spid="_x0000_s34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60</xdr:row>
          <xdr:rowOff>0</xdr:rowOff>
        </xdr:from>
        <xdr:to>
          <xdr:col>24</xdr:col>
          <xdr:colOff>0</xdr:colOff>
          <xdr:row>61</xdr:row>
          <xdr:rowOff>0</xdr:rowOff>
        </xdr:to>
        <xdr:sp macro="" textlink="">
          <xdr:nvSpPr>
            <xdr:cNvPr id="34106" name="Drop Down 314" hidden="1">
              <a:extLst>
                <a:ext uri="{63B3BB69-23CF-44E3-9099-C40C66FF867C}">
                  <a14:compatExt spid="_x0000_s34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60</xdr:row>
          <xdr:rowOff>0</xdr:rowOff>
        </xdr:from>
        <xdr:to>
          <xdr:col>25</xdr:col>
          <xdr:colOff>0</xdr:colOff>
          <xdr:row>61</xdr:row>
          <xdr:rowOff>0</xdr:rowOff>
        </xdr:to>
        <xdr:sp macro="" textlink="">
          <xdr:nvSpPr>
            <xdr:cNvPr id="34107" name="Drop Down 315" hidden="1">
              <a:extLst>
                <a:ext uri="{63B3BB69-23CF-44E3-9099-C40C66FF867C}">
                  <a14:compatExt spid="_x0000_s34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61</xdr:row>
          <xdr:rowOff>0</xdr:rowOff>
        </xdr:from>
        <xdr:to>
          <xdr:col>24</xdr:col>
          <xdr:colOff>0</xdr:colOff>
          <xdr:row>62</xdr:row>
          <xdr:rowOff>0</xdr:rowOff>
        </xdr:to>
        <xdr:sp macro="" textlink="">
          <xdr:nvSpPr>
            <xdr:cNvPr id="34108" name="Drop Down 316" hidden="1">
              <a:extLst>
                <a:ext uri="{63B3BB69-23CF-44E3-9099-C40C66FF867C}">
                  <a14:compatExt spid="_x0000_s34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62</xdr:row>
          <xdr:rowOff>0</xdr:rowOff>
        </xdr:from>
        <xdr:to>
          <xdr:col>24</xdr:col>
          <xdr:colOff>0</xdr:colOff>
          <xdr:row>63</xdr:row>
          <xdr:rowOff>0</xdr:rowOff>
        </xdr:to>
        <xdr:sp macro="" textlink="">
          <xdr:nvSpPr>
            <xdr:cNvPr id="34109" name="Drop Down 317" hidden="1">
              <a:extLst>
                <a:ext uri="{63B3BB69-23CF-44E3-9099-C40C66FF867C}">
                  <a14:compatExt spid="_x0000_s34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63</xdr:row>
          <xdr:rowOff>0</xdr:rowOff>
        </xdr:from>
        <xdr:to>
          <xdr:col>24</xdr:col>
          <xdr:colOff>0</xdr:colOff>
          <xdr:row>64</xdr:row>
          <xdr:rowOff>0</xdr:rowOff>
        </xdr:to>
        <xdr:sp macro="" textlink="">
          <xdr:nvSpPr>
            <xdr:cNvPr id="34110" name="Drop Down 318" hidden="1">
              <a:extLst>
                <a:ext uri="{63B3BB69-23CF-44E3-9099-C40C66FF867C}">
                  <a14:compatExt spid="_x0000_s34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64</xdr:row>
          <xdr:rowOff>0</xdr:rowOff>
        </xdr:from>
        <xdr:to>
          <xdr:col>24</xdr:col>
          <xdr:colOff>0</xdr:colOff>
          <xdr:row>65</xdr:row>
          <xdr:rowOff>0</xdr:rowOff>
        </xdr:to>
        <xdr:sp macro="" textlink="">
          <xdr:nvSpPr>
            <xdr:cNvPr id="34111" name="Drop Down 319" hidden="1">
              <a:extLst>
                <a:ext uri="{63B3BB69-23CF-44E3-9099-C40C66FF867C}">
                  <a14:compatExt spid="_x0000_s34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61</xdr:row>
          <xdr:rowOff>0</xdr:rowOff>
        </xdr:from>
        <xdr:to>
          <xdr:col>25</xdr:col>
          <xdr:colOff>0</xdr:colOff>
          <xdr:row>62</xdr:row>
          <xdr:rowOff>0</xdr:rowOff>
        </xdr:to>
        <xdr:sp macro="" textlink="">
          <xdr:nvSpPr>
            <xdr:cNvPr id="34112" name="Drop Down 320" hidden="1">
              <a:extLst>
                <a:ext uri="{63B3BB69-23CF-44E3-9099-C40C66FF867C}">
                  <a14:compatExt spid="_x0000_s34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62</xdr:row>
          <xdr:rowOff>0</xdr:rowOff>
        </xdr:from>
        <xdr:to>
          <xdr:col>25</xdr:col>
          <xdr:colOff>0</xdr:colOff>
          <xdr:row>63</xdr:row>
          <xdr:rowOff>0</xdr:rowOff>
        </xdr:to>
        <xdr:sp macro="" textlink="">
          <xdr:nvSpPr>
            <xdr:cNvPr id="34113" name="Drop Down 321" hidden="1">
              <a:extLst>
                <a:ext uri="{63B3BB69-23CF-44E3-9099-C40C66FF867C}">
                  <a14:compatExt spid="_x0000_s34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63</xdr:row>
          <xdr:rowOff>0</xdr:rowOff>
        </xdr:from>
        <xdr:to>
          <xdr:col>25</xdr:col>
          <xdr:colOff>0</xdr:colOff>
          <xdr:row>64</xdr:row>
          <xdr:rowOff>0</xdr:rowOff>
        </xdr:to>
        <xdr:sp macro="" textlink="">
          <xdr:nvSpPr>
            <xdr:cNvPr id="34114" name="Drop Down 322" hidden="1">
              <a:extLst>
                <a:ext uri="{63B3BB69-23CF-44E3-9099-C40C66FF867C}">
                  <a14:compatExt spid="_x0000_s34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64</xdr:row>
          <xdr:rowOff>0</xdr:rowOff>
        </xdr:from>
        <xdr:to>
          <xdr:col>25</xdr:col>
          <xdr:colOff>0</xdr:colOff>
          <xdr:row>65</xdr:row>
          <xdr:rowOff>0</xdr:rowOff>
        </xdr:to>
        <xdr:sp macro="" textlink="">
          <xdr:nvSpPr>
            <xdr:cNvPr id="34115" name="Drop Down 323" hidden="1">
              <a:extLst>
                <a:ext uri="{63B3BB69-23CF-44E3-9099-C40C66FF867C}">
                  <a14:compatExt spid="_x0000_s34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60</xdr:row>
          <xdr:rowOff>0</xdr:rowOff>
        </xdr:from>
        <xdr:to>
          <xdr:col>14</xdr:col>
          <xdr:colOff>0</xdr:colOff>
          <xdr:row>61</xdr:row>
          <xdr:rowOff>9525</xdr:rowOff>
        </xdr:to>
        <xdr:sp macro="" textlink="">
          <xdr:nvSpPr>
            <xdr:cNvPr id="34116" name="Drop Down 324" hidden="1">
              <a:extLst>
                <a:ext uri="{63B3BB69-23CF-44E3-9099-C40C66FF867C}">
                  <a14:compatExt spid="_x0000_s34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61</xdr:row>
          <xdr:rowOff>0</xdr:rowOff>
        </xdr:from>
        <xdr:to>
          <xdr:col>14</xdr:col>
          <xdr:colOff>0</xdr:colOff>
          <xdr:row>62</xdr:row>
          <xdr:rowOff>9525</xdr:rowOff>
        </xdr:to>
        <xdr:sp macro="" textlink="">
          <xdr:nvSpPr>
            <xdr:cNvPr id="34117" name="Drop Down 325" hidden="1">
              <a:extLst>
                <a:ext uri="{63B3BB69-23CF-44E3-9099-C40C66FF867C}">
                  <a14:compatExt spid="_x0000_s34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62</xdr:row>
          <xdr:rowOff>0</xdr:rowOff>
        </xdr:from>
        <xdr:to>
          <xdr:col>14</xdr:col>
          <xdr:colOff>0</xdr:colOff>
          <xdr:row>63</xdr:row>
          <xdr:rowOff>9525</xdr:rowOff>
        </xdr:to>
        <xdr:sp macro="" textlink="">
          <xdr:nvSpPr>
            <xdr:cNvPr id="34118" name="Drop Down 326" hidden="1">
              <a:extLst>
                <a:ext uri="{63B3BB69-23CF-44E3-9099-C40C66FF867C}">
                  <a14:compatExt spid="_x0000_s34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63</xdr:row>
          <xdr:rowOff>0</xdr:rowOff>
        </xdr:from>
        <xdr:to>
          <xdr:col>14</xdr:col>
          <xdr:colOff>0</xdr:colOff>
          <xdr:row>64</xdr:row>
          <xdr:rowOff>9525</xdr:rowOff>
        </xdr:to>
        <xdr:sp macro="" textlink="">
          <xdr:nvSpPr>
            <xdr:cNvPr id="34119" name="Drop Down 327" hidden="1">
              <a:extLst>
                <a:ext uri="{63B3BB69-23CF-44E3-9099-C40C66FF867C}">
                  <a14:compatExt spid="_x0000_s34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64</xdr:row>
          <xdr:rowOff>0</xdr:rowOff>
        </xdr:from>
        <xdr:to>
          <xdr:col>14</xdr:col>
          <xdr:colOff>0</xdr:colOff>
          <xdr:row>65</xdr:row>
          <xdr:rowOff>9525</xdr:rowOff>
        </xdr:to>
        <xdr:sp macro="" textlink="">
          <xdr:nvSpPr>
            <xdr:cNvPr id="34120" name="Drop Down 328" hidden="1">
              <a:extLst>
                <a:ext uri="{63B3BB69-23CF-44E3-9099-C40C66FF867C}">
                  <a14:compatExt spid="_x0000_s34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69</xdr:row>
          <xdr:rowOff>0</xdr:rowOff>
        </xdr:from>
        <xdr:to>
          <xdr:col>18</xdr:col>
          <xdr:colOff>9525</xdr:colOff>
          <xdr:row>70</xdr:row>
          <xdr:rowOff>0</xdr:rowOff>
        </xdr:to>
        <xdr:sp macro="" textlink="">
          <xdr:nvSpPr>
            <xdr:cNvPr id="34121" name="Drop Down 329" hidden="1">
              <a:extLst>
                <a:ext uri="{63B3BB69-23CF-44E3-9099-C40C66FF867C}">
                  <a14:compatExt spid="_x0000_s34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70</xdr:row>
          <xdr:rowOff>0</xdr:rowOff>
        </xdr:from>
        <xdr:to>
          <xdr:col>18</xdr:col>
          <xdr:colOff>9525</xdr:colOff>
          <xdr:row>71</xdr:row>
          <xdr:rowOff>0</xdr:rowOff>
        </xdr:to>
        <xdr:sp macro="" textlink="">
          <xdr:nvSpPr>
            <xdr:cNvPr id="34122" name="Drop Down 330" hidden="1">
              <a:extLst>
                <a:ext uri="{63B3BB69-23CF-44E3-9099-C40C66FF867C}">
                  <a14:compatExt spid="_x0000_s34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71</xdr:row>
          <xdr:rowOff>0</xdr:rowOff>
        </xdr:from>
        <xdr:to>
          <xdr:col>18</xdr:col>
          <xdr:colOff>9525</xdr:colOff>
          <xdr:row>72</xdr:row>
          <xdr:rowOff>0</xdr:rowOff>
        </xdr:to>
        <xdr:sp macro="" textlink="">
          <xdr:nvSpPr>
            <xdr:cNvPr id="34123" name="Drop Down 331" hidden="1">
              <a:extLst>
                <a:ext uri="{63B3BB69-23CF-44E3-9099-C40C66FF867C}">
                  <a14:compatExt spid="_x0000_s34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72</xdr:row>
          <xdr:rowOff>0</xdr:rowOff>
        </xdr:from>
        <xdr:to>
          <xdr:col>18</xdr:col>
          <xdr:colOff>9525</xdr:colOff>
          <xdr:row>73</xdr:row>
          <xdr:rowOff>0</xdr:rowOff>
        </xdr:to>
        <xdr:sp macro="" textlink="">
          <xdr:nvSpPr>
            <xdr:cNvPr id="34124" name="Drop Down 332" hidden="1">
              <a:extLst>
                <a:ext uri="{63B3BB69-23CF-44E3-9099-C40C66FF867C}">
                  <a14:compatExt spid="_x0000_s34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73</xdr:row>
          <xdr:rowOff>0</xdr:rowOff>
        </xdr:from>
        <xdr:to>
          <xdr:col>18</xdr:col>
          <xdr:colOff>9525</xdr:colOff>
          <xdr:row>74</xdr:row>
          <xdr:rowOff>0</xdr:rowOff>
        </xdr:to>
        <xdr:sp macro="" textlink="">
          <xdr:nvSpPr>
            <xdr:cNvPr id="34125" name="Drop Down 333" hidden="1">
              <a:extLst>
                <a:ext uri="{63B3BB69-23CF-44E3-9099-C40C66FF867C}">
                  <a14:compatExt spid="_x0000_s34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69</xdr:row>
          <xdr:rowOff>0</xdr:rowOff>
        </xdr:from>
        <xdr:to>
          <xdr:col>7</xdr:col>
          <xdr:colOff>0</xdr:colOff>
          <xdr:row>70</xdr:row>
          <xdr:rowOff>0</xdr:rowOff>
        </xdr:to>
        <xdr:sp macro="" textlink="">
          <xdr:nvSpPr>
            <xdr:cNvPr id="34126" name="Drop Down 334" hidden="1">
              <a:extLst>
                <a:ext uri="{63B3BB69-23CF-44E3-9099-C40C66FF867C}">
                  <a14:compatExt spid="_x0000_s34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70</xdr:row>
          <xdr:rowOff>0</xdr:rowOff>
        </xdr:from>
        <xdr:to>
          <xdr:col>7</xdr:col>
          <xdr:colOff>0</xdr:colOff>
          <xdr:row>71</xdr:row>
          <xdr:rowOff>0</xdr:rowOff>
        </xdr:to>
        <xdr:sp macro="" textlink="">
          <xdr:nvSpPr>
            <xdr:cNvPr id="34127" name="Drop Down 335" hidden="1">
              <a:extLst>
                <a:ext uri="{63B3BB69-23CF-44E3-9099-C40C66FF867C}">
                  <a14:compatExt spid="_x0000_s34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71</xdr:row>
          <xdr:rowOff>0</xdr:rowOff>
        </xdr:from>
        <xdr:to>
          <xdr:col>7</xdr:col>
          <xdr:colOff>0</xdr:colOff>
          <xdr:row>72</xdr:row>
          <xdr:rowOff>0</xdr:rowOff>
        </xdr:to>
        <xdr:sp macro="" textlink="">
          <xdr:nvSpPr>
            <xdr:cNvPr id="34128" name="Drop Down 336" hidden="1">
              <a:extLst>
                <a:ext uri="{63B3BB69-23CF-44E3-9099-C40C66FF867C}">
                  <a14:compatExt spid="_x0000_s34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72</xdr:row>
          <xdr:rowOff>0</xdr:rowOff>
        </xdr:from>
        <xdr:to>
          <xdr:col>7</xdr:col>
          <xdr:colOff>0</xdr:colOff>
          <xdr:row>73</xdr:row>
          <xdr:rowOff>0</xdr:rowOff>
        </xdr:to>
        <xdr:sp macro="" textlink="">
          <xdr:nvSpPr>
            <xdr:cNvPr id="34129" name="Drop Down 337" hidden="1">
              <a:extLst>
                <a:ext uri="{63B3BB69-23CF-44E3-9099-C40C66FF867C}">
                  <a14:compatExt spid="_x0000_s34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73</xdr:row>
          <xdr:rowOff>0</xdr:rowOff>
        </xdr:from>
        <xdr:to>
          <xdr:col>7</xdr:col>
          <xdr:colOff>0</xdr:colOff>
          <xdr:row>74</xdr:row>
          <xdr:rowOff>0</xdr:rowOff>
        </xdr:to>
        <xdr:sp macro="" textlink="">
          <xdr:nvSpPr>
            <xdr:cNvPr id="34130" name="Drop Down 338" hidden="1">
              <a:extLst>
                <a:ext uri="{63B3BB69-23CF-44E3-9099-C40C66FF867C}">
                  <a14:compatExt spid="_x0000_s34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69</xdr:row>
          <xdr:rowOff>0</xdr:rowOff>
        </xdr:from>
        <xdr:to>
          <xdr:col>5</xdr:col>
          <xdr:colOff>0</xdr:colOff>
          <xdr:row>70</xdr:row>
          <xdr:rowOff>0</xdr:rowOff>
        </xdr:to>
        <xdr:sp macro="" textlink="">
          <xdr:nvSpPr>
            <xdr:cNvPr id="34131" name="Drop Down 339" hidden="1">
              <a:extLst>
                <a:ext uri="{63B3BB69-23CF-44E3-9099-C40C66FF867C}">
                  <a14:compatExt spid="_x0000_s34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70</xdr:row>
          <xdr:rowOff>0</xdr:rowOff>
        </xdr:from>
        <xdr:to>
          <xdr:col>5</xdr:col>
          <xdr:colOff>0</xdr:colOff>
          <xdr:row>71</xdr:row>
          <xdr:rowOff>0</xdr:rowOff>
        </xdr:to>
        <xdr:sp macro="" textlink="">
          <xdr:nvSpPr>
            <xdr:cNvPr id="34132" name="Drop Down 340" hidden="1">
              <a:extLst>
                <a:ext uri="{63B3BB69-23CF-44E3-9099-C40C66FF867C}">
                  <a14:compatExt spid="_x0000_s34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71</xdr:row>
          <xdr:rowOff>0</xdr:rowOff>
        </xdr:from>
        <xdr:to>
          <xdr:col>5</xdr:col>
          <xdr:colOff>0</xdr:colOff>
          <xdr:row>72</xdr:row>
          <xdr:rowOff>0</xdr:rowOff>
        </xdr:to>
        <xdr:sp macro="" textlink="">
          <xdr:nvSpPr>
            <xdr:cNvPr id="34133" name="Drop Down 341" hidden="1">
              <a:extLst>
                <a:ext uri="{63B3BB69-23CF-44E3-9099-C40C66FF867C}">
                  <a14:compatExt spid="_x0000_s34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72</xdr:row>
          <xdr:rowOff>0</xdr:rowOff>
        </xdr:from>
        <xdr:to>
          <xdr:col>5</xdr:col>
          <xdr:colOff>0</xdr:colOff>
          <xdr:row>73</xdr:row>
          <xdr:rowOff>0</xdr:rowOff>
        </xdr:to>
        <xdr:sp macro="" textlink="">
          <xdr:nvSpPr>
            <xdr:cNvPr id="34134" name="Drop Down 342" hidden="1">
              <a:extLst>
                <a:ext uri="{63B3BB69-23CF-44E3-9099-C40C66FF867C}">
                  <a14:compatExt spid="_x0000_s34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73</xdr:row>
          <xdr:rowOff>0</xdr:rowOff>
        </xdr:from>
        <xdr:to>
          <xdr:col>5</xdr:col>
          <xdr:colOff>0</xdr:colOff>
          <xdr:row>74</xdr:row>
          <xdr:rowOff>0</xdr:rowOff>
        </xdr:to>
        <xdr:sp macro="" textlink="">
          <xdr:nvSpPr>
            <xdr:cNvPr id="34135" name="Drop Down 343" hidden="1">
              <a:extLst>
                <a:ext uri="{63B3BB69-23CF-44E3-9099-C40C66FF867C}">
                  <a14:compatExt spid="_x0000_s34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69</xdr:row>
          <xdr:rowOff>0</xdr:rowOff>
        </xdr:from>
        <xdr:to>
          <xdr:col>24</xdr:col>
          <xdr:colOff>0</xdr:colOff>
          <xdr:row>70</xdr:row>
          <xdr:rowOff>0</xdr:rowOff>
        </xdr:to>
        <xdr:sp macro="" textlink="">
          <xdr:nvSpPr>
            <xdr:cNvPr id="34136" name="Drop Down 344" hidden="1">
              <a:extLst>
                <a:ext uri="{63B3BB69-23CF-44E3-9099-C40C66FF867C}">
                  <a14:compatExt spid="_x0000_s34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69</xdr:row>
          <xdr:rowOff>0</xdr:rowOff>
        </xdr:from>
        <xdr:to>
          <xdr:col>25</xdr:col>
          <xdr:colOff>0</xdr:colOff>
          <xdr:row>70</xdr:row>
          <xdr:rowOff>0</xdr:rowOff>
        </xdr:to>
        <xdr:sp macro="" textlink="">
          <xdr:nvSpPr>
            <xdr:cNvPr id="34137" name="Drop Down 345" hidden="1">
              <a:extLst>
                <a:ext uri="{63B3BB69-23CF-44E3-9099-C40C66FF867C}">
                  <a14:compatExt spid="_x0000_s34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70</xdr:row>
          <xdr:rowOff>0</xdr:rowOff>
        </xdr:from>
        <xdr:to>
          <xdr:col>24</xdr:col>
          <xdr:colOff>0</xdr:colOff>
          <xdr:row>71</xdr:row>
          <xdr:rowOff>0</xdr:rowOff>
        </xdr:to>
        <xdr:sp macro="" textlink="">
          <xdr:nvSpPr>
            <xdr:cNvPr id="34138" name="Drop Down 346" hidden="1">
              <a:extLst>
                <a:ext uri="{63B3BB69-23CF-44E3-9099-C40C66FF867C}">
                  <a14:compatExt spid="_x0000_s34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71</xdr:row>
          <xdr:rowOff>0</xdr:rowOff>
        </xdr:from>
        <xdr:to>
          <xdr:col>24</xdr:col>
          <xdr:colOff>0</xdr:colOff>
          <xdr:row>72</xdr:row>
          <xdr:rowOff>0</xdr:rowOff>
        </xdr:to>
        <xdr:sp macro="" textlink="">
          <xdr:nvSpPr>
            <xdr:cNvPr id="34139" name="Drop Down 347" hidden="1">
              <a:extLst>
                <a:ext uri="{63B3BB69-23CF-44E3-9099-C40C66FF867C}">
                  <a14:compatExt spid="_x0000_s34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72</xdr:row>
          <xdr:rowOff>0</xdr:rowOff>
        </xdr:from>
        <xdr:to>
          <xdr:col>24</xdr:col>
          <xdr:colOff>0</xdr:colOff>
          <xdr:row>73</xdr:row>
          <xdr:rowOff>0</xdr:rowOff>
        </xdr:to>
        <xdr:sp macro="" textlink="">
          <xdr:nvSpPr>
            <xdr:cNvPr id="34140" name="Drop Down 348" hidden="1">
              <a:extLst>
                <a:ext uri="{63B3BB69-23CF-44E3-9099-C40C66FF867C}">
                  <a14:compatExt spid="_x0000_s34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73</xdr:row>
          <xdr:rowOff>0</xdr:rowOff>
        </xdr:from>
        <xdr:to>
          <xdr:col>24</xdr:col>
          <xdr:colOff>0</xdr:colOff>
          <xdr:row>74</xdr:row>
          <xdr:rowOff>0</xdr:rowOff>
        </xdr:to>
        <xdr:sp macro="" textlink="">
          <xdr:nvSpPr>
            <xdr:cNvPr id="34141" name="Drop Down 349" hidden="1">
              <a:extLst>
                <a:ext uri="{63B3BB69-23CF-44E3-9099-C40C66FF867C}">
                  <a14:compatExt spid="_x0000_s34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70</xdr:row>
          <xdr:rowOff>0</xdr:rowOff>
        </xdr:from>
        <xdr:to>
          <xdr:col>25</xdr:col>
          <xdr:colOff>0</xdr:colOff>
          <xdr:row>71</xdr:row>
          <xdr:rowOff>0</xdr:rowOff>
        </xdr:to>
        <xdr:sp macro="" textlink="">
          <xdr:nvSpPr>
            <xdr:cNvPr id="34142" name="Drop Down 350" hidden="1">
              <a:extLst>
                <a:ext uri="{63B3BB69-23CF-44E3-9099-C40C66FF867C}">
                  <a14:compatExt spid="_x0000_s34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71</xdr:row>
          <xdr:rowOff>0</xdr:rowOff>
        </xdr:from>
        <xdr:to>
          <xdr:col>25</xdr:col>
          <xdr:colOff>0</xdr:colOff>
          <xdr:row>72</xdr:row>
          <xdr:rowOff>0</xdr:rowOff>
        </xdr:to>
        <xdr:sp macro="" textlink="">
          <xdr:nvSpPr>
            <xdr:cNvPr id="34143" name="Drop Down 351" hidden="1">
              <a:extLst>
                <a:ext uri="{63B3BB69-23CF-44E3-9099-C40C66FF867C}">
                  <a14:compatExt spid="_x0000_s34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72</xdr:row>
          <xdr:rowOff>0</xdr:rowOff>
        </xdr:from>
        <xdr:to>
          <xdr:col>25</xdr:col>
          <xdr:colOff>0</xdr:colOff>
          <xdr:row>73</xdr:row>
          <xdr:rowOff>0</xdr:rowOff>
        </xdr:to>
        <xdr:sp macro="" textlink="">
          <xdr:nvSpPr>
            <xdr:cNvPr id="34144" name="Drop Down 352" hidden="1">
              <a:extLst>
                <a:ext uri="{63B3BB69-23CF-44E3-9099-C40C66FF867C}">
                  <a14:compatExt spid="_x0000_s34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73</xdr:row>
          <xdr:rowOff>0</xdr:rowOff>
        </xdr:from>
        <xdr:to>
          <xdr:col>25</xdr:col>
          <xdr:colOff>0</xdr:colOff>
          <xdr:row>74</xdr:row>
          <xdr:rowOff>0</xdr:rowOff>
        </xdr:to>
        <xdr:sp macro="" textlink="">
          <xdr:nvSpPr>
            <xdr:cNvPr id="34145" name="Drop Down 353" hidden="1">
              <a:extLst>
                <a:ext uri="{63B3BB69-23CF-44E3-9099-C40C66FF867C}">
                  <a14:compatExt spid="_x0000_s34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69</xdr:row>
          <xdr:rowOff>0</xdr:rowOff>
        </xdr:from>
        <xdr:to>
          <xdr:col>14</xdr:col>
          <xdr:colOff>0</xdr:colOff>
          <xdr:row>70</xdr:row>
          <xdr:rowOff>9525</xdr:rowOff>
        </xdr:to>
        <xdr:sp macro="" textlink="">
          <xdr:nvSpPr>
            <xdr:cNvPr id="34146" name="Drop Down 354" hidden="1">
              <a:extLst>
                <a:ext uri="{63B3BB69-23CF-44E3-9099-C40C66FF867C}">
                  <a14:compatExt spid="_x0000_s34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70</xdr:row>
          <xdr:rowOff>0</xdr:rowOff>
        </xdr:from>
        <xdr:to>
          <xdr:col>14</xdr:col>
          <xdr:colOff>0</xdr:colOff>
          <xdr:row>71</xdr:row>
          <xdr:rowOff>9525</xdr:rowOff>
        </xdr:to>
        <xdr:sp macro="" textlink="">
          <xdr:nvSpPr>
            <xdr:cNvPr id="34147" name="Drop Down 355" hidden="1">
              <a:extLst>
                <a:ext uri="{63B3BB69-23CF-44E3-9099-C40C66FF867C}">
                  <a14:compatExt spid="_x0000_s34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71</xdr:row>
          <xdr:rowOff>0</xdr:rowOff>
        </xdr:from>
        <xdr:to>
          <xdr:col>14</xdr:col>
          <xdr:colOff>0</xdr:colOff>
          <xdr:row>72</xdr:row>
          <xdr:rowOff>9525</xdr:rowOff>
        </xdr:to>
        <xdr:sp macro="" textlink="">
          <xdr:nvSpPr>
            <xdr:cNvPr id="34148" name="Drop Down 356" hidden="1">
              <a:extLst>
                <a:ext uri="{63B3BB69-23CF-44E3-9099-C40C66FF867C}">
                  <a14:compatExt spid="_x0000_s34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72</xdr:row>
          <xdr:rowOff>0</xdr:rowOff>
        </xdr:from>
        <xdr:to>
          <xdr:col>14</xdr:col>
          <xdr:colOff>0</xdr:colOff>
          <xdr:row>73</xdr:row>
          <xdr:rowOff>9525</xdr:rowOff>
        </xdr:to>
        <xdr:sp macro="" textlink="">
          <xdr:nvSpPr>
            <xdr:cNvPr id="34149" name="Drop Down 357" hidden="1">
              <a:extLst>
                <a:ext uri="{63B3BB69-23CF-44E3-9099-C40C66FF867C}">
                  <a14:compatExt spid="_x0000_s34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73</xdr:row>
          <xdr:rowOff>0</xdr:rowOff>
        </xdr:from>
        <xdr:to>
          <xdr:col>14</xdr:col>
          <xdr:colOff>0</xdr:colOff>
          <xdr:row>74</xdr:row>
          <xdr:rowOff>9525</xdr:rowOff>
        </xdr:to>
        <xdr:sp macro="" textlink="">
          <xdr:nvSpPr>
            <xdr:cNvPr id="34150" name="Drop Down 358" hidden="1">
              <a:extLst>
                <a:ext uri="{63B3BB69-23CF-44E3-9099-C40C66FF867C}">
                  <a14:compatExt spid="_x0000_s34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78</xdr:row>
          <xdr:rowOff>0</xdr:rowOff>
        </xdr:from>
        <xdr:to>
          <xdr:col>18</xdr:col>
          <xdr:colOff>9525</xdr:colOff>
          <xdr:row>79</xdr:row>
          <xdr:rowOff>0</xdr:rowOff>
        </xdr:to>
        <xdr:sp macro="" textlink="">
          <xdr:nvSpPr>
            <xdr:cNvPr id="34151" name="Drop Down 359" hidden="1">
              <a:extLst>
                <a:ext uri="{63B3BB69-23CF-44E3-9099-C40C66FF867C}">
                  <a14:compatExt spid="_x0000_s34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79</xdr:row>
          <xdr:rowOff>0</xdr:rowOff>
        </xdr:from>
        <xdr:to>
          <xdr:col>18</xdr:col>
          <xdr:colOff>9525</xdr:colOff>
          <xdr:row>80</xdr:row>
          <xdr:rowOff>0</xdr:rowOff>
        </xdr:to>
        <xdr:sp macro="" textlink="">
          <xdr:nvSpPr>
            <xdr:cNvPr id="34152" name="Drop Down 360" hidden="1">
              <a:extLst>
                <a:ext uri="{63B3BB69-23CF-44E3-9099-C40C66FF867C}">
                  <a14:compatExt spid="_x0000_s34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80</xdr:row>
          <xdr:rowOff>0</xdr:rowOff>
        </xdr:from>
        <xdr:to>
          <xdr:col>18</xdr:col>
          <xdr:colOff>9525</xdr:colOff>
          <xdr:row>81</xdr:row>
          <xdr:rowOff>0</xdr:rowOff>
        </xdr:to>
        <xdr:sp macro="" textlink="">
          <xdr:nvSpPr>
            <xdr:cNvPr id="34153" name="Drop Down 361" hidden="1">
              <a:extLst>
                <a:ext uri="{63B3BB69-23CF-44E3-9099-C40C66FF867C}">
                  <a14:compatExt spid="_x0000_s34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81</xdr:row>
          <xdr:rowOff>0</xdr:rowOff>
        </xdr:from>
        <xdr:to>
          <xdr:col>18</xdr:col>
          <xdr:colOff>9525</xdr:colOff>
          <xdr:row>82</xdr:row>
          <xdr:rowOff>0</xdr:rowOff>
        </xdr:to>
        <xdr:sp macro="" textlink="">
          <xdr:nvSpPr>
            <xdr:cNvPr id="34154" name="Drop Down 362" hidden="1">
              <a:extLst>
                <a:ext uri="{63B3BB69-23CF-44E3-9099-C40C66FF867C}">
                  <a14:compatExt spid="_x0000_s34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82</xdr:row>
          <xdr:rowOff>0</xdr:rowOff>
        </xdr:from>
        <xdr:to>
          <xdr:col>18</xdr:col>
          <xdr:colOff>9525</xdr:colOff>
          <xdr:row>83</xdr:row>
          <xdr:rowOff>0</xdr:rowOff>
        </xdr:to>
        <xdr:sp macro="" textlink="">
          <xdr:nvSpPr>
            <xdr:cNvPr id="34155" name="Drop Down 363" hidden="1">
              <a:extLst>
                <a:ext uri="{63B3BB69-23CF-44E3-9099-C40C66FF867C}">
                  <a14:compatExt spid="_x0000_s34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78</xdr:row>
          <xdr:rowOff>0</xdr:rowOff>
        </xdr:from>
        <xdr:to>
          <xdr:col>7</xdr:col>
          <xdr:colOff>0</xdr:colOff>
          <xdr:row>79</xdr:row>
          <xdr:rowOff>0</xdr:rowOff>
        </xdr:to>
        <xdr:sp macro="" textlink="">
          <xdr:nvSpPr>
            <xdr:cNvPr id="34156" name="Drop Down 364" hidden="1">
              <a:extLst>
                <a:ext uri="{63B3BB69-23CF-44E3-9099-C40C66FF867C}">
                  <a14:compatExt spid="_x0000_s34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79</xdr:row>
          <xdr:rowOff>0</xdr:rowOff>
        </xdr:from>
        <xdr:to>
          <xdr:col>7</xdr:col>
          <xdr:colOff>0</xdr:colOff>
          <xdr:row>80</xdr:row>
          <xdr:rowOff>0</xdr:rowOff>
        </xdr:to>
        <xdr:sp macro="" textlink="">
          <xdr:nvSpPr>
            <xdr:cNvPr id="34157" name="Drop Down 365" hidden="1">
              <a:extLst>
                <a:ext uri="{63B3BB69-23CF-44E3-9099-C40C66FF867C}">
                  <a14:compatExt spid="_x0000_s34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80</xdr:row>
          <xdr:rowOff>0</xdr:rowOff>
        </xdr:from>
        <xdr:to>
          <xdr:col>7</xdr:col>
          <xdr:colOff>0</xdr:colOff>
          <xdr:row>81</xdr:row>
          <xdr:rowOff>0</xdr:rowOff>
        </xdr:to>
        <xdr:sp macro="" textlink="">
          <xdr:nvSpPr>
            <xdr:cNvPr id="34158" name="Drop Down 366" hidden="1">
              <a:extLst>
                <a:ext uri="{63B3BB69-23CF-44E3-9099-C40C66FF867C}">
                  <a14:compatExt spid="_x0000_s34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81</xdr:row>
          <xdr:rowOff>0</xdr:rowOff>
        </xdr:from>
        <xdr:to>
          <xdr:col>7</xdr:col>
          <xdr:colOff>0</xdr:colOff>
          <xdr:row>82</xdr:row>
          <xdr:rowOff>0</xdr:rowOff>
        </xdr:to>
        <xdr:sp macro="" textlink="">
          <xdr:nvSpPr>
            <xdr:cNvPr id="34159" name="Drop Down 367" hidden="1">
              <a:extLst>
                <a:ext uri="{63B3BB69-23CF-44E3-9099-C40C66FF867C}">
                  <a14:compatExt spid="_x0000_s34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82</xdr:row>
          <xdr:rowOff>0</xdr:rowOff>
        </xdr:from>
        <xdr:to>
          <xdr:col>7</xdr:col>
          <xdr:colOff>0</xdr:colOff>
          <xdr:row>83</xdr:row>
          <xdr:rowOff>0</xdr:rowOff>
        </xdr:to>
        <xdr:sp macro="" textlink="">
          <xdr:nvSpPr>
            <xdr:cNvPr id="34160" name="Drop Down 368" hidden="1">
              <a:extLst>
                <a:ext uri="{63B3BB69-23CF-44E3-9099-C40C66FF867C}">
                  <a14:compatExt spid="_x0000_s34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78</xdr:row>
          <xdr:rowOff>0</xdr:rowOff>
        </xdr:from>
        <xdr:to>
          <xdr:col>5</xdr:col>
          <xdr:colOff>0</xdr:colOff>
          <xdr:row>79</xdr:row>
          <xdr:rowOff>0</xdr:rowOff>
        </xdr:to>
        <xdr:sp macro="" textlink="">
          <xdr:nvSpPr>
            <xdr:cNvPr id="34161" name="Drop Down 369" hidden="1">
              <a:extLst>
                <a:ext uri="{63B3BB69-23CF-44E3-9099-C40C66FF867C}">
                  <a14:compatExt spid="_x0000_s34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79</xdr:row>
          <xdr:rowOff>0</xdr:rowOff>
        </xdr:from>
        <xdr:to>
          <xdr:col>5</xdr:col>
          <xdr:colOff>0</xdr:colOff>
          <xdr:row>80</xdr:row>
          <xdr:rowOff>0</xdr:rowOff>
        </xdr:to>
        <xdr:sp macro="" textlink="">
          <xdr:nvSpPr>
            <xdr:cNvPr id="34162" name="Drop Down 370" hidden="1">
              <a:extLst>
                <a:ext uri="{63B3BB69-23CF-44E3-9099-C40C66FF867C}">
                  <a14:compatExt spid="_x0000_s34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80</xdr:row>
          <xdr:rowOff>0</xdr:rowOff>
        </xdr:from>
        <xdr:to>
          <xdr:col>5</xdr:col>
          <xdr:colOff>0</xdr:colOff>
          <xdr:row>81</xdr:row>
          <xdr:rowOff>0</xdr:rowOff>
        </xdr:to>
        <xdr:sp macro="" textlink="">
          <xdr:nvSpPr>
            <xdr:cNvPr id="34163" name="Drop Down 371" hidden="1">
              <a:extLst>
                <a:ext uri="{63B3BB69-23CF-44E3-9099-C40C66FF867C}">
                  <a14:compatExt spid="_x0000_s34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81</xdr:row>
          <xdr:rowOff>0</xdr:rowOff>
        </xdr:from>
        <xdr:to>
          <xdr:col>5</xdr:col>
          <xdr:colOff>0</xdr:colOff>
          <xdr:row>82</xdr:row>
          <xdr:rowOff>0</xdr:rowOff>
        </xdr:to>
        <xdr:sp macro="" textlink="">
          <xdr:nvSpPr>
            <xdr:cNvPr id="34164" name="Drop Down 372" hidden="1">
              <a:extLst>
                <a:ext uri="{63B3BB69-23CF-44E3-9099-C40C66FF867C}">
                  <a14:compatExt spid="_x0000_s34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82</xdr:row>
          <xdr:rowOff>0</xdr:rowOff>
        </xdr:from>
        <xdr:to>
          <xdr:col>5</xdr:col>
          <xdr:colOff>0</xdr:colOff>
          <xdr:row>83</xdr:row>
          <xdr:rowOff>0</xdr:rowOff>
        </xdr:to>
        <xdr:sp macro="" textlink="">
          <xdr:nvSpPr>
            <xdr:cNvPr id="34165" name="Drop Down 373" hidden="1">
              <a:extLst>
                <a:ext uri="{63B3BB69-23CF-44E3-9099-C40C66FF867C}">
                  <a14:compatExt spid="_x0000_s34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78</xdr:row>
          <xdr:rowOff>0</xdr:rowOff>
        </xdr:from>
        <xdr:to>
          <xdr:col>24</xdr:col>
          <xdr:colOff>0</xdr:colOff>
          <xdr:row>79</xdr:row>
          <xdr:rowOff>0</xdr:rowOff>
        </xdr:to>
        <xdr:sp macro="" textlink="">
          <xdr:nvSpPr>
            <xdr:cNvPr id="34166" name="Drop Down 374" hidden="1">
              <a:extLst>
                <a:ext uri="{63B3BB69-23CF-44E3-9099-C40C66FF867C}">
                  <a14:compatExt spid="_x0000_s34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78</xdr:row>
          <xdr:rowOff>0</xdr:rowOff>
        </xdr:from>
        <xdr:to>
          <xdr:col>25</xdr:col>
          <xdr:colOff>0</xdr:colOff>
          <xdr:row>79</xdr:row>
          <xdr:rowOff>0</xdr:rowOff>
        </xdr:to>
        <xdr:sp macro="" textlink="">
          <xdr:nvSpPr>
            <xdr:cNvPr id="34167" name="Drop Down 375" hidden="1">
              <a:extLst>
                <a:ext uri="{63B3BB69-23CF-44E3-9099-C40C66FF867C}">
                  <a14:compatExt spid="_x0000_s34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79</xdr:row>
          <xdr:rowOff>0</xdr:rowOff>
        </xdr:from>
        <xdr:to>
          <xdr:col>24</xdr:col>
          <xdr:colOff>0</xdr:colOff>
          <xdr:row>80</xdr:row>
          <xdr:rowOff>0</xdr:rowOff>
        </xdr:to>
        <xdr:sp macro="" textlink="">
          <xdr:nvSpPr>
            <xdr:cNvPr id="34168" name="Drop Down 376" hidden="1">
              <a:extLst>
                <a:ext uri="{63B3BB69-23CF-44E3-9099-C40C66FF867C}">
                  <a14:compatExt spid="_x0000_s34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80</xdr:row>
          <xdr:rowOff>0</xdr:rowOff>
        </xdr:from>
        <xdr:to>
          <xdr:col>24</xdr:col>
          <xdr:colOff>0</xdr:colOff>
          <xdr:row>81</xdr:row>
          <xdr:rowOff>0</xdr:rowOff>
        </xdr:to>
        <xdr:sp macro="" textlink="">
          <xdr:nvSpPr>
            <xdr:cNvPr id="34169" name="Drop Down 377" hidden="1">
              <a:extLst>
                <a:ext uri="{63B3BB69-23CF-44E3-9099-C40C66FF867C}">
                  <a14:compatExt spid="_x0000_s34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81</xdr:row>
          <xdr:rowOff>0</xdr:rowOff>
        </xdr:from>
        <xdr:to>
          <xdr:col>24</xdr:col>
          <xdr:colOff>0</xdr:colOff>
          <xdr:row>82</xdr:row>
          <xdr:rowOff>0</xdr:rowOff>
        </xdr:to>
        <xdr:sp macro="" textlink="">
          <xdr:nvSpPr>
            <xdr:cNvPr id="34170" name="Drop Down 378" hidden="1">
              <a:extLst>
                <a:ext uri="{63B3BB69-23CF-44E3-9099-C40C66FF867C}">
                  <a14:compatExt spid="_x0000_s34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82</xdr:row>
          <xdr:rowOff>0</xdr:rowOff>
        </xdr:from>
        <xdr:to>
          <xdr:col>24</xdr:col>
          <xdr:colOff>0</xdr:colOff>
          <xdr:row>83</xdr:row>
          <xdr:rowOff>0</xdr:rowOff>
        </xdr:to>
        <xdr:sp macro="" textlink="">
          <xdr:nvSpPr>
            <xdr:cNvPr id="34171" name="Drop Down 379" hidden="1">
              <a:extLst>
                <a:ext uri="{63B3BB69-23CF-44E3-9099-C40C66FF867C}">
                  <a14:compatExt spid="_x0000_s34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79</xdr:row>
          <xdr:rowOff>0</xdr:rowOff>
        </xdr:from>
        <xdr:to>
          <xdr:col>25</xdr:col>
          <xdr:colOff>0</xdr:colOff>
          <xdr:row>80</xdr:row>
          <xdr:rowOff>0</xdr:rowOff>
        </xdr:to>
        <xdr:sp macro="" textlink="">
          <xdr:nvSpPr>
            <xdr:cNvPr id="34172" name="Drop Down 380" hidden="1">
              <a:extLst>
                <a:ext uri="{63B3BB69-23CF-44E3-9099-C40C66FF867C}">
                  <a14:compatExt spid="_x0000_s34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80</xdr:row>
          <xdr:rowOff>0</xdr:rowOff>
        </xdr:from>
        <xdr:to>
          <xdr:col>25</xdr:col>
          <xdr:colOff>0</xdr:colOff>
          <xdr:row>81</xdr:row>
          <xdr:rowOff>0</xdr:rowOff>
        </xdr:to>
        <xdr:sp macro="" textlink="">
          <xdr:nvSpPr>
            <xdr:cNvPr id="34173" name="Drop Down 381" hidden="1">
              <a:extLst>
                <a:ext uri="{63B3BB69-23CF-44E3-9099-C40C66FF867C}">
                  <a14:compatExt spid="_x0000_s34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81</xdr:row>
          <xdr:rowOff>0</xdr:rowOff>
        </xdr:from>
        <xdr:to>
          <xdr:col>25</xdr:col>
          <xdr:colOff>0</xdr:colOff>
          <xdr:row>82</xdr:row>
          <xdr:rowOff>0</xdr:rowOff>
        </xdr:to>
        <xdr:sp macro="" textlink="">
          <xdr:nvSpPr>
            <xdr:cNvPr id="34174" name="Drop Down 382" hidden="1">
              <a:extLst>
                <a:ext uri="{63B3BB69-23CF-44E3-9099-C40C66FF867C}">
                  <a14:compatExt spid="_x0000_s34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82</xdr:row>
          <xdr:rowOff>0</xdr:rowOff>
        </xdr:from>
        <xdr:to>
          <xdr:col>25</xdr:col>
          <xdr:colOff>0</xdr:colOff>
          <xdr:row>83</xdr:row>
          <xdr:rowOff>0</xdr:rowOff>
        </xdr:to>
        <xdr:sp macro="" textlink="">
          <xdr:nvSpPr>
            <xdr:cNvPr id="34175" name="Drop Down 383" hidden="1">
              <a:extLst>
                <a:ext uri="{63B3BB69-23CF-44E3-9099-C40C66FF867C}">
                  <a14:compatExt spid="_x0000_s34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78</xdr:row>
          <xdr:rowOff>0</xdr:rowOff>
        </xdr:from>
        <xdr:to>
          <xdr:col>14</xdr:col>
          <xdr:colOff>0</xdr:colOff>
          <xdr:row>79</xdr:row>
          <xdr:rowOff>9525</xdr:rowOff>
        </xdr:to>
        <xdr:sp macro="" textlink="">
          <xdr:nvSpPr>
            <xdr:cNvPr id="34176" name="Drop Down 384" hidden="1">
              <a:extLst>
                <a:ext uri="{63B3BB69-23CF-44E3-9099-C40C66FF867C}">
                  <a14:compatExt spid="_x0000_s34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79</xdr:row>
          <xdr:rowOff>0</xdr:rowOff>
        </xdr:from>
        <xdr:to>
          <xdr:col>14</xdr:col>
          <xdr:colOff>0</xdr:colOff>
          <xdr:row>80</xdr:row>
          <xdr:rowOff>9525</xdr:rowOff>
        </xdr:to>
        <xdr:sp macro="" textlink="">
          <xdr:nvSpPr>
            <xdr:cNvPr id="34177" name="Drop Down 385" hidden="1">
              <a:extLst>
                <a:ext uri="{63B3BB69-23CF-44E3-9099-C40C66FF867C}">
                  <a14:compatExt spid="_x0000_s34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80</xdr:row>
          <xdr:rowOff>0</xdr:rowOff>
        </xdr:from>
        <xdr:to>
          <xdr:col>14</xdr:col>
          <xdr:colOff>0</xdr:colOff>
          <xdr:row>81</xdr:row>
          <xdr:rowOff>9525</xdr:rowOff>
        </xdr:to>
        <xdr:sp macro="" textlink="">
          <xdr:nvSpPr>
            <xdr:cNvPr id="34178" name="Drop Down 386" hidden="1">
              <a:extLst>
                <a:ext uri="{63B3BB69-23CF-44E3-9099-C40C66FF867C}">
                  <a14:compatExt spid="_x0000_s34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81</xdr:row>
          <xdr:rowOff>0</xdr:rowOff>
        </xdr:from>
        <xdr:to>
          <xdr:col>14</xdr:col>
          <xdr:colOff>0</xdr:colOff>
          <xdr:row>82</xdr:row>
          <xdr:rowOff>9525</xdr:rowOff>
        </xdr:to>
        <xdr:sp macro="" textlink="">
          <xdr:nvSpPr>
            <xdr:cNvPr id="34179" name="Drop Down 387" hidden="1">
              <a:extLst>
                <a:ext uri="{63B3BB69-23CF-44E3-9099-C40C66FF867C}">
                  <a14:compatExt spid="_x0000_s34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82</xdr:row>
          <xdr:rowOff>0</xdr:rowOff>
        </xdr:from>
        <xdr:to>
          <xdr:col>14</xdr:col>
          <xdr:colOff>0</xdr:colOff>
          <xdr:row>83</xdr:row>
          <xdr:rowOff>9525</xdr:rowOff>
        </xdr:to>
        <xdr:sp macro="" textlink="">
          <xdr:nvSpPr>
            <xdr:cNvPr id="34180" name="Drop Down 388" hidden="1">
              <a:extLst>
                <a:ext uri="{63B3BB69-23CF-44E3-9099-C40C66FF867C}">
                  <a14:compatExt spid="_x0000_s34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87</xdr:row>
          <xdr:rowOff>0</xdr:rowOff>
        </xdr:from>
        <xdr:to>
          <xdr:col>18</xdr:col>
          <xdr:colOff>9525</xdr:colOff>
          <xdr:row>88</xdr:row>
          <xdr:rowOff>0</xdr:rowOff>
        </xdr:to>
        <xdr:sp macro="" textlink="">
          <xdr:nvSpPr>
            <xdr:cNvPr id="34181" name="Drop Down 389" hidden="1">
              <a:extLst>
                <a:ext uri="{63B3BB69-23CF-44E3-9099-C40C66FF867C}">
                  <a14:compatExt spid="_x0000_s34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88</xdr:row>
          <xdr:rowOff>0</xdr:rowOff>
        </xdr:from>
        <xdr:to>
          <xdr:col>18</xdr:col>
          <xdr:colOff>9525</xdr:colOff>
          <xdr:row>89</xdr:row>
          <xdr:rowOff>0</xdr:rowOff>
        </xdr:to>
        <xdr:sp macro="" textlink="">
          <xdr:nvSpPr>
            <xdr:cNvPr id="34182" name="Drop Down 390" hidden="1">
              <a:extLst>
                <a:ext uri="{63B3BB69-23CF-44E3-9099-C40C66FF867C}">
                  <a14:compatExt spid="_x0000_s34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89</xdr:row>
          <xdr:rowOff>0</xdr:rowOff>
        </xdr:from>
        <xdr:to>
          <xdr:col>18</xdr:col>
          <xdr:colOff>9525</xdr:colOff>
          <xdr:row>90</xdr:row>
          <xdr:rowOff>0</xdr:rowOff>
        </xdr:to>
        <xdr:sp macro="" textlink="">
          <xdr:nvSpPr>
            <xdr:cNvPr id="34183" name="Drop Down 391" hidden="1">
              <a:extLst>
                <a:ext uri="{63B3BB69-23CF-44E3-9099-C40C66FF867C}">
                  <a14:compatExt spid="_x0000_s34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90</xdr:row>
          <xdr:rowOff>0</xdr:rowOff>
        </xdr:from>
        <xdr:to>
          <xdr:col>18</xdr:col>
          <xdr:colOff>9525</xdr:colOff>
          <xdr:row>91</xdr:row>
          <xdr:rowOff>0</xdr:rowOff>
        </xdr:to>
        <xdr:sp macro="" textlink="">
          <xdr:nvSpPr>
            <xdr:cNvPr id="34184" name="Drop Down 392" hidden="1">
              <a:extLst>
                <a:ext uri="{63B3BB69-23CF-44E3-9099-C40C66FF867C}">
                  <a14:compatExt spid="_x0000_s34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91</xdr:row>
          <xdr:rowOff>0</xdr:rowOff>
        </xdr:from>
        <xdr:to>
          <xdr:col>18</xdr:col>
          <xdr:colOff>9525</xdr:colOff>
          <xdr:row>92</xdr:row>
          <xdr:rowOff>0</xdr:rowOff>
        </xdr:to>
        <xdr:sp macro="" textlink="">
          <xdr:nvSpPr>
            <xdr:cNvPr id="34185" name="Drop Down 393" hidden="1">
              <a:extLst>
                <a:ext uri="{63B3BB69-23CF-44E3-9099-C40C66FF867C}">
                  <a14:compatExt spid="_x0000_s34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87</xdr:row>
          <xdr:rowOff>0</xdr:rowOff>
        </xdr:from>
        <xdr:to>
          <xdr:col>7</xdr:col>
          <xdr:colOff>0</xdr:colOff>
          <xdr:row>88</xdr:row>
          <xdr:rowOff>0</xdr:rowOff>
        </xdr:to>
        <xdr:sp macro="" textlink="">
          <xdr:nvSpPr>
            <xdr:cNvPr id="34186" name="Drop Down 394" hidden="1">
              <a:extLst>
                <a:ext uri="{63B3BB69-23CF-44E3-9099-C40C66FF867C}">
                  <a14:compatExt spid="_x0000_s34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88</xdr:row>
          <xdr:rowOff>0</xdr:rowOff>
        </xdr:from>
        <xdr:to>
          <xdr:col>7</xdr:col>
          <xdr:colOff>0</xdr:colOff>
          <xdr:row>89</xdr:row>
          <xdr:rowOff>0</xdr:rowOff>
        </xdr:to>
        <xdr:sp macro="" textlink="">
          <xdr:nvSpPr>
            <xdr:cNvPr id="34187" name="Drop Down 395" hidden="1">
              <a:extLst>
                <a:ext uri="{63B3BB69-23CF-44E3-9099-C40C66FF867C}">
                  <a14:compatExt spid="_x0000_s34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89</xdr:row>
          <xdr:rowOff>0</xdr:rowOff>
        </xdr:from>
        <xdr:to>
          <xdr:col>7</xdr:col>
          <xdr:colOff>0</xdr:colOff>
          <xdr:row>90</xdr:row>
          <xdr:rowOff>0</xdr:rowOff>
        </xdr:to>
        <xdr:sp macro="" textlink="">
          <xdr:nvSpPr>
            <xdr:cNvPr id="34188" name="Drop Down 396" hidden="1">
              <a:extLst>
                <a:ext uri="{63B3BB69-23CF-44E3-9099-C40C66FF867C}">
                  <a14:compatExt spid="_x0000_s34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90</xdr:row>
          <xdr:rowOff>0</xdr:rowOff>
        </xdr:from>
        <xdr:to>
          <xdr:col>7</xdr:col>
          <xdr:colOff>0</xdr:colOff>
          <xdr:row>91</xdr:row>
          <xdr:rowOff>0</xdr:rowOff>
        </xdr:to>
        <xdr:sp macro="" textlink="">
          <xdr:nvSpPr>
            <xdr:cNvPr id="34189" name="Drop Down 397" hidden="1">
              <a:extLst>
                <a:ext uri="{63B3BB69-23CF-44E3-9099-C40C66FF867C}">
                  <a14:compatExt spid="_x0000_s34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91</xdr:row>
          <xdr:rowOff>0</xdr:rowOff>
        </xdr:from>
        <xdr:to>
          <xdr:col>7</xdr:col>
          <xdr:colOff>0</xdr:colOff>
          <xdr:row>92</xdr:row>
          <xdr:rowOff>0</xdr:rowOff>
        </xdr:to>
        <xdr:sp macro="" textlink="">
          <xdr:nvSpPr>
            <xdr:cNvPr id="34190" name="Drop Down 398" hidden="1">
              <a:extLst>
                <a:ext uri="{63B3BB69-23CF-44E3-9099-C40C66FF867C}">
                  <a14:compatExt spid="_x0000_s34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87</xdr:row>
          <xdr:rowOff>0</xdr:rowOff>
        </xdr:from>
        <xdr:to>
          <xdr:col>5</xdr:col>
          <xdr:colOff>0</xdr:colOff>
          <xdr:row>88</xdr:row>
          <xdr:rowOff>0</xdr:rowOff>
        </xdr:to>
        <xdr:sp macro="" textlink="">
          <xdr:nvSpPr>
            <xdr:cNvPr id="34191" name="Drop Down 399" hidden="1">
              <a:extLst>
                <a:ext uri="{63B3BB69-23CF-44E3-9099-C40C66FF867C}">
                  <a14:compatExt spid="_x0000_s34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88</xdr:row>
          <xdr:rowOff>0</xdr:rowOff>
        </xdr:from>
        <xdr:to>
          <xdr:col>5</xdr:col>
          <xdr:colOff>0</xdr:colOff>
          <xdr:row>89</xdr:row>
          <xdr:rowOff>0</xdr:rowOff>
        </xdr:to>
        <xdr:sp macro="" textlink="">
          <xdr:nvSpPr>
            <xdr:cNvPr id="34192" name="Drop Down 400" hidden="1">
              <a:extLst>
                <a:ext uri="{63B3BB69-23CF-44E3-9099-C40C66FF867C}">
                  <a14:compatExt spid="_x0000_s34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89</xdr:row>
          <xdr:rowOff>0</xdr:rowOff>
        </xdr:from>
        <xdr:to>
          <xdr:col>5</xdr:col>
          <xdr:colOff>0</xdr:colOff>
          <xdr:row>90</xdr:row>
          <xdr:rowOff>0</xdr:rowOff>
        </xdr:to>
        <xdr:sp macro="" textlink="">
          <xdr:nvSpPr>
            <xdr:cNvPr id="34193" name="Drop Down 401" hidden="1">
              <a:extLst>
                <a:ext uri="{63B3BB69-23CF-44E3-9099-C40C66FF867C}">
                  <a14:compatExt spid="_x0000_s34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90</xdr:row>
          <xdr:rowOff>0</xdr:rowOff>
        </xdr:from>
        <xdr:to>
          <xdr:col>5</xdr:col>
          <xdr:colOff>0</xdr:colOff>
          <xdr:row>91</xdr:row>
          <xdr:rowOff>0</xdr:rowOff>
        </xdr:to>
        <xdr:sp macro="" textlink="">
          <xdr:nvSpPr>
            <xdr:cNvPr id="34194" name="Drop Down 402" hidden="1">
              <a:extLst>
                <a:ext uri="{63B3BB69-23CF-44E3-9099-C40C66FF867C}">
                  <a14:compatExt spid="_x0000_s34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91</xdr:row>
          <xdr:rowOff>0</xdr:rowOff>
        </xdr:from>
        <xdr:to>
          <xdr:col>5</xdr:col>
          <xdr:colOff>0</xdr:colOff>
          <xdr:row>92</xdr:row>
          <xdr:rowOff>0</xdr:rowOff>
        </xdr:to>
        <xdr:sp macro="" textlink="">
          <xdr:nvSpPr>
            <xdr:cNvPr id="34195" name="Drop Down 403" hidden="1">
              <a:extLst>
                <a:ext uri="{63B3BB69-23CF-44E3-9099-C40C66FF867C}">
                  <a14:compatExt spid="_x0000_s34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87</xdr:row>
          <xdr:rowOff>0</xdr:rowOff>
        </xdr:from>
        <xdr:to>
          <xdr:col>24</xdr:col>
          <xdr:colOff>0</xdr:colOff>
          <xdr:row>88</xdr:row>
          <xdr:rowOff>0</xdr:rowOff>
        </xdr:to>
        <xdr:sp macro="" textlink="">
          <xdr:nvSpPr>
            <xdr:cNvPr id="34196" name="Drop Down 404" hidden="1">
              <a:extLst>
                <a:ext uri="{63B3BB69-23CF-44E3-9099-C40C66FF867C}">
                  <a14:compatExt spid="_x0000_s34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87</xdr:row>
          <xdr:rowOff>0</xdr:rowOff>
        </xdr:from>
        <xdr:to>
          <xdr:col>25</xdr:col>
          <xdr:colOff>0</xdr:colOff>
          <xdr:row>88</xdr:row>
          <xdr:rowOff>0</xdr:rowOff>
        </xdr:to>
        <xdr:sp macro="" textlink="">
          <xdr:nvSpPr>
            <xdr:cNvPr id="34197" name="Drop Down 405" hidden="1">
              <a:extLst>
                <a:ext uri="{63B3BB69-23CF-44E3-9099-C40C66FF867C}">
                  <a14:compatExt spid="_x0000_s34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88</xdr:row>
          <xdr:rowOff>0</xdr:rowOff>
        </xdr:from>
        <xdr:to>
          <xdr:col>24</xdr:col>
          <xdr:colOff>0</xdr:colOff>
          <xdr:row>89</xdr:row>
          <xdr:rowOff>0</xdr:rowOff>
        </xdr:to>
        <xdr:sp macro="" textlink="">
          <xdr:nvSpPr>
            <xdr:cNvPr id="34198" name="Drop Down 406" hidden="1">
              <a:extLst>
                <a:ext uri="{63B3BB69-23CF-44E3-9099-C40C66FF867C}">
                  <a14:compatExt spid="_x0000_s34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89</xdr:row>
          <xdr:rowOff>0</xdr:rowOff>
        </xdr:from>
        <xdr:to>
          <xdr:col>24</xdr:col>
          <xdr:colOff>0</xdr:colOff>
          <xdr:row>90</xdr:row>
          <xdr:rowOff>0</xdr:rowOff>
        </xdr:to>
        <xdr:sp macro="" textlink="">
          <xdr:nvSpPr>
            <xdr:cNvPr id="34199" name="Drop Down 407" hidden="1">
              <a:extLst>
                <a:ext uri="{63B3BB69-23CF-44E3-9099-C40C66FF867C}">
                  <a14:compatExt spid="_x0000_s34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90</xdr:row>
          <xdr:rowOff>0</xdr:rowOff>
        </xdr:from>
        <xdr:to>
          <xdr:col>24</xdr:col>
          <xdr:colOff>0</xdr:colOff>
          <xdr:row>91</xdr:row>
          <xdr:rowOff>0</xdr:rowOff>
        </xdr:to>
        <xdr:sp macro="" textlink="">
          <xdr:nvSpPr>
            <xdr:cNvPr id="34200" name="Drop Down 408" hidden="1">
              <a:extLst>
                <a:ext uri="{63B3BB69-23CF-44E3-9099-C40C66FF867C}">
                  <a14:compatExt spid="_x0000_s34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91</xdr:row>
          <xdr:rowOff>0</xdr:rowOff>
        </xdr:from>
        <xdr:to>
          <xdr:col>24</xdr:col>
          <xdr:colOff>0</xdr:colOff>
          <xdr:row>92</xdr:row>
          <xdr:rowOff>0</xdr:rowOff>
        </xdr:to>
        <xdr:sp macro="" textlink="">
          <xdr:nvSpPr>
            <xdr:cNvPr id="34201" name="Drop Down 409" hidden="1">
              <a:extLst>
                <a:ext uri="{63B3BB69-23CF-44E3-9099-C40C66FF867C}">
                  <a14:compatExt spid="_x0000_s34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88</xdr:row>
          <xdr:rowOff>0</xdr:rowOff>
        </xdr:from>
        <xdr:to>
          <xdr:col>25</xdr:col>
          <xdr:colOff>0</xdr:colOff>
          <xdr:row>89</xdr:row>
          <xdr:rowOff>0</xdr:rowOff>
        </xdr:to>
        <xdr:sp macro="" textlink="">
          <xdr:nvSpPr>
            <xdr:cNvPr id="34202" name="Drop Down 410" hidden="1">
              <a:extLst>
                <a:ext uri="{63B3BB69-23CF-44E3-9099-C40C66FF867C}">
                  <a14:compatExt spid="_x0000_s34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89</xdr:row>
          <xdr:rowOff>0</xdr:rowOff>
        </xdr:from>
        <xdr:to>
          <xdr:col>25</xdr:col>
          <xdr:colOff>0</xdr:colOff>
          <xdr:row>90</xdr:row>
          <xdr:rowOff>0</xdr:rowOff>
        </xdr:to>
        <xdr:sp macro="" textlink="">
          <xdr:nvSpPr>
            <xdr:cNvPr id="34203" name="Drop Down 411" hidden="1">
              <a:extLst>
                <a:ext uri="{63B3BB69-23CF-44E3-9099-C40C66FF867C}">
                  <a14:compatExt spid="_x0000_s34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90</xdr:row>
          <xdr:rowOff>0</xdr:rowOff>
        </xdr:from>
        <xdr:to>
          <xdr:col>25</xdr:col>
          <xdr:colOff>0</xdr:colOff>
          <xdr:row>91</xdr:row>
          <xdr:rowOff>0</xdr:rowOff>
        </xdr:to>
        <xdr:sp macro="" textlink="">
          <xdr:nvSpPr>
            <xdr:cNvPr id="34204" name="Drop Down 412" hidden="1">
              <a:extLst>
                <a:ext uri="{63B3BB69-23CF-44E3-9099-C40C66FF867C}">
                  <a14:compatExt spid="_x0000_s34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91</xdr:row>
          <xdr:rowOff>0</xdr:rowOff>
        </xdr:from>
        <xdr:to>
          <xdr:col>25</xdr:col>
          <xdr:colOff>0</xdr:colOff>
          <xdr:row>92</xdr:row>
          <xdr:rowOff>0</xdr:rowOff>
        </xdr:to>
        <xdr:sp macro="" textlink="">
          <xdr:nvSpPr>
            <xdr:cNvPr id="34205" name="Drop Down 413" hidden="1">
              <a:extLst>
                <a:ext uri="{63B3BB69-23CF-44E3-9099-C40C66FF867C}">
                  <a14:compatExt spid="_x0000_s34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87</xdr:row>
          <xdr:rowOff>0</xdr:rowOff>
        </xdr:from>
        <xdr:to>
          <xdr:col>14</xdr:col>
          <xdr:colOff>0</xdr:colOff>
          <xdr:row>88</xdr:row>
          <xdr:rowOff>9525</xdr:rowOff>
        </xdr:to>
        <xdr:sp macro="" textlink="">
          <xdr:nvSpPr>
            <xdr:cNvPr id="34206" name="Drop Down 414" hidden="1">
              <a:extLst>
                <a:ext uri="{63B3BB69-23CF-44E3-9099-C40C66FF867C}">
                  <a14:compatExt spid="_x0000_s34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88</xdr:row>
          <xdr:rowOff>0</xdr:rowOff>
        </xdr:from>
        <xdr:to>
          <xdr:col>14</xdr:col>
          <xdr:colOff>0</xdr:colOff>
          <xdr:row>89</xdr:row>
          <xdr:rowOff>9525</xdr:rowOff>
        </xdr:to>
        <xdr:sp macro="" textlink="">
          <xdr:nvSpPr>
            <xdr:cNvPr id="34207" name="Drop Down 415" hidden="1">
              <a:extLst>
                <a:ext uri="{63B3BB69-23CF-44E3-9099-C40C66FF867C}">
                  <a14:compatExt spid="_x0000_s34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89</xdr:row>
          <xdr:rowOff>0</xdr:rowOff>
        </xdr:from>
        <xdr:to>
          <xdr:col>14</xdr:col>
          <xdr:colOff>0</xdr:colOff>
          <xdr:row>90</xdr:row>
          <xdr:rowOff>9525</xdr:rowOff>
        </xdr:to>
        <xdr:sp macro="" textlink="">
          <xdr:nvSpPr>
            <xdr:cNvPr id="34208" name="Drop Down 416" hidden="1">
              <a:extLst>
                <a:ext uri="{63B3BB69-23CF-44E3-9099-C40C66FF867C}">
                  <a14:compatExt spid="_x0000_s34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90</xdr:row>
          <xdr:rowOff>0</xdr:rowOff>
        </xdr:from>
        <xdr:to>
          <xdr:col>14</xdr:col>
          <xdr:colOff>0</xdr:colOff>
          <xdr:row>91</xdr:row>
          <xdr:rowOff>9525</xdr:rowOff>
        </xdr:to>
        <xdr:sp macro="" textlink="">
          <xdr:nvSpPr>
            <xdr:cNvPr id="34209" name="Drop Down 417" hidden="1">
              <a:extLst>
                <a:ext uri="{63B3BB69-23CF-44E3-9099-C40C66FF867C}">
                  <a14:compatExt spid="_x0000_s34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91</xdr:row>
          <xdr:rowOff>0</xdr:rowOff>
        </xdr:from>
        <xdr:to>
          <xdr:col>14</xdr:col>
          <xdr:colOff>0</xdr:colOff>
          <xdr:row>92</xdr:row>
          <xdr:rowOff>9525</xdr:rowOff>
        </xdr:to>
        <xdr:sp macro="" textlink="">
          <xdr:nvSpPr>
            <xdr:cNvPr id="34210" name="Drop Down 418" hidden="1">
              <a:extLst>
                <a:ext uri="{63B3BB69-23CF-44E3-9099-C40C66FF867C}">
                  <a14:compatExt spid="_x0000_s34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96</xdr:row>
          <xdr:rowOff>0</xdr:rowOff>
        </xdr:from>
        <xdr:to>
          <xdr:col>18</xdr:col>
          <xdr:colOff>9525</xdr:colOff>
          <xdr:row>97</xdr:row>
          <xdr:rowOff>0</xdr:rowOff>
        </xdr:to>
        <xdr:sp macro="" textlink="">
          <xdr:nvSpPr>
            <xdr:cNvPr id="34211" name="Drop Down 419" hidden="1">
              <a:extLst>
                <a:ext uri="{63B3BB69-23CF-44E3-9099-C40C66FF867C}">
                  <a14:compatExt spid="_x0000_s34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97</xdr:row>
          <xdr:rowOff>0</xdr:rowOff>
        </xdr:from>
        <xdr:to>
          <xdr:col>18</xdr:col>
          <xdr:colOff>9525</xdr:colOff>
          <xdr:row>98</xdr:row>
          <xdr:rowOff>0</xdr:rowOff>
        </xdr:to>
        <xdr:sp macro="" textlink="">
          <xdr:nvSpPr>
            <xdr:cNvPr id="34212" name="Drop Down 420" hidden="1">
              <a:extLst>
                <a:ext uri="{63B3BB69-23CF-44E3-9099-C40C66FF867C}">
                  <a14:compatExt spid="_x0000_s34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98</xdr:row>
          <xdr:rowOff>0</xdr:rowOff>
        </xdr:from>
        <xdr:to>
          <xdr:col>18</xdr:col>
          <xdr:colOff>9525</xdr:colOff>
          <xdr:row>99</xdr:row>
          <xdr:rowOff>0</xdr:rowOff>
        </xdr:to>
        <xdr:sp macro="" textlink="">
          <xdr:nvSpPr>
            <xdr:cNvPr id="34213" name="Drop Down 421" hidden="1">
              <a:extLst>
                <a:ext uri="{63B3BB69-23CF-44E3-9099-C40C66FF867C}">
                  <a14:compatExt spid="_x0000_s34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99</xdr:row>
          <xdr:rowOff>0</xdr:rowOff>
        </xdr:from>
        <xdr:to>
          <xdr:col>18</xdr:col>
          <xdr:colOff>9525</xdr:colOff>
          <xdr:row>100</xdr:row>
          <xdr:rowOff>0</xdr:rowOff>
        </xdr:to>
        <xdr:sp macro="" textlink="">
          <xdr:nvSpPr>
            <xdr:cNvPr id="34214" name="Drop Down 422" hidden="1">
              <a:extLst>
                <a:ext uri="{63B3BB69-23CF-44E3-9099-C40C66FF867C}">
                  <a14:compatExt spid="_x0000_s34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100</xdr:row>
          <xdr:rowOff>0</xdr:rowOff>
        </xdr:from>
        <xdr:to>
          <xdr:col>18</xdr:col>
          <xdr:colOff>9525</xdr:colOff>
          <xdr:row>101</xdr:row>
          <xdr:rowOff>0</xdr:rowOff>
        </xdr:to>
        <xdr:sp macro="" textlink="">
          <xdr:nvSpPr>
            <xdr:cNvPr id="34215" name="Drop Down 423" hidden="1">
              <a:extLst>
                <a:ext uri="{63B3BB69-23CF-44E3-9099-C40C66FF867C}">
                  <a14:compatExt spid="_x0000_s34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96</xdr:row>
          <xdr:rowOff>0</xdr:rowOff>
        </xdr:from>
        <xdr:to>
          <xdr:col>7</xdr:col>
          <xdr:colOff>0</xdr:colOff>
          <xdr:row>97</xdr:row>
          <xdr:rowOff>0</xdr:rowOff>
        </xdr:to>
        <xdr:sp macro="" textlink="">
          <xdr:nvSpPr>
            <xdr:cNvPr id="34216" name="Drop Down 424" hidden="1">
              <a:extLst>
                <a:ext uri="{63B3BB69-23CF-44E3-9099-C40C66FF867C}">
                  <a14:compatExt spid="_x0000_s34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97</xdr:row>
          <xdr:rowOff>0</xdr:rowOff>
        </xdr:from>
        <xdr:to>
          <xdr:col>7</xdr:col>
          <xdr:colOff>0</xdr:colOff>
          <xdr:row>98</xdr:row>
          <xdr:rowOff>0</xdr:rowOff>
        </xdr:to>
        <xdr:sp macro="" textlink="">
          <xdr:nvSpPr>
            <xdr:cNvPr id="34217" name="Drop Down 425" hidden="1">
              <a:extLst>
                <a:ext uri="{63B3BB69-23CF-44E3-9099-C40C66FF867C}">
                  <a14:compatExt spid="_x0000_s34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98</xdr:row>
          <xdr:rowOff>0</xdr:rowOff>
        </xdr:from>
        <xdr:to>
          <xdr:col>7</xdr:col>
          <xdr:colOff>0</xdr:colOff>
          <xdr:row>99</xdr:row>
          <xdr:rowOff>0</xdr:rowOff>
        </xdr:to>
        <xdr:sp macro="" textlink="">
          <xdr:nvSpPr>
            <xdr:cNvPr id="34218" name="Drop Down 426" hidden="1">
              <a:extLst>
                <a:ext uri="{63B3BB69-23CF-44E3-9099-C40C66FF867C}">
                  <a14:compatExt spid="_x0000_s34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99</xdr:row>
          <xdr:rowOff>0</xdr:rowOff>
        </xdr:from>
        <xdr:to>
          <xdr:col>7</xdr:col>
          <xdr:colOff>0</xdr:colOff>
          <xdr:row>100</xdr:row>
          <xdr:rowOff>0</xdr:rowOff>
        </xdr:to>
        <xdr:sp macro="" textlink="">
          <xdr:nvSpPr>
            <xdr:cNvPr id="34219" name="Drop Down 427" hidden="1">
              <a:extLst>
                <a:ext uri="{63B3BB69-23CF-44E3-9099-C40C66FF867C}">
                  <a14:compatExt spid="_x0000_s34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100</xdr:row>
          <xdr:rowOff>0</xdr:rowOff>
        </xdr:from>
        <xdr:to>
          <xdr:col>7</xdr:col>
          <xdr:colOff>0</xdr:colOff>
          <xdr:row>101</xdr:row>
          <xdr:rowOff>0</xdr:rowOff>
        </xdr:to>
        <xdr:sp macro="" textlink="">
          <xdr:nvSpPr>
            <xdr:cNvPr id="34220" name="Drop Down 428" hidden="1">
              <a:extLst>
                <a:ext uri="{63B3BB69-23CF-44E3-9099-C40C66FF867C}">
                  <a14:compatExt spid="_x0000_s34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96</xdr:row>
          <xdr:rowOff>0</xdr:rowOff>
        </xdr:from>
        <xdr:to>
          <xdr:col>5</xdr:col>
          <xdr:colOff>0</xdr:colOff>
          <xdr:row>97</xdr:row>
          <xdr:rowOff>0</xdr:rowOff>
        </xdr:to>
        <xdr:sp macro="" textlink="">
          <xdr:nvSpPr>
            <xdr:cNvPr id="34221" name="Drop Down 429" hidden="1">
              <a:extLst>
                <a:ext uri="{63B3BB69-23CF-44E3-9099-C40C66FF867C}">
                  <a14:compatExt spid="_x0000_s34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97</xdr:row>
          <xdr:rowOff>0</xdr:rowOff>
        </xdr:from>
        <xdr:to>
          <xdr:col>5</xdr:col>
          <xdr:colOff>0</xdr:colOff>
          <xdr:row>98</xdr:row>
          <xdr:rowOff>0</xdr:rowOff>
        </xdr:to>
        <xdr:sp macro="" textlink="">
          <xdr:nvSpPr>
            <xdr:cNvPr id="34222" name="Drop Down 430" hidden="1">
              <a:extLst>
                <a:ext uri="{63B3BB69-23CF-44E3-9099-C40C66FF867C}">
                  <a14:compatExt spid="_x0000_s34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98</xdr:row>
          <xdr:rowOff>0</xdr:rowOff>
        </xdr:from>
        <xdr:to>
          <xdr:col>5</xdr:col>
          <xdr:colOff>0</xdr:colOff>
          <xdr:row>99</xdr:row>
          <xdr:rowOff>0</xdr:rowOff>
        </xdr:to>
        <xdr:sp macro="" textlink="">
          <xdr:nvSpPr>
            <xdr:cNvPr id="34223" name="Drop Down 431" hidden="1">
              <a:extLst>
                <a:ext uri="{63B3BB69-23CF-44E3-9099-C40C66FF867C}">
                  <a14:compatExt spid="_x0000_s34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99</xdr:row>
          <xdr:rowOff>0</xdr:rowOff>
        </xdr:from>
        <xdr:to>
          <xdr:col>5</xdr:col>
          <xdr:colOff>0</xdr:colOff>
          <xdr:row>100</xdr:row>
          <xdr:rowOff>0</xdr:rowOff>
        </xdr:to>
        <xdr:sp macro="" textlink="">
          <xdr:nvSpPr>
            <xdr:cNvPr id="34224" name="Drop Down 432" hidden="1">
              <a:extLst>
                <a:ext uri="{63B3BB69-23CF-44E3-9099-C40C66FF867C}">
                  <a14:compatExt spid="_x0000_s34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100</xdr:row>
          <xdr:rowOff>0</xdr:rowOff>
        </xdr:from>
        <xdr:to>
          <xdr:col>5</xdr:col>
          <xdr:colOff>0</xdr:colOff>
          <xdr:row>101</xdr:row>
          <xdr:rowOff>0</xdr:rowOff>
        </xdr:to>
        <xdr:sp macro="" textlink="">
          <xdr:nvSpPr>
            <xdr:cNvPr id="34225" name="Drop Down 433" hidden="1">
              <a:extLst>
                <a:ext uri="{63B3BB69-23CF-44E3-9099-C40C66FF867C}">
                  <a14:compatExt spid="_x0000_s34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96</xdr:row>
          <xdr:rowOff>0</xdr:rowOff>
        </xdr:from>
        <xdr:to>
          <xdr:col>24</xdr:col>
          <xdr:colOff>0</xdr:colOff>
          <xdr:row>97</xdr:row>
          <xdr:rowOff>0</xdr:rowOff>
        </xdr:to>
        <xdr:sp macro="" textlink="">
          <xdr:nvSpPr>
            <xdr:cNvPr id="34226" name="Drop Down 434" hidden="1">
              <a:extLst>
                <a:ext uri="{63B3BB69-23CF-44E3-9099-C40C66FF867C}">
                  <a14:compatExt spid="_x0000_s34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96</xdr:row>
          <xdr:rowOff>0</xdr:rowOff>
        </xdr:from>
        <xdr:to>
          <xdr:col>25</xdr:col>
          <xdr:colOff>0</xdr:colOff>
          <xdr:row>97</xdr:row>
          <xdr:rowOff>0</xdr:rowOff>
        </xdr:to>
        <xdr:sp macro="" textlink="">
          <xdr:nvSpPr>
            <xdr:cNvPr id="34227" name="Drop Down 435" hidden="1">
              <a:extLst>
                <a:ext uri="{63B3BB69-23CF-44E3-9099-C40C66FF867C}">
                  <a14:compatExt spid="_x0000_s34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97</xdr:row>
          <xdr:rowOff>0</xdr:rowOff>
        </xdr:from>
        <xdr:to>
          <xdr:col>24</xdr:col>
          <xdr:colOff>0</xdr:colOff>
          <xdr:row>98</xdr:row>
          <xdr:rowOff>0</xdr:rowOff>
        </xdr:to>
        <xdr:sp macro="" textlink="">
          <xdr:nvSpPr>
            <xdr:cNvPr id="34228" name="Drop Down 436" hidden="1">
              <a:extLst>
                <a:ext uri="{63B3BB69-23CF-44E3-9099-C40C66FF867C}">
                  <a14:compatExt spid="_x0000_s34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98</xdr:row>
          <xdr:rowOff>0</xdr:rowOff>
        </xdr:from>
        <xdr:to>
          <xdr:col>24</xdr:col>
          <xdr:colOff>0</xdr:colOff>
          <xdr:row>99</xdr:row>
          <xdr:rowOff>0</xdr:rowOff>
        </xdr:to>
        <xdr:sp macro="" textlink="">
          <xdr:nvSpPr>
            <xdr:cNvPr id="34229" name="Drop Down 437" hidden="1">
              <a:extLst>
                <a:ext uri="{63B3BB69-23CF-44E3-9099-C40C66FF867C}">
                  <a14:compatExt spid="_x0000_s34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99</xdr:row>
          <xdr:rowOff>0</xdr:rowOff>
        </xdr:from>
        <xdr:to>
          <xdr:col>24</xdr:col>
          <xdr:colOff>0</xdr:colOff>
          <xdr:row>100</xdr:row>
          <xdr:rowOff>0</xdr:rowOff>
        </xdr:to>
        <xdr:sp macro="" textlink="">
          <xdr:nvSpPr>
            <xdr:cNvPr id="34230" name="Drop Down 438" hidden="1">
              <a:extLst>
                <a:ext uri="{63B3BB69-23CF-44E3-9099-C40C66FF867C}">
                  <a14:compatExt spid="_x0000_s34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100</xdr:row>
          <xdr:rowOff>0</xdr:rowOff>
        </xdr:from>
        <xdr:to>
          <xdr:col>24</xdr:col>
          <xdr:colOff>0</xdr:colOff>
          <xdr:row>101</xdr:row>
          <xdr:rowOff>0</xdr:rowOff>
        </xdr:to>
        <xdr:sp macro="" textlink="">
          <xdr:nvSpPr>
            <xdr:cNvPr id="34231" name="Drop Down 439" hidden="1">
              <a:extLst>
                <a:ext uri="{63B3BB69-23CF-44E3-9099-C40C66FF867C}">
                  <a14:compatExt spid="_x0000_s34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97</xdr:row>
          <xdr:rowOff>0</xdr:rowOff>
        </xdr:from>
        <xdr:to>
          <xdr:col>25</xdr:col>
          <xdr:colOff>0</xdr:colOff>
          <xdr:row>98</xdr:row>
          <xdr:rowOff>0</xdr:rowOff>
        </xdr:to>
        <xdr:sp macro="" textlink="">
          <xdr:nvSpPr>
            <xdr:cNvPr id="34232" name="Drop Down 440" hidden="1">
              <a:extLst>
                <a:ext uri="{63B3BB69-23CF-44E3-9099-C40C66FF867C}">
                  <a14:compatExt spid="_x0000_s34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98</xdr:row>
          <xdr:rowOff>0</xdr:rowOff>
        </xdr:from>
        <xdr:to>
          <xdr:col>25</xdr:col>
          <xdr:colOff>0</xdr:colOff>
          <xdr:row>99</xdr:row>
          <xdr:rowOff>0</xdr:rowOff>
        </xdr:to>
        <xdr:sp macro="" textlink="">
          <xdr:nvSpPr>
            <xdr:cNvPr id="34233" name="Drop Down 441" hidden="1">
              <a:extLst>
                <a:ext uri="{63B3BB69-23CF-44E3-9099-C40C66FF867C}">
                  <a14:compatExt spid="_x0000_s34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99</xdr:row>
          <xdr:rowOff>0</xdr:rowOff>
        </xdr:from>
        <xdr:to>
          <xdr:col>25</xdr:col>
          <xdr:colOff>0</xdr:colOff>
          <xdr:row>100</xdr:row>
          <xdr:rowOff>0</xdr:rowOff>
        </xdr:to>
        <xdr:sp macro="" textlink="">
          <xdr:nvSpPr>
            <xdr:cNvPr id="34234" name="Drop Down 442" hidden="1">
              <a:extLst>
                <a:ext uri="{63B3BB69-23CF-44E3-9099-C40C66FF867C}">
                  <a14:compatExt spid="_x0000_s34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100</xdr:row>
          <xdr:rowOff>0</xdr:rowOff>
        </xdr:from>
        <xdr:to>
          <xdr:col>25</xdr:col>
          <xdr:colOff>0</xdr:colOff>
          <xdr:row>101</xdr:row>
          <xdr:rowOff>0</xdr:rowOff>
        </xdr:to>
        <xdr:sp macro="" textlink="">
          <xdr:nvSpPr>
            <xdr:cNvPr id="34235" name="Drop Down 443" hidden="1">
              <a:extLst>
                <a:ext uri="{63B3BB69-23CF-44E3-9099-C40C66FF867C}">
                  <a14:compatExt spid="_x0000_s34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96</xdr:row>
          <xdr:rowOff>0</xdr:rowOff>
        </xdr:from>
        <xdr:to>
          <xdr:col>14</xdr:col>
          <xdr:colOff>0</xdr:colOff>
          <xdr:row>97</xdr:row>
          <xdr:rowOff>9525</xdr:rowOff>
        </xdr:to>
        <xdr:sp macro="" textlink="">
          <xdr:nvSpPr>
            <xdr:cNvPr id="34236" name="Drop Down 444" hidden="1">
              <a:extLst>
                <a:ext uri="{63B3BB69-23CF-44E3-9099-C40C66FF867C}">
                  <a14:compatExt spid="_x0000_s34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97</xdr:row>
          <xdr:rowOff>0</xdr:rowOff>
        </xdr:from>
        <xdr:to>
          <xdr:col>14</xdr:col>
          <xdr:colOff>0</xdr:colOff>
          <xdr:row>98</xdr:row>
          <xdr:rowOff>9525</xdr:rowOff>
        </xdr:to>
        <xdr:sp macro="" textlink="">
          <xdr:nvSpPr>
            <xdr:cNvPr id="34237" name="Drop Down 445" hidden="1">
              <a:extLst>
                <a:ext uri="{63B3BB69-23CF-44E3-9099-C40C66FF867C}">
                  <a14:compatExt spid="_x0000_s34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98</xdr:row>
          <xdr:rowOff>0</xdr:rowOff>
        </xdr:from>
        <xdr:to>
          <xdr:col>14</xdr:col>
          <xdr:colOff>0</xdr:colOff>
          <xdr:row>99</xdr:row>
          <xdr:rowOff>9525</xdr:rowOff>
        </xdr:to>
        <xdr:sp macro="" textlink="">
          <xdr:nvSpPr>
            <xdr:cNvPr id="34238" name="Drop Down 446" hidden="1">
              <a:extLst>
                <a:ext uri="{63B3BB69-23CF-44E3-9099-C40C66FF867C}">
                  <a14:compatExt spid="_x0000_s34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99</xdr:row>
          <xdr:rowOff>0</xdr:rowOff>
        </xdr:from>
        <xdr:to>
          <xdr:col>14</xdr:col>
          <xdr:colOff>0</xdr:colOff>
          <xdr:row>100</xdr:row>
          <xdr:rowOff>9525</xdr:rowOff>
        </xdr:to>
        <xdr:sp macro="" textlink="">
          <xdr:nvSpPr>
            <xdr:cNvPr id="34239" name="Drop Down 447" hidden="1">
              <a:extLst>
                <a:ext uri="{63B3BB69-23CF-44E3-9099-C40C66FF867C}">
                  <a14:compatExt spid="_x0000_s34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100</xdr:row>
          <xdr:rowOff>0</xdr:rowOff>
        </xdr:from>
        <xdr:to>
          <xdr:col>14</xdr:col>
          <xdr:colOff>0</xdr:colOff>
          <xdr:row>101</xdr:row>
          <xdr:rowOff>9525</xdr:rowOff>
        </xdr:to>
        <xdr:sp macro="" textlink="">
          <xdr:nvSpPr>
            <xdr:cNvPr id="34240" name="Drop Down 448" hidden="1">
              <a:extLst>
                <a:ext uri="{63B3BB69-23CF-44E3-9099-C40C66FF867C}">
                  <a14:compatExt spid="_x0000_s34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105</xdr:row>
          <xdr:rowOff>0</xdr:rowOff>
        </xdr:from>
        <xdr:to>
          <xdr:col>18</xdr:col>
          <xdr:colOff>9525</xdr:colOff>
          <xdr:row>106</xdr:row>
          <xdr:rowOff>0</xdr:rowOff>
        </xdr:to>
        <xdr:sp macro="" textlink="">
          <xdr:nvSpPr>
            <xdr:cNvPr id="34241" name="Drop Down 449" hidden="1">
              <a:extLst>
                <a:ext uri="{63B3BB69-23CF-44E3-9099-C40C66FF867C}">
                  <a14:compatExt spid="_x0000_s34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106</xdr:row>
          <xdr:rowOff>0</xdr:rowOff>
        </xdr:from>
        <xdr:to>
          <xdr:col>18</xdr:col>
          <xdr:colOff>9525</xdr:colOff>
          <xdr:row>107</xdr:row>
          <xdr:rowOff>0</xdr:rowOff>
        </xdr:to>
        <xdr:sp macro="" textlink="">
          <xdr:nvSpPr>
            <xdr:cNvPr id="34242" name="Drop Down 450" hidden="1">
              <a:extLst>
                <a:ext uri="{63B3BB69-23CF-44E3-9099-C40C66FF867C}">
                  <a14:compatExt spid="_x0000_s34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107</xdr:row>
          <xdr:rowOff>0</xdr:rowOff>
        </xdr:from>
        <xdr:to>
          <xdr:col>18</xdr:col>
          <xdr:colOff>9525</xdr:colOff>
          <xdr:row>108</xdr:row>
          <xdr:rowOff>0</xdr:rowOff>
        </xdr:to>
        <xdr:sp macro="" textlink="">
          <xdr:nvSpPr>
            <xdr:cNvPr id="34243" name="Drop Down 451" hidden="1">
              <a:extLst>
                <a:ext uri="{63B3BB69-23CF-44E3-9099-C40C66FF867C}">
                  <a14:compatExt spid="_x0000_s34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108</xdr:row>
          <xdr:rowOff>0</xdr:rowOff>
        </xdr:from>
        <xdr:to>
          <xdr:col>18</xdr:col>
          <xdr:colOff>9525</xdr:colOff>
          <xdr:row>109</xdr:row>
          <xdr:rowOff>0</xdr:rowOff>
        </xdr:to>
        <xdr:sp macro="" textlink="">
          <xdr:nvSpPr>
            <xdr:cNvPr id="34244" name="Drop Down 452" hidden="1">
              <a:extLst>
                <a:ext uri="{63B3BB69-23CF-44E3-9099-C40C66FF867C}">
                  <a14:compatExt spid="_x0000_s34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109</xdr:row>
          <xdr:rowOff>0</xdr:rowOff>
        </xdr:from>
        <xdr:to>
          <xdr:col>18</xdr:col>
          <xdr:colOff>9525</xdr:colOff>
          <xdr:row>110</xdr:row>
          <xdr:rowOff>0</xdr:rowOff>
        </xdr:to>
        <xdr:sp macro="" textlink="">
          <xdr:nvSpPr>
            <xdr:cNvPr id="34245" name="Drop Down 453" hidden="1">
              <a:extLst>
                <a:ext uri="{63B3BB69-23CF-44E3-9099-C40C66FF867C}">
                  <a14:compatExt spid="_x0000_s34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105</xdr:row>
          <xdr:rowOff>0</xdr:rowOff>
        </xdr:from>
        <xdr:to>
          <xdr:col>7</xdr:col>
          <xdr:colOff>0</xdr:colOff>
          <xdr:row>106</xdr:row>
          <xdr:rowOff>0</xdr:rowOff>
        </xdr:to>
        <xdr:sp macro="" textlink="">
          <xdr:nvSpPr>
            <xdr:cNvPr id="34246" name="Drop Down 454" hidden="1">
              <a:extLst>
                <a:ext uri="{63B3BB69-23CF-44E3-9099-C40C66FF867C}">
                  <a14:compatExt spid="_x0000_s34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106</xdr:row>
          <xdr:rowOff>0</xdr:rowOff>
        </xdr:from>
        <xdr:to>
          <xdr:col>7</xdr:col>
          <xdr:colOff>0</xdr:colOff>
          <xdr:row>107</xdr:row>
          <xdr:rowOff>0</xdr:rowOff>
        </xdr:to>
        <xdr:sp macro="" textlink="">
          <xdr:nvSpPr>
            <xdr:cNvPr id="34247" name="Drop Down 455" hidden="1">
              <a:extLst>
                <a:ext uri="{63B3BB69-23CF-44E3-9099-C40C66FF867C}">
                  <a14:compatExt spid="_x0000_s34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107</xdr:row>
          <xdr:rowOff>0</xdr:rowOff>
        </xdr:from>
        <xdr:to>
          <xdr:col>7</xdr:col>
          <xdr:colOff>0</xdr:colOff>
          <xdr:row>108</xdr:row>
          <xdr:rowOff>0</xdr:rowOff>
        </xdr:to>
        <xdr:sp macro="" textlink="">
          <xdr:nvSpPr>
            <xdr:cNvPr id="34248" name="Drop Down 456" hidden="1">
              <a:extLst>
                <a:ext uri="{63B3BB69-23CF-44E3-9099-C40C66FF867C}">
                  <a14:compatExt spid="_x0000_s34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108</xdr:row>
          <xdr:rowOff>0</xdr:rowOff>
        </xdr:from>
        <xdr:to>
          <xdr:col>7</xdr:col>
          <xdr:colOff>0</xdr:colOff>
          <xdr:row>109</xdr:row>
          <xdr:rowOff>0</xdr:rowOff>
        </xdr:to>
        <xdr:sp macro="" textlink="">
          <xdr:nvSpPr>
            <xdr:cNvPr id="34249" name="Drop Down 457" hidden="1">
              <a:extLst>
                <a:ext uri="{63B3BB69-23CF-44E3-9099-C40C66FF867C}">
                  <a14:compatExt spid="_x0000_s34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109</xdr:row>
          <xdr:rowOff>0</xdr:rowOff>
        </xdr:from>
        <xdr:to>
          <xdr:col>7</xdr:col>
          <xdr:colOff>0</xdr:colOff>
          <xdr:row>110</xdr:row>
          <xdr:rowOff>0</xdr:rowOff>
        </xdr:to>
        <xdr:sp macro="" textlink="">
          <xdr:nvSpPr>
            <xdr:cNvPr id="34250" name="Drop Down 458" hidden="1">
              <a:extLst>
                <a:ext uri="{63B3BB69-23CF-44E3-9099-C40C66FF867C}">
                  <a14:compatExt spid="_x0000_s34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105</xdr:row>
          <xdr:rowOff>0</xdr:rowOff>
        </xdr:from>
        <xdr:to>
          <xdr:col>5</xdr:col>
          <xdr:colOff>0</xdr:colOff>
          <xdr:row>106</xdr:row>
          <xdr:rowOff>0</xdr:rowOff>
        </xdr:to>
        <xdr:sp macro="" textlink="">
          <xdr:nvSpPr>
            <xdr:cNvPr id="34251" name="Drop Down 459" hidden="1">
              <a:extLst>
                <a:ext uri="{63B3BB69-23CF-44E3-9099-C40C66FF867C}">
                  <a14:compatExt spid="_x0000_s34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106</xdr:row>
          <xdr:rowOff>0</xdr:rowOff>
        </xdr:from>
        <xdr:to>
          <xdr:col>5</xdr:col>
          <xdr:colOff>0</xdr:colOff>
          <xdr:row>107</xdr:row>
          <xdr:rowOff>0</xdr:rowOff>
        </xdr:to>
        <xdr:sp macro="" textlink="">
          <xdr:nvSpPr>
            <xdr:cNvPr id="34252" name="Drop Down 460" hidden="1">
              <a:extLst>
                <a:ext uri="{63B3BB69-23CF-44E3-9099-C40C66FF867C}">
                  <a14:compatExt spid="_x0000_s34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107</xdr:row>
          <xdr:rowOff>0</xdr:rowOff>
        </xdr:from>
        <xdr:to>
          <xdr:col>5</xdr:col>
          <xdr:colOff>0</xdr:colOff>
          <xdr:row>108</xdr:row>
          <xdr:rowOff>0</xdr:rowOff>
        </xdr:to>
        <xdr:sp macro="" textlink="">
          <xdr:nvSpPr>
            <xdr:cNvPr id="34253" name="Drop Down 461" hidden="1">
              <a:extLst>
                <a:ext uri="{63B3BB69-23CF-44E3-9099-C40C66FF867C}">
                  <a14:compatExt spid="_x0000_s34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108</xdr:row>
          <xdr:rowOff>0</xdr:rowOff>
        </xdr:from>
        <xdr:to>
          <xdr:col>5</xdr:col>
          <xdr:colOff>0</xdr:colOff>
          <xdr:row>109</xdr:row>
          <xdr:rowOff>0</xdr:rowOff>
        </xdr:to>
        <xdr:sp macro="" textlink="">
          <xdr:nvSpPr>
            <xdr:cNvPr id="34254" name="Drop Down 462" hidden="1">
              <a:extLst>
                <a:ext uri="{63B3BB69-23CF-44E3-9099-C40C66FF867C}">
                  <a14:compatExt spid="_x0000_s34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109</xdr:row>
          <xdr:rowOff>0</xdr:rowOff>
        </xdr:from>
        <xdr:to>
          <xdr:col>5</xdr:col>
          <xdr:colOff>0</xdr:colOff>
          <xdr:row>110</xdr:row>
          <xdr:rowOff>0</xdr:rowOff>
        </xdr:to>
        <xdr:sp macro="" textlink="">
          <xdr:nvSpPr>
            <xdr:cNvPr id="34255" name="Drop Down 463" hidden="1">
              <a:extLst>
                <a:ext uri="{63B3BB69-23CF-44E3-9099-C40C66FF867C}">
                  <a14:compatExt spid="_x0000_s34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105</xdr:row>
          <xdr:rowOff>0</xdr:rowOff>
        </xdr:from>
        <xdr:to>
          <xdr:col>24</xdr:col>
          <xdr:colOff>0</xdr:colOff>
          <xdr:row>106</xdr:row>
          <xdr:rowOff>0</xdr:rowOff>
        </xdr:to>
        <xdr:sp macro="" textlink="">
          <xdr:nvSpPr>
            <xdr:cNvPr id="34256" name="Drop Down 464" hidden="1">
              <a:extLst>
                <a:ext uri="{63B3BB69-23CF-44E3-9099-C40C66FF867C}">
                  <a14:compatExt spid="_x0000_s34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105</xdr:row>
          <xdr:rowOff>0</xdr:rowOff>
        </xdr:from>
        <xdr:to>
          <xdr:col>25</xdr:col>
          <xdr:colOff>0</xdr:colOff>
          <xdr:row>106</xdr:row>
          <xdr:rowOff>0</xdr:rowOff>
        </xdr:to>
        <xdr:sp macro="" textlink="">
          <xdr:nvSpPr>
            <xdr:cNvPr id="34257" name="Drop Down 465" hidden="1">
              <a:extLst>
                <a:ext uri="{63B3BB69-23CF-44E3-9099-C40C66FF867C}">
                  <a14:compatExt spid="_x0000_s34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106</xdr:row>
          <xdr:rowOff>0</xdr:rowOff>
        </xdr:from>
        <xdr:to>
          <xdr:col>24</xdr:col>
          <xdr:colOff>0</xdr:colOff>
          <xdr:row>107</xdr:row>
          <xdr:rowOff>0</xdr:rowOff>
        </xdr:to>
        <xdr:sp macro="" textlink="">
          <xdr:nvSpPr>
            <xdr:cNvPr id="34258" name="Drop Down 466" hidden="1">
              <a:extLst>
                <a:ext uri="{63B3BB69-23CF-44E3-9099-C40C66FF867C}">
                  <a14:compatExt spid="_x0000_s34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107</xdr:row>
          <xdr:rowOff>0</xdr:rowOff>
        </xdr:from>
        <xdr:to>
          <xdr:col>24</xdr:col>
          <xdr:colOff>0</xdr:colOff>
          <xdr:row>108</xdr:row>
          <xdr:rowOff>0</xdr:rowOff>
        </xdr:to>
        <xdr:sp macro="" textlink="">
          <xdr:nvSpPr>
            <xdr:cNvPr id="34259" name="Drop Down 467" hidden="1">
              <a:extLst>
                <a:ext uri="{63B3BB69-23CF-44E3-9099-C40C66FF867C}">
                  <a14:compatExt spid="_x0000_s34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108</xdr:row>
          <xdr:rowOff>0</xdr:rowOff>
        </xdr:from>
        <xdr:to>
          <xdr:col>24</xdr:col>
          <xdr:colOff>0</xdr:colOff>
          <xdr:row>109</xdr:row>
          <xdr:rowOff>0</xdr:rowOff>
        </xdr:to>
        <xdr:sp macro="" textlink="">
          <xdr:nvSpPr>
            <xdr:cNvPr id="34260" name="Drop Down 468" hidden="1">
              <a:extLst>
                <a:ext uri="{63B3BB69-23CF-44E3-9099-C40C66FF867C}">
                  <a14:compatExt spid="_x0000_s34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109</xdr:row>
          <xdr:rowOff>0</xdr:rowOff>
        </xdr:from>
        <xdr:to>
          <xdr:col>24</xdr:col>
          <xdr:colOff>0</xdr:colOff>
          <xdr:row>110</xdr:row>
          <xdr:rowOff>0</xdr:rowOff>
        </xdr:to>
        <xdr:sp macro="" textlink="">
          <xdr:nvSpPr>
            <xdr:cNvPr id="34261" name="Drop Down 469" hidden="1">
              <a:extLst>
                <a:ext uri="{63B3BB69-23CF-44E3-9099-C40C66FF867C}">
                  <a14:compatExt spid="_x0000_s34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106</xdr:row>
          <xdr:rowOff>0</xdr:rowOff>
        </xdr:from>
        <xdr:to>
          <xdr:col>25</xdr:col>
          <xdr:colOff>0</xdr:colOff>
          <xdr:row>107</xdr:row>
          <xdr:rowOff>0</xdr:rowOff>
        </xdr:to>
        <xdr:sp macro="" textlink="">
          <xdr:nvSpPr>
            <xdr:cNvPr id="34262" name="Drop Down 470" hidden="1">
              <a:extLst>
                <a:ext uri="{63B3BB69-23CF-44E3-9099-C40C66FF867C}">
                  <a14:compatExt spid="_x0000_s34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107</xdr:row>
          <xdr:rowOff>0</xdr:rowOff>
        </xdr:from>
        <xdr:to>
          <xdr:col>25</xdr:col>
          <xdr:colOff>0</xdr:colOff>
          <xdr:row>108</xdr:row>
          <xdr:rowOff>0</xdr:rowOff>
        </xdr:to>
        <xdr:sp macro="" textlink="">
          <xdr:nvSpPr>
            <xdr:cNvPr id="34263" name="Drop Down 471" hidden="1">
              <a:extLst>
                <a:ext uri="{63B3BB69-23CF-44E3-9099-C40C66FF867C}">
                  <a14:compatExt spid="_x0000_s34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108</xdr:row>
          <xdr:rowOff>0</xdr:rowOff>
        </xdr:from>
        <xdr:to>
          <xdr:col>25</xdr:col>
          <xdr:colOff>0</xdr:colOff>
          <xdr:row>109</xdr:row>
          <xdr:rowOff>0</xdr:rowOff>
        </xdr:to>
        <xdr:sp macro="" textlink="">
          <xdr:nvSpPr>
            <xdr:cNvPr id="34264" name="Drop Down 472" hidden="1">
              <a:extLst>
                <a:ext uri="{63B3BB69-23CF-44E3-9099-C40C66FF867C}">
                  <a14:compatExt spid="_x0000_s34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109</xdr:row>
          <xdr:rowOff>0</xdr:rowOff>
        </xdr:from>
        <xdr:to>
          <xdr:col>25</xdr:col>
          <xdr:colOff>0</xdr:colOff>
          <xdr:row>110</xdr:row>
          <xdr:rowOff>0</xdr:rowOff>
        </xdr:to>
        <xdr:sp macro="" textlink="">
          <xdr:nvSpPr>
            <xdr:cNvPr id="34265" name="Drop Down 473" hidden="1">
              <a:extLst>
                <a:ext uri="{63B3BB69-23CF-44E3-9099-C40C66FF867C}">
                  <a14:compatExt spid="_x0000_s34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105</xdr:row>
          <xdr:rowOff>0</xdr:rowOff>
        </xdr:from>
        <xdr:to>
          <xdr:col>14</xdr:col>
          <xdr:colOff>0</xdr:colOff>
          <xdr:row>106</xdr:row>
          <xdr:rowOff>9525</xdr:rowOff>
        </xdr:to>
        <xdr:sp macro="" textlink="">
          <xdr:nvSpPr>
            <xdr:cNvPr id="34266" name="Drop Down 474" hidden="1">
              <a:extLst>
                <a:ext uri="{63B3BB69-23CF-44E3-9099-C40C66FF867C}">
                  <a14:compatExt spid="_x0000_s34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106</xdr:row>
          <xdr:rowOff>0</xdr:rowOff>
        </xdr:from>
        <xdr:to>
          <xdr:col>14</xdr:col>
          <xdr:colOff>0</xdr:colOff>
          <xdr:row>107</xdr:row>
          <xdr:rowOff>9525</xdr:rowOff>
        </xdr:to>
        <xdr:sp macro="" textlink="">
          <xdr:nvSpPr>
            <xdr:cNvPr id="34267" name="Drop Down 475" hidden="1">
              <a:extLst>
                <a:ext uri="{63B3BB69-23CF-44E3-9099-C40C66FF867C}">
                  <a14:compatExt spid="_x0000_s34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107</xdr:row>
          <xdr:rowOff>0</xdr:rowOff>
        </xdr:from>
        <xdr:to>
          <xdr:col>14</xdr:col>
          <xdr:colOff>0</xdr:colOff>
          <xdr:row>108</xdr:row>
          <xdr:rowOff>9525</xdr:rowOff>
        </xdr:to>
        <xdr:sp macro="" textlink="">
          <xdr:nvSpPr>
            <xdr:cNvPr id="34268" name="Drop Down 476" hidden="1">
              <a:extLst>
                <a:ext uri="{63B3BB69-23CF-44E3-9099-C40C66FF867C}">
                  <a14:compatExt spid="_x0000_s34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108</xdr:row>
          <xdr:rowOff>0</xdr:rowOff>
        </xdr:from>
        <xdr:to>
          <xdr:col>14</xdr:col>
          <xdr:colOff>0</xdr:colOff>
          <xdr:row>109</xdr:row>
          <xdr:rowOff>9525</xdr:rowOff>
        </xdr:to>
        <xdr:sp macro="" textlink="">
          <xdr:nvSpPr>
            <xdr:cNvPr id="34269" name="Drop Down 477" hidden="1">
              <a:extLst>
                <a:ext uri="{63B3BB69-23CF-44E3-9099-C40C66FF867C}">
                  <a14:compatExt spid="_x0000_s34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109</xdr:row>
          <xdr:rowOff>0</xdr:rowOff>
        </xdr:from>
        <xdr:to>
          <xdr:col>14</xdr:col>
          <xdr:colOff>0</xdr:colOff>
          <xdr:row>110</xdr:row>
          <xdr:rowOff>9525</xdr:rowOff>
        </xdr:to>
        <xdr:sp macro="" textlink="">
          <xdr:nvSpPr>
            <xdr:cNvPr id="34270" name="Drop Down 478" hidden="1">
              <a:extLst>
                <a:ext uri="{63B3BB69-23CF-44E3-9099-C40C66FF867C}">
                  <a14:compatExt spid="_x0000_s34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840.xml"/><Relationship Id="rId21" Type="http://schemas.openxmlformats.org/officeDocument/2006/relationships/ctrlProp" Target="../ctrlProps/ctrlProp744.xml"/><Relationship Id="rId42" Type="http://schemas.openxmlformats.org/officeDocument/2006/relationships/ctrlProp" Target="../ctrlProps/ctrlProp765.xml"/><Relationship Id="rId63" Type="http://schemas.openxmlformats.org/officeDocument/2006/relationships/ctrlProp" Target="../ctrlProps/ctrlProp786.xml"/><Relationship Id="rId84" Type="http://schemas.openxmlformats.org/officeDocument/2006/relationships/ctrlProp" Target="../ctrlProps/ctrlProp807.xml"/><Relationship Id="rId138" Type="http://schemas.openxmlformats.org/officeDocument/2006/relationships/ctrlProp" Target="../ctrlProps/ctrlProp861.xml"/><Relationship Id="rId159" Type="http://schemas.openxmlformats.org/officeDocument/2006/relationships/ctrlProp" Target="../ctrlProps/ctrlProp882.xml"/><Relationship Id="rId170" Type="http://schemas.openxmlformats.org/officeDocument/2006/relationships/ctrlProp" Target="../ctrlProps/ctrlProp893.xml"/><Relationship Id="rId191" Type="http://schemas.openxmlformats.org/officeDocument/2006/relationships/ctrlProp" Target="../ctrlProps/ctrlProp914.xml"/><Relationship Id="rId107" Type="http://schemas.openxmlformats.org/officeDocument/2006/relationships/ctrlProp" Target="../ctrlProps/ctrlProp830.xml"/><Relationship Id="rId11" Type="http://schemas.openxmlformats.org/officeDocument/2006/relationships/ctrlProp" Target="../ctrlProps/ctrlProp734.xml"/><Relationship Id="rId32" Type="http://schemas.openxmlformats.org/officeDocument/2006/relationships/ctrlProp" Target="../ctrlProps/ctrlProp755.xml"/><Relationship Id="rId53" Type="http://schemas.openxmlformats.org/officeDocument/2006/relationships/ctrlProp" Target="../ctrlProps/ctrlProp776.xml"/><Relationship Id="rId74" Type="http://schemas.openxmlformats.org/officeDocument/2006/relationships/ctrlProp" Target="../ctrlProps/ctrlProp797.xml"/><Relationship Id="rId128" Type="http://schemas.openxmlformats.org/officeDocument/2006/relationships/ctrlProp" Target="../ctrlProps/ctrlProp851.xml"/><Relationship Id="rId149" Type="http://schemas.openxmlformats.org/officeDocument/2006/relationships/ctrlProp" Target="../ctrlProps/ctrlProp872.xml"/><Relationship Id="rId5" Type="http://schemas.openxmlformats.org/officeDocument/2006/relationships/ctrlProp" Target="../ctrlProps/ctrlProp728.xml"/><Relationship Id="rId95" Type="http://schemas.openxmlformats.org/officeDocument/2006/relationships/ctrlProp" Target="../ctrlProps/ctrlProp818.xml"/><Relationship Id="rId160" Type="http://schemas.openxmlformats.org/officeDocument/2006/relationships/ctrlProp" Target="../ctrlProps/ctrlProp883.xml"/><Relationship Id="rId181" Type="http://schemas.openxmlformats.org/officeDocument/2006/relationships/ctrlProp" Target="../ctrlProps/ctrlProp904.xml"/><Relationship Id="rId22" Type="http://schemas.openxmlformats.org/officeDocument/2006/relationships/ctrlProp" Target="../ctrlProps/ctrlProp745.xml"/><Relationship Id="rId43" Type="http://schemas.openxmlformats.org/officeDocument/2006/relationships/ctrlProp" Target="../ctrlProps/ctrlProp766.xml"/><Relationship Id="rId64" Type="http://schemas.openxmlformats.org/officeDocument/2006/relationships/ctrlProp" Target="../ctrlProps/ctrlProp787.xml"/><Relationship Id="rId118" Type="http://schemas.openxmlformats.org/officeDocument/2006/relationships/ctrlProp" Target="../ctrlProps/ctrlProp841.xml"/><Relationship Id="rId139" Type="http://schemas.openxmlformats.org/officeDocument/2006/relationships/ctrlProp" Target="../ctrlProps/ctrlProp862.xml"/><Relationship Id="rId85" Type="http://schemas.openxmlformats.org/officeDocument/2006/relationships/ctrlProp" Target="../ctrlProps/ctrlProp808.xml"/><Relationship Id="rId150" Type="http://schemas.openxmlformats.org/officeDocument/2006/relationships/ctrlProp" Target="../ctrlProps/ctrlProp873.xml"/><Relationship Id="rId171" Type="http://schemas.openxmlformats.org/officeDocument/2006/relationships/ctrlProp" Target="../ctrlProps/ctrlProp894.xml"/><Relationship Id="rId192" Type="http://schemas.openxmlformats.org/officeDocument/2006/relationships/ctrlProp" Target="../ctrlProps/ctrlProp915.xml"/><Relationship Id="rId12" Type="http://schemas.openxmlformats.org/officeDocument/2006/relationships/ctrlProp" Target="../ctrlProps/ctrlProp735.xml"/><Relationship Id="rId33" Type="http://schemas.openxmlformats.org/officeDocument/2006/relationships/ctrlProp" Target="../ctrlProps/ctrlProp756.xml"/><Relationship Id="rId108" Type="http://schemas.openxmlformats.org/officeDocument/2006/relationships/ctrlProp" Target="../ctrlProps/ctrlProp831.xml"/><Relationship Id="rId129" Type="http://schemas.openxmlformats.org/officeDocument/2006/relationships/ctrlProp" Target="../ctrlProps/ctrlProp852.xml"/><Relationship Id="rId54" Type="http://schemas.openxmlformats.org/officeDocument/2006/relationships/ctrlProp" Target="../ctrlProps/ctrlProp777.xml"/><Relationship Id="rId75" Type="http://schemas.openxmlformats.org/officeDocument/2006/relationships/ctrlProp" Target="../ctrlProps/ctrlProp798.xml"/><Relationship Id="rId96" Type="http://schemas.openxmlformats.org/officeDocument/2006/relationships/ctrlProp" Target="../ctrlProps/ctrlProp819.xml"/><Relationship Id="rId140" Type="http://schemas.openxmlformats.org/officeDocument/2006/relationships/ctrlProp" Target="../ctrlProps/ctrlProp863.xml"/><Relationship Id="rId161" Type="http://schemas.openxmlformats.org/officeDocument/2006/relationships/ctrlProp" Target="../ctrlProps/ctrlProp884.xml"/><Relationship Id="rId182" Type="http://schemas.openxmlformats.org/officeDocument/2006/relationships/ctrlProp" Target="../ctrlProps/ctrlProp905.xml"/><Relationship Id="rId6" Type="http://schemas.openxmlformats.org/officeDocument/2006/relationships/ctrlProp" Target="../ctrlProps/ctrlProp729.xml"/><Relationship Id="rId23" Type="http://schemas.openxmlformats.org/officeDocument/2006/relationships/ctrlProp" Target="../ctrlProps/ctrlProp746.xml"/><Relationship Id="rId119" Type="http://schemas.openxmlformats.org/officeDocument/2006/relationships/ctrlProp" Target="../ctrlProps/ctrlProp842.xml"/><Relationship Id="rId44" Type="http://schemas.openxmlformats.org/officeDocument/2006/relationships/ctrlProp" Target="../ctrlProps/ctrlProp767.xml"/><Relationship Id="rId65" Type="http://schemas.openxmlformats.org/officeDocument/2006/relationships/ctrlProp" Target="../ctrlProps/ctrlProp788.xml"/><Relationship Id="rId86" Type="http://schemas.openxmlformats.org/officeDocument/2006/relationships/ctrlProp" Target="../ctrlProps/ctrlProp809.xml"/><Relationship Id="rId130" Type="http://schemas.openxmlformats.org/officeDocument/2006/relationships/ctrlProp" Target="../ctrlProps/ctrlProp853.xml"/><Relationship Id="rId151" Type="http://schemas.openxmlformats.org/officeDocument/2006/relationships/ctrlProp" Target="../ctrlProps/ctrlProp874.xml"/><Relationship Id="rId172" Type="http://schemas.openxmlformats.org/officeDocument/2006/relationships/ctrlProp" Target="../ctrlProps/ctrlProp895.xml"/><Relationship Id="rId193" Type="http://schemas.openxmlformats.org/officeDocument/2006/relationships/ctrlProp" Target="../ctrlProps/ctrlProp916.xml"/><Relationship Id="rId13" Type="http://schemas.openxmlformats.org/officeDocument/2006/relationships/ctrlProp" Target="../ctrlProps/ctrlProp736.xml"/><Relationship Id="rId109" Type="http://schemas.openxmlformats.org/officeDocument/2006/relationships/ctrlProp" Target="../ctrlProps/ctrlProp832.xml"/><Relationship Id="rId34" Type="http://schemas.openxmlformats.org/officeDocument/2006/relationships/ctrlProp" Target="../ctrlProps/ctrlProp757.xml"/><Relationship Id="rId55" Type="http://schemas.openxmlformats.org/officeDocument/2006/relationships/ctrlProp" Target="../ctrlProps/ctrlProp778.xml"/><Relationship Id="rId76" Type="http://schemas.openxmlformats.org/officeDocument/2006/relationships/ctrlProp" Target="../ctrlProps/ctrlProp799.xml"/><Relationship Id="rId97" Type="http://schemas.openxmlformats.org/officeDocument/2006/relationships/ctrlProp" Target="../ctrlProps/ctrlProp820.xml"/><Relationship Id="rId120" Type="http://schemas.openxmlformats.org/officeDocument/2006/relationships/ctrlProp" Target="../ctrlProps/ctrlProp843.xml"/><Relationship Id="rId141" Type="http://schemas.openxmlformats.org/officeDocument/2006/relationships/ctrlProp" Target="../ctrlProps/ctrlProp864.xml"/><Relationship Id="rId7" Type="http://schemas.openxmlformats.org/officeDocument/2006/relationships/ctrlProp" Target="../ctrlProps/ctrlProp730.xml"/><Relationship Id="rId71" Type="http://schemas.openxmlformats.org/officeDocument/2006/relationships/ctrlProp" Target="../ctrlProps/ctrlProp794.xml"/><Relationship Id="rId92" Type="http://schemas.openxmlformats.org/officeDocument/2006/relationships/ctrlProp" Target="../ctrlProps/ctrlProp815.xml"/><Relationship Id="rId162" Type="http://schemas.openxmlformats.org/officeDocument/2006/relationships/ctrlProp" Target="../ctrlProps/ctrlProp885.xml"/><Relationship Id="rId183" Type="http://schemas.openxmlformats.org/officeDocument/2006/relationships/ctrlProp" Target="../ctrlProps/ctrlProp906.xml"/><Relationship Id="rId2" Type="http://schemas.openxmlformats.org/officeDocument/2006/relationships/drawing" Target="../drawings/drawing7.xml"/><Relationship Id="rId29" Type="http://schemas.openxmlformats.org/officeDocument/2006/relationships/ctrlProp" Target="../ctrlProps/ctrlProp752.xml"/><Relationship Id="rId24" Type="http://schemas.openxmlformats.org/officeDocument/2006/relationships/ctrlProp" Target="../ctrlProps/ctrlProp747.xml"/><Relationship Id="rId40" Type="http://schemas.openxmlformats.org/officeDocument/2006/relationships/ctrlProp" Target="../ctrlProps/ctrlProp763.xml"/><Relationship Id="rId45" Type="http://schemas.openxmlformats.org/officeDocument/2006/relationships/ctrlProp" Target="../ctrlProps/ctrlProp768.xml"/><Relationship Id="rId66" Type="http://schemas.openxmlformats.org/officeDocument/2006/relationships/ctrlProp" Target="../ctrlProps/ctrlProp789.xml"/><Relationship Id="rId87" Type="http://schemas.openxmlformats.org/officeDocument/2006/relationships/ctrlProp" Target="../ctrlProps/ctrlProp810.xml"/><Relationship Id="rId110" Type="http://schemas.openxmlformats.org/officeDocument/2006/relationships/ctrlProp" Target="../ctrlProps/ctrlProp833.xml"/><Relationship Id="rId115" Type="http://schemas.openxmlformats.org/officeDocument/2006/relationships/ctrlProp" Target="../ctrlProps/ctrlProp838.xml"/><Relationship Id="rId131" Type="http://schemas.openxmlformats.org/officeDocument/2006/relationships/ctrlProp" Target="../ctrlProps/ctrlProp854.xml"/><Relationship Id="rId136" Type="http://schemas.openxmlformats.org/officeDocument/2006/relationships/ctrlProp" Target="../ctrlProps/ctrlProp859.xml"/><Relationship Id="rId157" Type="http://schemas.openxmlformats.org/officeDocument/2006/relationships/ctrlProp" Target="../ctrlProps/ctrlProp880.xml"/><Relationship Id="rId178" Type="http://schemas.openxmlformats.org/officeDocument/2006/relationships/ctrlProp" Target="../ctrlProps/ctrlProp901.xml"/><Relationship Id="rId61" Type="http://schemas.openxmlformats.org/officeDocument/2006/relationships/ctrlProp" Target="../ctrlProps/ctrlProp784.xml"/><Relationship Id="rId82" Type="http://schemas.openxmlformats.org/officeDocument/2006/relationships/ctrlProp" Target="../ctrlProps/ctrlProp805.xml"/><Relationship Id="rId152" Type="http://schemas.openxmlformats.org/officeDocument/2006/relationships/ctrlProp" Target="../ctrlProps/ctrlProp875.xml"/><Relationship Id="rId173" Type="http://schemas.openxmlformats.org/officeDocument/2006/relationships/ctrlProp" Target="../ctrlProps/ctrlProp896.xml"/><Relationship Id="rId194" Type="http://schemas.openxmlformats.org/officeDocument/2006/relationships/ctrlProp" Target="../ctrlProps/ctrlProp917.xml"/><Relationship Id="rId19" Type="http://schemas.openxmlformats.org/officeDocument/2006/relationships/ctrlProp" Target="../ctrlProps/ctrlProp742.xml"/><Relationship Id="rId14" Type="http://schemas.openxmlformats.org/officeDocument/2006/relationships/ctrlProp" Target="../ctrlProps/ctrlProp737.xml"/><Relationship Id="rId30" Type="http://schemas.openxmlformats.org/officeDocument/2006/relationships/ctrlProp" Target="../ctrlProps/ctrlProp753.xml"/><Relationship Id="rId35" Type="http://schemas.openxmlformats.org/officeDocument/2006/relationships/ctrlProp" Target="../ctrlProps/ctrlProp758.xml"/><Relationship Id="rId56" Type="http://schemas.openxmlformats.org/officeDocument/2006/relationships/ctrlProp" Target="../ctrlProps/ctrlProp779.xml"/><Relationship Id="rId77" Type="http://schemas.openxmlformats.org/officeDocument/2006/relationships/ctrlProp" Target="../ctrlProps/ctrlProp800.xml"/><Relationship Id="rId100" Type="http://schemas.openxmlformats.org/officeDocument/2006/relationships/ctrlProp" Target="../ctrlProps/ctrlProp823.xml"/><Relationship Id="rId105" Type="http://schemas.openxmlformats.org/officeDocument/2006/relationships/ctrlProp" Target="../ctrlProps/ctrlProp828.xml"/><Relationship Id="rId126" Type="http://schemas.openxmlformats.org/officeDocument/2006/relationships/ctrlProp" Target="../ctrlProps/ctrlProp849.xml"/><Relationship Id="rId147" Type="http://schemas.openxmlformats.org/officeDocument/2006/relationships/ctrlProp" Target="../ctrlProps/ctrlProp870.xml"/><Relationship Id="rId168" Type="http://schemas.openxmlformats.org/officeDocument/2006/relationships/ctrlProp" Target="../ctrlProps/ctrlProp891.xml"/><Relationship Id="rId8" Type="http://schemas.openxmlformats.org/officeDocument/2006/relationships/ctrlProp" Target="../ctrlProps/ctrlProp731.xml"/><Relationship Id="rId51" Type="http://schemas.openxmlformats.org/officeDocument/2006/relationships/ctrlProp" Target="../ctrlProps/ctrlProp774.xml"/><Relationship Id="rId72" Type="http://schemas.openxmlformats.org/officeDocument/2006/relationships/ctrlProp" Target="../ctrlProps/ctrlProp795.xml"/><Relationship Id="rId93" Type="http://schemas.openxmlformats.org/officeDocument/2006/relationships/ctrlProp" Target="../ctrlProps/ctrlProp816.xml"/><Relationship Id="rId98" Type="http://schemas.openxmlformats.org/officeDocument/2006/relationships/ctrlProp" Target="../ctrlProps/ctrlProp821.xml"/><Relationship Id="rId121" Type="http://schemas.openxmlformats.org/officeDocument/2006/relationships/ctrlProp" Target="../ctrlProps/ctrlProp844.xml"/><Relationship Id="rId142" Type="http://schemas.openxmlformats.org/officeDocument/2006/relationships/ctrlProp" Target="../ctrlProps/ctrlProp865.xml"/><Relationship Id="rId163" Type="http://schemas.openxmlformats.org/officeDocument/2006/relationships/ctrlProp" Target="../ctrlProps/ctrlProp886.xml"/><Relationship Id="rId184" Type="http://schemas.openxmlformats.org/officeDocument/2006/relationships/ctrlProp" Target="../ctrlProps/ctrlProp907.xml"/><Relationship Id="rId189" Type="http://schemas.openxmlformats.org/officeDocument/2006/relationships/ctrlProp" Target="../ctrlProps/ctrlProp912.xml"/><Relationship Id="rId3" Type="http://schemas.openxmlformats.org/officeDocument/2006/relationships/vmlDrawing" Target="../drawings/vmlDrawing7.vml"/><Relationship Id="rId25" Type="http://schemas.openxmlformats.org/officeDocument/2006/relationships/ctrlProp" Target="../ctrlProps/ctrlProp748.xml"/><Relationship Id="rId46" Type="http://schemas.openxmlformats.org/officeDocument/2006/relationships/ctrlProp" Target="../ctrlProps/ctrlProp769.xml"/><Relationship Id="rId67" Type="http://schemas.openxmlformats.org/officeDocument/2006/relationships/ctrlProp" Target="../ctrlProps/ctrlProp790.xml"/><Relationship Id="rId116" Type="http://schemas.openxmlformats.org/officeDocument/2006/relationships/ctrlProp" Target="../ctrlProps/ctrlProp839.xml"/><Relationship Id="rId137" Type="http://schemas.openxmlformats.org/officeDocument/2006/relationships/ctrlProp" Target="../ctrlProps/ctrlProp860.xml"/><Relationship Id="rId158" Type="http://schemas.openxmlformats.org/officeDocument/2006/relationships/ctrlProp" Target="../ctrlProps/ctrlProp881.xml"/><Relationship Id="rId20" Type="http://schemas.openxmlformats.org/officeDocument/2006/relationships/ctrlProp" Target="../ctrlProps/ctrlProp743.xml"/><Relationship Id="rId41" Type="http://schemas.openxmlformats.org/officeDocument/2006/relationships/ctrlProp" Target="../ctrlProps/ctrlProp764.xml"/><Relationship Id="rId62" Type="http://schemas.openxmlformats.org/officeDocument/2006/relationships/ctrlProp" Target="../ctrlProps/ctrlProp785.xml"/><Relationship Id="rId83" Type="http://schemas.openxmlformats.org/officeDocument/2006/relationships/ctrlProp" Target="../ctrlProps/ctrlProp806.xml"/><Relationship Id="rId88" Type="http://schemas.openxmlformats.org/officeDocument/2006/relationships/ctrlProp" Target="../ctrlProps/ctrlProp811.xml"/><Relationship Id="rId111" Type="http://schemas.openxmlformats.org/officeDocument/2006/relationships/ctrlProp" Target="../ctrlProps/ctrlProp834.xml"/><Relationship Id="rId132" Type="http://schemas.openxmlformats.org/officeDocument/2006/relationships/ctrlProp" Target="../ctrlProps/ctrlProp855.xml"/><Relationship Id="rId153" Type="http://schemas.openxmlformats.org/officeDocument/2006/relationships/ctrlProp" Target="../ctrlProps/ctrlProp876.xml"/><Relationship Id="rId174" Type="http://schemas.openxmlformats.org/officeDocument/2006/relationships/ctrlProp" Target="../ctrlProps/ctrlProp897.xml"/><Relationship Id="rId179" Type="http://schemas.openxmlformats.org/officeDocument/2006/relationships/ctrlProp" Target="../ctrlProps/ctrlProp902.xml"/><Relationship Id="rId195" Type="http://schemas.openxmlformats.org/officeDocument/2006/relationships/ctrlProp" Target="../ctrlProps/ctrlProp918.xml"/><Relationship Id="rId190" Type="http://schemas.openxmlformats.org/officeDocument/2006/relationships/ctrlProp" Target="../ctrlProps/ctrlProp913.xml"/><Relationship Id="rId15" Type="http://schemas.openxmlformats.org/officeDocument/2006/relationships/ctrlProp" Target="../ctrlProps/ctrlProp738.xml"/><Relationship Id="rId36" Type="http://schemas.openxmlformats.org/officeDocument/2006/relationships/ctrlProp" Target="../ctrlProps/ctrlProp759.xml"/><Relationship Id="rId57" Type="http://schemas.openxmlformats.org/officeDocument/2006/relationships/ctrlProp" Target="../ctrlProps/ctrlProp780.xml"/><Relationship Id="rId106" Type="http://schemas.openxmlformats.org/officeDocument/2006/relationships/ctrlProp" Target="../ctrlProps/ctrlProp829.xml"/><Relationship Id="rId127" Type="http://schemas.openxmlformats.org/officeDocument/2006/relationships/ctrlProp" Target="../ctrlProps/ctrlProp850.xml"/><Relationship Id="rId10" Type="http://schemas.openxmlformats.org/officeDocument/2006/relationships/ctrlProp" Target="../ctrlProps/ctrlProp733.xml"/><Relationship Id="rId31" Type="http://schemas.openxmlformats.org/officeDocument/2006/relationships/ctrlProp" Target="../ctrlProps/ctrlProp754.xml"/><Relationship Id="rId52" Type="http://schemas.openxmlformats.org/officeDocument/2006/relationships/ctrlProp" Target="../ctrlProps/ctrlProp775.xml"/><Relationship Id="rId73" Type="http://schemas.openxmlformats.org/officeDocument/2006/relationships/ctrlProp" Target="../ctrlProps/ctrlProp796.xml"/><Relationship Id="rId78" Type="http://schemas.openxmlformats.org/officeDocument/2006/relationships/ctrlProp" Target="../ctrlProps/ctrlProp801.xml"/><Relationship Id="rId94" Type="http://schemas.openxmlformats.org/officeDocument/2006/relationships/ctrlProp" Target="../ctrlProps/ctrlProp817.xml"/><Relationship Id="rId99" Type="http://schemas.openxmlformats.org/officeDocument/2006/relationships/ctrlProp" Target="../ctrlProps/ctrlProp822.xml"/><Relationship Id="rId101" Type="http://schemas.openxmlformats.org/officeDocument/2006/relationships/ctrlProp" Target="../ctrlProps/ctrlProp824.xml"/><Relationship Id="rId122" Type="http://schemas.openxmlformats.org/officeDocument/2006/relationships/ctrlProp" Target="../ctrlProps/ctrlProp845.xml"/><Relationship Id="rId143" Type="http://schemas.openxmlformats.org/officeDocument/2006/relationships/ctrlProp" Target="../ctrlProps/ctrlProp866.xml"/><Relationship Id="rId148" Type="http://schemas.openxmlformats.org/officeDocument/2006/relationships/ctrlProp" Target="../ctrlProps/ctrlProp871.xml"/><Relationship Id="rId164" Type="http://schemas.openxmlformats.org/officeDocument/2006/relationships/ctrlProp" Target="../ctrlProps/ctrlProp887.xml"/><Relationship Id="rId169" Type="http://schemas.openxmlformats.org/officeDocument/2006/relationships/ctrlProp" Target="../ctrlProps/ctrlProp892.xml"/><Relationship Id="rId185" Type="http://schemas.openxmlformats.org/officeDocument/2006/relationships/ctrlProp" Target="../ctrlProps/ctrlProp908.xml"/><Relationship Id="rId4" Type="http://schemas.openxmlformats.org/officeDocument/2006/relationships/ctrlProp" Target="../ctrlProps/ctrlProp727.xml"/><Relationship Id="rId9" Type="http://schemas.openxmlformats.org/officeDocument/2006/relationships/ctrlProp" Target="../ctrlProps/ctrlProp732.xml"/><Relationship Id="rId180" Type="http://schemas.openxmlformats.org/officeDocument/2006/relationships/ctrlProp" Target="../ctrlProps/ctrlProp903.xml"/><Relationship Id="rId26" Type="http://schemas.openxmlformats.org/officeDocument/2006/relationships/ctrlProp" Target="../ctrlProps/ctrlProp749.xml"/><Relationship Id="rId47" Type="http://schemas.openxmlformats.org/officeDocument/2006/relationships/ctrlProp" Target="../ctrlProps/ctrlProp770.xml"/><Relationship Id="rId68" Type="http://schemas.openxmlformats.org/officeDocument/2006/relationships/ctrlProp" Target="../ctrlProps/ctrlProp791.xml"/><Relationship Id="rId89" Type="http://schemas.openxmlformats.org/officeDocument/2006/relationships/ctrlProp" Target="../ctrlProps/ctrlProp812.xml"/><Relationship Id="rId112" Type="http://schemas.openxmlformats.org/officeDocument/2006/relationships/ctrlProp" Target="../ctrlProps/ctrlProp835.xml"/><Relationship Id="rId133" Type="http://schemas.openxmlformats.org/officeDocument/2006/relationships/ctrlProp" Target="../ctrlProps/ctrlProp856.xml"/><Relationship Id="rId154" Type="http://schemas.openxmlformats.org/officeDocument/2006/relationships/ctrlProp" Target="../ctrlProps/ctrlProp877.xml"/><Relationship Id="rId175" Type="http://schemas.openxmlformats.org/officeDocument/2006/relationships/ctrlProp" Target="../ctrlProps/ctrlProp898.xml"/><Relationship Id="rId196" Type="http://schemas.openxmlformats.org/officeDocument/2006/relationships/ctrlProp" Target="../ctrlProps/ctrlProp919.xml"/><Relationship Id="rId16" Type="http://schemas.openxmlformats.org/officeDocument/2006/relationships/ctrlProp" Target="../ctrlProps/ctrlProp739.xml"/><Relationship Id="rId37" Type="http://schemas.openxmlformats.org/officeDocument/2006/relationships/ctrlProp" Target="../ctrlProps/ctrlProp760.xml"/><Relationship Id="rId58" Type="http://schemas.openxmlformats.org/officeDocument/2006/relationships/ctrlProp" Target="../ctrlProps/ctrlProp781.xml"/><Relationship Id="rId79" Type="http://schemas.openxmlformats.org/officeDocument/2006/relationships/ctrlProp" Target="../ctrlProps/ctrlProp802.xml"/><Relationship Id="rId102" Type="http://schemas.openxmlformats.org/officeDocument/2006/relationships/ctrlProp" Target="../ctrlProps/ctrlProp825.xml"/><Relationship Id="rId123" Type="http://schemas.openxmlformats.org/officeDocument/2006/relationships/ctrlProp" Target="../ctrlProps/ctrlProp846.xml"/><Relationship Id="rId144" Type="http://schemas.openxmlformats.org/officeDocument/2006/relationships/ctrlProp" Target="../ctrlProps/ctrlProp867.xml"/><Relationship Id="rId90" Type="http://schemas.openxmlformats.org/officeDocument/2006/relationships/ctrlProp" Target="../ctrlProps/ctrlProp813.xml"/><Relationship Id="rId165" Type="http://schemas.openxmlformats.org/officeDocument/2006/relationships/ctrlProp" Target="../ctrlProps/ctrlProp888.xml"/><Relationship Id="rId186" Type="http://schemas.openxmlformats.org/officeDocument/2006/relationships/ctrlProp" Target="../ctrlProps/ctrlProp909.xml"/><Relationship Id="rId27" Type="http://schemas.openxmlformats.org/officeDocument/2006/relationships/ctrlProp" Target="../ctrlProps/ctrlProp750.xml"/><Relationship Id="rId48" Type="http://schemas.openxmlformats.org/officeDocument/2006/relationships/ctrlProp" Target="../ctrlProps/ctrlProp771.xml"/><Relationship Id="rId69" Type="http://schemas.openxmlformats.org/officeDocument/2006/relationships/ctrlProp" Target="../ctrlProps/ctrlProp792.xml"/><Relationship Id="rId113" Type="http://schemas.openxmlformats.org/officeDocument/2006/relationships/ctrlProp" Target="../ctrlProps/ctrlProp836.xml"/><Relationship Id="rId134" Type="http://schemas.openxmlformats.org/officeDocument/2006/relationships/ctrlProp" Target="../ctrlProps/ctrlProp857.xml"/><Relationship Id="rId80" Type="http://schemas.openxmlformats.org/officeDocument/2006/relationships/ctrlProp" Target="../ctrlProps/ctrlProp803.xml"/><Relationship Id="rId155" Type="http://schemas.openxmlformats.org/officeDocument/2006/relationships/ctrlProp" Target="../ctrlProps/ctrlProp878.xml"/><Relationship Id="rId176" Type="http://schemas.openxmlformats.org/officeDocument/2006/relationships/ctrlProp" Target="../ctrlProps/ctrlProp899.xml"/><Relationship Id="rId197" Type="http://schemas.openxmlformats.org/officeDocument/2006/relationships/ctrlProp" Target="../ctrlProps/ctrlProp920.xml"/><Relationship Id="rId17" Type="http://schemas.openxmlformats.org/officeDocument/2006/relationships/ctrlProp" Target="../ctrlProps/ctrlProp740.xml"/><Relationship Id="rId38" Type="http://schemas.openxmlformats.org/officeDocument/2006/relationships/ctrlProp" Target="../ctrlProps/ctrlProp761.xml"/><Relationship Id="rId59" Type="http://schemas.openxmlformats.org/officeDocument/2006/relationships/ctrlProp" Target="../ctrlProps/ctrlProp782.xml"/><Relationship Id="rId103" Type="http://schemas.openxmlformats.org/officeDocument/2006/relationships/ctrlProp" Target="../ctrlProps/ctrlProp826.xml"/><Relationship Id="rId124" Type="http://schemas.openxmlformats.org/officeDocument/2006/relationships/ctrlProp" Target="../ctrlProps/ctrlProp847.xml"/><Relationship Id="rId70" Type="http://schemas.openxmlformats.org/officeDocument/2006/relationships/ctrlProp" Target="../ctrlProps/ctrlProp793.xml"/><Relationship Id="rId91" Type="http://schemas.openxmlformats.org/officeDocument/2006/relationships/ctrlProp" Target="../ctrlProps/ctrlProp814.xml"/><Relationship Id="rId145" Type="http://schemas.openxmlformats.org/officeDocument/2006/relationships/ctrlProp" Target="../ctrlProps/ctrlProp868.xml"/><Relationship Id="rId166" Type="http://schemas.openxmlformats.org/officeDocument/2006/relationships/ctrlProp" Target="../ctrlProps/ctrlProp889.xml"/><Relationship Id="rId187" Type="http://schemas.openxmlformats.org/officeDocument/2006/relationships/ctrlProp" Target="../ctrlProps/ctrlProp910.xml"/><Relationship Id="rId1" Type="http://schemas.openxmlformats.org/officeDocument/2006/relationships/printerSettings" Target="../printerSettings/printerSettings8.bin"/><Relationship Id="rId28" Type="http://schemas.openxmlformats.org/officeDocument/2006/relationships/ctrlProp" Target="../ctrlProps/ctrlProp751.xml"/><Relationship Id="rId49" Type="http://schemas.openxmlformats.org/officeDocument/2006/relationships/ctrlProp" Target="../ctrlProps/ctrlProp772.xml"/><Relationship Id="rId114" Type="http://schemas.openxmlformats.org/officeDocument/2006/relationships/ctrlProp" Target="../ctrlProps/ctrlProp837.xml"/><Relationship Id="rId60" Type="http://schemas.openxmlformats.org/officeDocument/2006/relationships/ctrlProp" Target="../ctrlProps/ctrlProp783.xml"/><Relationship Id="rId81" Type="http://schemas.openxmlformats.org/officeDocument/2006/relationships/ctrlProp" Target="../ctrlProps/ctrlProp804.xml"/><Relationship Id="rId135" Type="http://schemas.openxmlformats.org/officeDocument/2006/relationships/ctrlProp" Target="../ctrlProps/ctrlProp858.xml"/><Relationship Id="rId156" Type="http://schemas.openxmlformats.org/officeDocument/2006/relationships/ctrlProp" Target="../ctrlProps/ctrlProp879.xml"/><Relationship Id="rId177" Type="http://schemas.openxmlformats.org/officeDocument/2006/relationships/ctrlProp" Target="../ctrlProps/ctrlProp900.xml"/><Relationship Id="rId198" Type="http://schemas.openxmlformats.org/officeDocument/2006/relationships/comments" Target="../comments6.xml"/><Relationship Id="rId18" Type="http://schemas.openxmlformats.org/officeDocument/2006/relationships/ctrlProp" Target="../ctrlProps/ctrlProp741.xml"/><Relationship Id="rId39" Type="http://schemas.openxmlformats.org/officeDocument/2006/relationships/ctrlProp" Target="../ctrlProps/ctrlProp762.xml"/><Relationship Id="rId50" Type="http://schemas.openxmlformats.org/officeDocument/2006/relationships/ctrlProp" Target="../ctrlProps/ctrlProp773.xml"/><Relationship Id="rId104" Type="http://schemas.openxmlformats.org/officeDocument/2006/relationships/ctrlProp" Target="../ctrlProps/ctrlProp827.xml"/><Relationship Id="rId125" Type="http://schemas.openxmlformats.org/officeDocument/2006/relationships/ctrlProp" Target="../ctrlProps/ctrlProp848.xml"/><Relationship Id="rId146" Type="http://schemas.openxmlformats.org/officeDocument/2006/relationships/ctrlProp" Target="../ctrlProps/ctrlProp869.xml"/><Relationship Id="rId167" Type="http://schemas.openxmlformats.org/officeDocument/2006/relationships/ctrlProp" Target="../ctrlProps/ctrlProp890.xml"/><Relationship Id="rId188" Type="http://schemas.openxmlformats.org/officeDocument/2006/relationships/ctrlProp" Target="../ctrlProps/ctrlProp911.xml"/></Relationships>
</file>

<file path=xl/worksheets/_rels/sheet11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943.xml"/><Relationship Id="rId21" Type="http://schemas.openxmlformats.org/officeDocument/2006/relationships/ctrlProp" Target="../ctrlProps/ctrlProp938.xml"/><Relationship Id="rId42" Type="http://schemas.openxmlformats.org/officeDocument/2006/relationships/ctrlProp" Target="../ctrlProps/ctrlProp959.xml"/><Relationship Id="rId47" Type="http://schemas.openxmlformats.org/officeDocument/2006/relationships/ctrlProp" Target="../ctrlProps/ctrlProp964.xml"/><Relationship Id="rId63" Type="http://schemas.openxmlformats.org/officeDocument/2006/relationships/ctrlProp" Target="../ctrlProps/ctrlProp980.xml"/><Relationship Id="rId68" Type="http://schemas.openxmlformats.org/officeDocument/2006/relationships/ctrlProp" Target="../ctrlProps/ctrlProp985.xml"/><Relationship Id="rId84" Type="http://schemas.openxmlformats.org/officeDocument/2006/relationships/ctrlProp" Target="../ctrlProps/ctrlProp1001.xml"/><Relationship Id="rId89" Type="http://schemas.openxmlformats.org/officeDocument/2006/relationships/ctrlProp" Target="../ctrlProps/ctrlProp1006.xml"/><Relationship Id="rId16" Type="http://schemas.openxmlformats.org/officeDocument/2006/relationships/ctrlProp" Target="../ctrlProps/ctrlProp933.xml"/><Relationship Id="rId11" Type="http://schemas.openxmlformats.org/officeDocument/2006/relationships/ctrlProp" Target="../ctrlProps/ctrlProp928.xml"/><Relationship Id="rId32" Type="http://schemas.openxmlformats.org/officeDocument/2006/relationships/ctrlProp" Target="../ctrlProps/ctrlProp949.xml"/><Relationship Id="rId37" Type="http://schemas.openxmlformats.org/officeDocument/2006/relationships/ctrlProp" Target="../ctrlProps/ctrlProp954.xml"/><Relationship Id="rId53" Type="http://schemas.openxmlformats.org/officeDocument/2006/relationships/ctrlProp" Target="../ctrlProps/ctrlProp970.xml"/><Relationship Id="rId58" Type="http://schemas.openxmlformats.org/officeDocument/2006/relationships/ctrlProp" Target="../ctrlProps/ctrlProp975.xml"/><Relationship Id="rId74" Type="http://schemas.openxmlformats.org/officeDocument/2006/relationships/ctrlProp" Target="../ctrlProps/ctrlProp991.xml"/><Relationship Id="rId79" Type="http://schemas.openxmlformats.org/officeDocument/2006/relationships/ctrlProp" Target="../ctrlProps/ctrlProp996.xml"/><Relationship Id="rId102" Type="http://schemas.openxmlformats.org/officeDocument/2006/relationships/ctrlProp" Target="../ctrlProps/ctrlProp1019.xml"/><Relationship Id="rId5" Type="http://schemas.openxmlformats.org/officeDocument/2006/relationships/ctrlProp" Target="../ctrlProps/ctrlProp922.xml"/><Relationship Id="rId90" Type="http://schemas.openxmlformats.org/officeDocument/2006/relationships/ctrlProp" Target="../ctrlProps/ctrlProp1007.xml"/><Relationship Id="rId95" Type="http://schemas.openxmlformats.org/officeDocument/2006/relationships/ctrlProp" Target="../ctrlProps/ctrlProp1012.xml"/><Relationship Id="rId22" Type="http://schemas.openxmlformats.org/officeDocument/2006/relationships/ctrlProp" Target="../ctrlProps/ctrlProp939.xml"/><Relationship Id="rId27" Type="http://schemas.openxmlformats.org/officeDocument/2006/relationships/ctrlProp" Target="../ctrlProps/ctrlProp944.xml"/><Relationship Id="rId43" Type="http://schemas.openxmlformats.org/officeDocument/2006/relationships/ctrlProp" Target="../ctrlProps/ctrlProp960.xml"/><Relationship Id="rId48" Type="http://schemas.openxmlformats.org/officeDocument/2006/relationships/ctrlProp" Target="../ctrlProps/ctrlProp965.xml"/><Relationship Id="rId64" Type="http://schemas.openxmlformats.org/officeDocument/2006/relationships/ctrlProp" Target="../ctrlProps/ctrlProp981.xml"/><Relationship Id="rId69" Type="http://schemas.openxmlformats.org/officeDocument/2006/relationships/ctrlProp" Target="../ctrlProps/ctrlProp986.xml"/><Relationship Id="rId80" Type="http://schemas.openxmlformats.org/officeDocument/2006/relationships/ctrlProp" Target="../ctrlProps/ctrlProp997.xml"/><Relationship Id="rId85" Type="http://schemas.openxmlformats.org/officeDocument/2006/relationships/ctrlProp" Target="../ctrlProps/ctrlProp1002.xml"/><Relationship Id="rId12" Type="http://schemas.openxmlformats.org/officeDocument/2006/relationships/ctrlProp" Target="../ctrlProps/ctrlProp929.xml"/><Relationship Id="rId17" Type="http://schemas.openxmlformats.org/officeDocument/2006/relationships/ctrlProp" Target="../ctrlProps/ctrlProp934.xml"/><Relationship Id="rId33" Type="http://schemas.openxmlformats.org/officeDocument/2006/relationships/ctrlProp" Target="../ctrlProps/ctrlProp950.xml"/><Relationship Id="rId38" Type="http://schemas.openxmlformats.org/officeDocument/2006/relationships/ctrlProp" Target="../ctrlProps/ctrlProp955.xml"/><Relationship Id="rId59" Type="http://schemas.openxmlformats.org/officeDocument/2006/relationships/ctrlProp" Target="../ctrlProps/ctrlProp976.xml"/><Relationship Id="rId103" Type="http://schemas.openxmlformats.org/officeDocument/2006/relationships/ctrlProp" Target="../ctrlProps/ctrlProp1020.xml"/><Relationship Id="rId20" Type="http://schemas.openxmlformats.org/officeDocument/2006/relationships/ctrlProp" Target="../ctrlProps/ctrlProp937.xml"/><Relationship Id="rId41" Type="http://schemas.openxmlformats.org/officeDocument/2006/relationships/ctrlProp" Target="../ctrlProps/ctrlProp958.xml"/><Relationship Id="rId54" Type="http://schemas.openxmlformats.org/officeDocument/2006/relationships/ctrlProp" Target="../ctrlProps/ctrlProp971.xml"/><Relationship Id="rId62" Type="http://schemas.openxmlformats.org/officeDocument/2006/relationships/ctrlProp" Target="../ctrlProps/ctrlProp979.xml"/><Relationship Id="rId70" Type="http://schemas.openxmlformats.org/officeDocument/2006/relationships/ctrlProp" Target="../ctrlProps/ctrlProp987.xml"/><Relationship Id="rId75" Type="http://schemas.openxmlformats.org/officeDocument/2006/relationships/ctrlProp" Target="../ctrlProps/ctrlProp992.xml"/><Relationship Id="rId83" Type="http://schemas.openxmlformats.org/officeDocument/2006/relationships/ctrlProp" Target="../ctrlProps/ctrlProp1000.xml"/><Relationship Id="rId88" Type="http://schemas.openxmlformats.org/officeDocument/2006/relationships/ctrlProp" Target="../ctrlProps/ctrlProp1005.xml"/><Relationship Id="rId91" Type="http://schemas.openxmlformats.org/officeDocument/2006/relationships/ctrlProp" Target="../ctrlProps/ctrlProp1008.xml"/><Relationship Id="rId96" Type="http://schemas.openxmlformats.org/officeDocument/2006/relationships/ctrlProp" Target="../ctrlProps/ctrlProp1013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923.xml"/><Relationship Id="rId15" Type="http://schemas.openxmlformats.org/officeDocument/2006/relationships/ctrlProp" Target="../ctrlProps/ctrlProp932.xml"/><Relationship Id="rId23" Type="http://schemas.openxmlformats.org/officeDocument/2006/relationships/ctrlProp" Target="../ctrlProps/ctrlProp940.xml"/><Relationship Id="rId28" Type="http://schemas.openxmlformats.org/officeDocument/2006/relationships/ctrlProp" Target="../ctrlProps/ctrlProp945.xml"/><Relationship Id="rId36" Type="http://schemas.openxmlformats.org/officeDocument/2006/relationships/ctrlProp" Target="../ctrlProps/ctrlProp953.xml"/><Relationship Id="rId49" Type="http://schemas.openxmlformats.org/officeDocument/2006/relationships/ctrlProp" Target="../ctrlProps/ctrlProp966.xml"/><Relationship Id="rId57" Type="http://schemas.openxmlformats.org/officeDocument/2006/relationships/ctrlProp" Target="../ctrlProps/ctrlProp974.xml"/><Relationship Id="rId106" Type="http://schemas.openxmlformats.org/officeDocument/2006/relationships/ctrlProp" Target="../ctrlProps/ctrlProp1023.xml"/><Relationship Id="rId10" Type="http://schemas.openxmlformats.org/officeDocument/2006/relationships/ctrlProp" Target="../ctrlProps/ctrlProp927.xml"/><Relationship Id="rId31" Type="http://schemas.openxmlformats.org/officeDocument/2006/relationships/ctrlProp" Target="../ctrlProps/ctrlProp948.xml"/><Relationship Id="rId44" Type="http://schemas.openxmlformats.org/officeDocument/2006/relationships/ctrlProp" Target="../ctrlProps/ctrlProp961.xml"/><Relationship Id="rId52" Type="http://schemas.openxmlformats.org/officeDocument/2006/relationships/ctrlProp" Target="../ctrlProps/ctrlProp969.xml"/><Relationship Id="rId60" Type="http://schemas.openxmlformats.org/officeDocument/2006/relationships/ctrlProp" Target="../ctrlProps/ctrlProp977.xml"/><Relationship Id="rId65" Type="http://schemas.openxmlformats.org/officeDocument/2006/relationships/ctrlProp" Target="../ctrlProps/ctrlProp982.xml"/><Relationship Id="rId73" Type="http://schemas.openxmlformats.org/officeDocument/2006/relationships/ctrlProp" Target="../ctrlProps/ctrlProp990.xml"/><Relationship Id="rId78" Type="http://schemas.openxmlformats.org/officeDocument/2006/relationships/ctrlProp" Target="../ctrlProps/ctrlProp995.xml"/><Relationship Id="rId81" Type="http://schemas.openxmlformats.org/officeDocument/2006/relationships/ctrlProp" Target="../ctrlProps/ctrlProp998.xml"/><Relationship Id="rId86" Type="http://schemas.openxmlformats.org/officeDocument/2006/relationships/ctrlProp" Target="../ctrlProps/ctrlProp1003.xml"/><Relationship Id="rId94" Type="http://schemas.openxmlformats.org/officeDocument/2006/relationships/ctrlProp" Target="../ctrlProps/ctrlProp1011.xml"/><Relationship Id="rId99" Type="http://schemas.openxmlformats.org/officeDocument/2006/relationships/ctrlProp" Target="../ctrlProps/ctrlProp1016.xml"/><Relationship Id="rId101" Type="http://schemas.openxmlformats.org/officeDocument/2006/relationships/ctrlProp" Target="../ctrlProps/ctrlProp1018.xml"/><Relationship Id="rId4" Type="http://schemas.openxmlformats.org/officeDocument/2006/relationships/ctrlProp" Target="../ctrlProps/ctrlProp921.xml"/><Relationship Id="rId9" Type="http://schemas.openxmlformats.org/officeDocument/2006/relationships/ctrlProp" Target="../ctrlProps/ctrlProp926.xml"/><Relationship Id="rId13" Type="http://schemas.openxmlformats.org/officeDocument/2006/relationships/ctrlProp" Target="../ctrlProps/ctrlProp930.xml"/><Relationship Id="rId18" Type="http://schemas.openxmlformats.org/officeDocument/2006/relationships/ctrlProp" Target="../ctrlProps/ctrlProp935.xml"/><Relationship Id="rId39" Type="http://schemas.openxmlformats.org/officeDocument/2006/relationships/ctrlProp" Target="../ctrlProps/ctrlProp956.xml"/><Relationship Id="rId34" Type="http://schemas.openxmlformats.org/officeDocument/2006/relationships/ctrlProp" Target="../ctrlProps/ctrlProp951.xml"/><Relationship Id="rId50" Type="http://schemas.openxmlformats.org/officeDocument/2006/relationships/ctrlProp" Target="../ctrlProps/ctrlProp967.xml"/><Relationship Id="rId55" Type="http://schemas.openxmlformats.org/officeDocument/2006/relationships/ctrlProp" Target="../ctrlProps/ctrlProp972.xml"/><Relationship Id="rId76" Type="http://schemas.openxmlformats.org/officeDocument/2006/relationships/ctrlProp" Target="../ctrlProps/ctrlProp993.xml"/><Relationship Id="rId97" Type="http://schemas.openxmlformats.org/officeDocument/2006/relationships/ctrlProp" Target="../ctrlProps/ctrlProp1014.xml"/><Relationship Id="rId104" Type="http://schemas.openxmlformats.org/officeDocument/2006/relationships/ctrlProp" Target="../ctrlProps/ctrlProp1021.xml"/><Relationship Id="rId7" Type="http://schemas.openxmlformats.org/officeDocument/2006/relationships/ctrlProp" Target="../ctrlProps/ctrlProp924.xml"/><Relationship Id="rId71" Type="http://schemas.openxmlformats.org/officeDocument/2006/relationships/ctrlProp" Target="../ctrlProps/ctrlProp988.xml"/><Relationship Id="rId92" Type="http://schemas.openxmlformats.org/officeDocument/2006/relationships/ctrlProp" Target="../ctrlProps/ctrlProp1009.xml"/><Relationship Id="rId2" Type="http://schemas.openxmlformats.org/officeDocument/2006/relationships/drawing" Target="../drawings/drawing8.xml"/><Relationship Id="rId29" Type="http://schemas.openxmlformats.org/officeDocument/2006/relationships/ctrlProp" Target="../ctrlProps/ctrlProp946.xml"/><Relationship Id="rId24" Type="http://schemas.openxmlformats.org/officeDocument/2006/relationships/ctrlProp" Target="../ctrlProps/ctrlProp941.xml"/><Relationship Id="rId40" Type="http://schemas.openxmlformats.org/officeDocument/2006/relationships/ctrlProp" Target="../ctrlProps/ctrlProp957.xml"/><Relationship Id="rId45" Type="http://schemas.openxmlformats.org/officeDocument/2006/relationships/ctrlProp" Target="../ctrlProps/ctrlProp962.xml"/><Relationship Id="rId66" Type="http://schemas.openxmlformats.org/officeDocument/2006/relationships/ctrlProp" Target="../ctrlProps/ctrlProp983.xml"/><Relationship Id="rId87" Type="http://schemas.openxmlformats.org/officeDocument/2006/relationships/ctrlProp" Target="../ctrlProps/ctrlProp1004.xml"/><Relationship Id="rId61" Type="http://schemas.openxmlformats.org/officeDocument/2006/relationships/ctrlProp" Target="../ctrlProps/ctrlProp978.xml"/><Relationship Id="rId82" Type="http://schemas.openxmlformats.org/officeDocument/2006/relationships/ctrlProp" Target="../ctrlProps/ctrlProp999.xml"/><Relationship Id="rId19" Type="http://schemas.openxmlformats.org/officeDocument/2006/relationships/ctrlProp" Target="../ctrlProps/ctrlProp936.xml"/><Relationship Id="rId14" Type="http://schemas.openxmlformats.org/officeDocument/2006/relationships/ctrlProp" Target="../ctrlProps/ctrlProp931.xml"/><Relationship Id="rId30" Type="http://schemas.openxmlformats.org/officeDocument/2006/relationships/ctrlProp" Target="../ctrlProps/ctrlProp947.xml"/><Relationship Id="rId35" Type="http://schemas.openxmlformats.org/officeDocument/2006/relationships/ctrlProp" Target="../ctrlProps/ctrlProp952.xml"/><Relationship Id="rId56" Type="http://schemas.openxmlformats.org/officeDocument/2006/relationships/ctrlProp" Target="../ctrlProps/ctrlProp973.xml"/><Relationship Id="rId77" Type="http://schemas.openxmlformats.org/officeDocument/2006/relationships/ctrlProp" Target="../ctrlProps/ctrlProp994.xml"/><Relationship Id="rId100" Type="http://schemas.openxmlformats.org/officeDocument/2006/relationships/ctrlProp" Target="../ctrlProps/ctrlProp1017.xml"/><Relationship Id="rId105" Type="http://schemas.openxmlformats.org/officeDocument/2006/relationships/ctrlProp" Target="../ctrlProps/ctrlProp1022.xml"/><Relationship Id="rId8" Type="http://schemas.openxmlformats.org/officeDocument/2006/relationships/ctrlProp" Target="../ctrlProps/ctrlProp925.xml"/><Relationship Id="rId51" Type="http://schemas.openxmlformats.org/officeDocument/2006/relationships/ctrlProp" Target="../ctrlProps/ctrlProp968.xml"/><Relationship Id="rId72" Type="http://schemas.openxmlformats.org/officeDocument/2006/relationships/ctrlProp" Target="../ctrlProps/ctrlProp989.xml"/><Relationship Id="rId93" Type="http://schemas.openxmlformats.org/officeDocument/2006/relationships/ctrlProp" Target="../ctrlProps/ctrlProp1010.xml"/><Relationship Id="rId98" Type="http://schemas.openxmlformats.org/officeDocument/2006/relationships/ctrlProp" Target="../ctrlProps/ctrlProp1015.xml"/><Relationship Id="rId3" Type="http://schemas.openxmlformats.org/officeDocument/2006/relationships/vmlDrawing" Target="../drawings/vmlDrawing8.vml"/><Relationship Id="rId25" Type="http://schemas.openxmlformats.org/officeDocument/2006/relationships/ctrlProp" Target="../ctrlProps/ctrlProp942.xml"/><Relationship Id="rId46" Type="http://schemas.openxmlformats.org/officeDocument/2006/relationships/ctrlProp" Target="../ctrlProps/ctrlProp963.xml"/><Relationship Id="rId67" Type="http://schemas.openxmlformats.org/officeDocument/2006/relationships/ctrlProp" Target="../ctrlProps/ctrlProp984.xm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37.xml"/><Relationship Id="rId299" Type="http://schemas.openxmlformats.org/officeDocument/2006/relationships/ctrlProp" Target="../ctrlProps/ctrlProp1319.xml"/><Relationship Id="rId21" Type="http://schemas.openxmlformats.org/officeDocument/2006/relationships/ctrlProp" Target="../ctrlProps/ctrlProp1041.xml"/><Relationship Id="rId63" Type="http://schemas.openxmlformats.org/officeDocument/2006/relationships/ctrlProp" Target="../ctrlProps/ctrlProp1083.xml"/><Relationship Id="rId159" Type="http://schemas.openxmlformats.org/officeDocument/2006/relationships/ctrlProp" Target="../ctrlProps/ctrlProp1179.xml"/><Relationship Id="rId324" Type="http://schemas.openxmlformats.org/officeDocument/2006/relationships/ctrlProp" Target="../ctrlProps/ctrlProp1344.xml"/><Relationship Id="rId170" Type="http://schemas.openxmlformats.org/officeDocument/2006/relationships/ctrlProp" Target="../ctrlProps/ctrlProp1190.xml"/><Relationship Id="rId226" Type="http://schemas.openxmlformats.org/officeDocument/2006/relationships/ctrlProp" Target="../ctrlProps/ctrlProp1246.xml"/><Relationship Id="rId268" Type="http://schemas.openxmlformats.org/officeDocument/2006/relationships/ctrlProp" Target="../ctrlProps/ctrlProp1288.xml"/><Relationship Id="rId32" Type="http://schemas.openxmlformats.org/officeDocument/2006/relationships/ctrlProp" Target="../ctrlProps/ctrlProp1052.xml"/><Relationship Id="rId74" Type="http://schemas.openxmlformats.org/officeDocument/2006/relationships/ctrlProp" Target="../ctrlProps/ctrlProp1094.xml"/><Relationship Id="rId128" Type="http://schemas.openxmlformats.org/officeDocument/2006/relationships/ctrlProp" Target="../ctrlProps/ctrlProp1148.xml"/><Relationship Id="rId335" Type="http://schemas.openxmlformats.org/officeDocument/2006/relationships/ctrlProp" Target="../ctrlProps/ctrlProp1355.xml"/><Relationship Id="rId5" Type="http://schemas.openxmlformats.org/officeDocument/2006/relationships/ctrlProp" Target="../ctrlProps/ctrlProp1025.xml"/><Relationship Id="rId181" Type="http://schemas.openxmlformats.org/officeDocument/2006/relationships/ctrlProp" Target="../ctrlProps/ctrlProp1201.xml"/><Relationship Id="rId237" Type="http://schemas.openxmlformats.org/officeDocument/2006/relationships/ctrlProp" Target="../ctrlProps/ctrlProp1257.xml"/><Relationship Id="rId279" Type="http://schemas.openxmlformats.org/officeDocument/2006/relationships/ctrlProp" Target="../ctrlProps/ctrlProp1299.xml"/><Relationship Id="rId43" Type="http://schemas.openxmlformats.org/officeDocument/2006/relationships/ctrlProp" Target="../ctrlProps/ctrlProp1063.xml"/><Relationship Id="rId139" Type="http://schemas.openxmlformats.org/officeDocument/2006/relationships/ctrlProp" Target="../ctrlProps/ctrlProp1159.xml"/><Relationship Id="rId290" Type="http://schemas.openxmlformats.org/officeDocument/2006/relationships/ctrlProp" Target="../ctrlProps/ctrlProp1310.xml"/><Relationship Id="rId304" Type="http://schemas.openxmlformats.org/officeDocument/2006/relationships/ctrlProp" Target="../ctrlProps/ctrlProp1324.xml"/><Relationship Id="rId346" Type="http://schemas.openxmlformats.org/officeDocument/2006/relationships/ctrlProp" Target="../ctrlProps/ctrlProp1366.xml"/><Relationship Id="rId85" Type="http://schemas.openxmlformats.org/officeDocument/2006/relationships/ctrlProp" Target="../ctrlProps/ctrlProp1105.xml"/><Relationship Id="rId150" Type="http://schemas.openxmlformats.org/officeDocument/2006/relationships/ctrlProp" Target="../ctrlProps/ctrlProp1170.xml"/><Relationship Id="rId192" Type="http://schemas.openxmlformats.org/officeDocument/2006/relationships/ctrlProp" Target="../ctrlProps/ctrlProp1212.xml"/><Relationship Id="rId206" Type="http://schemas.openxmlformats.org/officeDocument/2006/relationships/ctrlProp" Target="../ctrlProps/ctrlProp1226.xml"/><Relationship Id="rId248" Type="http://schemas.openxmlformats.org/officeDocument/2006/relationships/ctrlProp" Target="../ctrlProps/ctrlProp1268.xml"/><Relationship Id="rId12" Type="http://schemas.openxmlformats.org/officeDocument/2006/relationships/ctrlProp" Target="../ctrlProps/ctrlProp1032.xml"/><Relationship Id="rId108" Type="http://schemas.openxmlformats.org/officeDocument/2006/relationships/ctrlProp" Target="../ctrlProps/ctrlProp1128.xml"/><Relationship Id="rId315" Type="http://schemas.openxmlformats.org/officeDocument/2006/relationships/ctrlProp" Target="../ctrlProps/ctrlProp1335.xml"/><Relationship Id="rId357" Type="http://schemas.openxmlformats.org/officeDocument/2006/relationships/ctrlProp" Target="../ctrlProps/ctrlProp1377.xml"/><Relationship Id="rId54" Type="http://schemas.openxmlformats.org/officeDocument/2006/relationships/ctrlProp" Target="../ctrlProps/ctrlProp1074.xml"/><Relationship Id="rId96" Type="http://schemas.openxmlformats.org/officeDocument/2006/relationships/ctrlProp" Target="../ctrlProps/ctrlProp1116.xml"/><Relationship Id="rId161" Type="http://schemas.openxmlformats.org/officeDocument/2006/relationships/ctrlProp" Target="../ctrlProps/ctrlProp1181.xml"/><Relationship Id="rId217" Type="http://schemas.openxmlformats.org/officeDocument/2006/relationships/ctrlProp" Target="../ctrlProps/ctrlProp1237.xml"/><Relationship Id="rId259" Type="http://schemas.openxmlformats.org/officeDocument/2006/relationships/ctrlProp" Target="../ctrlProps/ctrlProp1279.xml"/><Relationship Id="rId23" Type="http://schemas.openxmlformats.org/officeDocument/2006/relationships/ctrlProp" Target="../ctrlProps/ctrlProp1043.xml"/><Relationship Id="rId119" Type="http://schemas.openxmlformats.org/officeDocument/2006/relationships/ctrlProp" Target="../ctrlProps/ctrlProp1139.xml"/><Relationship Id="rId270" Type="http://schemas.openxmlformats.org/officeDocument/2006/relationships/ctrlProp" Target="../ctrlProps/ctrlProp1290.xml"/><Relationship Id="rId326" Type="http://schemas.openxmlformats.org/officeDocument/2006/relationships/ctrlProp" Target="../ctrlProps/ctrlProp1346.xml"/><Relationship Id="rId65" Type="http://schemas.openxmlformats.org/officeDocument/2006/relationships/ctrlProp" Target="../ctrlProps/ctrlProp1085.xml"/><Relationship Id="rId130" Type="http://schemas.openxmlformats.org/officeDocument/2006/relationships/ctrlProp" Target="../ctrlProps/ctrlProp1150.xml"/><Relationship Id="rId172" Type="http://schemas.openxmlformats.org/officeDocument/2006/relationships/ctrlProp" Target="../ctrlProps/ctrlProp1192.xml"/><Relationship Id="rId228" Type="http://schemas.openxmlformats.org/officeDocument/2006/relationships/ctrlProp" Target="../ctrlProps/ctrlProp1248.xml"/><Relationship Id="rId281" Type="http://schemas.openxmlformats.org/officeDocument/2006/relationships/ctrlProp" Target="../ctrlProps/ctrlProp1301.xml"/><Relationship Id="rId337" Type="http://schemas.openxmlformats.org/officeDocument/2006/relationships/ctrlProp" Target="../ctrlProps/ctrlProp1357.xml"/><Relationship Id="rId34" Type="http://schemas.openxmlformats.org/officeDocument/2006/relationships/ctrlProp" Target="../ctrlProps/ctrlProp1054.xml"/><Relationship Id="rId76" Type="http://schemas.openxmlformats.org/officeDocument/2006/relationships/ctrlProp" Target="../ctrlProps/ctrlProp1096.xml"/><Relationship Id="rId141" Type="http://schemas.openxmlformats.org/officeDocument/2006/relationships/ctrlProp" Target="../ctrlProps/ctrlProp1161.xml"/><Relationship Id="rId7" Type="http://schemas.openxmlformats.org/officeDocument/2006/relationships/ctrlProp" Target="../ctrlProps/ctrlProp1027.xml"/><Relationship Id="rId183" Type="http://schemas.openxmlformats.org/officeDocument/2006/relationships/ctrlProp" Target="../ctrlProps/ctrlProp1203.xml"/><Relationship Id="rId239" Type="http://schemas.openxmlformats.org/officeDocument/2006/relationships/ctrlProp" Target="../ctrlProps/ctrlProp1259.xml"/><Relationship Id="rId250" Type="http://schemas.openxmlformats.org/officeDocument/2006/relationships/ctrlProp" Target="../ctrlProps/ctrlProp1270.xml"/><Relationship Id="rId292" Type="http://schemas.openxmlformats.org/officeDocument/2006/relationships/ctrlProp" Target="../ctrlProps/ctrlProp1312.xml"/><Relationship Id="rId306" Type="http://schemas.openxmlformats.org/officeDocument/2006/relationships/ctrlProp" Target="../ctrlProps/ctrlProp1326.xml"/><Relationship Id="rId45" Type="http://schemas.openxmlformats.org/officeDocument/2006/relationships/ctrlProp" Target="../ctrlProps/ctrlProp1065.xml"/><Relationship Id="rId87" Type="http://schemas.openxmlformats.org/officeDocument/2006/relationships/ctrlProp" Target="../ctrlProps/ctrlProp1107.xml"/><Relationship Id="rId110" Type="http://schemas.openxmlformats.org/officeDocument/2006/relationships/ctrlProp" Target="../ctrlProps/ctrlProp1130.xml"/><Relationship Id="rId348" Type="http://schemas.openxmlformats.org/officeDocument/2006/relationships/ctrlProp" Target="../ctrlProps/ctrlProp1368.xml"/><Relationship Id="rId152" Type="http://schemas.openxmlformats.org/officeDocument/2006/relationships/ctrlProp" Target="../ctrlProps/ctrlProp1172.xml"/><Relationship Id="rId194" Type="http://schemas.openxmlformats.org/officeDocument/2006/relationships/ctrlProp" Target="../ctrlProps/ctrlProp1214.xml"/><Relationship Id="rId208" Type="http://schemas.openxmlformats.org/officeDocument/2006/relationships/ctrlProp" Target="../ctrlProps/ctrlProp1228.xml"/><Relationship Id="rId261" Type="http://schemas.openxmlformats.org/officeDocument/2006/relationships/ctrlProp" Target="../ctrlProps/ctrlProp1281.xml"/><Relationship Id="rId14" Type="http://schemas.openxmlformats.org/officeDocument/2006/relationships/ctrlProp" Target="../ctrlProps/ctrlProp1034.xml"/><Relationship Id="rId56" Type="http://schemas.openxmlformats.org/officeDocument/2006/relationships/ctrlProp" Target="../ctrlProps/ctrlProp1076.xml"/><Relationship Id="rId317" Type="http://schemas.openxmlformats.org/officeDocument/2006/relationships/ctrlProp" Target="../ctrlProps/ctrlProp1337.xml"/><Relationship Id="rId359" Type="http://schemas.openxmlformats.org/officeDocument/2006/relationships/ctrlProp" Target="../ctrlProps/ctrlProp1379.xml"/><Relationship Id="rId98" Type="http://schemas.openxmlformats.org/officeDocument/2006/relationships/ctrlProp" Target="../ctrlProps/ctrlProp1118.xml"/><Relationship Id="rId121" Type="http://schemas.openxmlformats.org/officeDocument/2006/relationships/ctrlProp" Target="../ctrlProps/ctrlProp1141.xml"/><Relationship Id="rId163" Type="http://schemas.openxmlformats.org/officeDocument/2006/relationships/ctrlProp" Target="../ctrlProps/ctrlProp1183.xml"/><Relationship Id="rId219" Type="http://schemas.openxmlformats.org/officeDocument/2006/relationships/ctrlProp" Target="../ctrlProps/ctrlProp1239.xml"/><Relationship Id="rId230" Type="http://schemas.openxmlformats.org/officeDocument/2006/relationships/ctrlProp" Target="../ctrlProps/ctrlProp1250.xml"/><Relationship Id="rId25" Type="http://schemas.openxmlformats.org/officeDocument/2006/relationships/ctrlProp" Target="../ctrlProps/ctrlProp1045.xml"/><Relationship Id="rId67" Type="http://schemas.openxmlformats.org/officeDocument/2006/relationships/ctrlProp" Target="../ctrlProps/ctrlProp1087.xml"/><Relationship Id="rId272" Type="http://schemas.openxmlformats.org/officeDocument/2006/relationships/ctrlProp" Target="../ctrlProps/ctrlProp1292.xml"/><Relationship Id="rId328" Type="http://schemas.openxmlformats.org/officeDocument/2006/relationships/ctrlProp" Target="../ctrlProps/ctrlProp1348.xml"/><Relationship Id="rId88" Type="http://schemas.openxmlformats.org/officeDocument/2006/relationships/ctrlProp" Target="../ctrlProps/ctrlProp1108.xml"/><Relationship Id="rId111" Type="http://schemas.openxmlformats.org/officeDocument/2006/relationships/ctrlProp" Target="../ctrlProps/ctrlProp1131.xml"/><Relationship Id="rId132" Type="http://schemas.openxmlformats.org/officeDocument/2006/relationships/ctrlProp" Target="../ctrlProps/ctrlProp1152.xml"/><Relationship Id="rId153" Type="http://schemas.openxmlformats.org/officeDocument/2006/relationships/ctrlProp" Target="../ctrlProps/ctrlProp1173.xml"/><Relationship Id="rId174" Type="http://schemas.openxmlformats.org/officeDocument/2006/relationships/ctrlProp" Target="../ctrlProps/ctrlProp1194.xml"/><Relationship Id="rId195" Type="http://schemas.openxmlformats.org/officeDocument/2006/relationships/ctrlProp" Target="../ctrlProps/ctrlProp1215.xml"/><Relationship Id="rId209" Type="http://schemas.openxmlformats.org/officeDocument/2006/relationships/ctrlProp" Target="../ctrlProps/ctrlProp1229.xml"/><Relationship Id="rId360" Type="http://schemas.openxmlformats.org/officeDocument/2006/relationships/ctrlProp" Target="../ctrlProps/ctrlProp1380.xml"/><Relationship Id="rId220" Type="http://schemas.openxmlformats.org/officeDocument/2006/relationships/ctrlProp" Target="../ctrlProps/ctrlProp1240.xml"/><Relationship Id="rId241" Type="http://schemas.openxmlformats.org/officeDocument/2006/relationships/ctrlProp" Target="../ctrlProps/ctrlProp1261.xml"/><Relationship Id="rId15" Type="http://schemas.openxmlformats.org/officeDocument/2006/relationships/ctrlProp" Target="../ctrlProps/ctrlProp1035.xml"/><Relationship Id="rId36" Type="http://schemas.openxmlformats.org/officeDocument/2006/relationships/ctrlProp" Target="../ctrlProps/ctrlProp1056.xml"/><Relationship Id="rId57" Type="http://schemas.openxmlformats.org/officeDocument/2006/relationships/ctrlProp" Target="../ctrlProps/ctrlProp1077.xml"/><Relationship Id="rId262" Type="http://schemas.openxmlformats.org/officeDocument/2006/relationships/ctrlProp" Target="../ctrlProps/ctrlProp1282.xml"/><Relationship Id="rId283" Type="http://schemas.openxmlformats.org/officeDocument/2006/relationships/ctrlProp" Target="../ctrlProps/ctrlProp1303.xml"/><Relationship Id="rId318" Type="http://schemas.openxmlformats.org/officeDocument/2006/relationships/ctrlProp" Target="../ctrlProps/ctrlProp1338.xml"/><Relationship Id="rId339" Type="http://schemas.openxmlformats.org/officeDocument/2006/relationships/ctrlProp" Target="../ctrlProps/ctrlProp1359.xml"/><Relationship Id="rId78" Type="http://schemas.openxmlformats.org/officeDocument/2006/relationships/ctrlProp" Target="../ctrlProps/ctrlProp1098.xml"/><Relationship Id="rId99" Type="http://schemas.openxmlformats.org/officeDocument/2006/relationships/ctrlProp" Target="../ctrlProps/ctrlProp1119.xml"/><Relationship Id="rId101" Type="http://schemas.openxmlformats.org/officeDocument/2006/relationships/ctrlProp" Target="../ctrlProps/ctrlProp1121.xml"/><Relationship Id="rId122" Type="http://schemas.openxmlformats.org/officeDocument/2006/relationships/ctrlProp" Target="../ctrlProps/ctrlProp1142.xml"/><Relationship Id="rId143" Type="http://schemas.openxmlformats.org/officeDocument/2006/relationships/ctrlProp" Target="../ctrlProps/ctrlProp1163.xml"/><Relationship Id="rId164" Type="http://schemas.openxmlformats.org/officeDocument/2006/relationships/ctrlProp" Target="../ctrlProps/ctrlProp1184.xml"/><Relationship Id="rId185" Type="http://schemas.openxmlformats.org/officeDocument/2006/relationships/ctrlProp" Target="../ctrlProps/ctrlProp1205.xml"/><Relationship Id="rId350" Type="http://schemas.openxmlformats.org/officeDocument/2006/relationships/ctrlProp" Target="../ctrlProps/ctrlProp1370.xml"/><Relationship Id="rId9" Type="http://schemas.openxmlformats.org/officeDocument/2006/relationships/ctrlProp" Target="../ctrlProps/ctrlProp1029.xml"/><Relationship Id="rId210" Type="http://schemas.openxmlformats.org/officeDocument/2006/relationships/ctrlProp" Target="../ctrlProps/ctrlProp1230.xml"/><Relationship Id="rId26" Type="http://schemas.openxmlformats.org/officeDocument/2006/relationships/ctrlProp" Target="../ctrlProps/ctrlProp1046.xml"/><Relationship Id="rId231" Type="http://schemas.openxmlformats.org/officeDocument/2006/relationships/ctrlProp" Target="../ctrlProps/ctrlProp1251.xml"/><Relationship Id="rId252" Type="http://schemas.openxmlformats.org/officeDocument/2006/relationships/ctrlProp" Target="../ctrlProps/ctrlProp1272.xml"/><Relationship Id="rId273" Type="http://schemas.openxmlformats.org/officeDocument/2006/relationships/ctrlProp" Target="../ctrlProps/ctrlProp1293.xml"/><Relationship Id="rId294" Type="http://schemas.openxmlformats.org/officeDocument/2006/relationships/ctrlProp" Target="../ctrlProps/ctrlProp1314.xml"/><Relationship Id="rId308" Type="http://schemas.openxmlformats.org/officeDocument/2006/relationships/ctrlProp" Target="../ctrlProps/ctrlProp1328.xml"/><Relationship Id="rId329" Type="http://schemas.openxmlformats.org/officeDocument/2006/relationships/ctrlProp" Target="../ctrlProps/ctrlProp1349.xml"/><Relationship Id="rId47" Type="http://schemas.openxmlformats.org/officeDocument/2006/relationships/ctrlProp" Target="../ctrlProps/ctrlProp1067.xml"/><Relationship Id="rId68" Type="http://schemas.openxmlformats.org/officeDocument/2006/relationships/ctrlProp" Target="../ctrlProps/ctrlProp1088.xml"/><Relationship Id="rId89" Type="http://schemas.openxmlformats.org/officeDocument/2006/relationships/ctrlProp" Target="../ctrlProps/ctrlProp1109.xml"/><Relationship Id="rId112" Type="http://schemas.openxmlformats.org/officeDocument/2006/relationships/ctrlProp" Target="../ctrlProps/ctrlProp1132.xml"/><Relationship Id="rId133" Type="http://schemas.openxmlformats.org/officeDocument/2006/relationships/ctrlProp" Target="../ctrlProps/ctrlProp1153.xml"/><Relationship Id="rId154" Type="http://schemas.openxmlformats.org/officeDocument/2006/relationships/ctrlProp" Target="../ctrlProps/ctrlProp1174.xml"/><Relationship Id="rId175" Type="http://schemas.openxmlformats.org/officeDocument/2006/relationships/ctrlProp" Target="../ctrlProps/ctrlProp1195.xml"/><Relationship Id="rId340" Type="http://schemas.openxmlformats.org/officeDocument/2006/relationships/ctrlProp" Target="../ctrlProps/ctrlProp1360.xml"/><Relationship Id="rId361" Type="http://schemas.openxmlformats.org/officeDocument/2006/relationships/ctrlProp" Target="../ctrlProps/ctrlProp1381.xml"/><Relationship Id="rId196" Type="http://schemas.openxmlformats.org/officeDocument/2006/relationships/ctrlProp" Target="../ctrlProps/ctrlProp1216.xml"/><Relationship Id="rId200" Type="http://schemas.openxmlformats.org/officeDocument/2006/relationships/ctrlProp" Target="../ctrlProps/ctrlProp1220.xml"/><Relationship Id="rId16" Type="http://schemas.openxmlformats.org/officeDocument/2006/relationships/ctrlProp" Target="../ctrlProps/ctrlProp1036.xml"/><Relationship Id="rId221" Type="http://schemas.openxmlformats.org/officeDocument/2006/relationships/ctrlProp" Target="../ctrlProps/ctrlProp1241.xml"/><Relationship Id="rId242" Type="http://schemas.openxmlformats.org/officeDocument/2006/relationships/ctrlProp" Target="../ctrlProps/ctrlProp1262.xml"/><Relationship Id="rId263" Type="http://schemas.openxmlformats.org/officeDocument/2006/relationships/ctrlProp" Target="../ctrlProps/ctrlProp1283.xml"/><Relationship Id="rId284" Type="http://schemas.openxmlformats.org/officeDocument/2006/relationships/ctrlProp" Target="../ctrlProps/ctrlProp1304.xml"/><Relationship Id="rId319" Type="http://schemas.openxmlformats.org/officeDocument/2006/relationships/ctrlProp" Target="../ctrlProps/ctrlProp1339.xml"/><Relationship Id="rId37" Type="http://schemas.openxmlformats.org/officeDocument/2006/relationships/ctrlProp" Target="../ctrlProps/ctrlProp1057.xml"/><Relationship Id="rId58" Type="http://schemas.openxmlformats.org/officeDocument/2006/relationships/ctrlProp" Target="../ctrlProps/ctrlProp1078.xml"/><Relationship Id="rId79" Type="http://schemas.openxmlformats.org/officeDocument/2006/relationships/ctrlProp" Target="../ctrlProps/ctrlProp1099.xml"/><Relationship Id="rId102" Type="http://schemas.openxmlformats.org/officeDocument/2006/relationships/ctrlProp" Target="../ctrlProps/ctrlProp1122.xml"/><Relationship Id="rId123" Type="http://schemas.openxmlformats.org/officeDocument/2006/relationships/ctrlProp" Target="../ctrlProps/ctrlProp1143.xml"/><Relationship Id="rId144" Type="http://schemas.openxmlformats.org/officeDocument/2006/relationships/ctrlProp" Target="../ctrlProps/ctrlProp1164.xml"/><Relationship Id="rId330" Type="http://schemas.openxmlformats.org/officeDocument/2006/relationships/ctrlProp" Target="../ctrlProps/ctrlProp1350.xml"/><Relationship Id="rId90" Type="http://schemas.openxmlformats.org/officeDocument/2006/relationships/ctrlProp" Target="../ctrlProps/ctrlProp1110.xml"/><Relationship Id="rId165" Type="http://schemas.openxmlformats.org/officeDocument/2006/relationships/ctrlProp" Target="../ctrlProps/ctrlProp1185.xml"/><Relationship Id="rId186" Type="http://schemas.openxmlformats.org/officeDocument/2006/relationships/ctrlProp" Target="../ctrlProps/ctrlProp1206.xml"/><Relationship Id="rId351" Type="http://schemas.openxmlformats.org/officeDocument/2006/relationships/ctrlProp" Target="../ctrlProps/ctrlProp1371.xml"/><Relationship Id="rId211" Type="http://schemas.openxmlformats.org/officeDocument/2006/relationships/ctrlProp" Target="../ctrlProps/ctrlProp1231.xml"/><Relationship Id="rId232" Type="http://schemas.openxmlformats.org/officeDocument/2006/relationships/ctrlProp" Target="../ctrlProps/ctrlProp1252.xml"/><Relationship Id="rId253" Type="http://schemas.openxmlformats.org/officeDocument/2006/relationships/ctrlProp" Target="../ctrlProps/ctrlProp1273.xml"/><Relationship Id="rId274" Type="http://schemas.openxmlformats.org/officeDocument/2006/relationships/ctrlProp" Target="../ctrlProps/ctrlProp1294.xml"/><Relationship Id="rId295" Type="http://schemas.openxmlformats.org/officeDocument/2006/relationships/ctrlProp" Target="../ctrlProps/ctrlProp1315.xml"/><Relationship Id="rId309" Type="http://schemas.openxmlformats.org/officeDocument/2006/relationships/ctrlProp" Target="../ctrlProps/ctrlProp1329.xml"/><Relationship Id="rId27" Type="http://schemas.openxmlformats.org/officeDocument/2006/relationships/ctrlProp" Target="../ctrlProps/ctrlProp1047.xml"/><Relationship Id="rId48" Type="http://schemas.openxmlformats.org/officeDocument/2006/relationships/ctrlProp" Target="../ctrlProps/ctrlProp1068.xml"/><Relationship Id="rId69" Type="http://schemas.openxmlformats.org/officeDocument/2006/relationships/ctrlProp" Target="../ctrlProps/ctrlProp1089.xml"/><Relationship Id="rId113" Type="http://schemas.openxmlformats.org/officeDocument/2006/relationships/ctrlProp" Target="../ctrlProps/ctrlProp1133.xml"/><Relationship Id="rId134" Type="http://schemas.openxmlformats.org/officeDocument/2006/relationships/ctrlProp" Target="../ctrlProps/ctrlProp1154.xml"/><Relationship Id="rId320" Type="http://schemas.openxmlformats.org/officeDocument/2006/relationships/ctrlProp" Target="../ctrlProps/ctrlProp1340.xml"/><Relationship Id="rId80" Type="http://schemas.openxmlformats.org/officeDocument/2006/relationships/ctrlProp" Target="../ctrlProps/ctrlProp1100.xml"/><Relationship Id="rId155" Type="http://schemas.openxmlformats.org/officeDocument/2006/relationships/ctrlProp" Target="../ctrlProps/ctrlProp1175.xml"/><Relationship Id="rId176" Type="http://schemas.openxmlformats.org/officeDocument/2006/relationships/ctrlProp" Target="../ctrlProps/ctrlProp1196.xml"/><Relationship Id="rId197" Type="http://schemas.openxmlformats.org/officeDocument/2006/relationships/ctrlProp" Target="../ctrlProps/ctrlProp1217.xml"/><Relationship Id="rId341" Type="http://schemas.openxmlformats.org/officeDocument/2006/relationships/ctrlProp" Target="../ctrlProps/ctrlProp1361.xml"/><Relationship Id="rId362" Type="http://schemas.openxmlformats.org/officeDocument/2006/relationships/ctrlProp" Target="../ctrlProps/ctrlProp1382.xml"/><Relationship Id="rId201" Type="http://schemas.openxmlformats.org/officeDocument/2006/relationships/ctrlProp" Target="../ctrlProps/ctrlProp1221.xml"/><Relationship Id="rId222" Type="http://schemas.openxmlformats.org/officeDocument/2006/relationships/ctrlProp" Target="../ctrlProps/ctrlProp1242.xml"/><Relationship Id="rId243" Type="http://schemas.openxmlformats.org/officeDocument/2006/relationships/ctrlProp" Target="../ctrlProps/ctrlProp1263.xml"/><Relationship Id="rId264" Type="http://schemas.openxmlformats.org/officeDocument/2006/relationships/ctrlProp" Target="../ctrlProps/ctrlProp1284.xml"/><Relationship Id="rId285" Type="http://schemas.openxmlformats.org/officeDocument/2006/relationships/ctrlProp" Target="../ctrlProps/ctrlProp1305.xml"/><Relationship Id="rId17" Type="http://schemas.openxmlformats.org/officeDocument/2006/relationships/ctrlProp" Target="../ctrlProps/ctrlProp1037.xml"/><Relationship Id="rId38" Type="http://schemas.openxmlformats.org/officeDocument/2006/relationships/ctrlProp" Target="../ctrlProps/ctrlProp1058.xml"/><Relationship Id="rId59" Type="http://schemas.openxmlformats.org/officeDocument/2006/relationships/ctrlProp" Target="../ctrlProps/ctrlProp1079.xml"/><Relationship Id="rId103" Type="http://schemas.openxmlformats.org/officeDocument/2006/relationships/ctrlProp" Target="../ctrlProps/ctrlProp1123.xml"/><Relationship Id="rId124" Type="http://schemas.openxmlformats.org/officeDocument/2006/relationships/ctrlProp" Target="../ctrlProps/ctrlProp1144.xml"/><Relationship Id="rId310" Type="http://schemas.openxmlformats.org/officeDocument/2006/relationships/ctrlProp" Target="../ctrlProps/ctrlProp1330.xml"/><Relationship Id="rId70" Type="http://schemas.openxmlformats.org/officeDocument/2006/relationships/ctrlProp" Target="../ctrlProps/ctrlProp1090.xml"/><Relationship Id="rId91" Type="http://schemas.openxmlformats.org/officeDocument/2006/relationships/ctrlProp" Target="../ctrlProps/ctrlProp1111.xml"/><Relationship Id="rId145" Type="http://schemas.openxmlformats.org/officeDocument/2006/relationships/ctrlProp" Target="../ctrlProps/ctrlProp1165.xml"/><Relationship Id="rId166" Type="http://schemas.openxmlformats.org/officeDocument/2006/relationships/ctrlProp" Target="../ctrlProps/ctrlProp1186.xml"/><Relationship Id="rId187" Type="http://schemas.openxmlformats.org/officeDocument/2006/relationships/ctrlProp" Target="../ctrlProps/ctrlProp1207.xml"/><Relationship Id="rId331" Type="http://schemas.openxmlformats.org/officeDocument/2006/relationships/ctrlProp" Target="../ctrlProps/ctrlProp1351.xml"/><Relationship Id="rId352" Type="http://schemas.openxmlformats.org/officeDocument/2006/relationships/ctrlProp" Target="../ctrlProps/ctrlProp1372.xml"/><Relationship Id="rId1" Type="http://schemas.openxmlformats.org/officeDocument/2006/relationships/printerSettings" Target="../printerSettings/printerSettings10.bin"/><Relationship Id="rId212" Type="http://schemas.openxmlformats.org/officeDocument/2006/relationships/ctrlProp" Target="../ctrlProps/ctrlProp1232.xml"/><Relationship Id="rId233" Type="http://schemas.openxmlformats.org/officeDocument/2006/relationships/ctrlProp" Target="../ctrlProps/ctrlProp1253.xml"/><Relationship Id="rId254" Type="http://schemas.openxmlformats.org/officeDocument/2006/relationships/ctrlProp" Target="../ctrlProps/ctrlProp1274.xml"/><Relationship Id="rId28" Type="http://schemas.openxmlformats.org/officeDocument/2006/relationships/ctrlProp" Target="../ctrlProps/ctrlProp1048.xml"/><Relationship Id="rId49" Type="http://schemas.openxmlformats.org/officeDocument/2006/relationships/ctrlProp" Target="../ctrlProps/ctrlProp1069.xml"/><Relationship Id="rId114" Type="http://schemas.openxmlformats.org/officeDocument/2006/relationships/ctrlProp" Target="../ctrlProps/ctrlProp1134.xml"/><Relationship Id="rId275" Type="http://schemas.openxmlformats.org/officeDocument/2006/relationships/ctrlProp" Target="../ctrlProps/ctrlProp1295.xml"/><Relationship Id="rId296" Type="http://schemas.openxmlformats.org/officeDocument/2006/relationships/ctrlProp" Target="../ctrlProps/ctrlProp1316.xml"/><Relationship Id="rId300" Type="http://schemas.openxmlformats.org/officeDocument/2006/relationships/ctrlProp" Target="../ctrlProps/ctrlProp1320.xml"/><Relationship Id="rId60" Type="http://schemas.openxmlformats.org/officeDocument/2006/relationships/ctrlProp" Target="../ctrlProps/ctrlProp1080.xml"/><Relationship Id="rId81" Type="http://schemas.openxmlformats.org/officeDocument/2006/relationships/ctrlProp" Target="../ctrlProps/ctrlProp1101.xml"/><Relationship Id="rId135" Type="http://schemas.openxmlformats.org/officeDocument/2006/relationships/ctrlProp" Target="../ctrlProps/ctrlProp1155.xml"/><Relationship Id="rId156" Type="http://schemas.openxmlformats.org/officeDocument/2006/relationships/ctrlProp" Target="../ctrlProps/ctrlProp1176.xml"/><Relationship Id="rId177" Type="http://schemas.openxmlformats.org/officeDocument/2006/relationships/ctrlProp" Target="../ctrlProps/ctrlProp1197.xml"/><Relationship Id="rId198" Type="http://schemas.openxmlformats.org/officeDocument/2006/relationships/ctrlProp" Target="../ctrlProps/ctrlProp1218.xml"/><Relationship Id="rId321" Type="http://schemas.openxmlformats.org/officeDocument/2006/relationships/ctrlProp" Target="../ctrlProps/ctrlProp1341.xml"/><Relationship Id="rId342" Type="http://schemas.openxmlformats.org/officeDocument/2006/relationships/ctrlProp" Target="../ctrlProps/ctrlProp1362.xml"/><Relationship Id="rId363" Type="http://schemas.openxmlformats.org/officeDocument/2006/relationships/ctrlProp" Target="../ctrlProps/ctrlProp1383.xml"/><Relationship Id="rId202" Type="http://schemas.openxmlformats.org/officeDocument/2006/relationships/ctrlProp" Target="../ctrlProps/ctrlProp1222.xml"/><Relationship Id="rId223" Type="http://schemas.openxmlformats.org/officeDocument/2006/relationships/ctrlProp" Target="../ctrlProps/ctrlProp1243.xml"/><Relationship Id="rId244" Type="http://schemas.openxmlformats.org/officeDocument/2006/relationships/ctrlProp" Target="../ctrlProps/ctrlProp1264.xml"/><Relationship Id="rId18" Type="http://schemas.openxmlformats.org/officeDocument/2006/relationships/ctrlProp" Target="../ctrlProps/ctrlProp1038.xml"/><Relationship Id="rId39" Type="http://schemas.openxmlformats.org/officeDocument/2006/relationships/ctrlProp" Target="../ctrlProps/ctrlProp1059.xml"/><Relationship Id="rId265" Type="http://schemas.openxmlformats.org/officeDocument/2006/relationships/ctrlProp" Target="../ctrlProps/ctrlProp1285.xml"/><Relationship Id="rId286" Type="http://schemas.openxmlformats.org/officeDocument/2006/relationships/ctrlProp" Target="../ctrlProps/ctrlProp1306.xml"/><Relationship Id="rId50" Type="http://schemas.openxmlformats.org/officeDocument/2006/relationships/ctrlProp" Target="../ctrlProps/ctrlProp1070.xml"/><Relationship Id="rId104" Type="http://schemas.openxmlformats.org/officeDocument/2006/relationships/ctrlProp" Target="../ctrlProps/ctrlProp1124.xml"/><Relationship Id="rId125" Type="http://schemas.openxmlformats.org/officeDocument/2006/relationships/ctrlProp" Target="../ctrlProps/ctrlProp1145.xml"/><Relationship Id="rId146" Type="http://schemas.openxmlformats.org/officeDocument/2006/relationships/ctrlProp" Target="../ctrlProps/ctrlProp1166.xml"/><Relationship Id="rId167" Type="http://schemas.openxmlformats.org/officeDocument/2006/relationships/ctrlProp" Target="../ctrlProps/ctrlProp1187.xml"/><Relationship Id="rId188" Type="http://schemas.openxmlformats.org/officeDocument/2006/relationships/ctrlProp" Target="../ctrlProps/ctrlProp1208.xml"/><Relationship Id="rId311" Type="http://schemas.openxmlformats.org/officeDocument/2006/relationships/ctrlProp" Target="../ctrlProps/ctrlProp1331.xml"/><Relationship Id="rId332" Type="http://schemas.openxmlformats.org/officeDocument/2006/relationships/ctrlProp" Target="../ctrlProps/ctrlProp1352.xml"/><Relationship Id="rId353" Type="http://schemas.openxmlformats.org/officeDocument/2006/relationships/ctrlProp" Target="../ctrlProps/ctrlProp1373.xml"/><Relationship Id="rId71" Type="http://schemas.openxmlformats.org/officeDocument/2006/relationships/ctrlProp" Target="../ctrlProps/ctrlProp1091.xml"/><Relationship Id="rId92" Type="http://schemas.openxmlformats.org/officeDocument/2006/relationships/ctrlProp" Target="../ctrlProps/ctrlProp1112.xml"/><Relationship Id="rId213" Type="http://schemas.openxmlformats.org/officeDocument/2006/relationships/ctrlProp" Target="../ctrlProps/ctrlProp1233.xml"/><Relationship Id="rId234" Type="http://schemas.openxmlformats.org/officeDocument/2006/relationships/ctrlProp" Target="../ctrlProps/ctrlProp1254.xml"/><Relationship Id="rId2" Type="http://schemas.openxmlformats.org/officeDocument/2006/relationships/drawing" Target="../drawings/drawing9.xml"/><Relationship Id="rId29" Type="http://schemas.openxmlformats.org/officeDocument/2006/relationships/ctrlProp" Target="../ctrlProps/ctrlProp1049.xml"/><Relationship Id="rId255" Type="http://schemas.openxmlformats.org/officeDocument/2006/relationships/ctrlProp" Target="../ctrlProps/ctrlProp1275.xml"/><Relationship Id="rId276" Type="http://schemas.openxmlformats.org/officeDocument/2006/relationships/ctrlProp" Target="../ctrlProps/ctrlProp1296.xml"/><Relationship Id="rId297" Type="http://schemas.openxmlformats.org/officeDocument/2006/relationships/ctrlProp" Target="../ctrlProps/ctrlProp1317.xml"/><Relationship Id="rId40" Type="http://schemas.openxmlformats.org/officeDocument/2006/relationships/ctrlProp" Target="../ctrlProps/ctrlProp1060.xml"/><Relationship Id="rId115" Type="http://schemas.openxmlformats.org/officeDocument/2006/relationships/ctrlProp" Target="../ctrlProps/ctrlProp1135.xml"/><Relationship Id="rId136" Type="http://schemas.openxmlformats.org/officeDocument/2006/relationships/ctrlProp" Target="../ctrlProps/ctrlProp1156.xml"/><Relationship Id="rId157" Type="http://schemas.openxmlformats.org/officeDocument/2006/relationships/ctrlProp" Target="../ctrlProps/ctrlProp1177.xml"/><Relationship Id="rId178" Type="http://schemas.openxmlformats.org/officeDocument/2006/relationships/ctrlProp" Target="../ctrlProps/ctrlProp1198.xml"/><Relationship Id="rId301" Type="http://schemas.openxmlformats.org/officeDocument/2006/relationships/ctrlProp" Target="../ctrlProps/ctrlProp1321.xml"/><Relationship Id="rId322" Type="http://schemas.openxmlformats.org/officeDocument/2006/relationships/ctrlProp" Target="../ctrlProps/ctrlProp1342.xml"/><Relationship Id="rId343" Type="http://schemas.openxmlformats.org/officeDocument/2006/relationships/ctrlProp" Target="../ctrlProps/ctrlProp1363.xml"/><Relationship Id="rId61" Type="http://schemas.openxmlformats.org/officeDocument/2006/relationships/ctrlProp" Target="../ctrlProps/ctrlProp1081.xml"/><Relationship Id="rId82" Type="http://schemas.openxmlformats.org/officeDocument/2006/relationships/ctrlProp" Target="../ctrlProps/ctrlProp1102.xml"/><Relationship Id="rId199" Type="http://schemas.openxmlformats.org/officeDocument/2006/relationships/ctrlProp" Target="../ctrlProps/ctrlProp1219.xml"/><Relationship Id="rId203" Type="http://schemas.openxmlformats.org/officeDocument/2006/relationships/ctrlProp" Target="../ctrlProps/ctrlProp1223.xml"/><Relationship Id="rId19" Type="http://schemas.openxmlformats.org/officeDocument/2006/relationships/ctrlProp" Target="../ctrlProps/ctrlProp1039.xml"/><Relationship Id="rId224" Type="http://schemas.openxmlformats.org/officeDocument/2006/relationships/ctrlProp" Target="../ctrlProps/ctrlProp1244.xml"/><Relationship Id="rId245" Type="http://schemas.openxmlformats.org/officeDocument/2006/relationships/ctrlProp" Target="../ctrlProps/ctrlProp1265.xml"/><Relationship Id="rId266" Type="http://schemas.openxmlformats.org/officeDocument/2006/relationships/ctrlProp" Target="../ctrlProps/ctrlProp1286.xml"/><Relationship Id="rId287" Type="http://schemas.openxmlformats.org/officeDocument/2006/relationships/ctrlProp" Target="../ctrlProps/ctrlProp1307.xml"/><Relationship Id="rId30" Type="http://schemas.openxmlformats.org/officeDocument/2006/relationships/ctrlProp" Target="../ctrlProps/ctrlProp1050.xml"/><Relationship Id="rId105" Type="http://schemas.openxmlformats.org/officeDocument/2006/relationships/ctrlProp" Target="../ctrlProps/ctrlProp1125.xml"/><Relationship Id="rId126" Type="http://schemas.openxmlformats.org/officeDocument/2006/relationships/ctrlProp" Target="../ctrlProps/ctrlProp1146.xml"/><Relationship Id="rId147" Type="http://schemas.openxmlformats.org/officeDocument/2006/relationships/ctrlProp" Target="../ctrlProps/ctrlProp1167.xml"/><Relationship Id="rId168" Type="http://schemas.openxmlformats.org/officeDocument/2006/relationships/ctrlProp" Target="../ctrlProps/ctrlProp1188.xml"/><Relationship Id="rId312" Type="http://schemas.openxmlformats.org/officeDocument/2006/relationships/ctrlProp" Target="../ctrlProps/ctrlProp1332.xml"/><Relationship Id="rId333" Type="http://schemas.openxmlformats.org/officeDocument/2006/relationships/ctrlProp" Target="../ctrlProps/ctrlProp1353.xml"/><Relationship Id="rId354" Type="http://schemas.openxmlformats.org/officeDocument/2006/relationships/ctrlProp" Target="../ctrlProps/ctrlProp1374.xml"/><Relationship Id="rId51" Type="http://schemas.openxmlformats.org/officeDocument/2006/relationships/ctrlProp" Target="../ctrlProps/ctrlProp1071.xml"/><Relationship Id="rId72" Type="http://schemas.openxmlformats.org/officeDocument/2006/relationships/ctrlProp" Target="../ctrlProps/ctrlProp1092.xml"/><Relationship Id="rId93" Type="http://schemas.openxmlformats.org/officeDocument/2006/relationships/ctrlProp" Target="../ctrlProps/ctrlProp1113.xml"/><Relationship Id="rId189" Type="http://schemas.openxmlformats.org/officeDocument/2006/relationships/ctrlProp" Target="../ctrlProps/ctrlProp1209.xml"/><Relationship Id="rId3" Type="http://schemas.openxmlformats.org/officeDocument/2006/relationships/vmlDrawing" Target="../drawings/vmlDrawing9.vml"/><Relationship Id="rId214" Type="http://schemas.openxmlformats.org/officeDocument/2006/relationships/ctrlProp" Target="../ctrlProps/ctrlProp1234.xml"/><Relationship Id="rId235" Type="http://schemas.openxmlformats.org/officeDocument/2006/relationships/ctrlProp" Target="../ctrlProps/ctrlProp1255.xml"/><Relationship Id="rId256" Type="http://schemas.openxmlformats.org/officeDocument/2006/relationships/ctrlProp" Target="../ctrlProps/ctrlProp1276.xml"/><Relationship Id="rId277" Type="http://schemas.openxmlformats.org/officeDocument/2006/relationships/ctrlProp" Target="../ctrlProps/ctrlProp1297.xml"/><Relationship Id="rId298" Type="http://schemas.openxmlformats.org/officeDocument/2006/relationships/ctrlProp" Target="../ctrlProps/ctrlProp1318.xml"/><Relationship Id="rId116" Type="http://schemas.openxmlformats.org/officeDocument/2006/relationships/ctrlProp" Target="../ctrlProps/ctrlProp1136.xml"/><Relationship Id="rId137" Type="http://schemas.openxmlformats.org/officeDocument/2006/relationships/ctrlProp" Target="../ctrlProps/ctrlProp1157.xml"/><Relationship Id="rId158" Type="http://schemas.openxmlformats.org/officeDocument/2006/relationships/ctrlProp" Target="../ctrlProps/ctrlProp1178.xml"/><Relationship Id="rId302" Type="http://schemas.openxmlformats.org/officeDocument/2006/relationships/ctrlProp" Target="../ctrlProps/ctrlProp1322.xml"/><Relationship Id="rId323" Type="http://schemas.openxmlformats.org/officeDocument/2006/relationships/ctrlProp" Target="../ctrlProps/ctrlProp1343.xml"/><Relationship Id="rId344" Type="http://schemas.openxmlformats.org/officeDocument/2006/relationships/ctrlProp" Target="../ctrlProps/ctrlProp1364.xml"/><Relationship Id="rId20" Type="http://schemas.openxmlformats.org/officeDocument/2006/relationships/ctrlProp" Target="../ctrlProps/ctrlProp1040.xml"/><Relationship Id="rId41" Type="http://schemas.openxmlformats.org/officeDocument/2006/relationships/ctrlProp" Target="../ctrlProps/ctrlProp1061.xml"/><Relationship Id="rId62" Type="http://schemas.openxmlformats.org/officeDocument/2006/relationships/ctrlProp" Target="../ctrlProps/ctrlProp1082.xml"/><Relationship Id="rId83" Type="http://schemas.openxmlformats.org/officeDocument/2006/relationships/ctrlProp" Target="../ctrlProps/ctrlProp1103.xml"/><Relationship Id="rId179" Type="http://schemas.openxmlformats.org/officeDocument/2006/relationships/ctrlProp" Target="../ctrlProps/ctrlProp1199.xml"/><Relationship Id="rId190" Type="http://schemas.openxmlformats.org/officeDocument/2006/relationships/ctrlProp" Target="../ctrlProps/ctrlProp1210.xml"/><Relationship Id="rId204" Type="http://schemas.openxmlformats.org/officeDocument/2006/relationships/ctrlProp" Target="../ctrlProps/ctrlProp1224.xml"/><Relationship Id="rId225" Type="http://schemas.openxmlformats.org/officeDocument/2006/relationships/ctrlProp" Target="../ctrlProps/ctrlProp1245.xml"/><Relationship Id="rId246" Type="http://schemas.openxmlformats.org/officeDocument/2006/relationships/ctrlProp" Target="../ctrlProps/ctrlProp1266.xml"/><Relationship Id="rId267" Type="http://schemas.openxmlformats.org/officeDocument/2006/relationships/ctrlProp" Target="../ctrlProps/ctrlProp1287.xml"/><Relationship Id="rId288" Type="http://schemas.openxmlformats.org/officeDocument/2006/relationships/ctrlProp" Target="../ctrlProps/ctrlProp1308.xml"/><Relationship Id="rId106" Type="http://schemas.openxmlformats.org/officeDocument/2006/relationships/ctrlProp" Target="../ctrlProps/ctrlProp1126.xml"/><Relationship Id="rId127" Type="http://schemas.openxmlformats.org/officeDocument/2006/relationships/ctrlProp" Target="../ctrlProps/ctrlProp1147.xml"/><Relationship Id="rId313" Type="http://schemas.openxmlformats.org/officeDocument/2006/relationships/ctrlProp" Target="../ctrlProps/ctrlProp1333.xml"/><Relationship Id="rId10" Type="http://schemas.openxmlformats.org/officeDocument/2006/relationships/ctrlProp" Target="../ctrlProps/ctrlProp1030.xml"/><Relationship Id="rId31" Type="http://schemas.openxmlformats.org/officeDocument/2006/relationships/ctrlProp" Target="../ctrlProps/ctrlProp1051.xml"/><Relationship Id="rId52" Type="http://schemas.openxmlformats.org/officeDocument/2006/relationships/ctrlProp" Target="../ctrlProps/ctrlProp1072.xml"/><Relationship Id="rId73" Type="http://schemas.openxmlformats.org/officeDocument/2006/relationships/ctrlProp" Target="../ctrlProps/ctrlProp1093.xml"/><Relationship Id="rId94" Type="http://schemas.openxmlformats.org/officeDocument/2006/relationships/ctrlProp" Target="../ctrlProps/ctrlProp1114.xml"/><Relationship Id="rId148" Type="http://schemas.openxmlformats.org/officeDocument/2006/relationships/ctrlProp" Target="../ctrlProps/ctrlProp1168.xml"/><Relationship Id="rId169" Type="http://schemas.openxmlformats.org/officeDocument/2006/relationships/ctrlProp" Target="../ctrlProps/ctrlProp1189.xml"/><Relationship Id="rId334" Type="http://schemas.openxmlformats.org/officeDocument/2006/relationships/ctrlProp" Target="../ctrlProps/ctrlProp1354.xml"/><Relationship Id="rId355" Type="http://schemas.openxmlformats.org/officeDocument/2006/relationships/ctrlProp" Target="../ctrlProps/ctrlProp1375.xml"/><Relationship Id="rId4" Type="http://schemas.openxmlformats.org/officeDocument/2006/relationships/ctrlProp" Target="../ctrlProps/ctrlProp1024.xml"/><Relationship Id="rId180" Type="http://schemas.openxmlformats.org/officeDocument/2006/relationships/ctrlProp" Target="../ctrlProps/ctrlProp1200.xml"/><Relationship Id="rId215" Type="http://schemas.openxmlformats.org/officeDocument/2006/relationships/ctrlProp" Target="../ctrlProps/ctrlProp1235.xml"/><Relationship Id="rId236" Type="http://schemas.openxmlformats.org/officeDocument/2006/relationships/ctrlProp" Target="../ctrlProps/ctrlProp1256.xml"/><Relationship Id="rId257" Type="http://schemas.openxmlformats.org/officeDocument/2006/relationships/ctrlProp" Target="../ctrlProps/ctrlProp1277.xml"/><Relationship Id="rId278" Type="http://schemas.openxmlformats.org/officeDocument/2006/relationships/ctrlProp" Target="../ctrlProps/ctrlProp1298.xml"/><Relationship Id="rId303" Type="http://schemas.openxmlformats.org/officeDocument/2006/relationships/ctrlProp" Target="../ctrlProps/ctrlProp1323.xml"/><Relationship Id="rId42" Type="http://schemas.openxmlformats.org/officeDocument/2006/relationships/ctrlProp" Target="../ctrlProps/ctrlProp1062.xml"/><Relationship Id="rId84" Type="http://schemas.openxmlformats.org/officeDocument/2006/relationships/ctrlProp" Target="../ctrlProps/ctrlProp1104.xml"/><Relationship Id="rId138" Type="http://schemas.openxmlformats.org/officeDocument/2006/relationships/ctrlProp" Target="../ctrlProps/ctrlProp1158.xml"/><Relationship Id="rId345" Type="http://schemas.openxmlformats.org/officeDocument/2006/relationships/ctrlProp" Target="../ctrlProps/ctrlProp1365.xml"/><Relationship Id="rId191" Type="http://schemas.openxmlformats.org/officeDocument/2006/relationships/ctrlProp" Target="../ctrlProps/ctrlProp1211.xml"/><Relationship Id="rId205" Type="http://schemas.openxmlformats.org/officeDocument/2006/relationships/ctrlProp" Target="../ctrlProps/ctrlProp1225.xml"/><Relationship Id="rId247" Type="http://schemas.openxmlformats.org/officeDocument/2006/relationships/ctrlProp" Target="../ctrlProps/ctrlProp1267.xml"/><Relationship Id="rId107" Type="http://schemas.openxmlformats.org/officeDocument/2006/relationships/ctrlProp" Target="../ctrlProps/ctrlProp1127.xml"/><Relationship Id="rId289" Type="http://schemas.openxmlformats.org/officeDocument/2006/relationships/ctrlProp" Target="../ctrlProps/ctrlProp1309.xml"/><Relationship Id="rId11" Type="http://schemas.openxmlformats.org/officeDocument/2006/relationships/ctrlProp" Target="../ctrlProps/ctrlProp1031.xml"/><Relationship Id="rId53" Type="http://schemas.openxmlformats.org/officeDocument/2006/relationships/ctrlProp" Target="../ctrlProps/ctrlProp1073.xml"/><Relationship Id="rId149" Type="http://schemas.openxmlformats.org/officeDocument/2006/relationships/ctrlProp" Target="../ctrlProps/ctrlProp1169.xml"/><Relationship Id="rId314" Type="http://schemas.openxmlformats.org/officeDocument/2006/relationships/ctrlProp" Target="../ctrlProps/ctrlProp1334.xml"/><Relationship Id="rId356" Type="http://schemas.openxmlformats.org/officeDocument/2006/relationships/ctrlProp" Target="../ctrlProps/ctrlProp1376.xml"/><Relationship Id="rId95" Type="http://schemas.openxmlformats.org/officeDocument/2006/relationships/ctrlProp" Target="../ctrlProps/ctrlProp1115.xml"/><Relationship Id="rId160" Type="http://schemas.openxmlformats.org/officeDocument/2006/relationships/ctrlProp" Target="../ctrlProps/ctrlProp1180.xml"/><Relationship Id="rId216" Type="http://schemas.openxmlformats.org/officeDocument/2006/relationships/ctrlProp" Target="../ctrlProps/ctrlProp1236.xml"/><Relationship Id="rId258" Type="http://schemas.openxmlformats.org/officeDocument/2006/relationships/ctrlProp" Target="../ctrlProps/ctrlProp1278.xml"/><Relationship Id="rId22" Type="http://schemas.openxmlformats.org/officeDocument/2006/relationships/ctrlProp" Target="../ctrlProps/ctrlProp1042.xml"/><Relationship Id="rId64" Type="http://schemas.openxmlformats.org/officeDocument/2006/relationships/ctrlProp" Target="../ctrlProps/ctrlProp1084.xml"/><Relationship Id="rId118" Type="http://schemas.openxmlformats.org/officeDocument/2006/relationships/ctrlProp" Target="../ctrlProps/ctrlProp1138.xml"/><Relationship Id="rId325" Type="http://schemas.openxmlformats.org/officeDocument/2006/relationships/ctrlProp" Target="../ctrlProps/ctrlProp1345.xml"/><Relationship Id="rId171" Type="http://schemas.openxmlformats.org/officeDocument/2006/relationships/ctrlProp" Target="../ctrlProps/ctrlProp1191.xml"/><Relationship Id="rId227" Type="http://schemas.openxmlformats.org/officeDocument/2006/relationships/ctrlProp" Target="../ctrlProps/ctrlProp1247.xml"/><Relationship Id="rId269" Type="http://schemas.openxmlformats.org/officeDocument/2006/relationships/ctrlProp" Target="../ctrlProps/ctrlProp1289.xml"/><Relationship Id="rId33" Type="http://schemas.openxmlformats.org/officeDocument/2006/relationships/ctrlProp" Target="../ctrlProps/ctrlProp1053.xml"/><Relationship Id="rId129" Type="http://schemas.openxmlformats.org/officeDocument/2006/relationships/ctrlProp" Target="../ctrlProps/ctrlProp1149.xml"/><Relationship Id="rId280" Type="http://schemas.openxmlformats.org/officeDocument/2006/relationships/ctrlProp" Target="../ctrlProps/ctrlProp1300.xml"/><Relationship Id="rId336" Type="http://schemas.openxmlformats.org/officeDocument/2006/relationships/ctrlProp" Target="../ctrlProps/ctrlProp1356.xml"/><Relationship Id="rId75" Type="http://schemas.openxmlformats.org/officeDocument/2006/relationships/ctrlProp" Target="../ctrlProps/ctrlProp1095.xml"/><Relationship Id="rId140" Type="http://schemas.openxmlformats.org/officeDocument/2006/relationships/ctrlProp" Target="../ctrlProps/ctrlProp1160.xml"/><Relationship Id="rId182" Type="http://schemas.openxmlformats.org/officeDocument/2006/relationships/ctrlProp" Target="../ctrlProps/ctrlProp1202.xml"/><Relationship Id="rId6" Type="http://schemas.openxmlformats.org/officeDocument/2006/relationships/ctrlProp" Target="../ctrlProps/ctrlProp1026.xml"/><Relationship Id="rId238" Type="http://schemas.openxmlformats.org/officeDocument/2006/relationships/ctrlProp" Target="../ctrlProps/ctrlProp1258.xml"/><Relationship Id="rId291" Type="http://schemas.openxmlformats.org/officeDocument/2006/relationships/ctrlProp" Target="../ctrlProps/ctrlProp1311.xml"/><Relationship Id="rId305" Type="http://schemas.openxmlformats.org/officeDocument/2006/relationships/ctrlProp" Target="../ctrlProps/ctrlProp1325.xml"/><Relationship Id="rId347" Type="http://schemas.openxmlformats.org/officeDocument/2006/relationships/ctrlProp" Target="../ctrlProps/ctrlProp1367.xml"/><Relationship Id="rId44" Type="http://schemas.openxmlformats.org/officeDocument/2006/relationships/ctrlProp" Target="../ctrlProps/ctrlProp1064.xml"/><Relationship Id="rId86" Type="http://schemas.openxmlformats.org/officeDocument/2006/relationships/ctrlProp" Target="../ctrlProps/ctrlProp1106.xml"/><Relationship Id="rId151" Type="http://schemas.openxmlformats.org/officeDocument/2006/relationships/ctrlProp" Target="../ctrlProps/ctrlProp1171.xml"/><Relationship Id="rId193" Type="http://schemas.openxmlformats.org/officeDocument/2006/relationships/ctrlProp" Target="../ctrlProps/ctrlProp1213.xml"/><Relationship Id="rId207" Type="http://schemas.openxmlformats.org/officeDocument/2006/relationships/ctrlProp" Target="../ctrlProps/ctrlProp1227.xml"/><Relationship Id="rId249" Type="http://schemas.openxmlformats.org/officeDocument/2006/relationships/ctrlProp" Target="../ctrlProps/ctrlProp1269.xml"/><Relationship Id="rId13" Type="http://schemas.openxmlformats.org/officeDocument/2006/relationships/ctrlProp" Target="../ctrlProps/ctrlProp1033.xml"/><Relationship Id="rId109" Type="http://schemas.openxmlformats.org/officeDocument/2006/relationships/ctrlProp" Target="../ctrlProps/ctrlProp1129.xml"/><Relationship Id="rId260" Type="http://schemas.openxmlformats.org/officeDocument/2006/relationships/ctrlProp" Target="../ctrlProps/ctrlProp1280.xml"/><Relationship Id="rId316" Type="http://schemas.openxmlformats.org/officeDocument/2006/relationships/ctrlProp" Target="../ctrlProps/ctrlProp1336.xml"/><Relationship Id="rId55" Type="http://schemas.openxmlformats.org/officeDocument/2006/relationships/ctrlProp" Target="../ctrlProps/ctrlProp1075.xml"/><Relationship Id="rId97" Type="http://schemas.openxmlformats.org/officeDocument/2006/relationships/ctrlProp" Target="../ctrlProps/ctrlProp1117.xml"/><Relationship Id="rId120" Type="http://schemas.openxmlformats.org/officeDocument/2006/relationships/ctrlProp" Target="../ctrlProps/ctrlProp1140.xml"/><Relationship Id="rId358" Type="http://schemas.openxmlformats.org/officeDocument/2006/relationships/ctrlProp" Target="../ctrlProps/ctrlProp1378.xml"/><Relationship Id="rId162" Type="http://schemas.openxmlformats.org/officeDocument/2006/relationships/ctrlProp" Target="../ctrlProps/ctrlProp1182.xml"/><Relationship Id="rId218" Type="http://schemas.openxmlformats.org/officeDocument/2006/relationships/ctrlProp" Target="../ctrlProps/ctrlProp1238.xml"/><Relationship Id="rId271" Type="http://schemas.openxmlformats.org/officeDocument/2006/relationships/ctrlProp" Target="../ctrlProps/ctrlProp1291.xml"/><Relationship Id="rId24" Type="http://schemas.openxmlformats.org/officeDocument/2006/relationships/ctrlProp" Target="../ctrlProps/ctrlProp1044.xml"/><Relationship Id="rId66" Type="http://schemas.openxmlformats.org/officeDocument/2006/relationships/ctrlProp" Target="../ctrlProps/ctrlProp1086.xml"/><Relationship Id="rId131" Type="http://schemas.openxmlformats.org/officeDocument/2006/relationships/ctrlProp" Target="../ctrlProps/ctrlProp1151.xml"/><Relationship Id="rId327" Type="http://schemas.openxmlformats.org/officeDocument/2006/relationships/ctrlProp" Target="../ctrlProps/ctrlProp1347.xml"/><Relationship Id="rId173" Type="http://schemas.openxmlformats.org/officeDocument/2006/relationships/ctrlProp" Target="../ctrlProps/ctrlProp1193.xml"/><Relationship Id="rId229" Type="http://schemas.openxmlformats.org/officeDocument/2006/relationships/ctrlProp" Target="../ctrlProps/ctrlProp1249.xml"/><Relationship Id="rId240" Type="http://schemas.openxmlformats.org/officeDocument/2006/relationships/ctrlProp" Target="../ctrlProps/ctrlProp1260.xml"/><Relationship Id="rId35" Type="http://schemas.openxmlformats.org/officeDocument/2006/relationships/ctrlProp" Target="../ctrlProps/ctrlProp1055.xml"/><Relationship Id="rId77" Type="http://schemas.openxmlformats.org/officeDocument/2006/relationships/ctrlProp" Target="../ctrlProps/ctrlProp1097.xml"/><Relationship Id="rId100" Type="http://schemas.openxmlformats.org/officeDocument/2006/relationships/ctrlProp" Target="../ctrlProps/ctrlProp1120.xml"/><Relationship Id="rId282" Type="http://schemas.openxmlformats.org/officeDocument/2006/relationships/ctrlProp" Target="../ctrlProps/ctrlProp1302.xml"/><Relationship Id="rId338" Type="http://schemas.openxmlformats.org/officeDocument/2006/relationships/ctrlProp" Target="../ctrlProps/ctrlProp1358.xml"/><Relationship Id="rId8" Type="http://schemas.openxmlformats.org/officeDocument/2006/relationships/ctrlProp" Target="../ctrlProps/ctrlProp1028.xml"/><Relationship Id="rId142" Type="http://schemas.openxmlformats.org/officeDocument/2006/relationships/ctrlProp" Target="../ctrlProps/ctrlProp1162.xml"/><Relationship Id="rId184" Type="http://schemas.openxmlformats.org/officeDocument/2006/relationships/ctrlProp" Target="../ctrlProps/ctrlProp1204.xml"/><Relationship Id="rId251" Type="http://schemas.openxmlformats.org/officeDocument/2006/relationships/ctrlProp" Target="../ctrlProps/ctrlProp1271.xml"/><Relationship Id="rId46" Type="http://schemas.openxmlformats.org/officeDocument/2006/relationships/ctrlProp" Target="../ctrlProps/ctrlProp1066.xml"/><Relationship Id="rId293" Type="http://schemas.openxmlformats.org/officeDocument/2006/relationships/ctrlProp" Target="../ctrlProps/ctrlProp1313.xml"/><Relationship Id="rId307" Type="http://schemas.openxmlformats.org/officeDocument/2006/relationships/ctrlProp" Target="../ctrlProps/ctrlProp1327.xml"/><Relationship Id="rId349" Type="http://schemas.openxmlformats.org/officeDocument/2006/relationships/ctrlProp" Target="../ctrlProps/ctrlProp1369.xml"/></Relationships>
</file>

<file path=xl/worksheets/_rels/sheet1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1406.xml"/><Relationship Id="rId21" Type="http://schemas.openxmlformats.org/officeDocument/2006/relationships/ctrlProp" Target="../ctrlProps/ctrlProp1401.xml"/><Relationship Id="rId42" Type="http://schemas.openxmlformats.org/officeDocument/2006/relationships/ctrlProp" Target="../ctrlProps/ctrlProp1422.xml"/><Relationship Id="rId47" Type="http://schemas.openxmlformats.org/officeDocument/2006/relationships/ctrlProp" Target="../ctrlProps/ctrlProp1427.xml"/><Relationship Id="rId63" Type="http://schemas.openxmlformats.org/officeDocument/2006/relationships/ctrlProp" Target="../ctrlProps/ctrlProp1443.xml"/><Relationship Id="rId68" Type="http://schemas.openxmlformats.org/officeDocument/2006/relationships/ctrlProp" Target="../ctrlProps/ctrlProp1448.xml"/><Relationship Id="rId84" Type="http://schemas.openxmlformats.org/officeDocument/2006/relationships/ctrlProp" Target="../ctrlProps/ctrlProp1464.xml"/><Relationship Id="rId89" Type="http://schemas.openxmlformats.org/officeDocument/2006/relationships/ctrlProp" Target="../ctrlProps/ctrlProp1469.xml"/><Relationship Id="rId16" Type="http://schemas.openxmlformats.org/officeDocument/2006/relationships/ctrlProp" Target="../ctrlProps/ctrlProp1396.xml"/><Relationship Id="rId11" Type="http://schemas.openxmlformats.org/officeDocument/2006/relationships/ctrlProp" Target="../ctrlProps/ctrlProp1391.xml"/><Relationship Id="rId32" Type="http://schemas.openxmlformats.org/officeDocument/2006/relationships/ctrlProp" Target="../ctrlProps/ctrlProp1412.xml"/><Relationship Id="rId37" Type="http://schemas.openxmlformats.org/officeDocument/2006/relationships/ctrlProp" Target="../ctrlProps/ctrlProp1417.xml"/><Relationship Id="rId53" Type="http://schemas.openxmlformats.org/officeDocument/2006/relationships/ctrlProp" Target="../ctrlProps/ctrlProp1433.xml"/><Relationship Id="rId58" Type="http://schemas.openxmlformats.org/officeDocument/2006/relationships/ctrlProp" Target="../ctrlProps/ctrlProp1438.xml"/><Relationship Id="rId74" Type="http://schemas.openxmlformats.org/officeDocument/2006/relationships/ctrlProp" Target="../ctrlProps/ctrlProp1454.xml"/><Relationship Id="rId79" Type="http://schemas.openxmlformats.org/officeDocument/2006/relationships/ctrlProp" Target="../ctrlProps/ctrlProp1459.xml"/><Relationship Id="rId5" Type="http://schemas.openxmlformats.org/officeDocument/2006/relationships/ctrlProp" Target="../ctrlProps/ctrlProp1385.xml"/><Relationship Id="rId14" Type="http://schemas.openxmlformats.org/officeDocument/2006/relationships/ctrlProp" Target="../ctrlProps/ctrlProp1394.xml"/><Relationship Id="rId22" Type="http://schemas.openxmlformats.org/officeDocument/2006/relationships/ctrlProp" Target="../ctrlProps/ctrlProp1402.xml"/><Relationship Id="rId27" Type="http://schemas.openxmlformats.org/officeDocument/2006/relationships/ctrlProp" Target="../ctrlProps/ctrlProp1407.xml"/><Relationship Id="rId30" Type="http://schemas.openxmlformats.org/officeDocument/2006/relationships/ctrlProp" Target="../ctrlProps/ctrlProp1410.xml"/><Relationship Id="rId35" Type="http://schemas.openxmlformats.org/officeDocument/2006/relationships/ctrlProp" Target="../ctrlProps/ctrlProp1415.xml"/><Relationship Id="rId43" Type="http://schemas.openxmlformats.org/officeDocument/2006/relationships/ctrlProp" Target="../ctrlProps/ctrlProp1423.xml"/><Relationship Id="rId48" Type="http://schemas.openxmlformats.org/officeDocument/2006/relationships/ctrlProp" Target="../ctrlProps/ctrlProp1428.xml"/><Relationship Id="rId56" Type="http://schemas.openxmlformats.org/officeDocument/2006/relationships/ctrlProp" Target="../ctrlProps/ctrlProp1436.xml"/><Relationship Id="rId64" Type="http://schemas.openxmlformats.org/officeDocument/2006/relationships/ctrlProp" Target="../ctrlProps/ctrlProp1444.xml"/><Relationship Id="rId69" Type="http://schemas.openxmlformats.org/officeDocument/2006/relationships/ctrlProp" Target="../ctrlProps/ctrlProp1449.xml"/><Relationship Id="rId77" Type="http://schemas.openxmlformats.org/officeDocument/2006/relationships/ctrlProp" Target="../ctrlProps/ctrlProp1457.xml"/><Relationship Id="rId8" Type="http://schemas.openxmlformats.org/officeDocument/2006/relationships/ctrlProp" Target="../ctrlProps/ctrlProp1388.xml"/><Relationship Id="rId51" Type="http://schemas.openxmlformats.org/officeDocument/2006/relationships/ctrlProp" Target="../ctrlProps/ctrlProp1431.xml"/><Relationship Id="rId72" Type="http://schemas.openxmlformats.org/officeDocument/2006/relationships/ctrlProp" Target="../ctrlProps/ctrlProp1452.xml"/><Relationship Id="rId80" Type="http://schemas.openxmlformats.org/officeDocument/2006/relationships/ctrlProp" Target="../ctrlProps/ctrlProp1460.xml"/><Relationship Id="rId85" Type="http://schemas.openxmlformats.org/officeDocument/2006/relationships/ctrlProp" Target="../ctrlProps/ctrlProp1465.xml"/><Relationship Id="rId3" Type="http://schemas.openxmlformats.org/officeDocument/2006/relationships/vmlDrawing" Target="../drawings/vmlDrawing10.vml"/><Relationship Id="rId12" Type="http://schemas.openxmlformats.org/officeDocument/2006/relationships/ctrlProp" Target="../ctrlProps/ctrlProp1392.xml"/><Relationship Id="rId17" Type="http://schemas.openxmlformats.org/officeDocument/2006/relationships/ctrlProp" Target="../ctrlProps/ctrlProp1397.xml"/><Relationship Id="rId25" Type="http://schemas.openxmlformats.org/officeDocument/2006/relationships/ctrlProp" Target="../ctrlProps/ctrlProp1405.xml"/><Relationship Id="rId33" Type="http://schemas.openxmlformats.org/officeDocument/2006/relationships/ctrlProp" Target="../ctrlProps/ctrlProp1413.xml"/><Relationship Id="rId38" Type="http://schemas.openxmlformats.org/officeDocument/2006/relationships/ctrlProp" Target="../ctrlProps/ctrlProp1418.xml"/><Relationship Id="rId46" Type="http://schemas.openxmlformats.org/officeDocument/2006/relationships/ctrlProp" Target="../ctrlProps/ctrlProp1426.xml"/><Relationship Id="rId59" Type="http://schemas.openxmlformats.org/officeDocument/2006/relationships/ctrlProp" Target="../ctrlProps/ctrlProp1439.xml"/><Relationship Id="rId67" Type="http://schemas.openxmlformats.org/officeDocument/2006/relationships/ctrlProp" Target="../ctrlProps/ctrlProp1447.xml"/><Relationship Id="rId20" Type="http://schemas.openxmlformats.org/officeDocument/2006/relationships/ctrlProp" Target="../ctrlProps/ctrlProp1400.xml"/><Relationship Id="rId41" Type="http://schemas.openxmlformats.org/officeDocument/2006/relationships/ctrlProp" Target="../ctrlProps/ctrlProp1421.xml"/><Relationship Id="rId54" Type="http://schemas.openxmlformats.org/officeDocument/2006/relationships/ctrlProp" Target="../ctrlProps/ctrlProp1434.xml"/><Relationship Id="rId62" Type="http://schemas.openxmlformats.org/officeDocument/2006/relationships/ctrlProp" Target="../ctrlProps/ctrlProp1442.xml"/><Relationship Id="rId70" Type="http://schemas.openxmlformats.org/officeDocument/2006/relationships/ctrlProp" Target="../ctrlProps/ctrlProp1450.xml"/><Relationship Id="rId75" Type="http://schemas.openxmlformats.org/officeDocument/2006/relationships/ctrlProp" Target="../ctrlProps/ctrlProp1455.xml"/><Relationship Id="rId83" Type="http://schemas.openxmlformats.org/officeDocument/2006/relationships/ctrlProp" Target="../ctrlProps/ctrlProp1463.xml"/><Relationship Id="rId88" Type="http://schemas.openxmlformats.org/officeDocument/2006/relationships/ctrlProp" Target="../ctrlProps/ctrlProp1468.xml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1386.xml"/><Relationship Id="rId15" Type="http://schemas.openxmlformats.org/officeDocument/2006/relationships/ctrlProp" Target="../ctrlProps/ctrlProp1395.xml"/><Relationship Id="rId23" Type="http://schemas.openxmlformats.org/officeDocument/2006/relationships/ctrlProp" Target="../ctrlProps/ctrlProp1403.xml"/><Relationship Id="rId28" Type="http://schemas.openxmlformats.org/officeDocument/2006/relationships/ctrlProp" Target="../ctrlProps/ctrlProp1408.xml"/><Relationship Id="rId36" Type="http://schemas.openxmlformats.org/officeDocument/2006/relationships/ctrlProp" Target="../ctrlProps/ctrlProp1416.xml"/><Relationship Id="rId49" Type="http://schemas.openxmlformats.org/officeDocument/2006/relationships/ctrlProp" Target="../ctrlProps/ctrlProp1429.xml"/><Relationship Id="rId57" Type="http://schemas.openxmlformats.org/officeDocument/2006/relationships/ctrlProp" Target="../ctrlProps/ctrlProp1437.xml"/><Relationship Id="rId10" Type="http://schemas.openxmlformats.org/officeDocument/2006/relationships/ctrlProp" Target="../ctrlProps/ctrlProp1390.xml"/><Relationship Id="rId31" Type="http://schemas.openxmlformats.org/officeDocument/2006/relationships/ctrlProp" Target="../ctrlProps/ctrlProp1411.xml"/><Relationship Id="rId44" Type="http://schemas.openxmlformats.org/officeDocument/2006/relationships/ctrlProp" Target="../ctrlProps/ctrlProp1424.xml"/><Relationship Id="rId52" Type="http://schemas.openxmlformats.org/officeDocument/2006/relationships/ctrlProp" Target="../ctrlProps/ctrlProp1432.xml"/><Relationship Id="rId60" Type="http://schemas.openxmlformats.org/officeDocument/2006/relationships/ctrlProp" Target="../ctrlProps/ctrlProp1440.xml"/><Relationship Id="rId65" Type="http://schemas.openxmlformats.org/officeDocument/2006/relationships/ctrlProp" Target="../ctrlProps/ctrlProp1445.xml"/><Relationship Id="rId73" Type="http://schemas.openxmlformats.org/officeDocument/2006/relationships/ctrlProp" Target="../ctrlProps/ctrlProp1453.xml"/><Relationship Id="rId78" Type="http://schemas.openxmlformats.org/officeDocument/2006/relationships/ctrlProp" Target="../ctrlProps/ctrlProp1458.xml"/><Relationship Id="rId81" Type="http://schemas.openxmlformats.org/officeDocument/2006/relationships/ctrlProp" Target="../ctrlProps/ctrlProp1461.xml"/><Relationship Id="rId86" Type="http://schemas.openxmlformats.org/officeDocument/2006/relationships/ctrlProp" Target="../ctrlProps/ctrlProp1466.xml"/><Relationship Id="rId4" Type="http://schemas.openxmlformats.org/officeDocument/2006/relationships/ctrlProp" Target="../ctrlProps/ctrlProp1384.xml"/><Relationship Id="rId9" Type="http://schemas.openxmlformats.org/officeDocument/2006/relationships/ctrlProp" Target="../ctrlProps/ctrlProp1389.xml"/><Relationship Id="rId13" Type="http://schemas.openxmlformats.org/officeDocument/2006/relationships/ctrlProp" Target="../ctrlProps/ctrlProp1393.xml"/><Relationship Id="rId18" Type="http://schemas.openxmlformats.org/officeDocument/2006/relationships/ctrlProp" Target="../ctrlProps/ctrlProp1398.xml"/><Relationship Id="rId39" Type="http://schemas.openxmlformats.org/officeDocument/2006/relationships/ctrlProp" Target="../ctrlProps/ctrlProp1419.xml"/><Relationship Id="rId34" Type="http://schemas.openxmlformats.org/officeDocument/2006/relationships/ctrlProp" Target="../ctrlProps/ctrlProp1414.xml"/><Relationship Id="rId50" Type="http://schemas.openxmlformats.org/officeDocument/2006/relationships/ctrlProp" Target="../ctrlProps/ctrlProp1430.xml"/><Relationship Id="rId55" Type="http://schemas.openxmlformats.org/officeDocument/2006/relationships/ctrlProp" Target="../ctrlProps/ctrlProp1435.xml"/><Relationship Id="rId76" Type="http://schemas.openxmlformats.org/officeDocument/2006/relationships/ctrlProp" Target="../ctrlProps/ctrlProp1456.xml"/><Relationship Id="rId7" Type="http://schemas.openxmlformats.org/officeDocument/2006/relationships/ctrlProp" Target="../ctrlProps/ctrlProp1387.xml"/><Relationship Id="rId71" Type="http://schemas.openxmlformats.org/officeDocument/2006/relationships/ctrlProp" Target="../ctrlProps/ctrlProp1451.xml"/><Relationship Id="rId2" Type="http://schemas.openxmlformats.org/officeDocument/2006/relationships/drawing" Target="../drawings/drawing10.xml"/><Relationship Id="rId29" Type="http://schemas.openxmlformats.org/officeDocument/2006/relationships/ctrlProp" Target="../ctrlProps/ctrlProp1409.xml"/><Relationship Id="rId24" Type="http://schemas.openxmlformats.org/officeDocument/2006/relationships/ctrlProp" Target="../ctrlProps/ctrlProp1404.xml"/><Relationship Id="rId40" Type="http://schemas.openxmlformats.org/officeDocument/2006/relationships/ctrlProp" Target="../ctrlProps/ctrlProp1420.xml"/><Relationship Id="rId45" Type="http://schemas.openxmlformats.org/officeDocument/2006/relationships/ctrlProp" Target="../ctrlProps/ctrlProp1425.xml"/><Relationship Id="rId66" Type="http://schemas.openxmlformats.org/officeDocument/2006/relationships/ctrlProp" Target="../ctrlProps/ctrlProp1446.xml"/><Relationship Id="rId87" Type="http://schemas.openxmlformats.org/officeDocument/2006/relationships/ctrlProp" Target="../ctrlProps/ctrlProp1467.xml"/><Relationship Id="rId61" Type="http://schemas.openxmlformats.org/officeDocument/2006/relationships/ctrlProp" Target="../ctrlProps/ctrlProp1441.xml"/><Relationship Id="rId82" Type="http://schemas.openxmlformats.org/officeDocument/2006/relationships/ctrlProp" Target="../ctrlProps/ctrlProp1462.xml"/><Relationship Id="rId19" Type="http://schemas.openxmlformats.org/officeDocument/2006/relationships/ctrlProp" Target="../ctrlProps/ctrlProp139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mailto:.@%20vendida%20-%20compradas/&#225;rea%20de%20pastagem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34" Type="http://schemas.openxmlformats.org/officeDocument/2006/relationships/comments" Target="../comments1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8" Type="http://schemas.openxmlformats.org/officeDocument/2006/relationships/ctrlProp" Target="../ctrlProps/ctrlProp5.xm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44.xml"/><Relationship Id="rId21" Type="http://schemas.openxmlformats.org/officeDocument/2006/relationships/ctrlProp" Target="../ctrlProps/ctrlProp48.xml"/><Relationship Id="rId42" Type="http://schemas.openxmlformats.org/officeDocument/2006/relationships/ctrlProp" Target="../ctrlProps/ctrlProp69.xml"/><Relationship Id="rId63" Type="http://schemas.openxmlformats.org/officeDocument/2006/relationships/ctrlProp" Target="../ctrlProps/ctrlProp90.xml"/><Relationship Id="rId84" Type="http://schemas.openxmlformats.org/officeDocument/2006/relationships/ctrlProp" Target="../ctrlProps/ctrlProp111.xml"/><Relationship Id="rId138" Type="http://schemas.openxmlformats.org/officeDocument/2006/relationships/ctrlProp" Target="../ctrlProps/ctrlProp165.xml"/><Relationship Id="rId159" Type="http://schemas.openxmlformats.org/officeDocument/2006/relationships/ctrlProp" Target="../ctrlProps/ctrlProp186.xml"/><Relationship Id="rId170" Type="http://schemas.openxmlformats.org/officeDocument/2006/relationships/ctrlProp" Target="../ctrlProps/ctrlProp197.xml"/><Relationship Id="rId107" Type="http://schemas.openxmlformats.org/officeDocument/2006/relationships/ctrlProp" Target="../ctrlProps/ctrlProp134.xml"/><Relationship Id="rId11" Type="http://schemas.openxmlformats.org/officeDocument/2006/relationships/ctrlProp" Target="../ctrlProps/ctrlProp38.xml"/><Relationship Id="rId32" Type="http://schemas.openxmlformats.org/officeDocument/2006/relationships/ctrlProp" Target="../ctrlProps/ctrlProp59.xml"/><Relationship Id="rId53" Type="http://schemas.openxmlformats.org/officeDocument/2006/relationships/ctrlProp" Target="../ctrlProps/ctrlProp80.xml"/><Relationship Id="rId74" Type="http://schemas.openxmlformats.org/officeDocument/2006/relationships/ctrlProp" Target="../ctrlProps/ctrlProp101.xml"/><Relationship Id="rId128" Type="http://schemas.openxmlformats.org/officeDocument/2006/relationships/ctrlProp" Target="../ctrlProps/ctrlProp155.xml"/><Relationship Id="rId149" Type="http://schemas.openxmlformats.org/officeDocument/2006/relationships/ctrlProp" Target="../ctrlProps/ctrlProp176.xml"/><Relationship Id="rId5" Type="http://schemas.openxmlformats.org/officeDocument/2006/relationships/ctrlProp" Target="../ctrlProps/ctrlProp32.xml"/><Relationship Id="rId95" Type="http://schemas.openxmlformats.org/officeDocument/2006/relationships/ctrlProp" Target="../ctrlProps/ctrlProp122.xml"/><Relationship Id="rId160" Type="http://schemas.openxmlformats.org/officeDocument/2006/relationships/ctrlProp" Target="../ctrlProps/ctrlProp187.xml"/><Relationship Id="rId181" Type="http://schemas.openxmlformats.org/officeDocument/2006/relationships/ctrlProp" Target="../ctrlProps/ctrlProp208.xml"/><Relationship Id="rId22" Type="http://schemas.openxmlformats.org/officeDocument/2006/relationships/ctrlProp" Target="../ctrlProps/ctrlProp49.xml"/><Relationship Id="rId43" Type="http://schemas.openxmlformats.org/officeDocument/2006/relationships/ctrlProp" Target="../ctrlProps/ctrlProp70.xml"/><Relationship Id="rId64" Type="http://schemas.openxmlformats.org/officeDocument/2006/relationships/ctrlProp" Target="../ctrlProps/ctrlProp91.xml"/><Relationship Id="rId118" Type="http://schemas.openxmlformats.org/officeDocument/2006/relationships/ctrlProp" Target="../ctrlProps/ctrlProp145.xml"/><Relationship Id="rId139" Type="http://schemas.openxmlformats.org/officeDocument/2006/relationships/ctrlProp" Target="../ctrlProps/ctrlProp166.xml"/><Relationship Id="rId85" Type="http://schemas.openxmlformats.org/officeDocument/2006/relationships/ctrlProp" Target="../ctrlProps/ctrlProp112.xml"/><Relationship Id="rId150" Type="http://schemas.openxmlformats.org/officeDocument/2006/relationships/ctrlProp" Target="../ctrlProps/ctrlProp177.xml"/><Relationship Id="rId171" Type="http://schemas.openxmlformats.org/officeDocument/2006/relationships/ctrlProp" Target="../ctrlProps/ctrlProp198.xml"/><Relationship Id="rId12" Type="http://schemas.openxmlformats.org/officeDocument/2006/relationships/ctrlProp" Target="../ctrlProps/ctrlProp39.xml"/><Relationship Id="rId33" Type="http://schemas.openxmlformats.org/officeDocument/2006/relationships/ctrlProp" Target="../ctrlProps/ctrlProp60.xml"/><Relationship Id="rId108" Type="http://schemas.openxmlformats.org/officeDocument/2006/relationships/ctrlProp" Target="../ctrlProps/ctrlProp135.xml"/><Relationship Id="rId129" Type="http://schemas.openxmlformats.org/officeDocument/2006/relationships/ctrlProp" Target="../ctrlProps/ctrlProp156.xml"/><Relationship Id="rId54" Type="http://schemas.openxmlformats.org/officeDocument/2006/relationships/ctrlProp" Target="../ctrlProps/ctrlProp81.xml"/><Relationship Id="rId75" Type="http://schemas.openxmlformats.org/officeDocument/2006/relationships/ctrlProp" Target="../ctrlProps/ctrlProp102.xml"/><Relationship Id="rId96" Type="http://schemas.openxmlformats.org/officeDocument/2006/relationships/ctrlProp" Target="../ctrlProps/ctrlProp123.xml"/><Relationship Id="rId140" Type="http://schemas.openxmlformats.org/officeDocument/2006/relationships/ctrlProp" Target="../ctrlProps/ctrlProp167.xml"/><Relationship Id="rId161" Type="http://schemas.openxmlformats.org/officeDocument/2006/relationships/ctrlProp" Target="../ctrlProps/ctrlProp188.xml"/><Relationship Id="rId182" Type="http://schemas.openxmlformats.org/officeDocument/2006/relationships/ctrlProp" Target="../ctrlProps/ctrlProp209.xml"/><Relationship Id="rId6" Type="http://schemas.openxmlformats.org/officeDocument/2006/relationships/ctrlProp" Target="../ctrlProps/ctrlProp33.xml"/><Relationship Id="rId23" Type="http://schemas.openxmlformats.org/officeDocument/2006/relationships/ctrlProp" Target="../ctrlProps/ctrlProp50.xml"/><Relationship Id="rId119" Type="http://schemas.openxmlformats.org/officeDocument/2006/relationships/ctrlProp" Target="../ctrlProps/ctrlProp146.xml"/><Relationship Id="rId44" Type="http://schemas.openxmlformats.org/officeDocument/2006/relationships/ctrlProp" Target="../ctrlProps/ctrlProp71.xml"/><Relationship Id="rId60" Type="http://schemas.openxmlformats.org/officeDocument/2006/relationships/ctrlProp" Target="../ctrlProps/ctrlProp87.xml"/><Relationship Id="rId65" Type="http://schemas.openxmlformats.org/officeDocument/2006/relationships/ctrlProp" Target="../ctrlProps/ctrlProp92.xml"/><Relationship Id="rId81" Type="http://schemas.openxmlformats.org/officeDocument/2006/relationships/ctrlProp" Target="../ctrlProps/ctrlProp108.xml"/><Relationship Id="rId86" Type="http://schemas.openxmlformats.org/officeDocument/2006/relationships/ctrlProp" Target="../ctrlProps/ctrlProp113.xml"/><Relationship Id="rId130" Type="http://schemas.openxmlformats.org/officeDocument/2006/relationships/ctrlProp" Target="../ctrlProps/ctrlProp157.xml"/><Relationship Id="rId135" Type="http://schemas.openxmlformats.org/officeDocument/2006/relationships/ctrlProp" Target="../ctrlProps/ctrlProp162.xml"/><Relationship Id="rId151" Type="http://schemas.openxmlformats.org/officeDocument/2006/relationships/ctrlProp" Target="../ctrlProps/ctrlProp178.xml"/><Relationship Id="rId156" Type="http://schemas.openxmlformats.org/officeDocument/2006/relationships/ctrlProp" Target="../ctrlProps/ctrlProp183.xml"/><Relationship Id="rId177" Type="http://schemas.openxmlformats.org/officeDocument/2006/relationships/ctrlProp" Target="../ctrlProps/ctrlProp204.xml"/><Relationship Id="rId172" Type="http://schemas.openxmlformats.org/officeDocument/2006/relationships/ctrlProp" Target="../ctrlProps/ctrlProp199.xml"/><Relationship Id="rId13" Type="http://schemas.openxmlformats.org/officeDocument/2006/relationships/ctrlProp" Target="../ctrlProps/ctrlProp40.xml"/><Relationship Id="rId18" Type="http://schemas.openxmlformats.org/officeDocument/2006/relationships/ctrlProp" Target="../ctrlProps/ctrlProp45.xml"/><Relationship Id="rId39" Type="http://schemas.openxmlformats.org/officeDocument/2006/relationships/ctrlProp" Target="../ctrlProps/ctrlProp66.xml"/><Relationship Id="rId109" Type="http://schemas.openxmlformats.org/officeDocument/2006/relationships/ctrlProp" Target="../ctrlProps/ctrlProp136.xml"/><Relationship Id="rId34" Type="http://schemas.openxmlformats.org/officeDocument/2006/relationships/ctrlProp" Target="../ctrlProps/ctrlProp61.xml"/><Relationship Id="rId50" Type="http://schemas.openxmlformats.org/officeDocument/2006/relationships/ctrlProp" Target="../ctrlProps/ctrlProp77.xml"/><Relationship Id="rId55" Type="http://schemas.openxmlformats.org/officeDocument/2006/relationships/ctrlProp" Target="../ctrlProps/ctrlProp82.xml"/><Relationship Id="rId76" Type="http://schemas.openxmlformats.org/officeDocument/2006/relationships/ctrlProp" Target="../ctrlProps/ctrlProp103.xml"/><Relationship Id="rId97" Type="http://schemas.openxmlformats.org/officeDocument/2006/relationships/ctrlProp" Target="../ctrlProps/ctrlProp124.xml"/><Relationship Id="rId104" Type="http://schemas.openxmlformats.org/officeDocument/2006/relationships/ctrlProp" Target="../ctrlProps/ctrlProp131.xml"/><Relationship Id="rId120" Type="http://schemas.openxmlformats.org/officeDocument/2006/relationships/ctrlProp" Target="../ctrlProps/ctrlProp147.xml"/><Relationship Id="rId125" Type="http://schemas.openxmlformats.org/officeDocument/2006/relationships/ctrlProp" Target="../ctrlProps/ctrlProp152.xml"/><Relationship Id="rId141" Type="http://schemas.openxmlformats.org/officeDocument/2006/relationships/ctrlProp" Target="../ctrlProps/ctrlProp168.xml"/><Relationship Id="rId146" Type="http://schemas.openxmlformats.org/officeDocument/2006/relationships/ctrlProp" Target="../ctrlProps/ctrlProp173.xml"/><Relationship Id="rId167" Type="http://schemas.openxmlformats.org/officeDocument/2006/relationships/ctrlProp" Target="../ctrlProps/ctrlProp194.xml"/><Relationship Id="rId7" Type="http://schemas.openxmlformats.org/officeDocument/2006/relationships/ctrlProp" Target="../ctrlProps/ctrlProp34.xml"/><Relationship Id="rId71" Type="http://schemas.openxmlformats.org/officeDocument/2006/relationships/ctrlProp" Target="../ctrlProps/ctrlProp98.xml"/><Relationship Id="rId92" Type="http://schemas.openxmlformats.org/officeDocument/2006/relationships/ctrlProp" Target="../ctrlProps/ctrlProp119.xml"/><Relationship Id="rId162" Type="http://schemas.openxmlformats.org/officeDocument/2006/relationships/ctrlProp" Target="../ctrlProps/ctrlProp189.xml"/><Relationship Id="rId183" Type="http://schemas.openxmlformats.org/officeDocument/2006/relationships/ctrlProp" Target="../ctrlProps/ctrlProp210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56.xml"/><Relationship Id="rId24" Type="http://schemas.openxmlformats.org/officeDocument/2006/relationships/ctrlProp" Target="../ctrlProps/ctrlProp51.xml"/><Relationship Id="rId40" Type="http://schemas.openxmlformats.org/officeDocument/2006/relationships/ctrlProp" Target="../ctrlProps/ctrlProp67.xml"/><Relationship Id="rId45" Type="http://schemas.openxmlformats.org/officeDocument/2006/relationships/ctrlProp" Target="../ctrlProps/ctrlProp72.xml"/><Relationship Id="rId66" Type="http://schemas.openxmlformats.org/officeDocument/2006/relationships/ctrlProp" Target="../ctrlProps/ctrlProp93.xml"/><Relationship Id="rId87" Type="http://schemas.openxmlformats.org/officeDocument/2006/relationships/ctrlProp" Target="../ctrlProps/ctrlProp114.xml"/><Relationship Id="rId110" Type="http://schemas.openxmlformats.org/officeDocument/2006/relationships/ctrlProp" Target="../ctrlProps/ctrlProp137.xml"/><Relationship Id="rId115" Type="http://schemas.openxmlformats.org/officeDocument/2006/relationships/ctrlProp" Target="../ctrlProps/ctrlProp142.xml"/><Relationship Id="rId131" Type="http://schemas.openxmlformats.org/officeDocument/2006/relationships/ctrlProp" Target="../ctrlProps/ctrlProp158.xml"/><Relationship Id="rId136" Type="http://schemas.openxmlformats.org/officeDocument/2006/relationships/ctrlProp" Target="../ctrlProps/ctrlProp163.xml"/><Relationship Id="rId157" Type="http://schemas.openxmlformats.org/officeDocument/2006/relationships/ctrlProp" Target="../ctrlProps/ctrlProp184.xml"/><Relationship Id="rId178" Type="http://schemas.openxmlformats.org/officeDocument/2006/relationships/ctrlProp" Target="../ctrlProps/ctrlProp205.xml"/><Relationship Id="rId61" Type="http://schemas.openxmlformats.org/officeDocument/2006/relationships/ctrlProp" Target="../ctrlProps/ctrlProp88.xml"/><Relationship Id="rId82" Type="http://schemas.openxmlformats.org/officeDocument/2006/relationships/ctrlProp" Target="../ctrlProps/ctrlProp109.xml"/><Relationship Id="rId152" Type="http://schemas.openxmlformats.org/officeDocument/2006/relationships/ctrlProp" Target="../ctrlProps/ctrlProp179.xml"/><Relationship Id="rId173" Type="http://schemas.openxmlformats.org/officeDocument/2006/relationships/ctrlProp" Target="../ctrlProps/ctrlProp200.xml"/><Relationship Id="rId19" Type="http://schemas.openxmlformats.org/officeDocument/2006/relationships/ctrlProp" Target="../ctrlProps/ctrlProp46.xml"/><Relationship Id="rId14" Type="http://schemas.openxmlformats.org/officeDocument/2006/relationships/ctrlProp" Target="../ctrlProps/ctrlProp41.xml"/><Relationship Id="rId30" Type="http://schemas.openxmlformats.org/officeDocument/2006/relationships/ctrlProp" Target="../ctrlProps/ctrlProp57.xml"/><Relationship Id="rId35" Type="http://schemas.openxmlformats.org/officeDocument/2006/relationships/ctrlProp" Target="../ctrlProps/ctrlProp62.xml"/><Relationship Id="rId56" Type="http://schemas.openxmlformats.org/officeDocument/2006/relationships/ctrlProp" Target="../ctrlProps/ctrlProp83.xml"/><Relationship Id="rId77" Type="http://schemas.openxmlformats.org/officeDocument/2006/relationships/ctrlProp" Target="../ctrlProps/ctrlProp104.xml"/><Relationship Id="rId100" Type="http://schemas.openxmlformats.org/officeDocument/2006/relationships/ctrlProp" Target="../ctrlProps/ctrlProp127.xml"/><Relationship Id="rId105" Type="http://schemas.openxmlformats.org/officeDocument/2006/relationships/ctrlProp" Target="../ctrlProps/ctrlProp132.xml"/><Relationship Id="rId126" Type="http://schemas.openxmlformats.org/officeDocument/2006/relationships/ctrlProp" Target="../ctrlProps/ctrlProp153.xml"/><Relationship Id="rId147" Type="http://schemas.openxmlformats.org/officeDocument/2006/relationships/ctrlProp" Target="../ctrlProps/ctrlProp174.xml"/><Relationship Id="rId168" Type="http://schemas.openxmlformats.org/officeDocument/2006/relationships/ctrlProp" Target="../ctrlProps/ctrlProp195.xml"/><Relationship Id="rId8" Type="http://schemas.openxmlformats.org/officeDocument/2006/relationships/ctrlProp" Target="../ctrlProps/ctrlProp35.xml"/><Relationship Id="rId51" Type="http://schemas.openxmlformats.org/officeDocument/2006/relationships/ctrlProp" Target="../ctrlProps/ctrlProp78.xml"/><Relationship Id="rId72" Type="http://schemas.openxmlformats.org/officeDocument/2006/relationships/ctrlProp" Target="../ctrlProps/ctrlProp99.xml"/><Relationship Id="rId93" Type="http://schemas.openxmlformats.org/officeDocument/2006/relationships/ctrlProp" Target="../ctrlProps/ctrlProp120.xml"/><Relationship Id="rId98" Type="http://schemas.openxmlformats.org/officeDocument/2006/relationships/ctrlProp" Target="../ctrlProps/ctrlProp125.xml"/><Relationship Id="rId121" Type="http://schemas.openxmlformats.org/officeDocument/2006/relationships/ctrlProp" Target="../ctrlProps/ctrlProp148.xml"/><Relationship Id="rId142" Type="http://schemas.openxmlformats.org/officeDocument/2006/relationships/ctrlProp" Target="../ctrlProps/ctrlProp169.xml"/><Relationship Id="rId163" Type="http://schemas.openxmlformats.org/officeDocument/2006/relationships/ctrlProp" Target="../ctrlProps/ctrlProp190.xml"/><Relationship Id="rId184" Type="http://schemas.openxmlformats.org/officeDocument/2006/relationships/ctrlProp" Target="../ctrlProps/ctrlProp211.xml"/><Relationship Id="rId3" Type="http://schemas.openxmlformats.org/officeDocument/2006/relationships/vmlDrawing" Target="../drawings/vmlDrawing2.vml"/><Relationship Id="rId25" Type="http://schemas.openxmlformats.org/officeDocument/2006/relationships/ctrlProp" Target="../ctrlProps/ctrlProp52.xml"/><Relationship Id="rId46" Type="http://schemas.openxmlformats.org/officeDocument/2006/relationships/ctrlProp" Target="../ctrlProps/ctrlProp73.xml"/><Relationship Id="rId67" Type="http://schemas.openxmlformats.org/officeDocument/2006/relationships/ctrlProp" Target="../ctrlProps/ctrlProp94.xml"/><Relationship Id="rId116" Type="http://schemas.openxmlformats.org/officeDocument/2006/relationships/ctrlProp" Target="../ctrlProps/ctrlProp143.xml"/><Relationship Id="rId137" Type="http://schemas.openxmlformats.org/officeDocument/2006/relationships/ctrlProp" Target="../ctrlProps/ctrlProp164.xml"/><Relationship Id="rId158" Type="http://schemas.openxmlformats.org/officeDocument/2006/relationships/ctrlProp" Target="../ctrlProps/ctrlProp185.xml"/><Relationship Id="rId20" Type="http://schemas.openxmlformats.org/officeDocument/2006/relationships/ctrlProp" Target="../ctrlProps/ctrlProp47.xml"/><Relationship Id="rId41" Type="http://schemas.openxmlformats.org/officeDocument/2006/relationships/ctrlProp" Target="../ctrlProps/ctrlProp68.xml"/><Relationship Id="rId62" Type="http://schemas.openxmlformats.org/officeDocument/2006/relationships/ctrlProp" Target="../ctrlProps/ctrlProp89.xml"/><Relationship Id="rId83" Type="http://schemas.openxmlformats.org/officeDocument/2006/relationships/ctrlProp" Target="../ctrlProps/ctrlProp110.xml"/><Relationship Id="rId88" Type="http://schemas.openxmlformats.org/officeDocument/2006/relationships/ctrlProp" Target="../ctrlProps/ctrlProp115.xml"/><Relationship Id="rId111" Type="http://schemas.openxmlformats.org/officeDocument/2006/relationships/ctrlProp" Target="../ctrlProps/ctrlProp138.xml"/><Relationship Id="rId132" Type="http://schemas.openxmlformats.org/officeDocument/2006/relationships/ctrlProp" Target="../ctrlProps/ctrlProp159.xml"/><Relationship Id="rId153" Type="http://schemas.openxmlformats.org/officeDocument/2006/relationships/ctrlProp" Target="../ctrlProps/ctrlProp180.xml"/><Relationship Id="rId174" Type="http://schemas.openxmlformats.org/officeDocument/2006/relationships/ctrlProp" Target="../ctrlProps/ctrlProp201.xml"/><Relationship Id="rId179" Type="http://schemas.openxmlformats.org/officeDocument/2006/relationships/ctrlProp" Target="../ctrlProps/ctrlProp206.xml"/><Relationship Id="rId15" Type="http://schemas.openxmlformats.org/officeDocument/2006/relationships/ctrlProp" Target="../ctrlProps/ctrlProp42.xml"/><Relationship Id="rId36" Type="http://schemas.openxmlformats.org/officeDocument/2006/relationships/ctrlProp" Target="../ctrlProps/ctrlProp63.xml"/><Relationship Id="rId57" Type="http://schemas.openxmlformats.org/officeDocument/2006/relationships/ctrlProp" Target="../ctrlProps/ctrlProp84.xml"/><Relationship Id="rId106" Type="http://schemas.openxmlformats.org/officeDocument/2006/relationships/ctrlProp" Target="../ctrlProps/ctrlProp133.xml"/><Relationship Id="rId127" Type="http://schemas.openxmlformats.org/officeDocument/2006/relationships/ctrlProp" Target="../ctrlProps/ctrlProp154.xml"/><Relationship Id="rId10" Type="http://schemas.openxmlformats.org/officeDocument/2006/relationships/ctrlProp" Target="../ctrlProps/ctrlProp37.xml"/><Relationship Id="rId31" Type="http://schemas.openxmlformats.org/officeDocument/2006/relationships/ctrlProp" Target="../ctrlProps/ctrlProp58.xml"/><Relationship Id="rId52" Type="http://schemas.openxmlformats.org/officeDocument/2006/relationships/ctrlProp" Target="../ctrlProps/ctrlProp79.xml"/><Relationship Id="rId73" Type="http://schemas.openxmlformats.org/officeDocument/2006/relationships/ctrlProp" Target="../ctrlProps/ctrlProp100.xml"/><Relationship Id="rId78" Type="http://schemas.openxmlformats.org/officeDocument/2006/relationships/ctrlProp" Target="../ctrlProps/ctrlProp105.xml"/><Relationship Id="rId94" Type="http://schemas.openxmlformats.org/officeDocument/2006/relationships/ctrlProp" Target="../ctrlProps/ctrlProp121.xml"/><Relationship Id="rId99" Type="http://schemas.openxmlformats.org/officeDocument/2006/relationships/ctrlProp" Target="../ctrlProps/ctrlProp126.xml"/><Relationship Id="rId101" Type="http://schemas.openxmlformats.org/officeDocument/2006/relationships/ctrlProp" Target="../ctrlProps/ctrlProp128.xml"/><Relationship Id="rId122" Type="http://schemas.openxmlformats.org/officeDocument/2006/relationships/ctrlProp" Target="../ctrlProps/ctrlProp149.xml"/><Relationship Id="rId143" Type="http://schemas.openxmlformats.org/officeDocument/2006/relationships/ctrlProp" Target="../ctrlProps/ctrlProp170.xml"/><Relationship Id="rId148" Type="http://schemas.openxmlformats.org/officeDocument/2006/relationships/ctrlProp" Target="../ctrlProps/ctrlProp175.xml"/><Relationship Id="rId164" Type="http://schemas.openxmlformats.org/officeDocument/2006/relationships/ctrlProp" Target="../ctrlProps/ctrlProp191.xml"/><Relationship Id="rId169" Type="http://schemas.openxmlformats.org/officeDocument/2006/relationships/ctrlProp" Target="../ctrlProps/ctrlProp196.xml"/><Relationship Id="rId4" Type="http://schemas.openxmlformats.org/officeDocument/2006/relationships/ctrlProp" Target="../ctrlProps/ctrlProp31.xml"/><Relationship Id="rId9" Type="http://schemas.openxmlformats.org/officeDocument/2006/relationships/ctrlProp" Target="../ctrlProps/ctrlProp36.xml"/><Relationship Id="rId180" Type="http://schemas.openxmlformats.org/officeDocument/2006/relationships/ctrlProp" Target="../ctrlProps/ctrlProp207.xml"/><Relationship Id="rId26" Type="http://schemas.openxmlformats.org/officeDocument/2006/relationships/ctrlProp" Target="../ctrlProps/ctrlProp53.xml"/><Relationship Id="rId47" Type="http://schemas.openxmlformats.org/officeDocument/2006/relationships/ctrlProp" Target="../ctrlProps/ctrlProp74.xml"/><Relationship Id="rId68" Type="http://schemas.openxmlformats.org/officeDocument/2006/relationships/ctrlProp" Target="../ctrlProps/ctrlProp95.xml"/><Relationship Id="rId89" Type="http://schemas.openxmlformats.org/officeDocument/2006/relationships/ctrlProp" Target="../ctrlProps/ctrlProp116.xml"/><Relationship Id="rId112" Type="http://schemas.openxmlformats.org/officeDocument/2006/relationships/ctrlProp" Target="../ctrlProps/ctrlProp139.xml"/><Relationship Id="rId133" Type="http://schemas.openxmlformats.org/officeDocument/2006/relationships/ctrlProp" Target="../ctrlProps/ctrlProp160.xml"/><Relationship Id="rId154" Type="http://schemas.openxmlformats.org/officeDocument/2006/relationships/ctrlProp" Target="../ctrlProps/ctrlProp181.xml"/><Relationship Id="rId175" Type="http://schemas.openxmlformats.org/officeDocument/2006/relationships/ctrlProp" Target="../ctrlProps/ctrlProp202.xml"/><Relationship Id="rId16" Type="http://schemas.openxmlformats.org/officeDocument/2006/relationships/ctrlProp" Target="../ctrlProps/ctrlProp43.xml"/><Relationship Id="rId37" Type="http://schemas.openxmlformats.org/officeDocument/2006/relationships/ctrlProp" Target="../ctrlProps/ctrlProp64.xml"/><Relationship Id="rId58" Type="http://schemas.openxmlformats.org/officeDocument/2006/relationships/ctrlProp" Target="../ctrlProps/ctrlProp85.xml"/><Relationship Id="rId79" Type="http://schemas.openxmlformats.org/officeDocument/2006/relationships/ctrlProp" Target="../ctrlProps/ctrlProp106.xml"/><Relationship Id="rId102" Type="http://schemas.openxmlformats.org/officeDocument/2006/relationships/ctrlProp" Target="../ctrlProps/ctrlProp129.xml"/><Relationship Id="rId123" Type="http://schemas.openxmlformats.org/officeDocument/2006/relationships/ctrlProp" Target="../ctrlProps/ctrlProp150.xml"/><Relationship Id="rId144" Type="http://schemas.openxmlformats.org/officeDocument/2006/relationships/ctrlProp" Target="../ctrlProps/ctrlProp171.xml"/><Relationship Id="rId90" Type="http://schemas.openxmlformats.org/officeDocument/2006/relationships/ctrlProp" Target="../ctrlProps/ctrlProp117.xml"/><Relationship Id="rId165" Type="http://schemas.openxmlformats.org/officeDocument/2006/relationships/ctrlProp" Target="../ctrlProps/ctrlProp192.xml"/><Relationship Id="rId27" Type="http://schemas.openxmlformats.org/officeDocument/2006/relationships/ctrlProp" Target="../ctrlProps/ctrlProp54.xml"/><Relationship Id="rId48" Type="http://schemas.openxmlformats.org/officeDocument/2006/relationships/ctrlProp" Target="../ctrlProps/ctrlProp75.xml"/><Relationship Id="rId69" Type="http://schemas.openxmlformats.org/officeDocument/2006/relationships/ctrlProp" Target="../ctrlProps/ctrlProp96.xml"/><Relationship Id="rId113" Type="http://schemas.openxmlformats.org/officeDocument/2006/relationships/ctrlProp" Target="../ctrlProps/ctrlProp140.xml"/><Relationship Id="rId134" Type="http://schemas.openxmlformats.org/officeDocument/2006/relationships/ctrlProp" Target="../ctrlProps/ctrlProp161.xml"/><Relationship Id="rId80" Type="http://schemas.openxmlformats.org/officeDocument/2006/relationships/ctrlProp" Target="../ctrlProps/ctrlProp107.xml"/><Relationship Id="rId155" Type="http://schemas.openxmlformats.org/officeDocument/2006/relationships/ctrlProp" Target="../ctrlProps/ctrlProp182.xml"/><Relationship Id="rId176" Type="http://schemas.openxmlformats.org/officeDocument/2006/relationships/ctrlProp" Target="../ctrlProps/ctrlProp203.xml"/><Relationship Id="rId17" Type="http://schemas.openxmlformats.org/officeDocument/2006/relationships/ctrlProp" Target="../ctrlProps/ctrlProp44.xml"/><Relationship Id="rId38" Type="http://schemas.openxmlformats.org/officeDocument/2006/relationships/ctrlProp" Target="../ctrlProps/ctrlProp65.xml"/><Relationship Id="rId59" Type="http://schemas.openxmlformats.org/officeDocument/2006/relationships/ctrlProp" Target="../ctrlProps/ctrlProp86.xml"/><Relationship Id="rId103" Type="http://schemas.openxmlformats.org/officeDocument/2006/relationships/ctrlProp" Target="../ctrlProps/ctrlProp130.xml"/><Relationship Id="rId124" Type="http://schemas.openxmlformats.org/officeDocument/2006/relationships/ctrlProp" Target="../ctrlProps/ctrlProp151.xml"/><Relationship Id="rId70" Type="http://schemas.openxmlformats.org/officeDocument/2006/relationships/ctrlProp" Target="../ctrlProps/ctrlProp97.xml"/><Relationship Id="rId91" Type="http://schemas.openxmlformats.org/officeDocument/2006/relationships/ctrlProp" Target="../ctrlProps/ctrlProp118.xml"/><Relationship Id="rId145" Type="http://schemas.openxmlformats.org/officeDocument/2006/relationships/ctrlProp" Target="../ctrlProps/ctrlProp172.xml"/><Relationship Id="rId166" Type="http://schemas.openxmlformats.org/officeDocument/2006/relationships/ctrlProp" Target="../ctrlProps/ctrlProp193.xml"/><Relationship Id="rId1" Type="http://schemas.openxmlformats.org/officeDocument/2006/relationships/printerSettings" Target="../printerSettings/printerSettings3.bin"/><Relationship Id="rId28" Type="http://schemas.openxmlformats.org/officeDocument/2006/relationships/ctrlProp" Target="../ctrlProps/ctrlProp55.xml"/><Relationship Id="rId49" Type="http://schemas.openxmlformats.org/officeDocument/2006/relationships/ctrlProp" Target="../ctrlProps/ctrlProp76.xml"/><Relationship Id="rId114" Type="http://schemas.openxmlformats.org/officeDocument/2006/relationships/ctrlProp" Target="../ctrlProps/ctrlProp141.xm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325.xml"/><Relationship Id="rId21" Type="http://schemas.openxmlformats.org/officeDocument/2006/relationships/ctrlProp" Target="../ctrlProps/ctrlProp229.xml"/><Relationship Id="rId42" Type="http://schemas.openxmlformats.org/officeDocument/2006/relationships/ctrlProp" Target="../ctrlProps/ctrlProp250.xml"/><Relationship Id="rId47" Type="http://schemas.openxmlformats.org/officeDocument/2006/relationships/ctrlProp" Target="../ctrlProps/ctrlProp255.xml"/><Relationship Id="rId63" Type="http://schemas.openxmlformats.org/officeDocument/2006/relationships/ctrlProp" Target="../ctrlProps/ctrlProp271.xml"/><Relationship Id="rId68" Type="http://schemas.openxmlformats.org/officeDocument/2006/relationships/ctrlProp" Target="../ctrlProps/ctrlProp276.xml"/><Relationship Id="rId84" Type="http://schemas.openxmlformats.org/officeDocument/2006/relationships/ctrlProp" Target="../ctrlProps/ctrlProp292.xml"/><Relationship Id="rId89" Type="http://schemas.openxmlformats.org/officeDocument/2006/relationships/ctrlProp" Target="../ctrlProps/ctrlProp297.xml"/><Relationship Id="rId112" Type="http://schemas.openxmlformats.org/officeDocument/2006/relationships/ctrlProp" Target="../ctrlProps/ctrlProp320.xml"/><Relationship Id="rId16" Type="http://schemas.openxmlformats.org/officeDocument/2006/relationships/ctrlProp" Target="../ctrlProps/ctrlProp224.xml"/><Relationship Id="rId107" Type="http://schemas.openxmlformats.org/officeDocument/2006/relationships/ctrlProp" Target="../ctrlProps/ctrlProp315.xml"/><Relationship Id="rId11" Type="http://schemas.openxmlformats.org/officeDocument/2006/relationships/ctrlProp" Target="../ctrlProps/ctrlProp219.xml"/><Relationship Id="rId32" Type="http://schemas.openxmlformats.org/officeDocument/2006/relationships/ctrlProp" Target="../ctrlProps/ctrlProp240.xml"/><Relationship Id="rId37" Type="http://schemas.openxmlformats.org/officeDocument/2006/relationships/ctrlProp" Target="../ctrlProps/ctrlProp245.xml"/><Relationship Id="rId53" Type="http://schemas.openxmlformats.org/officeDocument/2006/relationships/ctrlProp" Target="../ctrlProps/ctrlProp261.xml"/><Relationship Id="rId58" Type="http://schemas.openxmlformats.org/officeDocument/2006/relationships/ctrlProp" Target="../ctrlProps/ctrlProp266.xml"/><Relationship Id="rId74" Type="http://schemas.openxmlformats.org/officeDocument/2006/relationships/ctrlProp" Target="../ctrlProps/ctrlProp282.xml"/><Relationship Id="rId79" Type="http://schemas.openxmlformats.org/officeDocument/2006/relationships/ctrlProp" Target="../ctrlProps/ctrlProp287.xml"/><Relationship Id="rId102" Type="http://schemas.openxmlformats.org/officeDocument/2006/relationships/ctrlProp" Target="../ctrlProps/ctrlProp310.xml"/><Relationship Id="rId123" Type="http://schemas.openxmlformats.org/officeDocument/2006/relationships/ctrlProp" Target="../ctrlProps/ctrlProp331.xml"/><Relationship Id="rId128" Type="http://schemas.openxmlformats.org/officeDocument/2006/relationships/ctrlProp" Target="../ctrlProps/ctrlProp336.xml"/><Relationship Id="rId5" Type="http://schemas.openxmlformats.org/officeDocument/2006/relationships/ctrlProp" Target="../ctrlProps/ctrlProp213.xml"/><Relationship Id="rId90" Type="http://schemas.openxmlformats.org/officeDocument/2006/relationships/ctrlProp" Target="../ctrlProps/ctrlProp298.xml"/><Relationship Id="rId95" Type="http://schemas.openxmlformats.org/officeDocument/2006/relationships/ctrlProp" Target="../ctrlProps/ctrlProp303.xml"/><Relationship Id="rId22" Type="http://schemas.openxmlformats.org/officeDocument/2006/relationships/ctrlProp" Target="../ctrlProps/ctrlProp230.xml"/><Relationship Id="rId27" Type="http://schemas.openxmlformats.org/officeDocument/2006/relationships/ctrlProp" Target="../ctrlProps/ctrlProp235.xml"/><Relationship Id="rId43" Type="http://schemas.openxmlformats.org/officeDocument/2006/relationships/ctrlProp" Target="../ctrlProps/ctrlProp251.xml"/><Relationship Id="rId48" Type="http://schemas.openxmlformats.org/officeDocument/2006/relationships/ctrlProp" Target="../ctrlProps/ctrlProp256.xml"/><Relationship Id="rId64" Type="http://schemas.openxmlformats.org/officeDocument/2006/relationships/ctrlProp" Target="../ctrlProps/ctrlProp272.xml"/><Relationship Id="rId69" Type="http://schemas.openxmlformats.org/officeDocument/2006/relationships/ctrlProp" Target="../ctrlProps/ctrlProp277.xml"/><Relationship Id="rId113" Type="http://schemas.openxmlformats.org/officeDocument/2006/relationships/ctrlProp" Target="../ctrlProps/ctrlProp321.xml"/><Relationship Id="rId118" Type="http://schemas.openxmlformats.org/officeDocument/2006/relationships/ctrlProp" Target="../ctrlProps/ctrlProp326.xml"/><Relationship Id="rId80" Type="http://schemas.openxmlformats.org/officeDocument/2006/relationships/ctrlProp" Target="../ctrlProps/ctrlProp288.xml"/><Relationship Id="rId85" Type="http://schemas.openxmlformats.org/officeDocument/2006/relationships/ctrlProp" Target="../ctrlProps/ctrlProp293.xml"/><Relationship Id="rId12" Type="http://schemas.openxmlformats.org/officeDocument/2006/relationships/ctrlProp" Target="../ctrlProps/ctrlProp220.xml"/><Relationship Id="rId17" Type="http://schemas.openxmlformats.org/officeDocument/2006/relationships/ctrlProp" Target="../ctrlProps/ctrlProp225.xml"/><Relationship Id="rId33" Type="http://schemas.openxmlformats.org/officeDocument/2006/relationships/ctrlProp" Target="../ctrlProps/ctrlProp241.xml"/><Relationship Id="rId38" Type="http://schemas.openxmlformats.org/officeDocument/2006/relationships/ctrlProp" Target="../ctrlProps/ctrlProp246.xml"/><Relationship Id="rId59" Type="http://schemas.openxmlformats.org/officeDocument/2006/relationships/ctrlProp" Target="../ctrlProps/ctrlProp267.xml"/><Relationship Id="rId103" Type="http://schemas.openxmlformats.org/officeDocument/2006/relationships/ctrlProp" Target="../ctrlProps/ctrlProp311.xml"/><Relationship Id="rId108" Type="http://schemas.openxmlformats.org/officeDocument/2006/relationships/ctrlProp" Target="../ctrlProps/ctrlProp316.xml"/><Relationship Id="rId124" Type="http://schemas.openxmlformats.org/officeDocument/2006/relationships/ctrlProp" Target="../ctrlProps/ctrlProp332.xml"/><Relationship Id="rId129" Type="http://schemas.openxmlformats.org/officeDocument/2006/relationships/comments" Target="../comments2.xml"/><Relationship Id="rId54" Type="http://schemas.openxmlformats.org/officeDocument/2006/relationships/ctrlProp" Target="../ctrlProps/ctrlProp262.xml"/><Relationship Id="rId70" Type="http://schemas.openxmlformats.org/officeDocument/2006/relationships/ctrlProp" Target="../ctrlProps/ctrlProp278.xml"/><Relationship Id="rId75" Type="http://schemas.openxmlformats.org/officeDocument/2006/relationships/ctrlProp" Target="../ctrlProps/ctrlProp283.xml"/><Relationship Id="rId91" Type="http://schemas.openxmlformats.org/officeDocument/2006/relationships/ctrlProp" Target="../ctrlProps/ctrlProp299.xml"/><Relationship Id="rId96" Type="http://schemas.openxmlformats.org/officeDocument/2006/relationships/ctrlProp" Target="../ctrlProps/ctrlProp30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214.xml"/><Relationship Id="rId23" Type="http://schemas.openxmlformats.org/officeDocument/2006/relationships/ctrlProp" Target="../ctrlProps/ctrlProp231.xml"/><Relationship Id="rId28" Type="http://schemas.openxmlformats.org/officeDocument/2006/relationships/ctrlProp" Target="../ctrlProps/ctrlProp236.xml"/><Relationship Id="rId49" Type="http://schemas.openxmlformats.org/officeDocument/2006/relationships/ctrlProp" Target="../ctrlProps/ctrlProp257.xml"/><Relationship Id="rId114" Type="http://schemas.openxmlformats.org/officeDocument/2006/relationships/ctrlProp" Target="../ctrlProps/ctrlProp322.xml"/><Relationship Id="rId119" Type="http://schemas.openxmlformats.org/officeDocument/2006/relationships/ctrlProp" Target="../ctrlProps/ctrlProp327.xml"/><Relationship Id="rId44" Type="http://schemas.openxmlformats.org/officeDocument/2006/relationships/ctrlProp" Target="../ctrlProps/ctrlProp252.xml"/><Relationship Id="rId60" Type="http://schemas.openxmlformats.org/officeDocument/2006/relationships/ctrlProp" Target="../ctrlProps/ctrlProp268.xml"/><Relationship Id="rId65" Type="http://schemas.openxmlformats.org/officeDocument/2006/relationships/ctrlProp" Target="../ctrlProps/ctrlProp273.xml"/><Relationship Id="rId81" Type="http://schemas.openxmlformats.org/officeDocument/2006/relationships/ctrlProp" Target="../ctrlProps/ctrlProp289.xml"/><Relationship Id="rId86" Type="http://schemas.openxmlformats.org/officeDocument/2006/relationships/ctrlProp" Target="../ctrlProps/ctrlProp294.xml"/><Relationship Id="rId13" Type="http://schemas.openxmlformats.org/officeDocument/2006/relationships/ctrlProp" Target="../ctrlProps/ctrlProp221.xml"/><Relationship Id="rId18" Type="http://schemas.openxmlformats.org/officeDocument/2006/relationships/ctrlProp" Target="../ctrlProps/ctrlProp226.xml"/><Relationship Id="rId39" Type="http://schemas.openxmlformats.org/officeDocument/2006/relationships/ctrlProp" Target="../ctrlProps/ctrlProp247.xml"/><Relationship Id="rId109" Type="http://schemas.openxmlformats.org/officeDocument/2006/relationships/ctrlProp" Target="../ctrlProps/ctrlProp317.xml"/><Relationship Id="rId34" Type="http://schemas.openxmlformats.org/officeDocument/2006/relationships/ctrlProp" Target="../ctrlProps/ctrlProp242.xml"/><Relationship Id="rId50" Type="http://schemas.openxmlformats.org/officeDocument/2006/relationships/ctrlProp" Target="../ctrlProps/ctrlProp258.xml"/><Relationship Id="rId55" Type="http://schemas.openxmlformats.org/officeDocument/2006/relationships/ctrlProp" Target="../ctrlProps/ctrlProp263.xml"/><Relationship Id="rId76" Type="http://schemas.openxmlformats.org/officeDocument/2006/relationships/ctrlProp" Target="../ctrlProps/ctrlProp284.xml"/><Relationship Id="rId97" Type="http://schemas.openxmlformats.org/officeDocument/2006/relationships/ctrlProp" Target="../ctrlProps/ctrlProp305.xml"/><Relationship Id="rId104" Type="http://schemas.openxmlformats.org/officeDocument/2006/relationships/ctrlProp" Target="../ctrlProps/ctrlProp312.xml"/><Relationship Id="rId120" Type="http://schemas.openxmlformats.org/officeDocument/2006/relationships/ctrlProp" Target="../ctrlProps/ctrlProp328.xml"/><Relationship Id="rId125" Type="http://schemas.openxmlformats.org/officeDocument/2006/relationships/ctrlProp" Target="../ctrlProps/ctrlProp333.xml"/><Relationship Id="rId7" Type="http://schemas.openxmlformats.org/officeDocument/2006/relationships/ctrlProp" Target="../ctrlProps/ctrlProp215.xml"/><Relationship Id="rId71" Type="http://schemas.openxmlformats.org/officeDocument/2006/relationships/ctrlProp" Target="../ctrlProps/ctrlProp279.xml"/><Relationship Id="rId92" Type="http://schemas.openxmlformats.org/officeDocument/2006/relationships/ctrlProp" Target="../ctrlProps/ctrlProp300.xml"/><Relationship Id="rId2" Type="http://schemas.openxmlformats.org/officeDocument/2006/relationships/drawing" Target="../drawings/drawing3.xml"/><Relationship Id="rId29" Type="http://schemas.openxmlformats.org/officeDocument/2006/relationships/ctrlProp" Target="../ctrlProps/ctrlProp237.xml"/><Relationship Id="rId24" Type="http://schemas.openxmlformats.org/officeDocument/2006/relationships/ctrlProp" Target="../ctrlProps/ctrlProp232.xml"/><Relationship Id="rId40" Type="http://schemas.openxmlformats.org/officeDocument/2006/relationships/ctrlProp" Target="../ctrlProps/ctrlProp248.xml"/><Relationship Id="rId45" Type="http://schemas.openxmlformats.org/officeDocument/2006/relationships/ctrlProp" Target="../ctrlProps/ctrlProp253.xml"/><Relationship Id="rId66" Type="http://schemas.openxmlformats.org/officeDocument/2006/relationships/ctrlProp" Target="../ctrlProps/ctrlProp274.xml"/><Relationship Id="rId87" Type="http://schemas.openxmlformats.org/officeDocument/2006/relationships/ctrlProp" Target="../ctrlProps/ctrlProp295.xml"/><Relationship Id="rId110" Type="http://schemas.openxmlformats.org/officeDocument/2006/relationships/ctrlProp" Target="../ctrlProps/ctrlProp318.xml"/><Relationship Id="rId115" Type="http://schemas.openxmlformats.org/officeDocument/2006/relationships/ctrlProp" Target="../ctrlProps/ctrlProp323.xml"/><Relationship Id="rId61" Type="http://schemas.openxmlformats.org/officeDocument/2006/relationships/ctrlProp" Target="../ctrlProps/ctrlProp269.xml"/><Relationship Id="rId82" Type="http://schemas.openxmlformats.org/officeDocument/2006/relationships/ctrlProp" Target="../ctrlProps/ctrlProp290.xml"/><Relationship Id="rId19" Type="http://schemas.openxmlformats.org/officeDocument/2006/relationships/ctrlProp" Target="../ctrlProps/ctrlProp227.xml"/><Relationship Id="rId14" Type="http://schemas.openxmlformats.org/officeDocument/2006/relationships/ctrlProp" Target="../ctrlProps/ctrlProp222.xml"/><Relationship Id="rId30" Type="http://schemas.openxmlformats.org/officeDocument/2006/relationships/ctrlProp" Target="../ctrlProps/ctrlProp238.xml"/><Relationship Id="rId35" Type="http://schemas.openxmlformats.org/officeDocument/2006/relationships/ctrlProp" Target="../ctrlProps/ctrlProp243.xml"/><Relationship Id="rId56" Type="http://schemas.openxmlformats.org/officeDocument/2006/relationships/ctrlProp" Target="../ctrlProps/ctrlProp264.xml"/><Relationship Id="rId77" Type="http://schemas.openxmlformats.org/officeDocument/2006/relationships/ctrlProp" Target="../ctrlProps/ctrlProp285.xml"/><Relationship Id="rId100" Type="http://schemas.openxmlformats.org/officeDocument/2006/relationships/ctrlProp" Target="../ctrlProps/ctrlProp308.xml"/><Relationship Id="rId105" Type="http://schemas.openxmlformats.org/officeDocument/2006/relationships/ctrlProp" Target="../ctrlProps/ctrlProp313.xml"/><Relationship Id="rId126" Type="http://schemas.openxmlformats.org/officeDocument/2006/relationships/ctrlProp" Target="../ctrlProps/ctrlProp334.xml"/><Relationship Id="rId8" Type="http://schemas.openxmlformats.org/officeDocument/2006/relationships/ctrlProp" Target="../ctrlProps/ctrlProp216.xml"/><Relationship Id="rId51" Type="http://schemas.openxmlformats.org/officeDocument/2006/relationships/ctrlProp" Target="../ctrlProps/ctrlProp259.xml"/><Relationship Id="rId72" Type="http://schemas.openxmlformats.org/officeDocument/2006/relationships/ctrlProp" Target="../ctrlProps/ctrlProp280.xml"/><Relationship Id="rId93" Type="http://schemas.openxmlformats.org/officeDocument/2006/relationships/ctrlProp" Target="../ctrlProps/ctrlProp301.xml"/><Relationship Id="rId98" Type="http://schemas.openxmlformats.org/officeDocument/2006/relationships/ctrlProp" Target="../ctrlProps/ctrlProp306.xml"/><Relationship Id="rId121" Type="http://schemas.openxmlformats.org/officeDocument/2006/relationships/ctrlProp" Target="../ctrlProps/ctrlProp329.xml"/><Relationship Id="rId3" Type="http://schemas.openxmlformats.org/officeDocument/2006/relationships/vmlDrawing" Target="../drawings/vmlDrawing3.vml"/><Relationship Id="rId25" Type="http://schemas.openxmlformats.org/officeDocument/2006/relationships/ctrlProp" Target="../ctrlProps/ctrlProp233.xml"/><Relationship Id="rId46" Type="http://schemas.openxmlformats.org/officeDocument/2006/relationships/ctrlProp" Target="../ctrlProps/ctrlProp254.xml"/><Relationship Id="rId67" Type="http://schemas.openxmlformats.org/officeDocument/2006/relationships/ctrlProp" Target="../ctrlProps/ctrlProp275.xml"/><Relationship Id="rId116" Type="http://schemas.openxmlformats.org/officeDocument/2006/relationships/ctrlProp" Target="../ctrlProps/ctrlProp324.xml"/><Relationship Id="rId20" Type="http://schemas.openxmlformats.org/officeDocument/2006/relationships/ctrlProp" Target="../ctrlProps/ctrlProp228.xml"/><Relationship Id="rId41" Type="http://schemas.openxmlformats.org/officeDocument/2006/relationships/ctrlProp" Target="../ctrlProps/ctrlProp249.xml"/><Relationship Id="rId62" Type="http://schemas.openxmlformats.org/officeDocument/2006/relationships/ctrlProp" Target="../ctrlProps/ctrlProp270.xml"/><Relationship Id="rId83" Type="http://schemas.openxmlformats.org/officeDocument/2006/relationships/ctrlProp" Target="../ctrlProps/ctrlProp291.xml"/><Relationship Id="rId88" Type="http://schemas.openxmlformats.org/officeDocument/2006/relationships/ctrlProp" Target="../ctrlProps/ctrlProp296.xml"/><Relationship Id="rId111" Type="http://schemas.openxmlformats.org/officeDocument/2006/relationships/ctrlProp" Target="../ctrlProps/ctrlProp319.xml"/><Relationship Id="rId15" Type="http://schemas.openxmlformats.org/officeDocument/2006/relationships/ctrlProp" Target="../ctrlProps/ctrlProp223.xml"/><Relationship Id="rId36" Type="http://schemas.openxmlformats.org/officeDocument/2006/relationships/ctrlProp" Target="../ctrlProps/ctrlProp244.xml"/><Relationship Id="rId57" Type="http://schemas.openxmlformats.org/officeDocument/2006/relationships/ctrlProp" Target="../ctrlProps/ctrlProp265.xml"/><Relationship Id="rId106" Type="http://schemas.openxmlformats.org/officeDocument/2006/relationships/ctrlProp" Target="../ctrlProps/ctrlProp314.xml"/><Relationship Id="rId127" Type="http://schemas.openxmlformats.org/officeDocument/2006/relationships/ctrlProp" Target="../ctrlProps/ctrlProp335.xml"/><Relationship Id="rId10" Type="http://schemas.openxmlformats.org/officeDocument/2006/relationships/ctrlProp" Target="../ctrlProps/ctrlProp218.xml"/><Relationship Id="rId31" Type="http://schemas.openxmlformats.org/officeDocument/2006/relationships/ctrlProp" Target="../ctrlProps/ctrlProp239.xml"/><Relationship Id="rId52" Type="http://schemas.openxmlformats.org/officeDocument/2006/relationships/ctrlProp" Target="../ctrlProps/ctrlProp260.xml"/><Relationship Id="rId73" Type="http://schemas.openxmlformats.org/officeDocument/2006/relationships/ctrlProp" Target="../ctrlProps/ctrlProp281.xml"/><Relationship Id="rId78" Type="http://schemas.openxmlformats.org/officeDocument/2006/relationships/ctrlProp" Target="../ctrlProps/ctrlProp286.xml"/><Relationship Id="rId94" Type="http://schemas.openxmlformats.org/officeDocument/2006/relationships/ctrlProp" Target="../ctrlProps/ctrlProp302.xml"/><Relationship Id="rId99" Type="http://schemas.openxmlformats.org/officeDocument/2006/relationships/ctrlProp" Target="../ctrlProps/ctrlProp307.xml"/><Relationship Id="rId101" Type="http://schemas.openxmlformats.org/officeDocument/2006/relationships/ctrlProp" Target="../ctrlProps/ctrlProp309.xml"/><Relationship Id="rId122" Type="http://schemas.openxmlformats.org/officeDocument/2006/relationships/ctrlProp" Target="../ctrlProps/ctrlProp330.xml"/><Relationship Id="rId4" Type="http://schemas.openxmlformats.org/officeDocument/2006/relationships/ctrlProp" Target="../ctrlProps/ctrlProp212.xml"/><Relationship Id="rId9" Type="http://schemas.openxmlformats.org/officeDocument/2006/relationships/ctrlProp" Target="../ctrlProps/ctrlProp217.xml"/><Relationship Id="rId26" Type="http://schemas.openxmlformats.org/officeDocument/2006/relationships/ctrlProp" Target="../ctrlProps/ctrlProp234.xm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450.xml"/><Relationship Id="rId21" Type="http://schemas.openxmlformats.org/officeDocument/2006/relationships/ctrlProp" Target="../ctrlProps/ctrlProp354.xml"/><Relationship Id="rId42" Type="http://schemas.openxmlformats.org/officeDocument/2006/relationships/ctrlProp" Target="../ctrlProps/ctrlProp375.xml"/><Relationship Id="rId63" Type="http://schemas.openxmlformats.org/officeDocument/2006/relationships/ctrlProp" Target="../ctrlProps/ctrlProp396.xml"/><Relationship Id="rId84" Type="http://schemas.openxmlformats.org/officeDocument/2006/relationships/ctrlProp" Target="../ctrlProps/ctrlProp417.xml"/><Relationship Id="rId138" Type="http://schemas.openxmlformats.org/officeDocument/2006/relationships/ctrlProp" Target="../ctrlProps/ctrlProp471.xml"/><Relationship Id="rId159" Type="http://schemas.openxmlformats.org/officeDocument/2006/relationships/ctrlProp" Target="../ctrlProps/ctrlProp492.xml"/><Relationship Id="rId170" Type="http://schemas.openxmlformats.org/officeDocument/2006/relationships/ctrlProp" Target="../ctrlProps/ctrlProp503.xml"/><Relationship Id="rId107" Type="http://schemas.openxmlformats.org/officeDocument/2006/relationships/ctrlProp" Target="../ctrlProps/ctrlProp440.xml"/><Relationship Id="rId11" Type="http://schemas.openxmlformats.org/officeDocument/2006/relationships/ctrlProp" Target="../ctrlProps/ctrlProp344.xml"/><Relationship Id="rId32" Type="http://schemas.openxmlformats.org/officeDocument/2006/relationships/ctrlProp" Target="../ctrlProps/ctrlProp365.xml"/><Relationship Id="rId53" Type="http://schemas.openxmlformats.org/officeDocument/2006/relationships/ctrlProp" Target="../ctrlProps/ctrlProp386.xml"/><Relationship Id="rId74" Type="http://schemas.openxmlformats.org/officeDocument/2006/relationships/ctrlProp" Target="../ctrlProps/ctrlProp407.xml"/><Relationship Id="rId128" Type="http://schemas.openxmlformats.org/officeDocument/2006/relationships/ctrlProp" Target="../ctrlProps/ctrlProp461.xml"/><Relationship Id="rId149" Type="http://schemas.openxmlformats.org/officeDocument/2006/relationships/ctrlProp" Target="../ctrlProps/ctrlProp482.xml"/><Relationship Id="rId5" Type="http://schemas.openxmlformats.org/officeDocument/2006/relationships/ctrlProp" Target="../ctrlProps/ctrlProp338.xml"/><Relationship Id="rId95" Type="http://schemas.openxmlformats.org/officeDocument/2006/relationships/ctrlProp" Target="../ctrlProps/ctrlProp428.xml"/><Relationship Id="rId160" Type="http://schemas.openxmlformats.org/officeDocument/2006/relationships/ctrlProp" Target="../ctrlProps/ctrlProp493.xml"/><Relationship Id="rId181" Type="http://schemas.openxmlformats.org/officeDocument/2006/relationships/ctrlProp" Target="../ctrlProps/ctrlProp514.xml"/><Relationship Id="rId22" Type="http://schemas.openxmlformats.org/officeDocument/2006/relationships/ctrlProp" Target="../ctrlProps/ctrlProp355.xml"/><Relationship Id="rId43" Type="http://schemas.openxmlformats.org/officeDocument/2006/relationships/ctrlProp" Target="../ctrlProps/ctrlProp376.xml"/><Relationship Id="rId64" Type="http://schemas.openxmlformats.org/officeDocument/2006/relationships/ctrlProp" Target="../ctrlProps/ctrlProp397.xml"/><Relationship Id="rId118" Type="http://schemas.openxmlformats.org/officeDocument/2006/relationships/ctrlProp" Target="../ctrlProps/ctrlProp451.xml"/><Relationship Id="rId139" Type="http://schemas.openxmlformats.org/officeDocument/2006/relationships/ctrlProp" Target="../ctrlProps/ctrlProp472.xml"/><Relationship Id="rId85" Type="http://schemas.openxmlformats.org/officeDocument/2006/relationships/ctrlProp" Target="../ctrlProps/ctrlProp418.xml"/><Relationship Id="rId150" Type="http://schemas.openxmlformats.org/officeDocument/2006/relationships/ctrlProp" Target="../ctrlProps/ctrlProp483.xml"/><Relationship Id="rId171" Type="http://schemas.openxmlformats.org/officeDocument/2006/relationships/ctrlProp" Target="../ctrlProps/ctrlProp504.xml"/><Relationship Id="rId12" Type="http://schemas.openxmlformats.org/officeDocument/2006/relationships/ctrlProp" Target="../ctrlProps/ctrlProp345.xml"/><Relationship Id="rId33" Type="http://schemas.openxmlformats.org/officeDocument/2006/relationships/ctrlProp" Target="../ctrlProps/ctrlProp366.xml"/><Relationship Id="rId108" Type="http://schemas.openxmlformats.org/officeDocument/2006/relationships/ctrlProp" Target="../ctrlProps/ctrlProp441.xml"/><Relationship Id="rId129" Type="http://schemas.openxmlformats.org/officeDocument/2006/relationships/ctrlProp" Target="../ctrlProps/ctrlProp462.xml"/><Relationship Id="rId54" Type="http://schemas.openxmlformats.org/officeDocument/2006/relationships/ctrlProp" Target="../ctrlProps/ctrlProp387.xml"/><Relationship Id="rId75" Type="http://schemas.openxmlformats.org/officeDocument/2006/relationships/ctrlProp" Target="../ctrlProps/ctrlProp408.xml"/><Relationship Id="rId96" Type="http://schemas.openxmlformats.org/officeDocument/2006/relationships/ctrlProp" Target="../ctrlProps/ctrlProp429.xml"/><Relationship Id="rId140" Type="http://schemas.openxmlformats.org/officeDocument/2006/relationships/ctrlProp" Target="../ctrlProps/ctrlProp473.xml"/><Relationship Id="rId161" Type="http://schemas.openxmlformats.org/officeDocument/2006/relationships/ctrlProp" Target="../ctrlProps/ctrlProp494.xml"/><Relationship Id="rId182" Type="http://schemas.openxmlformats.org/officeDocument/2006/relationships/ctrlProp" Target="../ctrlProps/ctrlProp515.xml"/><Relationship Id="rId6" Type="http://schemas.openxmlformats.org/officeDocument/2006/relationships/ctrlProp" Target="../ctrlProps/ctrlProp339.xml"/><Relationship Id="rId23" Type="http://schemas.openxmlformats.org/officeDocument/2006/relationships/ctrlProp" Target="../ctrlProps/ctrlProp356.xml"/><Relationship Id="rId119" Type="http://schemas.openxmlformats.org/officeDocument/2006/relationships/ctrlProp" Target="../ctrlProps/ctrlProp452.xml"/><Relationship Id="rId44" Type="http://schemas.openxmlformats.org/officeDocument/2006/relationships/ctrlProp" Target="../ctrlProps/ctrlProp377.xml"/><Relationship Id="rId65" Type="http://schemas.openxmlformats.org/officeDocument/2006/relationships/ctrlProp" Target="../ctrlProps/ctrlProp398.xml"/><Relationship Id="rId86" Type="http://schemas.openxmlformats.org/officeDocument/2006/relationships/ctrlProp" Target="../ctrlProps/ctrlProp419.xml"/><Relationship Id="rId130" Type="http://schemas.openxmlformats.org/officeDocument/2006/relationships/ctrlProp" Target="../ctrlProps/ctrlProp463.xml"/><Relationship Id="rId151" Type="http://schemas.openxmlformats.org/officeDocument/2006/relationships/ctrlProp" Target="../ctrlProps/ctrlProp484.xml"/><Relationship Id="rId172" Type="http://schemas.openxmlformats.org/officeDocument/2006/relationships/ctrlProp" Target="../ctrlProps/ctrlProp505.xml"/><Relationship Id="rId13" Type="http://schemas.openxmlformats.org/officeDocument/2006/relationships/ctrlProp" Target="../ctrlProps/ctrlProp346.xml"/><Relationship Id="rId18" Type="http://schemas.openxmlformats.org/officeDocument/2006/relationships/ctrlProp" Target="../ctrlProps/ctrlProp351.xml"/><Relationship Id="rId39" Type="http://schemas.openxmlformats.org/officeDocument/2006/relationships/ctrlProp" Target="../ctrlProps/ctrlProp372.xml"/><Relationship Id="rId109" Type="http://schemas.openxmlformats.org/officeDocument/2006/relationships/ctrlProp" Target="../ctrlProps/ctrlProp442.xml"/><Relationship Id="rId34" Type="http://schemas.openxmlformats.org/officeDocument/2006/relationships/ctrlProp" Target="../ctrlProps/ctrlProp367.xml"/><Relationship Id="rId50" Type="http://schemas.openxmlformats.org/officeDocument/2006/relationships/ctrlProp" Target="../ctrlProps/ctrlProp383.xml"/><Relationship Id="rId55" Type="http://schemas.openxmlformats.org/officeDocument/2006/relationships/ctrlProp" Target="../ctrlProps/ctrlProp388.xml"/><Relationship Id="rId76" Type="http://schemas.openxmlformats.org/officeDocument/2006/relationships/ctrlProp" Target="../ctrlProps/ctrlProp409.xml"/><Relationship Id="rId97" Type="http://schemas.openxmlformats.org/officeDocument/2006/relationships/ctrlProp" Target="../ctrlProps/ctrlProp430.xml"/><Relationship Id="rId104" Type="http://schemas.openxmlformats.org/officeDocument/2006/relationships/ctrlProp" Target="../ctrlProps/ctrlProp437.xml"/><Relationship Id="rId120" Type="http://schemas.openxmlformats.org/officeDocument/2006/relationships/ctrlProp" Target="../ctrlProps/ctrlProp453.xml"/><Relationship Id="rId125" Type="http://schemas.openxmlformats.org/officeDocument/2006/relationships/ctrlProp" Target="../ctrlProps/ctrlProp458.xml"/><Relationship Id="rId141" Type="http://schemas.openxmlformats.org/officeDocument/2006/relationships/ctrlProp" Target="../ctrlProps/ctrlProp474.xml"/><Relationship Id="rId146" Type="http://schemas.openxmlformats.org/officeDocument/2006/relationships/ctrlProp" Target="../ctrlProps/ctrlProp479.xml"/><Relationship Id="rId167" Type="http://schemas.openxmlformats.org/officeDocument/2006/relationships/ctrlProp" Target="../ctrlProps/ctrlProp500.xml"/><Relationship Id="rId7" Type="http://schemas.openxmlformats.org/officeDocument/2006/relationships/ctrlProp" Target="../ctrlProps/ctrlProp340.xml"/><Relationship Id="rId71" Type="http://schemas.openxmlformats.org/officeDocument/2006/relationships/ctrlProp" Target="../ctrlProps/ctrlProp404.xml"/><Relationship Id="rId92" Type="http://schemas.openxmlformats.org/officeDocument/2006/relationships/ctrlProp" Target="../ctrlProps/ctrlProp425.xml"/><Relationship Id="rId162" Type="http://schemas.openxmlformats.org/officeDocument/2006/relationships/ctrlProp" Target="../ctrlProps/ctrlProp495.xml"/><Relationship Id="rId183" Type="http://schemas.openxmlformats.org/officeDocument/2006/relationships/ctrlProp" Target="../ctrlProps/ctrlProp516.xml"/><Relationship Id="rId2" Type="http://schemas.openxmlformats.org/officeDocument/2006/relationships/drawing" Target="../drawings/drawing4.xml"/><Relationship Id="rId29" Type="http://schemas.openxmlformats.org/officeDocument/2006/relationships/ctrlProp" Target="../ctrlProps/ctrlProp362.xml"/><Relationship Id="rId24" Type="http://schemas.openxmlformats.org/officeDocument/2006/relationships/ctrlProp" Target="../ctrlProps/ctrlProp357.xml"/><Relationship Id="rId40" Type="http://schemas.openxmlformats.org/officeDocument/2006/relationships/ctrlProp" Target="../ctrlProps/ctrlProp373.xml"/><Relationship Id="rId45" Type="http://schemas.openxmlformats.org/officeDocument/2006/relationships/ctrlProp" Target="../ctrlProps/ctrlProp378.xml"/><Relationship Id="rId66" Type="http://schemas.openxmlformats.org/officeDocument/2006/relationships/ctrlProp" Target="../ctrlProps/ctrlProp399.xml"/><Relationship Id="rId87" Type="http://schemas.openxmlformats.org/officeDocument/2006/relationships/ctrlProp" Target="../ctrlProps/ctrlProp420.xml"/><Relationship Id="rId110" Type="http://schemas.openxmlformats.org/officeDocument/2006/relationships/ctrlProp" Target="../ctrlProps/ctrlProp443.xml"/><Relationship Id="rId115" Type="http://schemas.openxmlformats.org/officeDocument/2006/relationships/ctrlProp" Target="../ctrlProps/ctrlProp448.xml"/><Relationship Id="rId131" Type="http://schemas.openxmlformats.org/officeDocument/2006/relationships/ctrlProp" Target="../ctrlProps/ctrlProp464.xml"/><Relationship Id="rId136" Type="http://schemas.openxmlformats.org/officeDocument/2006/relationships/ctrlProp" Target="../ctrlProps/ctrlProp469.xml"/><Relationship Id="rId157" Type="http://schemas.openxmlformats.org/officeDocument/2006/relationships/ctrlProp" Target="../ctrlProps/ctrlProp490.xml"/><Relationship Id="rId178" Type="http://schemas.openxmlformats.org/officeDocument/2006/relationships/ctrlProp" Target="../ctrlProps/ctrlProp511.xml"/><Relationship Id="rId61" Type="http://schemas.openxmlformats.org/officeDocument/2006/relationships/ctrlProp" Target="../ctrlProps/ctrlProp394.xml"/><Relationship Id="rId82" Type="http://schemas.openxmlformats.org/officeDocument/2006/relationships/ctrlProp" Target="../ctrlProps/ctrlProp415.xml"/><Relationship Id="rId152" Type="http://schemas.openxmlformats.org/officeDocument/2006/relationships/ctrlProp" Target="../ctrlProps/ctrlProp485.xml"/><Relationship Id="rId173" Type="http://schemas.openxmlformats.org/officeDocument/2006/relationships/ctrlProp" Target="../ctrlProps/ctrlProp506.xml"/><Relationship Id="rId19" Type="http://schemas.openxmlformats.org/officeDocument/2006/relationships/ctrlProp" Target="../ctrlProps/ctrlProp352.xml"/><Relationship Id="rId14" Type="http://schemas.openxmlformats.org/officeDocument/2006/relationships/ctrlProp" Target="../ctrlProps/ctrlProp347.xml"/><Relationship Id="rId30" Type="http://schemas.openxmlformats.org/officeDocument/2006/relationships/ctrlProp" Target="../ctrlProps/ctrlProp363.xml"/><Relationship Id="rId35" Type="http://schemas.openxmlformats.org/officeDocument/2006/relationships/ctrlProp" Target="../ctrlProps/ctrlProp368.xml"/><Relationship Id="rId56" Type="http://schemas.openxmlformats.org/officeDocument/2006/relationships/ctrlProp" Target="../ctrlProps/ctrlProp389.xml"/><Relationship Id="rId77" Type="http://schemas.openxmlformats.org/officeDocument/2006/relationships/ctrlProp" Target="../ctrlProps/ctrlProp410.xml"/><Relationship Id="rId100" Type="http://schemas.openxmlformats.org/officeDocument/2006/relationships/ctrlProp" Target="../ctrlProps/ctrlProp433.xml"/><Relationship Id="rId105" Type="http://schemas.openxmlformats.org/officeDocument/2006/relationships/ctrlProp" Target="../ctrlProps/ctrlProp438.xml"/><Relationship Id="rId126" Type="http://schemas.openxmlformats.org/officeDocument/2006/relationships/ctrlProp" Target="../ctrlProps/ctrlProp459.xml"/><Relationship Id="rId147" Type="http://schemas.openxmlformats.org/officeDocument/2006/relationships/ctrlProp" Target="../ctrlProps/ctrlProp480.xml"/><Relationship Id="rId168" Type="http://schemas.openxmlformats.org/officeDocument/2006/relationships/ctrlProp" Target="../ctrlProps/ctrlProp501.xml"/><Relationship Id="rId8" Type="http://schemas.openxmlformats.org/officeDocument/2006/relationships/ctrlProp" Target="../ctrlProps/ctrlProp341.xml"/><Relationship Id="rId51" Type="http://schemas.openxmlformats.org/officeDocument/2006/relationships/ctrlProp" Target="../ctrlProps/ctrlProp384.xml"/><Relationship Id="rId72" Type="http://schemas.openxmlformats.org/officeDocument/2006/relationships/ctrlProp" Target="../ctrlProps/ctrlProp405.xml"/><Relationship Id="rId93" Type="http://schemas.openxmlformats.org/officeDocument/2006/relationships/ctrlProp" Target="../ctrlProps/ctrlProp426.xml"/><Relationship Id="rId98" Type="http://schemas.openxmlformats.org/officeDocument/2006/relationships/ctrlProp" Target="../ctrlProps/ctrlProp431.xml"/><Relationship Id="rId121" Type="http://schemas.openxmlformats.org/officeDocument/2006/relationships/ctrlProp" Target="../ctrlProps/ctrlProp454.xml"/><Relationship Id="rId142" Type="http://schemas.openxmlformats.org/officeDocument/2006/relationships/ctrlProp" Target="../ctrlProps/ctrlProp475.xml"/><Relationship Id="rId163" Type="http://schemas.openxmlformats.org/officeDocument/2006/relationships/ctrlProp" Target="../ctrlProps/ctrlProp496.xml"/><Relationship Id="rId184" Type="http://schemas.openxmlformats.org/officeDocument/2006/relationships/ctrlProp" Target="../ctrlProps/ctrlProp517.xml"/><Relationship Id="rId3" Type="http://schemas.openxmlformats.org/officeDocument/2006/relationships/vmlDrawing" Target="../drawings/vmlDrawing4.vml"/><Relationship Id="rId25" Type="http://schemas.openxmlformats.org/officeDocument/2006/relationships/ctrlProp" Target="../ctrlProps/ctrlProp358.xml"/><Relationship Id="rId46" Type="http://schemas.openxmlformats.org/officeDocument/2006/relationships/ctrlProp" Target="../ctrlProps/ctrlProp379.xml"/><Relationship Id="rId67" Type="http://schemas.openxmlformats.org/officeDocument/2006/relationships/ctrlProp" Target="../ctrlProps/ctrlProp400.xml"/><Relationship Id="rId116" Type="http://schemas.openxmlformats.org/officeDocument/2006/relationships/ctrlProp" Target="../ctrlProps/ctrlProp449.xml"/><Relationship Id="rId137" Type="http://schemas.openxmlformats.org/officeDocument/2006/relationships/ctrlProp" Target="../ctrlProps/ctrlProp470.xml"/><Relationship Id="rId158" Type="http://schemas.openxmlformats.org/officeDocument/2006/relationships/ctrlProp" Target="../ctrlProps/ctrlProp491.xml"/><Relationship Id="rId20" Type="http://schemas.openxmlformats.org/officeDocument/2006/relationships/ctrlProp" Target="../ctrlProps/ctrlProp353.xml"/><Relationship Id="rId41" Type="http://schemas.openxmlformats.org/officeDocument/2006/relationships/ctrlProp" Target="../ctrlProps/ctrlProp374.xml"/><Relationship Id="rId62" Type="http://schemas.openxmlformats.org/officeDocument/2006/relationships/ctrlProp" Target="../ctrlProps/ctrlProp395.xml"/><Relationship Id="rId83" Type="http://schemas.openxmlformats.org/officeDocument/2006/relationships/ctrlProp" Target="../ctrlProps/ctrlProp416.xml"/><Relationship Id="rId88" Type="http://schemas.openxmlformats.org/officeDocument/2006/relationships/ctrlProp" Target="../ctrlProps/ctrlProp421.xml"/><Relationship Id="rId111" Type="http://schemas.openxmlformats.org/officeDocument/2006/relationships/ctrlProp" Target="../ctrlProps/ctrlProp444.xml"/><Relationship Id="rId132" Type="http://schemas.openxmlformats.org/officeDocument/2006/relationships/ctrlProp" Target="../ctrlProps/ctrlProp465.xml"/><Relationship Id="rId153" Type="http://schemas.openxmlformats.org/officeDocument/2006/relationships/ctrlProp" Target="../ctrlProps/ctrlProp486.xml"/><Relationship Id="rId174" Type="http://schemas.openxmlformats.org/officeDocument/2006/relationships/ctrlProp" Target="../ctrlProps/ctrlProp507.xml"/><Relationship Id="rId179" Type="http://schemas.openxmlformats.org/officeDocument/2006/relationships/ctrlProp" Target="../ctrlProps/ctrlProp512.xml"/><Relationship Id="rId15" Type="http://schemas.openxmlformats.org/officeDocument/2006/relationships/ctrlProp" Target="../ctrlProps/ctrlProp348.xml"/><Relationship Id="rId36" Type="http://schemas.openxmlformats.org/officeDocument/2006/relationships/ctrlProp" Target="../ctrlProps/ctrlProp369.xml"/><Relationship Id="rId57" Type="http://schemas.openxmlformats.org/officeDocument/2006/relationships/ctrlProp" Target="../ctrlProps/ctrlProp390.xml"/><Relationship Id="rId106" Type="http://schemas.openxmlformats.org/officeDocument/2006/relationships/ctrlProp" Target="../ctrlProps/ctrlProp439.xml"/><Relationship Id="rId127" Type="http://schemas.openxmlformats.org/officeDocument/2006/relationships/ctrlProp" Target="../ctrlProps/ctrlProp460.xml"/><Relationship Id="rId10" Type="http://schemas.openxmlformats.org/officeDocument/2006/relationships/ctrlProp" Target="../ctrlProps/ctrlProp343.xml"/><Relationship Id="rId31" Type="http://schemas.openxmlformats.org/officeDocument/2006/relationships/ctrlProp" Target="../ctrlProps/ctrlProp364.xml"/><Relationship Id="rId52" Type="http://schemas.openxmlformats.org/officeDocument/2006/relationships/ctrlProp" Target="../ctrlProps/ctrlProp385.xml"/><Relationship Id="rId73" Type="http://schemas.openxmlformats.org/officeDocument/2006/relationships/ctrlProp" Target="../ctrlProps/ctrlProp406.xml"/><Relationship Id="rId78" Type="http://schemas.openxmlformats.org/officeDocument/2006/relationships/ctrlProp" Target="../ctrlProps/ctrlProp411.xml"/><Relationship Id="rId94" Type="http://schemas.openxmlformats.org/officeDocument/2006/relationships/ctrlProp" Target="../ctrlProps/ctrlProp427.xml"/><Relationship Id="rId99" Type="http://schemas.openxmlformats.org/officeDocument/2006/relationships/ctrlProp" Target="../ctrlProps/ctrlProp432.xml"/><Relationship Id="rId101" Type="http://schemas.openxmlformats.org/officeDocument/2006/relationships/ctrlProp" Target="../ctrlProps/ctrlProp434.xml"/><Relationship Id="rId122" Type="http://schemas.openxmlformats.org/officeDocument/2006/relationships/ctrlProp" Target="../ctrlProps/ctrlProp455.xml"/><Relationship Id="rId143" Type="http://schemas.openxmlformats.org/officeDocument/2006/relationships/ctrlProp" Target="../ctrlProps/ctrlProp476.xml"/><Relationship Id="rId148" Type="http://schemas.openxmlformats.org/officeDocument/2006/relationships/ctrlProp" Target="../ctrlProps/ctrlProp481.xml"/><Relationship Id="rId164" Type="http://schemas.openxmlformats.org/officeDocument/2006/relationships/ctrlProp" Target="../ctrlProps/ctrlProp497.xml"/><Relationship Id="rId169" Type="http://schemas.openxmlformats.org/officeDocument/2006/relationships/ctrlProp" Target="../ctrlProps/ctrlProp502.xml"/><Relationship Id="rId185" Type="http://schemas.openxmlformats.org/officeDocument/2006/relationships/ctrlProp" Target="../ctrlProps/ctrlProp518.xml"/><Relationship Id="rId4" Type="http://schemas.openxmlformats.org/officeDocument/2006/relationships/ctrlProp" Target="../ctrlProps/ctrlProp337.xml"/><Relationship Id="rId9" Type="http://schemas.openxmlformats.org/officeDocument/2006/relationships/ctrlProp" Target="../ctrlProps/ctrlProp342.xml"/><Relationship Id="rId180" Type="http://schemas.openxmlformats.org/officeDocument/2006/relationships/ctrlProp" Target="../ctrlProps/ctrlProp513.xml"/><Relationship Id="rId26" Type="http://schemas.openxmlformats.org/officeDocument/2006/relationships/ctrlProp" Target="../ctrlProps/ctrlProp359.xml"/><Relationship Id="rId47" Type="http://schemas.openxmlformats.org/officeDocument/2006/relationships/ctrlProp" Target="../ctrlProps/ctrlProp380.xml"/><Relationship Id="rId68" Type="http://schemas.openxmlformats.org/officeDocument/2006/relationships/ctrlProp" Target="../ctrlProps/ctrlProp401.xml"/><Relationship Id="rId89" Type="http://schemas.openxmlformats.org/officeDocument/2006/relationships/ctrlProp" Target="../ctrlProps/ctrlProp422.xml"/><Relationship Id="rId112" Type="http://schemas.openxmlformats.org/officeDocument/2006/relationships/ctrlProp" Target="../ctrlProps/ctrlProp445.xml"/><Relationship Id="rId133" Type="http://schemas.openxmlformats.org/officeDocument/2006/relationships/ctrlProp" Target="../ctrlProps/ctrlProp466.xml"/><Relationship Id="rId154" Type="http://schemas.openxmlformats.org/officeDocument/2006/relationships/ctrlProp" Target="../ctrlProps/ctrlProp487.xml"/><Relationship Id="rId175" Type="http://schemas.openxmlformats.org/officeDocument/2006/relationships/ctrlProp" Target="../ctrlProps/ctrlProp508.xml"/><Relationship Id="rId16" Type="http://schemas.openxmlformats.org/officeDocument/2006/relationships/ctrlProp" Target="../ctrlProps/ctrlProp349.xml"/><Relationship Id="rId37" Type="http://schemas.openxmlformats.org/officeDocument/2006/relationships/ctrlProp" Target="../ctrlProps/ctrlProp370.xml"/><Relationship Id="rId58" Type="http://schemas.openxmlformats.org/officeDocument/2006/relationships/ctrlProp" Target="../ctrlProps/ctrlProp391.xml"/><Relationship Id="rId79" Type="http://schemas.openxmlformats.org/officeDocument/2006/relationships/ctrlProp" Target="../ctrlProps/ctrlProp412.xml"/><Relationship Id="rId102" Type="http://schemas.openxmlformats.org/officeDocument/2006/relationships/ctrlProp" Target="../ctrlProps/ctrlProp435.xml"/><Relationship Id="rId123" Type="http://schemas.openxmlformats.org/officeDocument/2006/relationships/ctrlProp" Target="../ctrlProps/ctrlProp456.xml"/><Relationship Id="rId144" Type="http://schemas.openxmlformats.org/officeDocument/2006/relationships/ctrlProp" Target="../ctrlProps/ctrlProp477.xml"/><Relationship Id="rId90" Type="http://schemas.openxmlformats.org/officeDocument/2006/relationships/ctrlProp" Target="../ctrlProps/ctrlProp423.xml"/><Relationship Id="rId165" Type="http://schemas.openxmlformats.org/officeDocument/2006/relationships/ctrlProp" Target="../ctrlProps/ctrlProp498.xml"/><Relationship Id="rId186" Type="http://schemas.openxmlformats.org/officeDocument/2006/relationships/ctrlProp" Target="../ctrlProps/ctrlProp519.xml"/><Relationship Id="rId27" Type="http://schemas.openxmlformats.org/officeDocument/2006/relationships/ctrlProp" Target="../ctrlProps/ctrlProp360.xml"/><Relationship Id="rId48" Type="http://schemas.openxmlformats.org/officeDocument/2006/relationships/ctrlProp" Target="../ctrlProps/ctrlProp381.xml"/><Relationship Id="rId69" Type="http://schemas.openxmlformats.org/officeDocument/2006/relationships/ctrlProp" Target="../ctrlProps/ctrlProp402.xml"/><Relationship Id="rId113" Type="http://schemas.openxmlformats.org/officeDocument/2006/relationships/ctrlProp" Target="../ctrlProps/ctrlProp446.xml"/><Relationship Id="rId134" Type="http://schemas.openxmlformats.org/officeDocument/2006/relationships/ctrlProp" Target="../ctrlProps/ctrlProp467.xml"/><Relationship Id="rId80" Type="http://schemas.openxmlformats.org/officeDocument/2006/relationships/ctrlProp" Target="../ctrlProps/ctrlProp413.xml"/><Relationship Id="rId155" Type="http://schemas.openxmlformats.org/officeDocument/2006/relationships/ctrlProp" Target="../ctrlProps/ctrlProp488.xml"/><Relationship Id="rId176" Type="http://schemas.openxmlformats.org/officeDocument/2006/relationships/ctrlProp" Target="../ctrlProps/ctrlProp509.xml"/><Relationship Id="rId17" Type="http://schemas.openxmlformats.org/officeDocument/2006/relationships/ctrlProp" Target="../ctrlProps/ctrlProp350.xml"/><Relationship Id="rId38" Type="http://schemas.openxmlformats.org/officeDocument/2006/relationships/ctrlProp" Target="../ctrlProps/ctrlProp371.xml"/><Relationship Id="rId59" Type="http://schemas.openxmlformats.org/officeDocument/2006/relationships/ctrlProp" Target="../ctrlProps/ctrlProp392.xml"/><Relationship Id="rId103" Type="http://schemas.openxmlformats.org/officeDocument/2006/relationships/ctrlProp" Target="../ctrlProps/ctrlProp436.xml"/><Relationship Id="rId124" Type="http://schemas.openxmlformats.org/officeDocument/2006/relationships/ctrlProp" Target="../ctrlProps/ctrlProp457.xml"/><Relationship Id="rId70" Type="http://schemas.openxmlformats.org/officeDocument/2006/relationships/ctrlProp" Target="../ctrlProps/ctrlProp403.xml"/><Relationship Id="rId91" Type="http://schemas.openxmlformats.org/officeDocument/2006/relationships/ctrlProp" Target="../ctrlProps/ctrlProp424.xml"/><Relationship Id="rId145" Type="http://schemas.openxmlformats.org/officeDocument/2006/relationships/ctrlProp" Target="../ctrlProps/ctrlProp478.xml"/><Relationship Id="rId166" Type="http://schemas.openxmlformats.org/officeDocument/2006/relationships/ctrlProp" Target="../ctrlProps/ctrlProp499.xml"/><Relationship Id="rId187" Type="http://schemas.openxmlformats.org/officeDocument/2006/relationships/comments" Target="../comments3.xml"/><Relationship Id="rId1" Type="http://schemas.openxmlformats.org/officeDocument/2006/relationships/printerSettings" Target="../printerSettings/printerSettings5.bin"/><Relationship Id="rId28" Type="http://schemas.openxmlformats.org/officeDocument/2006/relationships/ctrlProp" Target="../ctrlProps/ctrlProp361.xml"/><Relationship Id="rId49" Type="http://schemas.openxmlformats.org/officeDocument/2006/relationships/ctrlProp" Target="../ctrlProps/ctrlProp382.xml"/><Relationship Id="rId114" Type="http://schemas.openxmlformats.org/officeDocument/2006/relationships/ctrlProp" Target="../ctrlProps/ctrlProp447.xml"/><Relationship Id="rId60" Type="http://schemas.openxmlformats.org/officeDocument/2006/relationships/ctrlProp" Target="../ctrlProps/ctrlProp393.xml"/><Relationship Id="rId81" Type="http://schemas.openxmlformats.org/officeDocument/2006/relationships/ctrlProp" Target="../ctrlProps/ctrlProp414.xml"/><Relationship Id="rId135" Type="http://schemas.openxmlformats.org/officeDocument/2006/relationships/ctrlProp" Target="../ctrlProps/ctrlProp468.xml"/><Relationship Id="rId156" Type="http://schemas.openxmlformats.org/officeDocument/2006/relationships/ctrlProp" Target="../ctrlProps/ctrlProp489.xml"/><Relationship Id="rId177" Type="http://schemas.openxmlformats.org/officeDocument/2006/relationships/ctrlProp" Target="../ctrlProps/ctrlProp510.xm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633.xml"/><Relationship Id="rId21" Type="http://schemas.openxmlformats.org/officeDocument/2006/relationships/ctrlProp" Target="../ctrlProps/ctrlProp537.xml"/><Relationship Id="rId42" Type="http://schemas.openxmlformats.org/officeDocument/2006/relationships/ctrlProp" Target="../ctrlProps/ctrlProp558.xml"/><Relationship Id="rId63" Type="http://schemas.openxmlformats.org/officeDocument/2006/relationships/ctrlProp" Target="../ctrlProps/ctrlProp579.xml"/><Relationship Id="rId84" Type="http://schemas.openxmlformats.org/officeDocument/2006/relationships/ctrlProp" Target="../ctrlProps/ctrlProp600.xml"/><Relationship Id="rId138" Type="http://schemas.openxmlformats.org/officeDocument/2006/relationships/ctrlProp" Target="../ctrlProps/ctrlProp654.xml"/><Relationship Id="rId159" Type="http://schemas.openxmlformats.org/officeDocument/2006/relationships/ctrlProp" Target="../ctrlProps/ctrlProp675.xml"/><Relationship Id="rId170" Type="http://schemas.openxmlformats.org/officeDocument/2006/relationships/ctrlProp" Target="../ctrlProps/ctrlProp686.xml"/><Relationship Id="rId191" Type="http://schemas.openxmlformats.org/officeDocument/2006/relationships/ctrlProp" Target="../ctrlProps/ctrlProp707.xml"/><Relationship Id="rId107" Type="http://schemas.openxmlformats.org/officeDocument/2006/relationships/ctrlProp" Target="../ctrlProps/ctrlProp623.xml"/><Relationship Id="rId11" Type="http://schemas.openxmlformats.org/officeDocument/2006/relationships/ctrlProp" Target="../ctrlProps/ctrlProp527.xml"/><Relationship Id="rId32" Type="http://schemas.openxmlformats.org/officeDocument/2006/relationships/ctrlProp" Target="../ctrlProps/ctrlProp548.xml"/><Relationship Id="rId53" Type="http://schemas.openxmlformats.org/officeDocument/2006/relationships/ctrlProp" Target="../ctrlProps/ctrlProp569.xml"/><Relationship Id="rId74" Type="http://schemas.openxmlformats.org/officeDocument/2006/relationships/ctrlProp" Target="../ctrlProps/ctrlProp590.xml"/><Relationship Id="rId128" Type="http://schemas.openxmlformats.org/officeDocument/2006/relationships/ctrlProp" Target="../ctrlProps/ctrlProp644.xml"/><Relationship Id="rId149" Type="http://schemas.openxmlformats.org/officeDocument/2006/relationships/ctrlProp" Target="../ctrlProps/ctrlProp665.xml"/><Relationship Id="rId5" Type="http://schemas.openxmlformats.org/officeDocument/2006/relationships/ctrlProp" Target="../ctrlProps/ctrlProp521.xml"/><Relationship Id="rId95" Type="http://schemas.openxmlformats.org/officeDocument/2006/relationships/ctrlProp" Target="../ctrlProps/ctrlProp611.xml"/><Relationship Id="rId160" Type="http://schemas.openxmlformats.org/officeDocument/2006/relationships/ctrlProp" Target="../ctrlProps/ctrlProp676.xml"/><Relationship Id="rId181" Type="http://schemas.openxmlformats.org/officeDocument/2006/relationships/ctrlProp" Target="../ctrlProps/ctrlProp697.xml"/><Relationship Id="rId22" Type="http://schemas.openxmlformats.org/officeDocument/2006/relationships/ctrlProp" Target="../ctrlProps/ctrlProp538.xml"/><Relationship Id="rId43" Type="http://schemas.openxmlformats.org/officeDocument/2006/relationships/ctrlProp" Target="../ctrlProps/ctrlProp559.xml"/><Relationship Id="rId64" Type="http://schemas.openxmlformats.org/officeDocument/2006/relationships/ctrlProp" Target="../ctrlProps/ctrlProp580.xml"/><Relationship Id="rId118" Type="http://schemas.openxmlformats.org/officeDocument/2006/relationships/ctrlProp" Target="../ctrlProps/ctrlProp634.xml"/><Relationship Id="rId139" Type="http://schemas.openxmlformats.org/officeDocument/2006/relationships/ctrlProp" Target="../ctrlProps/ctrlProp655.xml"/><Relationship Id="rId85" Type="http://schemas.openxmlformats.org/officeDocument/2006/relationships/ctrlProp" Target="../ctrlProps/ctrlProp601.xml"/><Relationship Id="rId150" Type="http://schemas.openxmlformats.org/officeDocument/2006/relationships/ctrlProp" Target="../ctrlProps/ctrlProp666.xml"/><Relationship Id="rId171" Type="http://schemas.openxmlformats.org/officeDocument/2006/relationships/ctrlProp" Target="../ctrlProps/ctrlProp687.xml"/><Relationship Id="rId192" Type="http://schemas.openxmlformats.org/officeDocument/2006/relationships/comments" Target="../comments4.xml"/><Relationship Id="rId12" Type="http://schemas.openxmlformats.org/officeDocument/2006/relationships/ctrlProp" Target="../ctrlProps/ctrlProp528.xml"/><Relationship Id="rId33" Type="http://schemas.openxmlformats.org/officeDocument/2006/relationships/ctrlProp" Target="../ctrlProps/ctrlProp549.xml"/><Relationship Id="rId108" Type="http://schemas.openxmlformats.org/officeDocument/2006/relationships/ctrlProp" Target="../ctrlProps/ctrlProp624.xml"/><Relationship Id="rId129" Type="http://schemas.openxmlformats.org/officeDocument/2006/relationships/ctrlProp" Target="../ctrlProps/ctrlProp645.xml"/><Relationship Id="rId54" Type="http://schemas.openxmlformats.org/officeDocument/2006/relationships/ctrlProp" Target="../ctrlProps/ctrlProp570.xml"/><Relationship Id="rId75" Type="http://schemas.openxmlformats.org/officeDocument/2006/relationships/ctrlProp" Target="../ctrlProps/ctrlProp591.xml"/><Relationship Id="rId96" Type="http://schemas.openxmlformats.org/officeDocument/2006/relationships/ctrlProp" Target="../ctrlProps/ctrlProp612.xml"/><Relationship Id="rId140" Type="http://schemas.openxmlformats.org/officeDocument/2006/relationships/ctrlProp" Target="../ctrlProps/ctrlProp656.xml"/><Relationship Id="rId161" Type="http://schemas.openxmlformats.org/officeDocument/2006/relationships/ctrlProp" Target="../ctrlProps/ctrlProp677.xml"/><Relationship Id="rId182" Type="http://schemas.openxmlformats.org/officeDocument/2006/relationships/ctrlProp" Target="../ctrlProps/ctrlProp698.xml"/><Relationship Id="rId6" Type="http://schemas.openxmlformats.org/officeDocument/2006/relationships/ctrlProp" Target="../ctrlProps/ctrlProp522.xml"/><Relationship Id="rId23" Type="http://schemas.openxmlformats.org/officeDocument/2006/relationships/ctrlProp" Target="../ctrlProps/ctrlProp539.xml"/><Relationship Id="rId119" Type="http://schemas.openxmlformats.org/officeDocument/2006/relationships/ctrlProp" Target="../ctrlProps/ctrlProp635.xml"/><Relationship Id="rId44" Type="http://schemas.openxmlformats.org/officeDocument/2006/relationships/ctrlProp" Target="../ctrlProps/ctrlProp560.xml"/><Relationship Id="rId65" Type="http://schemas.openxmlformats.org/officeDocument/2006/relationships/ctrlProp" Target="../ctrlProps/ctrlProp581.xml"/><Relationship Id="rId86" Type="http://schemas.openxmlformats.org/officeDocument/2006/relationships/ctrlProp" Target="../ctrlProps/ctrlProp602.xml"/><Relationship Id="rId130" Type="http://schemas.openxmlformats.org/officeDocument/2006/relationships/ctrlProp" Target="../ctrlProps/ctrlProp646.xml"/><Relationship Id="rId151" Type="http://schemas.openxmlformats.org/officeDocument/2006/relationships/ctrlProp" Target="../ctrlProps/ctrlProp667.xml"/><Relationship Id="rId172" Type="http://schemas.openxmlformats.org/officeDocument/2006/relationships/ctrlProp" Target="../ctrlProps/ctrlProp688.xml"/><Relationship Id="rId13" Type="http://schemas.openxmlformats.org/officeDocument/2006/relationships/ctrlProp" Target="../ctrlProps/ctrlProp529.xml"/><Relationship Id="rId18" Type="http://schemas.openxmlformats.org/officeDocument/2006/relationships/ctrlProp" Target="../ctrlProps/ctrlProp534.xml"/><Relationship Id="rId39" Type="http://schemas.openxmlformats.org/officeDocument/2006/relationships/ctrlProp" Target="../ctrlProps/ctrlProp555.xml"/><Relationship Id="rId109" Type="http://schemas.openxmlformats.org/officeDocument/2006/relationships/ctrlProp" Target="../ctrlProps/ctrlProp625.xml"/><Relationship Id="rId34" Type="http://schemas.openxmlformats.org/officeDocument/2006/relationships/ctrlProp" Target="../ctrlProps/ctrlProp550.xml"/><Relationship Id="rId50" Type="http://schemas.openxmlformats.org/officeDocument/2006/relationships/ctrlProp" Target="../ctrlProps/ctrlProp566.xml"/><Relationship Id="rId55" Type="http://schemas.openxmlformats.org/officeDocument/2006/relationships/ctrlProp" Target="../ctrlProps/ctrlProp571.xml"/><Relationship Id="rId76" Type="http://schemas.openxmlformats.org/officeDocument/2006/relationships/ctrlProp" Target="../ctrlProps/ctrlProp592.xml"/><Relationship Id="rId97" Type="http://schemas.openxmlformats.org/officeDocument/2006/relationships/ctrlProp" Target="../ctrlProps/ctrlProp613.xml"/><Relationship Id="rId104" Type="http://schemas.openxmlformats.org/officeDocument/2006/relationships/ctrlProp" Target="../ctrlProps/ctrlProp620.xml"/><Relationship Id="rId120" Type="http://schemas.openxmlformats.org/officeDocument/2006/relationships/ctrlProp" Target="../ctrlProps/ctrlProp636.xml"/><Relationship Id="rId125" Type="http://schemas.openxmlformats.org/officeDocument/2006/relationships/ctrlProp" Target="../ctrlProps/ctrlProp641.xml"/><Relationship Id="rId141" Type="http://schemas.openxmlformats.org/officeDocument/2006/relationships/ctrlProp" Target="../ctrlProps/ctrlProp657.xml"/><Relationship Id="rId146" Type="http://schemas.openxmlformats.org/officeDocument/2006/relationships/ctrlProp" Target="../ctrlProps/ctrlProp662.xml"/><Relationship Id="rId167" Type="http://schemas.openxmlformats.org/officeDocument/2006/relationships/ctrlProp" Target="../ctrlProps/ctrlProp683.xml"/><Relationship Id="rId188" Type="http://schemas.openxmlformats.org/officeDocument/2006/relationships/ctrlProp" Target="../ctrlProps/ctrlProp704.xml"/><Relationship Id="rId7" Type="http://schemas.openxmlformats.org/officeDocument/2006/relationships/ctrlProp" Target="../ctrlProps/ctrlProp523.xml"/><Relationship Id="rId71" Type="http://schemas.openxmlformats.org/officeDocument/2006/relationships/ctrlProp" Target="../ctrlProps/ctrlProp587.xml"/><Relationship Id="rId92" Type="http://schemas.openxmlformats.org/officeDocument/2006/relationships/ctrlProp" Target="../ctrlProps/ctrlProp608.xml"/><Relationship Id="rId162" Type="http://schemas.openxmlformats.org/officeDocument/2006/relationships/ctrlProp" Target="../ctrlProps/ctrlProp678.xml"/><Relationship Id="rId183" Type="http://schemas.openxmlformats.org/officeDocument/2006/relationships/ctrlProp" Target="../ctrlProps/ctrlProp699.xml"/><Relationship Id="rId2" Type="http://schemas.openxmlformats.org/officeDocument/2006/relationships/drawing" Target="../drawings/drawing5.xml"/><Relationship Id="rId29" Type="http://schemas.openxmlformats.org/officeDocument/2006/relationships/ctrlProp" Target="../ctrlProps/ctrlProp545.xml"/><Relationship Id="rId24" Type="http://schemas.openxmlformats.org/officeDocument/2006/relationships/ctrlProp" Target="../ctrlProps/ctrlProp540.xml"/><Relationship Id="rId40" Type="http://schemas.openxmlformats.org/officeDocument/2006/relationships/ctrlProp" Target="../ctrlProps/ctrlProp556.xml"/><Relationship Id="rId45" Type="http://schemas.openxmlformats.org/officeDocument/2006/relationships/ctrlProp" Target="../ctrlProps/ctrlProp561.xml"/><Relationship Id="rId66" Type="http://schemas.openxmlformats.org/officeDocument/2006/relationships/ctrlProp" Target="../ctrlProps/ctrlProp582.xml"/><Relationship Id="rId87" Type="http://schemas.openxmlformats.org/officeDocument/2006/relationships/ctrlProp" Target="../ctrlProps/ctrlProp603.xml"/><Relationship Id="rId110" Type="http://schemas.openxmlformats.org/officeDocument/2006/relationships/ctrlProp" Target="../ctrlProps/ctrlProp626.xml"/><Relationship Id="rId115" Type="http://schemas.openxmlformats.org/officeDocument/2006/relationships/ctrlProp" Target="../ctrlProps/ctrlProp631.xml"/><Relationship Id="rId131" Type="http://schemas.openxmlformats.org/officeDocument/2006/relationships/ctrlProp" Target="../ctrlProps/ctrlProp647.xml"/><Relationship Id="rId136" Type="http://schemas.openxmlformats.org/officeDocument/2006/relationships/ctrlProp" Target="../ctrlProps/ctrlProp652.xml"/><Relationship Id="rId157" Type="http://schemas.openxmlformats.org/officeDocument/2006/relationships/ctrlProp" Target="../ctrlProps/ctrlProp673.xml"/><Relationship Id="rId178" Type="http://schemas.openxmlformats.org/officeDocument/2006/relationships/ctrlProp" Target="../ctrlProps/ctrlProp694.xml"/><Relationship Id="rId61" Type="http://schemas.openxmlformats.org/officeDocument/2006/relationships/ctrlProp" Target="../ctrlProps/ctrlProp577.xml"/><Relationship Id="rId82" Type="http://schemas.openxmlformats.org/officeDocument/2006/relationships/ctrlProp" Target="../ctrlProps/ctrlProp598.xml"/><Relationship Id="rId152" Type="http://schemas.openxmlformats.org/officeDocument/2006/relationships/ctrlProp" Target="../ctrlProps/ctrlProp668.xml"/><Relationship Id="rId173" Type="http://schemas.openxmlformats.org/officeDocument/2006/relationships/ctrlProp" Target="../ctrlProps/ctrlProp689.xml"/><Relationship Id="rId19" Type="http://schemas.openxmlformats.org/officeDocument/2006/relationships/ctrlProp" Target="../ctrlProps/ctrlProp535.xml"/><Relationship Id="rId14" Type="http://schemas.openxmlformats.org/officeDocument/2006/relationships/ctrlProp" Target="../ctrlProps/ctrlProp530.xml"/><Relationship Id="rId30" Type="http://schemas.openxmlformats.org/officeDocument/2006/relationships/ctrlProp" Target="../ctrlProps/ctrlProp546.xml"/><Relationship Id="rId35" Type="http://schemas.openxmlformats.org/officeDocument/2006/relationships/ctrlProp" Target="../ctrlProps/ctrlProp551.xml"/><Relationship Id="rId56" Type="http://schemas.openxmlformats.org/officeDocument/2006/relationships/ctrlProp" Target="../ctrlProps/ctrlProp572.xml"/><Relationship Id="rId77" Type="http://schemas.openxmlformats.org/officeDocument/2006/relationships/ctrlProp" Target="../ctrlProps/ctrlProp593.xml"/><Relationship Id="rId100" Type="http://schemas.openxmlformats.org/officeDocument/2006/relationships/ctrlProp" Target="../ctrlProps/ctrlProp616.xml"/><Relationship Id="rId105" Type="http://schemas.openxmlformats.org/officeDocument/2006/relationships/ctrlProp" Target="../ctrlProps/ctrlProp621.xml"/><Relationship Id="rId126" Type="http://schemas.openxmlformats.org/officeDocument/2006/relationships/ctrlProp" Target="../ctrlProps/ctrlProp642.xml"/><Relationship Id="rId147" Type="http://schemas.openxmlformats.org/officeDocument/2006/relationships/ctrlProp" Target="../ctrlProps/ctrlProp663.xml"/><Relationship Id="rId168" Type="http://schemas.openxmlformats.org/officeDocument/2006/relationships/ctrlProp" Target="../ctrlProps/ctrlProp684.xml"/><Relationship Id="rId8" Type="http://schemas.openxmlformats.org/officeDocument/2006/relationships/ctrlProp" Target="../ctrlProps/ctrlProp524.xml"/><Relationship Id="rId51" Type="http://schemas.openxmlformats.org/officeDocument/2006/relationships/ctrlProp" Target="../ctrlProps/ctrlProp567.xml"/><Relationship Id="rId72" Type="http://schemas.openxmlformats.org/officeDocument/2006/relationships/ctrlProp" Target="../ctrlProps/ctrlProp588.xml"/><Relationship Id="rId93" Type="http://schemas.openxmlformats.org/officeDocument/2006/relationships/ctrlProp" Target="../ctrlProps/ctrlProp609.xml"/><Relationship Id="rId98" Type="http://schemas.openxmlformats.org/officeDocument/2006/relationships/ctrlProp" Target="../ctrlProps/ctrlProp614.xml"/><Relationship Id="rId121" Type="http://schemas.openxmlformats.org/officeDocument/2006/relationships/ctrlProp" Target="../ctrlProps/ctrlProp637.xml"/><Relationship Id="rId142" Type="http://schemas.openxmlformats.org/officeDocument/2006/relationships/ctrlProp" Target="../ctrlProps/ctrlProp658.xml"/><Relationship Id="rId163" Type="http://schemas.openxmlformats.org/officeDocument/2006/relationships/ctrlProp" Target="../ctrlProps/ctrlProp679.xml"/><Relationship Id="rId184" Type="http://schemas.openxmlformats.org/officeDocument/2006/relationships/ctrlProp" Target="../ctrlProps/ctrlProp700.xml"/><Relationship Id="rId189" Type="http://schemas.openxmlformats.org/officeDocument/2006/relationships/ctrlProp" Target="../ctrlProps/ctrlProp705.xml"/><Relationship Id="rId3" Type="http://schemas.openxmlformats.org/officeDocument/2006/relationships/vmlDrawing" Target="../drawings/vmlDrawing5.vml"/><Relationship Id="rId25" Type="http://schemas.openxmlformats.org/officeDocument/2006/relationships/ctrlProp" Target="../ctrlProps/ctrlProp541.xml"/><Relationship Id="rId46" Type="http://schemas.openxmlformats.org/officeDocument/2006/relationships/ctrlProp" Target="../ctrlProps/ctrlProp562.xml"/><Relationship Id="rId67" Type="http://schemas.openxmlformats.org/officeDocument/2006/relationships/ctrlProp" Target="../ctrlProps/ctrlProp583.xml"/><Relationship Id="rId116" Type="http://schemas.openxmlformats.org/officeDocument/2006/relationships/ctrlProp" Target="../ctrlProps/ctrlProp632.xml"/><Relationship Id="rId137" Type="http://schemas.openxmlformats.org/officeDocument/2006/relationships/ctrlProp" Target="../ctrlProps/ctrlProp653.xml"/><Relationship Id="rId158" Type="http://schemas.openxmlformats.org/officeDocument/2006/relationships/ctrlProp" Target="../ctrlProps/ctrlProp674.xml"/><Relationship Id="rId20" Type="http://schemas.openxmlformats.org/officeDocument/2006/relationships/ctrlProp" Target="../ctrlProps/ctrlProp536.xml"/><Relationship Id="rId41" Type="http://schemas.openxmlformats.org/officeDocument/2006/relationships/ctrlProp" Target="../ctrlProps/ctrlProp557.xml"/><Relationship Id="rId62" Type="http://schemas.openxmlformats.org/officeDocument/2006/relationships/ctrlProp" Target="../ctrlProps/ctrlProp578.xml"/><Relationship Id="rId83" Type="http://schemas.openxmlformats.org/officeDocument/2006/relationships/ctrlProp" Target="../ctrlProps/ctrlProp599.xml"/><Relationship Id="rId88" Type="http://schemas.openxmlformats.org/officeDocument/2006/relationships/ctrlProp" Target="../ctrlProps/ctrlProp604.xml"/><Relationship Id="rId111" Type="http://schemas.openxmlformats.org/officeDocument/2006/relationships/ctrlProp" Target="../ctrlProps/ctrlProp627.xml"/><Relationship Id="rId132" Type="http://schemas.openxmlformats.org/officeDocument/2006/relationships/ctrlProp" Target="../ctrlProps/ctrlProp648.xml"/><Relationship Id="rId153" Type="http://schemas.openxmlformats.org/officeDocument/2006/relationships/ctrlProp" Target="../ctrlProps/ctrlProp669.xml"/><Relationship Id="rId174" Type="http://schemas.openxmlformats.org/officeDocument/2006/relationships/ctrlProp" Target="../ctrlProps/ctrlProp690.xml"/><Relationship Id="rId179" Type="http://schemas.openxmlformats.org/officeDocument/2006/relationships/ctrlProp" Target="../ctrlProps/ctrlProp695.xml"/><Relationship Id="rId190" Type="http://schemas.openxmlformats.org/officeDocument/2006/relationships/ctrlProp" Target="../ctrlProps/ctrlProp706.xml"/><Relationship Id="rId15" Type="http://schemas.openxmlformats.org/officeDocument/2006/relationships/ctrlProp" Target="../ctrlProps/ctrlProp531.xml"/><Relationship Id="rId36" Type="http://schemas.openxmlformats.org/officeDocument/2006/relationships/ctrlProp" Target="../ctrlProps/ctrlProp552.xml"/><Relationship Id="rId57" Type="http://schemas.openxmlformats.org/officeDocument/2006/relationships/ctrlProp" Target="../ctrlProps/ctrlProp573.xml"/><Relationship Id="rId106" Type="http://schemas.openxmlformats.org/officeDocument/2006/relationships/ctrlProp" Target="../ctrlProps/ctrlProp622.xml"/><Relationship Id="rId127" Type="http://schemas.openxmlformats.org/officeDocument/2006/relationships/ctrlProp" Target="../ctrlProps/ctrlProp643.xml"/><Relationship Id="rId10" Type="http://schemas.openxmlformats.org/officeDocument/2006/relationships/ctrlProp" Target="../ctrlProps/ctrlProp526.xml"/><Relationship Id="rId31" Type="http://schemas.openxmlformats.org/officeDocument/2006/relationships/ctrlProp" Target="../ctrlProps/ctrlProp547.xml"/><Relationship Id="rId52" Type="http://schemas.openxmlformats.org/officeDocument/2006/relationships/ctrlProp" Target="../ctrlProps/ctrlProp568.xml"/><Relationship Id="rId73" Type="http://schemas.openxmlformats.org/officeDocument/2006/relationships/ctrlProp" Target="../ctrlProps/ctrlProp589.xml"/><Relationship Id="rId78" Type="http://schemas.openxmlformats.org/officeDocument/2006/relationships/ctrlProp" Target="../ctrlProps/ctrlProp594.xml"/><Relationship Id="rId94" Type="http://schemas.openxmlformats.org/officeDocument/2006/relationships/ctrlProp" Target="../ctrlProps/ctrlProp610.xml"/><Relationship Id="rId99" Type="http://schemas.openxmlformats.org/officeDocument/2006/relationships/ctrlProp" Target="../ctrlProps/ctrlProp615.xml"/><Relationship Id="rId101" Type="http://schemas.openxmlformats.org/officeDocument/2006/relationships/ctrlProp" Target="../ctrlProps/ctrlProp617.xml"/><Relationship Id="rId122" Type="http://schemas.openxmlformats.org/officeDocument/2006/relationships/ctrlProp" Target="../ctrlProps/ctrlProp638.xml"/><Relationship Id="rId143" Type="http://schemas.openxmlformats.org/officeDocument/2006/relationships/ctrlProp" Target="../ctrlProps/ctrlProp659.xml"/><Relationship Id="rId148" Type="http://schemas.openxmlformats.org/officeDocument/2006/relationships/ctrlProp" Target="../ctrlProps/ctrlProp664.xml"/><Relationship Id="rId164" Type="http://schemas.openxmlformats.org/officeDocument/2006/relationships/ctrlProp" Target="../ctrlProps/ctrlProp680.xml"/><Relationship Id="rId169" Type="http://schemas.openxmlformats.org/officeDocument/2006/relationships/ctrlProp" Target="../ctrlProps/ctrlProp685.xml"/><Relationship Id="rId185" Type="http://schemas.openxmlformats.org/officeDocument/2006/relationships/ctrlProp" Target="../ctrlProps/ctrlProp701.xml"/><Relationship Id="rId4" Type="http://schemas.openxmlformats.org/officeDocument/2006/relationships/ctrlProp" Target="../ctrlProps/ctrlProp520.xml"/><Relationship Id="rId9" Type="http://schemas.openxmlformats.org/officeDocument/2006/relationships/ctrlProp" Target="../ctrlProps/ctrlProp525.xml"/><Relationship Id="rId180" Type="http://schemas.openxmlformats.org/officeDocument/2006/relationships/ctrlProp" Target="../ctrlProps/ctrlProp696.xml"/><Relationship Id="rId26" Type="http://schemas.openxmlformats.org/officeDocument/2006/relationships/ctrlProp" Target="../ctrlProps/ctrlProp542.xml"/><Relationship Id="rId47" Type="http://schemas.openxmlformats.org/officeDocument/2006/relationships/ctrlProp" Target="../ctrlProps/ctrlProp563.xml"/><Relationship Id="rId68" Type="http://schemas.openxmlformats.org/officeDocument/2006/relationships/ctrlProp" Target="../ctrlProps/ctrlProp584.xml"/><Relationship Id="rId89" Type="http://schemas.openxmlformats.org/officeDocument/2006/relationships/ctrlProp" Target="../ctrlProps/ctrlProp605.xml"/><Relationship Id="rId112" Type="http://schemas.openxmlformats.org/officeDocument/2006/relationships/ctrlProp" Target="../ctrlProps/ctrlProp628.xml"/><Relationship Id="rId133" Type="http://schemas.openxmlformats.org/officeDocument/2006/relationships/ctrlProp" Target="../ctrlProps/ctrlProp649.xml"/><Relationship Id="rId154" Type="http://schemas.openxmlformats.org/officeDocument/2006/relationships/ctrlProp" Target="../ctrlProps/ctrlProp670.xml"/><Relationship Id="rId175" Type="http://schemas.openxmlformats.org/officeDocument/2006/relationships/ctrlProp" Target="../ctrlProps/ctrlProp691.xml"/><Relationship Id="rId16" Type="http://schemas.openxmlformats.org/officeDocument/2006/relationships/ctrlProp" Target="../ctrlProps/ctrlProp532.xml"/><Relationship Id="rId37" Type="http://schemas.openxmlformats.org/officeDocument/2006/relationships/ctrlProp" Target="../ctrlProps/ctrlProp553.xml"/><Relationship Id="rId58" Type="http://schemas.openxmlformats.org/officeDocument/2006/relationships/ctrlProp" Target="../ctrlProps/ctrlProp574.xml"/><Relationship Id="rId79" Type="http://schemas.openxmlformats.org/officeDocument/2006/relationships/ctrlProp" Target="../ctrlProps/ctrlProp595.xml"/><Relationship Id="rId102" Type="http://schemas.openxmlformats.org/officeDocument/2006/relationships/ctrlProp" Target="../ctrlProps/ctrlProp618.xml"/><Relationship Id="rId123" Type="http://schemas.openxmlformats.org/officeDocument/2006/relationships/ctrlProp" Target="../ctrlProps/ctrlProp639.xml"/><Relationship Id="rId144" Type="http://schemas.openxmlformats.org/officeDocument/2006/relationships/ctrlProp" Target="../ctrlProps/ctrlProp660.xml"/><Relationship Id="rId90" Type="http://schemas.openxmlformats.org/officeDocument/2006/relationships/ctrlProp" Target="../ctrlProps/ctrlProp606.xml"/><Relationship Id="rId165" Type="http://schemas.openxmlformats.org/officeDocument/2006/relationships/ctrlProp" Target="../ctrlProps/ctrlProp681.xml"/><Relationship Id="rId186" Type="http://schemas.openxmlformats.org/officeDocument/2006/relationships/ctrlProp" Target="../ctrlProps/ctrlProp702.xml"/><Relationship Id="rId27" Type="http://schemas.openxmlformats.org/officeDocument/2006/relationships/ctrlProp" Target="../ctrlProps/ctrlProp543.xml"/><Relationship Id="rId48" Type="http://schemas.openxmlformats.org/officeDocument/2006/relationships/ctrlProp" Target="../ctrlProps/ctrlProp564.xml"/><Relationship Id="rId69" Type="http://schemas.openxmlformats.org/officeDocument/2006/relationships/ctrlProp" Target="../ctrlProps/ctrlProp585.xml"/><Relationship Id="rId113" Type="http://schemas.openxmlformats.org/officeDocument/2006/relationships/ctrlProp" Target="../ctrlProps/ctrlProp629.xml"/><Relationship Id="rId134" Type="http://schemas.openxmlformats.org/officeDocument/2006/relationships/ctrlProp" Target="../ctrlProps/ctrlProp650.xml"/><Relationship Id="rId80" Type="http://schemas.openxmlformats.org/officeDocument/2006/relationships/ctrlProp" Target="../ctrlProps/ctrlProp596.xml"/><Relationship Id="rId155" Type="http://schemas.openxmlformats.org/officeDocument/2006/relationships/ctrlProp" Target="../ctrlProps/ctrlProp671.xml"/><Relationship Id="rId176" Type="http://schemas.openxmlformats.org/officeDocument/2006/relationships/ctrlProp" Target="../ctrlProps/ctrlProp692.xml"/><Relationship Id="rId17" Type="http://schemas.openxmlformats.org/officeDocument/2006/relationships/ctrlProp" Target="../ctrlProps/ctrlProp533.xml"/><Relationship Id="rId38" Type="http://schemas.openxmlformats.org/officeDocument/2006/relationships/ctrlProp" Target="../ctrlProps/ctrlProp554.xml"/><Relationship Id="rId59" Type="http://schemas.openxmlformats.org/officeDocument/2006/relationships/ctrlProp" Target="../ctrlProps/ctrlProp575.xml"/><Relationship Id="rId103" Type="http://schemas.openxmlformats.org/officeDocument/2006/relationships/ctrlProp" Target="../ctrlProps/ctrlProp619.xml"/><Relationship Id="rId124" Type="http://schemas.openxmlformats.org/officeDocument/2006/relationships/ctrlProp" Target="../ctrlProps/ctrlProp640.xml"/><Relationship Id="rId70" Type="http://schemas.openxmlformats.org/officeDocument/2006/relationships/ctrlProp" Target="../ctrlProps/ctrlProp586.xml"/><Relationship Id="rId91" Type="http://schemas.openxmlformats.org/officeDocument/2006/relationships/ctrlProp" Target="../ctrlProps/ctrlProp607.xml"/><Relationship Id="rId145" Type="http://schemas.openxmlformats.org/officeDocument/2006/relationships/ctrlProp" Target="../ctrlProps/ctrlProp661.xml"/><Relationship Id="rId166" Type="http://schemas.openxmlformats.org/officeDocument/2006/relationships/ctrlProp" Target="../ctrlProps/ctrlProp682.xml"/><Relationship Id="rId187" Type="http://schemas.openxmlformats.org/officeDocument/2006/relationships/ctrlProp" Target="../ctrlProps/ctrlProp703.xml"/><Relationship Id="rId1" Type="http://schemas.openxmlformats.org/officeDocument/2006/relationships/printerSettings" Target="../printerSettings/printerSettings6.bin"/><Relationship Id="rId28" Type="http://schemas.openxmlformats.org/officeDocument/2006/relationships/ctrlProp" Target="../ctrlProps/ctrlProp544.xml"/><Relationship Id="rId49" Type="http://schemas.openxmlformats.org/officeDocument/2006/relationships/ctrlProp" Target="../ctrlProps/ctrlProp565.xml"/><Relationship Id="rId114" Type="http://schemas.openxmlformats.org/officeDocument/2006/relationships/ctrlProp" Target="../ctrlProps/ctrlProp630.xml"/><Relationship Id="rId60" Type="http://schemas.openxmlformats.org/officeDocument/2006/relationships/ctrlProp" Target="../ctrlProps/ctrlProp576.xml"/><Relationship Id="rId81" Type="http://schemas.openxmlformats.org/officeDocument/2006/relationships/ctrlProp" Target="../ctrlProps/ctrlProp597.xml"/><Relationship Id="rId135" Type="http://schemas.openxmlformats.org/officeDocument/2006/relationships/ctrlProp" Target="../ctrlProps/ctrlProp651.xml"/><Relationship Id="rId156" Type="http://schemas.openxmlformats.org/officeDocument/2006/relationships/ctrlProp" Target="../ctrlProps/ctrlProp672.xml"/><Relationship Id="rId177" Type="http://schemas.openxmlformats.org/officeDocument/2006/relationships/ctrlProp" Target="../ctrlProps/ctrlProp693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12.xml"/><Relationship Id="rId13" Type="http://schemas.openxmlformats.org/officeDocument/2006/relationships/ctrlProp" Target="../ctrlProps/ctrlProp717.xml"/><Relationship Id="rId18" Type="http://schemas.openxmlformats.org/officeDocument/2006/relationships/ctrlProp" Target="../ctrlProps/ctrlProp722.xml"/><Relationship Id="rId3" Type="http://schemas.openxmlformats.org/officeDocument/2006/relationships/vmlDrawing" Target="../drawings/vmlDrawing6.vml"/><Relationship Id="rId21" Type="http://schemas.openxmlformats.org/officeDocument/2006/relationships/ctrlProp" Target="../ctrlProps/ctrlProp725.xml"/><Relationship Id="rId7" Type="http://schemas.openxmlformats.org/officeDocument/2006/relationships/ctrlProp" Target="../ctrlProps/ctrlProp711.xml"/><Relationship Id="rId12" Type="http://schemas.openxmlformats.org/officeDocument/2006/relationships/ctrlProp" Target="../ctrlProps/ctrlProp716.xml"/><Relationship Id="rId17" Type="http://schemas.openxmlformats.org/officeDocument/2006/relationships/ctrlProp" Target="../ctrlProps/ctrlProp721.xml"/><Relationship Id="rId2" Type="http://schemas.openxmlformats.org/officeDocument/2006/relationships/drawing" Target="../drawings/drawing6.xml"/><Relationship Id="rId16" Type="http://schemas.openxmlformats.org/officeDocument/2006/relationships/ctrlProp" Target="../ctrlProps/ctrlProp720.xml"/><Relationship Id="rId20" Type="http://schemas.openxmlformats.org/officeDocument/2006/relationships/ctrlProp" Target="../ctrlProps/ctrlProp724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710.xml"/><Relationship Id="rId11" Type="http://schemas.openxmlformats.org/officeDocument/2006/relationships/ctrlProp" Target="../ctrlProps/ctrlProp715.xml"/><Relationship Id="rId5" Type="http://schemas.openxmlformats.org/officeDocument/2006/relationships/ctrlProp" Target="../ctrlProps/ctrlProp709.xml"/><Relationship Id="rId15" Type="http://schemas.openxmlformats.org/officeDocument/2006/relationships/ctrlProp" Target="../ctrlProps/ctrlProp719.xml"/><Relationship Id="rId23" Type="http://schemas.openxmlformats.org/officeDocument/2006/relationships/comments" Target="../comments5.xml"/><Relationship Id="rId10" Type="http://schemas.openxmlformats.org/officeDocument/2006/relationships/ctrlProp" Target="../ctrlProps/ctrlProp714.xml"/><Relationship Id="rId19" Type="http://schemas.openxmlformats.org/officeDocument/2006/relationships/ctrlProp" Target="../ctrlProps/ctrlProp723.xml"/><Relationship Id="rId4" Type="http://schemas.openxmlformats.org/officeDocument/2006/relationships/ctrlProp" Target="../ctrlProps/ctrlProp708.xml"/><Relationship Id="rId9" Type="http://schemas.openxmlformats.org/officeDocument/2006/relationships/ctrlProp" Target="../ctrlProps/ctrlProp713.xml"/><Relationship Id="rId14" Type="http://schemas.openxmlformats.org/officeDocument/2006/relationships/ctrlProp" Target="../ctrlProps/ctrlProp718.xml"/><Relationship Id="rId22" Type="http://schemas.openxmlformats.org/officeDocument/2006/relationships/ctrlProp" Target="../ctrlProps/ctrlProp72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855"/>
  <sheetViews>
    <sheetView tabSelected="1" zoomScaleNormal="100" workbookViewId="0">
      <selection sqref="A1:XFD1048576"/>
    </sheetView>
  </sheetViews>
  <sheetFormatPr defaultRowHeight="12.75" x14ac:dyDescent="0.2"/>
  <cols>
    <col min="1" max="1" width="8.42578125" style="25" bestFit="1" customWidth="1"/>
    <col min="2" max="2" width="8.140625" style="25" bestFit="1" customWidth="1"/>
    <col min="3" max="3" width="15" style="2448" bestFit="1" customWidth="1"/>
    <col min="4" max="4" width="19.28515625" style="2405" bestFit="1" customWidth="1"/>
    <col min="5" max="5" width="14.85546875" style="2405" bestFit="1" customWidth="1"/>
    <col min="6" max="6" width="12.5703125" style="2405" bestFit="1" customWidth="1"/>
    <col min="7" max="7" width="19.42578125" style="2405" bestFit="1" customWidth="1"/>
    <col min="8" max="8" width="19.28515625" style="25" bestFit="1" customWidth="1"/>
    <col min="9" max="9" width="18.85546875" style="25" bestFit="1" customWidth="1"/>
    <col min="10" max="10" width="18.42578125" style="25" bestFit="1" customWidth="1"/>
    <col min="11" max="11" width="24.42578125" style="25" bestFit="1" customWidth="1"/>
    <col min="12" max="12" width="24.28515625" style="25" customWidth="1"/>
    <col min="13" max="13" width="17" style="25" bestFit="1" customWidth="1"/>
    <col min="14" max="14" width="25.85546875" style="25" bestFit="1" customWidth="1"/>
    <col min="15" max="15" width="16.5703125" style="25" bestFit="1" customWidth="1"/>
    <col min="16" max="16" width="24.7109375" style="25" bestFit="1" customWidth="1"/>
    <col min="17" max="17" width="25.7109375" style="25" bestFit="1" customWidth="1"/>
    <col min="18" max="18" width="27.7109375" style="25" bestFit="1" customWidth="1"/>
    <col min="19" max="19" width="23.42578125" style="25" bestFit="1" customWidth="1"/>
    <col min="20" max="20" width="16.5703125" style="25" bestFit="1" customWidth="1"/>
    <col min="21" max="21" width="8.85546875" style="25" bestFit="1" customWidth="1"/>
    <col min="22" max="22" width="15" style="25" bestFit="1" customWidth="1"/>
    <col min="23" max="23" width="9.85546875" style="25" bestFit="1" customWidth="1"/>
    <col min="24" max="24" width="7.85546875" style="25" bestFit="1" customWidth="1"/>
    <col min="25" max="25" width="12.42578125" style="25" bestFit="1" customWidth="1"/>
    <col min="26" max="26" width="8.85546875" style="25" bestFit="1" customWidth="1"/>
    <col min="27" max="28" width="9.42578125" style="25" bestFit="1" customWidth="1"/>
    <col min="29" max="29" width="15" style="25" bestFit="1" customWidth="1"/>
    <col min="30" max="31" width="9.140625" style="25" customWidth="1"/>
    <col min="32" max="51" width="9.140625" style="25"/>
    <col min="52" max="52" width="9.140625" style="25" customWidth="1"/>
  </cols>
  <sheetData>
    <row r="1" spans="1:11" customFormat="1" x14ac:dyDescent="0.2">
      <c r="A1" s="25"/>
      <c r="B1" s="25"/>
      <c r="C1" s="2405"/>
      <c r="D1" s="25" t="s">
        <v>1454</v>
      </c>
      <c r="E1" s="2405">
        <f>VLOOKUP(Descrição!C13,Listas!A:B,2,)</f>
        <v>58</v>
      </c>
      <c r="F1" s="2405"/>
      <c r="G1" s="2405"/>
      <c r="H1" s="25"/>
      <c r="I1" s="25"/>
      <c r="J1" s="25"/>
      <c r="K1" s="25"/>
    </row>
    <row r="2" spans="1:11" customFormat="1" x14ac:dyDescent="0.2">
      <c r="A2" s="25"/>
      <c r="B2" s="25"/>
      <c r="C2" s="2405"/>
      <c r="D2" s="2463" t="s">
        <v>1566</v>
      </c>
      <c r="E2" s="2463" t="s">
        <v>1454</v>
      </c>
      <c r="F2" s="2463" t="s">
        <v>1455</v>
      </c>
      <c r="G2" s="2463" t="s">
        <v>1565</v>
      </c>
      <c r="H2" s="2463" t="s">
        <v>1564</v>
      </c>
      <c r="I2" s="2463" t="s">
        <v>1563</v>
      </c>
      <c r="J2" s="2462" t="s">
        <v>1562</v>
      </c>
      <c r="K2" s="25"/>
    </row>
    <row r="3" spans="1:11" customFormat="1" x14ac:dyDescent="0.2">
      <c r="A3" s="2405" t="s">
        <v>1518</v>
      </c>
      <c r="B3" s="2405"/>
      <c r="C3" s="2405"/>
      <c r="D3" s="2405"/>
      <c r="E3" s="2405"/>
      <c r="F3" s="2405"/>
      <c r="G3" s="2405" t="s">
        <v>1492</v>
      </c>
      <c r="H3" s="2405" t="s">
        <v>1035</v>
      </c>
      <c r="I3" s="2405" t="s">
        <v>1561</v>
      </c>
      <c r="J3" s="25"/>
      <c r="K3" s="25"/>
    </row>
    <row r="4" spans="1:11" customFormat="1" x14ac:dyDescent="0.2">
      <c r="A4" s="2405">
        <f>Descrição!F14</f>
        <v>2</v>
      </c>
      <c r="B4" s="2405"/>
      <c r="C4" s="2405"/>
      <c r="D4" s="2418"/>
      <c r="E4" s="25">
        <f t="shared" ref="E4:E12" si="0">IF(F4=22,$E$1,0)</f>
        <v>58</v>
      </c>
      <c r="F4" s="25">
        <f t="shared" ref="F4:F12" si="1">IF(G4=0,0,22)</f>
        <v>22</v>
      </c>
      <c r="G4" s="2405">
        <f>VLOOKUP(A4,Listas!$D$2:$F$14,3,)</f>
        <v>9</v>
      </c>
      <c r="H4" s="2405">
        <f>ROUND(Descrição!L14,0)</f>
        <v>10000</v>
      </c>
      <c r="I4" s="2405">
        <f>Descrição!J14</f>
        <v>26</v>
      </c>
      <c r="J4" s="25"/>
      <c r="K4" s="25"/>
    </row>
    <row r="5" spans="1:11" customFormat="1" x14ac:dyDescent="0.2">
      <c r="A5" s="2405">
        <f>Descrição!F15</f>
        <v>3</v>
      </c>
      <c r="B5" s="2405"/>
      <c r="C5" s="2405"/>
      <c r="D5" s="2418"/>
      <c r="E5" s="25">
        <f t="shared" si="0"/>
        <v>58</v>
      </c>
      <c r="F5" s="25">
        <f t="shared" si="1"/>
        <v>22</v>
      </c>
      <c r="G5" s="2405">
        <f>VLOOKUP(A5,Listas!$D$2:$F$14,3,)</f>
        <v>1</v>
      </c>
      <c r="H5" s="2405">
        <f>ROUND(Descrição!L15,0)</f>
        <v>10000</v>
      </c>
      <c r="I5" s="2405">
        <f>Descrição!J15</f>
        <v>200</v>
      </c>
      <c r="J5" s="25"/>
      <c r="K5" s="25"/>
    </row>
    <row r="6" spans="1:11" customFormat="1" x14ac:dyDescent="0.2">
      <c r="A6" s="2405">
        <f>Descrição!F16</f>
        <v>4</v>
      </c>
      <c r="B6" s="2405"/>
      <c r="C6" s="2405"/>
      <c r="D6" s="2418"/>
      <c r="E6" s="25">
        <f t="shared" si="0"/>
        <v>58</v>
      </c>
      <c r="F6" s="25">
        <f t="shared" si="1"/>
        <v>22</v>
      </c>
      <c r="G6" s="2405">
        <f>VLOOKUP(A6,Listas!$D$2:$F$14,3,)</f>
        <v>8</v>
      </c>
      <c r="H6" s="2405">
        <f>ROUND(Descrição!L16,0)</f>
        <v>10000</v>
      </c>
      <c r="I6" s="2405">
        <f>Descrição!J16</f>
        <v>774</v>
      </c>
      <c r="J6" s="25"/>
      <c r="K6" s="25"/>
    </row>
    <row r="7" spans="1:11" customFormat="1" x14ac:dyDescent="0.2">
      <c r="A7" s="2405">
        <f>Descrição!F17</f>
        <v>1</v>
      </c>
      <c r="B7" s="2405"/>
      <c r="C7" s="2405"/>
      <c r="D7" s="2418"/>
      <c r="E7" s="25">
        <f t="shared" si="0"/>
        <v>0</v>
      </c>
      <c r="F7" s="25">
        <f t="shared" si="1"/>
        <v>0</v>
      </c>
      <c r="G7" s="2405">
        <f>VLOOKUP(A7,Listas!$D$2:$F$14,3,)</f>
        <v>0</v>
      </c>
      <c r="H7" s="2405">
        <f>ROUND(Descrição!L17,0)</f>
        <v>0</v>
      </c>
      <c r="I7" s="2405">
        <f>Descrição!J17</f>
        <v>0</v>
      </c>
      <c r="J7" s="25"/>
      <c r="K7" s="25"/>
    </row>
    <row r="8" spans="1:11" customFormat="1" x14ac:dyDescent="0.2">
      <c r="A8" s="2405">
        <f>Descrição!F18</f>
        <v>1</v>
      </c>
      <c r="B8" s="2405"/>
      <c r="C8" s="2405"/>
      <c r="D8" s="2418"/>
      <c r="E8" s="25">
        <f t="shared" si="0"/>
        <v>0</v>
      </c>
      <c r="F8" s="25">
        <f t="shared" si="1"/>
        <v>0</v>
      </c>
      <c r="G8" s="2405">
        <f>VLOOKUP(A8,Listas!$D$2:$F$14,3,)</f>
        <v>0</v>
      </c>
      <c r="H8" s="2405">
        <f>ROUND(Descrição!L18,0)</f>
        <v>0</v>
      </c>
      <c r="I8" s="2405">
        <f>Descrição!J18</f>
        <v>0</v>
      </c>
      <c r="J8" s="25"/>
      <c r="K8" s="25"/>
    </row>
    <row r="9" spans="1:11" customFormat="1" x14ac:dyDescent="0.2">
      <c r="A9" s="2405">
        <f>Descrição!F19</f>
        <v>1</v>
      </c>
      <c r="B9" s="2405"/>
      <c r="C9" s="2405"/>
      <c r="D9" s="2418"/>
      <c r="E9" s="25">
        <f t="shared" si="0"/>
        <v>0</v>
      </c>
      <c r="F9" s="25">
        <f t="shared" si="1"/>
        <v>0</v>
      </c>
      <c r="G9" s="2405">
        <f>VLOOKUP(A9,Listas!$D$2:$F$14,3,)</f>
        <v>0</v>
      </c>
      <c r="H9" s="2405">
        <f>ROUND(Descrição!L19,0)</f>
        <v>0</v>
      </c>
      <c r="I9" s="2405">
        <f>Descrição!J19</f>
        <v>0</v>
      </c>
      <c r="J9" s="25"/>
      <c r="K9" s="25"/>
    </row>
    <row r="10" spans="1:11" customFormat="1" x14ac:dyDescent="0.2">
      <c r="A10" s="2405">
        <f>Descrição!F20</f>
        <v>1</v>
      </c>
      <c r="B10" s="2405"/>
      <c r="C10" s="2405"/>
      <c r="D10" s="2418"/>
      <c r="E10" s="25">
        <f t="shared" si="0"/>
        <v>0</v>
      </c>
      <c r="F10" s="25">
        <f t="shared" si="1"/>
        <v>0</v>
      </c>
      <c r="G10" s="2405">
        <f>VLOOKUP(A10,Listas!$D$2:$F$14,3,)</f>
        <v>0</v>
      </c>
      <c r="H10" s="2405">
        <f>ROUND(Descrição!L20,0)</f>
        <v>0</v>
      </c>
      <c r="I10" s="2405">
        <f>Descrição!J20</f>
        <v>0</v>
      </c>
      <c r="J10" s="25"/>
      <c r="K10" s="25"/>
    </row>
    <row r="11" spans="1:11" customFormat="1" x14ac:dyDescent="0.2">
      <c r="A11" s="2405">
        <f>Descrição!F21</f>
        <v>1</v>
      </c>
      <c r="B11" s="2405"/>
      <c r="C11" s="2405"/>
      <c r="D11" s="2418"/>
      <c r="E11" s="25">
        <f t="shared" si="0"/>
        <v>0</v>
      </c>
      <c r="F11" s="25">
        <f t="shared" si="1"/>
        <v>0</v>
      </c>
      <c r="G11" s="2405">
        <f>VLOOKUP(A11,Listas!$D$2:$F$14,3,)</f>
        <v>0</v>
      </c>
      <c r="H11" s="2405">
        <f>ROUND(Descrição!L21,0)</f>
        <v>0</v>
      </c>
      <c r="I11" s="2405">
        <f>Descrição!J21</f>
        <v>0</v>
      </c>
      <c r="J11" s="25"/>
      <c r="K11" s="25"/>
    </row>
    <row r="12" spans="1:11" customFormat="1" x14ac:dyDescent="0.2">
      <c r="A12" s="2405">
        <f>Descrição!F22</f>
        <v>1</v>
      </c>
      <c r="B12" s="2405"/>
      <c r="C12" s="2405"/>
      <c r="D12" s="25"/>
      <c r="E12" s="25">
        <f t="shared" si="0"/>
        <v>0</v>
      </c>
      <c r="F12" s="25">
        <f t="shared" si="1"/>
        <v>0</v>
      </c>
      <c r="G12" s="2405">
        <f>VLOOKUP(A12,Listas!$D$2:$F$14,3,)</f>
        <v>0</v>
      </c>
      <c r="H12" s="2405">
        <f>ROUND(Descrição!L22,0)</f>
        <v>0</v>
      </c>
      <c r="I12" s="2405">
        <f>Descrição!J22</f>
        <v>0</v>
      </c>
      <c r="J12" s="25"/>
      <c r="K12" s="25"/>
    </row>
    <row r="13" spans="1:11" customFormat="1" x14ac:dyDescent="0.2">
      <c r="A13" s="25"/>
      <c r="B13" s="25"/>
      <c r="C13" s="2405"/>
      <c r="D13" s="2461" t="s">
        <v>1560</v>
      </c>
      <c r="E13" s="2461" t="s">
        <v>1454</v>
      </c>
      <c r="F13" s="2461" t="s">
        <v>1455</v>
      </c>
      <c r="G13" s="2461" t="s">
        <v>1559</v>
      </c>
      <c r="H13" s="2461" t="s">
        <v>1558</v>
      </c>
      <c r="I13" s="2461" t="s">
        <v>1557</v>
      </c>
      <c r="J13" s="2460" t="s">
        <v>1556</v>
      </c>
      <c r="K13" s="25" t="s">
        <v>1555</v>
      </c>
    </row>
    <row r="14" spans="1:11" customFormat="1" x14ac:dyDescent="0.2">
      <c r="A14" s="25"/>
      <c r="B14" s="25"/>
      <c r="C14" s="2405"/>
      <c r="D14" s="25"/>
      <c r="E14" s="2405"/>
      <c r="F14" s="25"/>
      <c r="G14" s="2459">
        <f>Descrição!C17</f>
        <v>42233</v>
      </c>
      <c r="H14" s="2405">
        <f>MONTH(G14)</f>
        <v>8</v>
      </c>
      <c r="I14" s="25">
        <f>YEAR(G14)</f>
        <v>2015</v>
      </c>
      <c r="J14" s="2405" t="str">
        <f>VLOOKUP(K14,Descrição!Y15:Z23,2,)</f>
        <v>Engorda</v>
      </c>
      <c r="K14" s="2405">
        <f>Descrição!C19</f>
        <v>7</v>
      </c>
    </row>
    <row r="15" spans="1:11" customFormat="1" x14ac:dyDescent="0.2">
      <c r="A15" s="25"/>
      <c r="B15" s="25"/>
      <c r="C15" s="2405"/>
      <c r="D15" s="2458" t="s">
        <v>1455</v>
      </c>
      <c r="E15" s="2458" t="s">
        <v>1454</v>
      </c>
      <c r="F15" s="2458" t="s">
        <v>1554</v>
      </c>
      <c r="G15" s="2458" t="s">
        <v>1553</v>
      </c>
      <c r="H15" s="2458" t="s">
        <v>1552</v>
      </c>
      <c r="I15" s="2458" t="s">
        <v>1551</v>
      </c>
      <c r="J15" s="2458" t="s">
        <v>1524</v>
      </c>
      <c r="K15" s="25" t="s">
        <v>1550</v>
      </c>
    </row>
    <row r="16" spans="1:11" customFormat="1" x14ac:dyDescent="0.2">
      <c r="A16" s="25"/>
      <c r="B16" s="25"/>
      <c r="C16" s="2405"/>
      <c r="D16" s="25"/>
      <c r="E16" s="2405"/>
      <c r="F16" s="2405"/>
      <c r="G16" s="2405"/>
      <c r="H16" s="2405" t="s">
        <v>1549</v>
      </c>
      <c r="I16" s="2405" t="s">
        <v>1548</v>
      </c>
      <c r="J16" s="2405" t="s">
        <v>1516</v>
      </c>
      <c r="K16" s="2405" t="s">
        <v>456</v>
      </c>
    </row>
    <row r="17" spans="1:18" customFormat="1" x14ac:dyDescent="0.2">
      <c r="A17" s="25"/>
      <c r="B17" s="25"/>
      <c r="C17" s="2405"/>
      <c r="D17" s="25">
        <f>IF(H17=0,0,22)</f>
        <v>22</v>
      </c>
      <c r="E17" s="25">
        <f>IF(D17=22,$E$1,0)</f>
        <v>58</v>
      </c>
      <c r="F17" s="25">
        <f>IF(K17=0,0,12)</f>
        <v>12</v>
      </c>
      <c r="G17" s="2423"/>
      <c r="H17" s="2405">
        <f>VLOOKUP(4,$A$4:$I$12,9,)*K17</f>
        <v>619.20000000000005</v>
      </c>
      <c r="I17" s="2455" t="str">
        <f>Pastagem!E4</f>
        <v>brachiarão</v>
      </c>
      <c r="J17" s="2405">
        <f>IF(F17=0,0,Pastagem!$C$8)</f>
        <v>15</v>
      </c>
      <c r="K17" s="2455">
        <f>Pastagem!E5</f>
        <v>0.8</v>
      </c>
      <c r="L17" s="25"/>
      <c r="M17" s="25"/>
      <c r="N17" s="25"/>
      <c r="O17" s="25"/>
      <c r="P17" s="25"/>
      <c r="Q17" s="25"/>
      <c r="R17" s="25"/>
    </row>
    <row r="18" spans="1:18" customFormat="1" x14ac:dyDescent="0.2">
      <c r="A18" s="25"/>
      <c r="B18" s="25"/>
      <c r="C18" s="2405"/>
      <c r="D18" s="25">
        <f>IF(H18=0,0,22)</f>
        <v>22</v>
      </c>
      <c r="E18" s="25">
        <f>IF(D18=22,$E$1,0)</f>
        <v>58</v>
      </c>
      <c r="F18" s="25">
        <f>IF(K18=0,0,12)</f>
        <v>12</v>
      </c>
      <c r="G18" s="2423"/>
      <c r="H18" s="2405">
        <f>VLOOKUP(4,$A$4:$I$12,9,)*K18</f>
        <v>154.80000000000001</v>
      </c>
      <c r="I18" s="2457" t="str">
        <f>Pastagem!F4</f>
        <v>outros</v>
      </c>
      <c r="J18" s="2405">
        <f>IF(F18=0,0,Pastagem!$C$8)</f>
        <v>15</v>
      </c>
      <c r="K18" s="2455">
        <f>Pastagem!F5</f>
        <v>0.2</v>
      </c>
      <c r="L18" s="25"/>
      <c r="M18" s="25"/>
      <c r="N18" s="25"/>
      <c r="O18" s="25"/>
      <c r="P18" s="25"/>
      <c r="Q18" s="25"/>
      <c r="R18" s="25"/>
    </row>
    <row r="19" spans="1:18" customFormat="1" x14ac:dyDescent="0.2">
      <c r="A19" s="25"/>
      <c r="B19" s="25"/>
      <c r="C19" s="2405"/>
      <c r="D19" s="25">
        <f>IF(H19=0,0,22)</f>
        <v>0</v>
      </c>
      <c r="E19" s="25">
        <f>IF(D19=22,$E$1,0)</f>
        <v>0</v>
      </c>
      <c r="F19" s="25">
        <f>IF(K19=0,0,12)</f>
        <v>0</v>
      </c>
      <c r="G19" s="2423"/>
      <c r="H19" s="2405">
        <f>VLOOKUP(4,$A$4:$I$12,9,)*K19</f>
        <v>0</v>
      </c>
      <c r="I19" s="2457">
        <f>Pastagem!H4</f>
        <v>0</v>
      </c>
      <c r="J19" s="2405">
        <f>IF(F19=0,0,Pastagem!$C$8)</f>
        <v>0</v>
      </c>
      <c r="K19" s="2455">
        <f>Pastagem!H5</f>
        <v>0</v>
      </c>
      <c r="L19" s="25"/>
      <c r="M19" s="25"/>
      <c r="N19" s="25"/>
      <c r="O19" s="25"/>
      <c r="P19" s="25"/>
      <c r="Q19" s="25"/>
      <c r="R19" s="25"/>
    </row>
    <row r="20" spans="1:18" customFormat="1" x14ac:dyDescent="0.2">
      <c r="A20" s="25"/>
      <c r="B20" s="25"/>
      <c r="C20" s="2405"/>
      <c r="D20" s="25">
        <f>IF(H20=0,0,22)</f>
        <v>0</v>
      </c>
      <c r="E20" s="25">
        <f>IF(D20=22,$E$1,0)</f>
        <v>0</v>
      </c>
      <c r="F20" s="25">
        <f>IF(K20=0,0,12)</f>
        <v>0</v>
      </c>
      <c r="G20" s="2423"/>
      <c r="H20" s="2405">
        <f>VLOOKUP(4,$A$4:$I$12,9,)*K20</f>
        <v>0</v>
      </c>
      <c r="I20" s="2457">
        <f>Pastagem!J4</f>
        <v>0</v>
      </c>
      <c r="J20" s="2405">
        <f>IF(F20=0,0,Pastagem!$C$8)</f>
        <v>0</v>
      </c>
      <c r="K20" s="2455">
        <f>Pastagem!J5</f>
        <v>0</v>
      </c>
      <c r="L20" s="25"/>
      <c r="M20" s="25"/>
      <c r="N20" s="25"/>
      <c r="O20" s="25"/>
      <c r="P20" s="25"/>
      <c r="Q20" s="25"/>
      <c r="R20" s="25"/>
    </row>
    <row r="21" spans="1:18" customFormat="1" x14ac:dyDescent="0.2">
      <c r="A21" s="25"/>
      <c r="B21" s="25"/>
      <c r="C21" s="2405"/>
      <c r="D21" s="25">
        <f>IF(H21=0,0,22)</f>
        <v>0</v>
      </c>
      <c r="E21" s="25">
        <f>IF(D21=22,$E$1,0)</f>
        <v>0</v>
      </c>
      <c r="F21" s="25">
        <f>IF(K21=0,0,12)</f>
        <v>0</v>
      </c>
      <c r="G21" s="2423"/>
      <c r="H21" s="2405">
        <f>VLOOKUP(4,$A$4:$I$12,9,)*K21</f>
        <v>0</v>
      </c>
      <c r="I21" s="2457">
        <f>Pastagem!L4</f>
        <v>0</v>
      </c>
      <c r="J21" s="2405">
        <f>IF(F21=0,0,Pastagem!$C$8)</f>
        <v>0</v>
      </c>
      <c r="K21" s="2455">
        <f>Pastagem!L5</f>
        <v>0</v>
      </c>
      <c r="L21" s="25"/>
      <c r="M21" s="25"/>
      <c r="N21" s="25"/>
      <c r="O21" s="25"/>
      <c r="P21" s="25"/>
      <c r="Q21" s="25"/>
      <c r="R21" s="25"/>
    </row>
    <row r="22" spans="1:18" customFormat="1" x14ac:dyDescent="0.2">
      <c r="A22" s="25"/>
      <c r="B22" s="25"/>
      <c r="C22" s="2405"/>
      <c r="D22" s="25"/>
      <c r="E22" s="25"/>
      <c r="F22" s="25"/>
      <c r="G22" s="2405"/>
      <c r="H22" s="2405"/>
      <c r="I22" s="2457"/>
      <c r="J22" s="2405"/>
      <c r="K22" s="2455"/>
      <c r="L22" s="25"/>
      <c r="M22" s="25"/>
      <c r="N22" s="25"/>
      <c r="O22" s="25"/>
      <c r="P22" s="25"/>
      <c r="Q22" s="25"/>
      <c r="R22" s="25"/>
    </row>
    <row r="23" spans="1:18" customFormat="1" x14ac:dyDescent="0.2">
      <c r="A23" s="25"/>
      <c r="B23" s="25"/>
      <c r="C23" s="2405" t="s">
        <v>692</v>
      </c>
      <c r="D23" s="2456" t="s">
        <v>1547</v>
      </c>
      <c r="E23" s="2456" t="s">
        <v>1454</v>
      </c>
      <c r="F23" s="2456" t="s">
        <v>1455</v>
      </c>
      <c r="G23" s="2456" t="s">
        <v>1513</v>
      </c>
      <c r="H23" s="2456" t="s">
        <v>1546</v>
      </c>
      <c r="I23" s="2456" t="s">
        <v>1511</v>
      </c>
      <c r="J23" s="2405" t="s">
        <v>1510</v>
      </c>
      <c r="K23" s="2455"/>
      <c r="L23" s="25"/>
      <c r="M23" s="25"/>
      <c r="N23" s="25"/>
      <c r="O23" s="25"/>
      <c r="P23" s="25"/>
      <c r="Q23" s="25"/>
      <c r="R23" s="25"/>
    </row>
    <row r="24" spans="1:18" customFormat="1" x14ac:dyDescent="0.2">
      <c r="A24" s="25"/>
      <c r="B24" s="25"/>
      <c r="C24" s="2405">
        <f>Geral!D50</f>
        <v>0</v>
      </c>
      <c r="D24" s="2418"/>
      <c r="E24" s="25">
        <f>IF(F24=22,$E$1,0)</f>
        <v>0</v>
      </c>
      <c r="F24" s="25">
        <f>IF(I24=0,0,22)</f>
        <v>0</v>
      </c>
      <c r="G24" s="2423"/>
      <c r="H24" s="2423"/>
      <c r="I24" s="2422">
        <f>Geral!G50</f>
        <v>0</v>
      </c>
      <c r="J24" s="2405"/>
      <c r="K24" s="2455"/>
      <c r="L24" s="25"/>
      <c r="M24" s="25"/>
      <c r="N24" s="25"/>
      <c r="O24" s="25"/>
      <c r="P24" s="25"/>
      <c r="Q24" s="25"/>
      <c r="R24" s="25"/>
    </row>
    <row r="25" spans="1:18" customFormat="1" x14ac:dyDescent="0.2">
      <c r="A25" s="25"/>
      <c r="B25" s="25"/>
      <c r="C25" s="2405">
        <f>Geral!D51</f>
        <v>0</v>
      </c>
      <c r="D25" s="2418"/>
      <c r="E25" s="25">
        <f>IF(F25=22,$E$1,0)</f>
        <v>0</v>
      </c>
      <c r="F25" s="25">
        <f>IF(I25=0,0,22)</f>
        <v>0</v>
      </c>
      <c r="G25" s="2423"/>
      <c r="H25" s="2423"/>
      <c r="I25" s="2422">
        <f>Geral!G51</f>
        <v>0</v>
      </c>
      <c r="J25" s="2405"/>
      <c r="K25" s="2455"/>
      <c r="L25" s="25"/>
      <c r="M25" s="25"/>
      <c r="N25" s="25"/>
      <c r="O25" s="25"/>
      <c r="P25" s="25"/>
      <c r="Q25" s="25"/>
      <c r="R25" s="25"/>
    </row>
    <row r="26" spans="1:18" customFormat="1" x14ac:dyDescent="0.2">
      <c r="A26" s="25"/>
      <c r="B26" s="25"/>
      <c r="C26" s="2405">
        <f>Geral!D52</f>
        <v>0</v>
      </c>
      <c r="D26" s="2418"/>
      <c r="E26" s="25">
        <f>IF(F26=22,$E$1,0)</f>
        <v>0</v>
      </c>
      <c r="F26" s="25">
        <f>IF(I26=0,0,22)</f>
        <v>0</v>
      </c>
      <c r="G26" s="2423"/>
      <c r="H26" s="2423"/>
      <c r="I26" s="2422">
        <f>Geral!G52</f>
        <v>0</v>
      </c>
      <c r="J26" s="2405"/>
      <c r="K26" s="2455"/>
      <c r="L26" s="25"/>
      <c r="M26" s="25"/>
      <c r="N26" s="25"/>
      <c r="O26" s="25"/>
      <c r="P26" s="25"/>
      <c r="Q26" s="25"/>
      <c r="R26" s="25"/>
    </row>
    <row r="27" spans="1:18" customFormat="1" x14ac:dyDescent="0.2">
      <c r="A27" s="25"/>
      <c r="B27" s="25"/>
      <c r="C27" s="2405">
        <f>Geral!D53</f>
        <v>0</v>
      </c>
      <c r="D27" s="2418"/>
      <c r="E27" s="25">
        <f>IF(F27=22,$E$1,0)</f>
        <v>0</v>
      </c>
      <c r="F27" s="25">
        <f>IF(I27=0,0,22)</f>
        <v>0</v>
      </c>
      <c r="G27" s="2423"/>
      <c r="H27" s="2423"/>
      <c r="I27" s="2422">
        <f>Geral!G53</f>
        <v>0</v>
      </c>
      <c r="J27" s="2405"/>
      <c r="K27" s="2455"/>
      <c r="L27" s="25"/>
      <c r="M27" s="25"/>
      <c r="N27" s="25"/>
      <c r="O27" s="25"/>
      <c r="P27" s="25"/>
      <c r="Q27" s="25"/>
      <c r="R27" s="25"/>
    </row>
    <row r="28" spans="1:18" customFormat="1" x14ac:dyDescent="0.2">
      <c r="A28" s="25"/>
      <c r="B28" s="25"/>
      <c r="C28" s="25"/>
      <c r="D28" s="25"/>
      <c r="E28" s="25"/>
      <c r="F28" s="25"/>
      <c r="G28" s="240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</row>
    <row r="29" spans="1:18" customFormat="1" x14ac:dyDescent="0.2">
      <c r="A29" s="25"/>
      <c r="B29" s="25"/>
      <c r="C29" s="25"/>
      <c r="D29" s="2454" t="s">
        <v>1545</v>
      </c>
      <c r="E29" s="2454" t="s">
        <v>1454</v>
      </c>
      <c r="F29" s="2454" t="s">
        <v>1455</v>
      </c>
      <c r="G29" s="2454" t="s">
        <v>1544</v>
      </c>
      <c r="H29" s="2454" t="s">
        <v>1526</v>
      </c>
      <c r="I29" s="2454" t="s">
        <v>1525</v>
      </c>
      <c r="J29" s="2454" t="s">
        <v>965</v>
      </c>
      <c r="K29" s="2454" t="s">
        <v>0</v>
      </c>
      <c r="L29" s="2454" t="s">
        <v>1523</v>
      </c>
      <c r="M29" s="2454" t="s">
        <v>1522</v>
      </c>
      <c r="N29" s="2454" t="s">
        <v>1521</v>
      </c>
      <c r="O29" s="2454" t="s">
        <v>1540</v>
      </c>
      <c r="P29" s="2454" t="s">
        <v>1534</v>
      </c>
      <c r="Q29" s="2454" t="s">
        <v>1539</v>
      </c>
      <c r="R29" s="25" t="s">
        <v>1543</v>
      </c>
    </row>
    <row r="30" spans="1:18" customFormat="1" x14ac:dyDescent="0.2">
      <c r="A30" s="2405" t="s">
        <v>1518</v>
      </c>
      <c r="B30" s="2405"/>
      <c r="C30" s="25"/>
      <c r="D30" s="25"/>
      <c r="E30" s="25"/>
      <c r="F30" s="25"/>
      <c r="G30" s="2405" t="s">
        <v>1517</v>
      </c>
      <c r="H30" s="2405" t="s">
        <v>1035</v>
      </c>
      <c r="I30" s="25"/>
      <c r="J30" s="25"/>
      <c r="K30" s="2405" t="s">
        <v>0</v>
      </c>
      <c r="L30" s="25"/>
      <c r="M30" s="25"/>
      <c r="N30" s="25"/>
      <c r="O30" s="25"/>
      <c r="P30" s="25"/>
      <c r="Q30" s="2405" t="s">
        <v>1516</v>
      </c>
      <c r="R30" s="25"/>
    </row>
    <row r="31" spans="1:18" customFormat="1" x14ac:dyDescent="0.2">
      <c r="A31" s="2405">
        <f>Inventário!C33</f>
        <v>8</v>
      </c>
      <c r="B31" s="2405"/>
      <c r="C31" s="25"/>
      <c r="D31" s="2418"/>
      <c r="E31" s="25">
        <f t="shared" ref="E31:E40" si="2">IF(F31=22,$E$1,0)</f>
        <v>58</v>
      </c>
      <c r="F31" s="25">
        <f t="shared" ref="F31:F40" si="3">IF(K31=0,0,22)</f>
        <v>22</v>
      </c>
      <c r="G31" s="2405">
        <f>VLOOKUP(A31,Listas!$D$17:$F$26,3,)</f>
        <v>6</v>
      </c>
      <c r="H31" s="2426">
        <f>Inventário!F33</f>
        <v>120000</v>
      </c>
      <c r="I31" s="25"/>
      <c r="J31" s="25"/>
      <c r="K31" s="2426">
        <f>Inventário!E33</f>
        <v>1</v>
      </c>
      <c r="L31" s="2453">
        <f>IF(G31=0,0,Inventário!J33)</f>
        <v>0.2</v>
      </c>
      <c r="M31" s="2453"/>
      <c r="N31" s="2453">
        <f>IF(G31=0,0,Inventário!K33)</f>
        <v>0.5</v>
      </c>
      <c r="O31" s="25">
        <f t="shared" ref="O31:O40" si="4">IF(G31=0,0,13100)</f>
        <v>13100</v>
      </c>
      <c r="P31" s="25">
        <f t="shared" ref="P31:P40" si="5">IFERROR(ROUNDDOWN(O31/Q31,0),0)</f>
        <v>873</v>
      </c>
      <c r="Q31" s="2426">
        <f>Inventário!G33</f>
        <v>15</v>
      </c>
      <c r="R31" s="25"/>
    </row>
    <row r="32" spans="1:18" customFormat="1" x14ac:dyDescent="0.2">
      <c r="A32" s="2405">
        <f>Inventário!C34</f>
        <v>4</v>
      </c>
      <c r="B32" s="2405"/>
      <c r="C32" s="25"/>
      <c r="D32" s="2418"/>
      <c r="E32" s="25">
        <f t="shared" si="2"/>
        <v>58</v>
      </c>
      <c r="F32" s="25">
        <f t="shared" si="3"/>
        <v>22</v>
      </c>
      <c r="G32" s="2405">
        <f>VLOOKUP(A32,Listas!$D$17:$F$26,3,)</f>
        <v>2</v>
      </c>
      <c r="H32" s="2426">
        <f>Inventário!F34</f>
        <v>84500</v>
      </c>
      <c r="I32" s="25"/>
      <c r="J32" s="25"/>
      <c r="K32" s="2426">
        <f>Inventário!E34</f>
        <v>1</v>
      </c>
      <c r="L32" s="2453">
        <f>IF(G32=0,0,Inventário!J34)</f>
        <v>0.2</v>
      </c>
      <c r="M32" s="2453"/>
      <c r="N32" s="2453">
        <f>IF(G32=0,0,Inventário!K34)</f>
        <v>0.5</v>
      </c>
      <c r="O32" s="25">
        <f t="shared" si="4"/>
        <v>13100</v>
      </c>
      <c r="P32" s="25">
        <f t="shared" si="5"/>
        <v>873</v>
      </c>
      <c r="Q32" s="2426">
        <f>Inventário!G34</f>
        <v>15</v>
      </c>
      <c r="R32" s="25"/>
    </row>
    <row r="33" spans="1:18" customFormat="1" x14ac:dyDescent="0.2">
      <c r="A33" s="2405">
        <f>Inventário!C35</f>
        <v>1</v>
      </c>
      <c r="B33" s="2405"/>
      <c r="C33" s="25"/>
      <c r="D33" s="2418"/>
      <c r="E33" s="25">
        <f t="shared" si="2"/>
        <v>0</v>
      </c>
      <c r="F33" s="25">
        <f t="shared" si="3"/>
        <v>0</v>
      </c>
      <c r="G33" s="2405">
        <f>VLOOKUP(A33,Listas!$D$17:$F$26,3,)</f>
        <v>0</v>
      </c>
      <c r="H33" s="2426">
        <f>Inventário!F35</f>
        <v>0</v>
      </c>
      <c r="I33" s="25"/>
      <c r="J33" s="25"/>
      <c r="K33" s="2426">
        <f>Inventário!E35</f>
        <v>0</v>
      </c>
      <c r="L33" s="2453">
        <f>IF(G33=0,0,Inventário!J35)</f>
        <v>0</v>
      </c>
      <c r="M33" s="2453"/>
      <c r="N33" s="2453">
        <f>IF(G33=0,0,Inventário!K35)</f>
        <v>0</v>
      </c>
      <c r="O33" s="25">
        <f t="shared" si="4"/>
        <v>0</v>
      </c>
      <c r="P33" s="25">
        <f t="shared" si="5"/>
        <v>0</v>
      </c>
      <c r="Q33" s="2426">
        <f>Inventário!G35</f>
        <v>0</v>
      </c>
      <c r="R33" s="25"/>
    </row>
    <row r="34" spans="1:18" customFormat="1" x14ac:dyDescent="0.2">
      <c r="A34" s="2405">
        <f>Inventário!C36</f>
        <v>1</v>
      </c>
      <c r="B34" s="2405"/>
      <c r="C34" s="25"/>
      <c r="D34" s="2418"/>
      <c r="E34" s="25">
        <f t="shared" si="2"/>
        <v>0</v>
      </c>
      <c r="F34" s="25">
        <f t="shared" si="3"/>
        <v>0</v>
      </c>
      <c r="G34" s="2405">
        <f>VLOOKUP(A34,Listas!$D$17:$F$26,3,)</f>
        <v>0</v>
      </c>
      <c r="H34" s="2426">
        <f>Inventário!F36</f>
        <v>0</v>
      </c>
      <c r="I34" s="25"/>
      <c r="J34" s="25"/>
      <c r="K34" s="2426">
        <f>Inventário!E36</f>
        <v>0</v>
      </c>
      <c r="L34" s="2453">
        <f>IF(G34=0,0,Inventário!J36)</f>
        <v>0</v>
      </c>
      <c r="M34" s="2453"/>
      <c r="N34" s="2453">
        <f>IF(G34=0,0,Inventário!K36)</f>
        <v>0</v>
      </c>
      <c r="O34" s="25">
        <f t="shared" si="4"/>
        <v>0</v>
      </c>
      <c r="P34" s="25">
        <f t="shared" si="5"/>
        <v>0</v>
      </c>
      <c r="Q34" s="2426">
        <f>Inventário!G36</f>
        <v>0</v>
      </c>
      <c r="R34" s="25"/>
    </row>
    <row r="35" spans="1:18" customFormat="1" x14ac:dyDescent="0.2">
      <c r="A35" s="2405">
        <f>Inventário!C37</f>
        <v>1</v>
      </c>
      <c r="B35" s="2405"/>
      <c r="C35" s="25"/>
      <c r="D35" s="2418"/>
      <c r="E35" s="25">
        <f t="shared" si="2"/>
        <v>0</v>
      </c>
      <c r="F35" s="25">
        <f t="shared" si="3"/>
        <v>0</v>
      </c>
      <c r="G35" s="2405">
        <f>VLOOKUP(A35,Listas!$D$17:$F$26,3,)</f>
        <v>0</v>
      </c>
      <c r="H35" s="2426">
        <f>Inventário!F37</f>
        <v>0</v>
      </c>
      <c r="I35" s="25"/>
      <c r="J35" s="25"/>
      <c r="K35" s="2426">
        <f>Inventário!E37</f>
        <v>0</v>
      </c>
      <c r="L35" s="2453">
        <f>IF(G35=0,0,Inventário!J37)</f>
        <v>0</v>
      </c>
      <c r="M35" s="2453"/>
      <c r="N35" s="2453">
        <f>IF(G35=0,0,Inventário!K37)</f>
        <v>0</v>
      </c>
      <c r="O35" s="25">
        <f t="shared" si="4"/>
        <v>0</v>
      </c>
      <c r="P35" s="25">
        <f t="shared" si="5"/>
        <v>0</v>
      </c>
      <c r="Q35" s="2426">
        <f>Inventário!G37</f>
        <v>0</v>
      </c>
      <c r="R35" s="25"/>
    </row>
    <row r="36" spans="1:18" customFormat="1" x14ac:dyDescent="0.2">
      <c r="A36" s="2405">
        <f>Inventário!C38</f>
        <v>1</v>
      </c>
      <c r="B36" s="2405"/>
      <c r="C36" s="25"/>
      <c r="D36" s="2418"/>
      <c r="E36" s="25">
        <f t="shared" si="2"/>
        <v>0</v>
      </c>
      <c r="F36" s="25">
        <f t="shared" si="3"/>
        <v>0</v>
      </c>
      <c r="G36" s="2405">
        <f>VLOOKUP(A36,Listas!$D$17:$F$26,3,)</f>
        <v>0</v>
      </c>
      <c r="H36" s="2426">
        <f>Inventário!F38</f>
        <v>0</v>
      </c>
      <c r="I36" s="25"/>
      <c r="J36" s="25"/>
      <c r="K36" s="2426">
        <f>Inventário!E38</f>
        <v>0</v>
      </c>
      <c r="L36" s="2453">
        <f>IF(G36=0,0,Inventário!J38)</f>
        <v>0</v>
      </c>
      <c r="M36" s="2453"/>
      <c r="N36" s="2453">
        <f>IF(G36=0,0,Inventário!K38)</f>
        <v>0</v>
      </c>
      <c r="O36" s="25">
        <f t="shared" si="4"/>
        <v>0</v>
      </c>
      <c r="P36" s="25">
        <f t="shared" si="5"/>
        <v>0</v>
      </c>
      <c r="Q36" s="2426">
        <f>Inventário!G38</f>
        <v>0</v>
      </c>
      <c r="R36" s="25"/>
    </row>
    <row r="37" spans="1:18" customFormat="1" x14ac:dyDescent="0.2">
      <c r="A37" s="2405">
        <f>Inventário!C39</f>
        <v>1</v>
      </c>
      <c r="B37" s="2405"/>
      <c r="C37" s="25"/>
      <c r="D37" s="2418"/>
      <c r="E37" s="25">
        <f t="shared" si="2"/>
        <v>0</v>
      </c>
      <c r="F37" s="25">
        <f t="shared" si="3"/>
        <v>0</v>
      </c>
      <c r="G37" s="2405">
        <f>VLOOKUP(A37,Listas!$D$17:$F$26,3,)</f>
        <v>0</v>
      </c>
      <c r="H37" s="2426">
        <f>Inventário!F39</f>
        <v>0</v>
      </c>
      <c r="I37" s="25"/>
      <c r="J37" s="25"/>
      <c r="K37" s="2426">
        <f>Inventário!E39</f>
        <v>0</v>
      </c>
      <c r="L37" s="2453">
        <f>IF(G37=0,0,Inventário!J39)</f>
        <v>0</v>
      </c>
      <c r="M37" s="2453"/>
      <c r="N37" s="2453">
        <f>IF(G37=0,0,Inventário!K39)</f>
        <v>0</v>
      </c>
      <c r="O37" s="25">
        <f t="shared" si="4"/>
        <v>0</v>
      </c>
      <c r="P37" s="25">
        <f t="shared" si="5"/>
        <v>0</v>
      </c>
      <c r="Q37" s="2426">
        <f>Inventário!G39</f>
        <v>0</v>
      </c>
      <c r="R37" s="25"/>
    </row>
    <row r="38" spans="1:18" customFormat="1" x14ac:dyDescent="0.2">
      <c r="A38" s="2405">
        <f>Inventário!C40</f>
        <v>1</v>
      </c>
      <c r="B38" s="2405"/>
      <c r="C38" s="25"/>
      <c r="D38" s="2418"/>
      <c r="E38" s="25">
        <f t="shared" si="2"/>
        <v>0</v>
      </c>
      <c r="F38" s="25">
        <f t="shared" si="3"/>
        <v>0</v>
      </c>
      <c r="G38" s="2405">
        <f>VLOOKUP(A38,Listas!$D$17:$F$26,3,)</f>
        <v>0</v>
      </c>
      <c r="H38" s="2426">
        <f>Inventário!F40</f>
        <v>0</v>
      </c>
      <c r="I38" s="25"/>
      <c r="J38" s="25"/>
      <c r="K38" s="2426">
        <f>Inventário!E40</f>
        <v>0</v>
      </c>
      <c r="L38" s="2453">
        <f>IF(G38=0,0,Inventário!J40)</f>
        <v>0</v>
      </c>
      <c r="M38" s="2453"/>
      <c r="N38" s="2453">
        <f>IF(G38=0,0,Inventário!K40)</f>
        <v>0</v>
      </c>
      <c r="O38" s="25">
        <f t="shared" si="4"/>
        <v>0</v>
      </c>
      <c r="P38" s="25">
        <f t="shared" si="5"/>
        <v>0</v>
      </c>
      <c r="Q38" s="2426">
        <f>Inventário!G40</f>
        <v>0</v>
      </c>
      <c r="R38" s="25"/>
    </row>
    <row r="39" spans="1:18" customFormat="1" x14ac:dyDescent="0.2">
      <c r="A39" s="2405">
        <f>Inventário!C41</f>
        <v>1</v>
      </c>
      <c r="B39" s="2405"/>
      <c r="C39" s="25"/>
      <c r="D39" s="2418"/>
      <c r="E39" s="25">
        <f t="shared" si="2"/>
        <v>0</v>
      </c>
      <c r="F39" s="25">
        <f t="shared" si="3"/>
        <v>0</v>
      </c>
      <c r="G39" s="2405">
        <f>VLOOKUP(A39,Listas!$D$17:$F$26,3,)</f>
        <v>0</v>
      </c>
      <c r="H39" s="2426">
        <f>Inventário!F41</f>
        <v>0</v>
      </c>
      <c r="I39" s="25"/>
      <c r="J39" s="25"/>
      <c r="K39" s="2426">
        <f>Inventário!E41</f>
        <v>0</v>
      </c>
      <c r="L39" s="2453">
        <f>IF(G39=0,0,Inventário!J41)</f>
        <v>0</v>
      </c>
      <c r="M39" s="2453"/>
      <c r="N39" s="2453">
        <f>IF(G39=0,0,Inventário!K41)</f>
        <v>0</v>
      </c>
      <c r="O39" s="25">
        <f t="shared" si="4"/>
        <v>0</v>
      </c>
      <c r="P39" s="25">
        <f t="shared" si="5"/>
        <v>0</v>
      </c>
      <c r="Q39" s="2426">
        <f>Inventário!G41</f>
        <v>0</v>
      </c>
      <c r="R39" s="25"/>
    </row>
    <row r="40" spans="1:18" customFormat="1" x14ac:dyDescent="0.2">
      <c r="A40" s="2405">
        <f>Inventário!C42</f>
        <v>1</v>
      </c>
      <c r="B40" s="2405"/>
      <c r="C40" s="25"/>
      <c r="D40" s="2418"/>
      <c r="E40" s="25">
        <f t="shared" si="2"/>
        <v>0</v>
      </c>
      <c r="F40" s="25">
        <f t="shared" si="3"/>
        <v>0</v>
      </c>
      <c r="G40" s="2405">
        <f>VLOOKUP(A40,Listas!$D$17:$F$26,3,)</f>
        <v>0</v>
      </c>
      <c r="H40" s="2426">
        <f>Inventário!F42</f>
        <v>0</v>
      </c>
      <c r="I40" s="25"/>
      <c r="J40" s="25"/>
      <c r="K40" s="2426">
        <f>Inventário!E42</f>
        <v>0</v>
      </c>
      <c r="L40" s="2453">
        <f>IF(G40=0,0,Inventário!J42)</f>
        <v>0</v>
      </c>
      <c r="M40" s="2453"/>
      <c r="N40" s="2453">
        <f>IF(G40=0,0,Inventário!K42)</f>
        <v>0</v>
      </c>
      <c r="O40" s="25">
        <f t="shared" si="4"/>
        <v>0</v>
      </c>
      <c r="P40" s="25">
        <f t="shared" si="5"/>
        <v>0</v>
      </c>
      <c r="Q40" s="2426">
        <f>Inventário!G42</f>
        <v>0</v>
      </c>
      <c r="R40" s="25"/>
    </row>
    <row r="41" spans="1:18" customFormat="1" x14ac:dyDescent="0.2">
      <c r="A41" s="25"/>
      <c r="B41" s="25"/>
      <c r="C41" s="25"/>
      <c r="D41" s="2405"/>
      <c r="E41" s="2405"/>
      <c r="F41" s="2426"/>
      <c r="G41" s="2426"/>
      <c r="H41" s="2426"/>
      <c r="I41" s="25"/>
      <c r="J41" s="25"/>
      <c r="K41" s="25"/>
      <c r="L41" s="25"/>
      <c r="M41" s="25"/>
      <c r="N41" s="25"/>
      <c r="O41" s="25"/>
      <c r="P41" s="25"/>
      <c r="Q41" s="25"/>
      <c r="R41" s="25"/>
    </row>
    <row r="42" spans="1:18" customFormat="1" x14ac:dyDescent="0.2">
      <c r="A42" s="25"/>
      <c r="B42" s="25"/>
      <c r="C42" s="25"/>
      <c r="D42" s="2452" t="s">
        <v>1542</v>
      </c>
      <c r="E42" s="2452" t="s">
        <v>1454</v>
      </c>
      <c r="F42" s="2452" t="s">
        <v>1455</v>
      </c>
      <c r="G42" s="2452" t="s">
        <v>1541</v>
      </c>
      <c r="H42" s="2452" t="s">
        <v>1526</v>
      </c>
      <c r="I42" s="2452" t="s">
        <v>1525</v>
      </c>
      <c r="J42" s="2452" t="s">
        <v>965</v>
      </c>
      <c r="K42" s="2452" t="s">
        <v>0</v>
      </c>
      <c r="L42" s="2452" t="s">
        <v>1540</v>
      </c>
      <c r="M42" s="2452" t="s">
        <v>1523</v>
      </c>
      <c r="N42" s="2452" t="s">
        <v>1522</v>
      </c>
      <c r="O42" s="2452" t="s">
        <v>1521</v>
      </c>
      <c r="P42" s="2452" t="s">
        <v>1534</v>
      </c>
      <c r="Q42" s="2452" t="s">
        <v>1539</v>
      </c>
      <c r="R42" s="25" t="s">
        <v>1538</v>
      </c>
    </row>
    <row r="43" spans="1:18" customFormat="1" x14ac:dyDescent="0.2">
      <c r="A43" s="2405" t="s">
        <v>1518</v>
      </c>
      <c r="B43" s="2405"/>
      <c r="C43" s="25"/>
      <c r="D43" s="25"/>
      <c r="E43" s="25"/>
      <c r="F43" s="25"/>
      <c r="G43" s="2405" t="s">
        <v>1517</v>
      </c>
      <c r="H43" s="2405" t="s">
        <v>1035</v>
      </c>
      <c r="I43" s="25"/>
      <c r="J43" s="25"/>
      <c r="K43" s="2405" t="s">
        <v>0</v>
      </c>
      <c r="L43" s="25" t="s">
        <v>1537</v>
      </c>
      <c r="M43" s="25"/>
      <c r="N43" s="25"/>
      <c r="O43" s="25"/>
      <c r="P43" s="25"/>
      <c r="Q43" s="2405" t="s">
        <v>1516</v>
      </c>
      <c r="R43" s="25"/>
    </row>
    <row r="44" spans="1:18" customFormat="1" x14ac:dyDescent="0.2">
      <c r="A44" s="2405">
        <f>Inventário!C52</f>
        <v>12</v>
      </c>
      <c r="B44" s="2405"/>
      <c r="C44" s="25"/>
      <c r="D44" s="2418"/>
      <c r="E44" s="25">
        <f t="shared" ref="E44:E63" si="6">IF(F44=22,$E$1,0)</f>
        <v>58</v>
      </c>
      <c r="F44" s="25">
        <f t="shared" ref="F44:F63" si="7">IF(K44=0,0,22)</f>
        <v>22</v>
      </c>
      <c r="G44" s="2405">
        <f>VLOOKUP(A44,Listas!$D$29:$F$52,3,)</f>
        <v>10</v>
      </c>
      <c r="H44" s="2426">
        <f>Inventário!F52</f>
        <v>25000</v>
      </c>
      <c r="I44" s="25"/>
      <c r="J44" s="25"/>
      <c r="K44" s="2426">
        <f>Inventário!E52</f>
        <v>1</v>
      </c>
      <c r="L44" s="25">
        <f>VLOOKUP(A44,Dados!$A$86:$G$129,7,)</f>
        <v>2000</v>
      </c>
      <c r="M44" s="25">
        <f>IF(G44=0,0,Inventário!J52)</f>
        <v>0.2</v>
      </c>
      <c r="N44" s="25"/>
      <c r="O44" s="25">
        <f>IF(G44=0,0,Inventário!K52)</f>
        <v>0.5</v>
      </c>
      <c r="P44" s="25">
        <f t="shared" ref="P44:P63" si="8">IFERROR(ROUNDDOWN(L44/Q44,0),0)</f>
        <v>100</v>
      </c>
      <c r="Q44" s="2426">
        <f>Inventário!G52</f>
        <v>20</v>
      </c>
      <c r="R44" s="25"/>
    </row>
    <row r="45" spans="1:18" customFormat="1" x14ac:dyDescent="0.2">
      <c r="A45" s="2405">
        <f>Inventário!C53</f>
        <v>11</v>
      </c>
      <c r="B45" s="2405"/>
      <c r="C45" s="25"/>
      <c r="D45" s="2418"/>
      <c r="E45" s="25">
        <f t="shared" si="6"/>
        <v>58</v>
      </c>
      <c r="F45" s="25">
        <f t="shared" si="7"/>
        <v>22</v>
      </c>
      <c r="G45" s="2405">
        <f>VLOOKUP(A45,Listas!$D$29:$F$52,3,)</f>
        <v>10</v>
      </c>
      <c r="H45" s="2426">
        <f>Inventário!F53</f>
        <v>20000</v>
      </c>
      <c r="I45" s="25"/>
      <c r="J45" s="25"/>
      <c r="K45" s="2426">
        <f>Inventário!E53</f>
        <v>1</v>
      </c>
      <c r="L45" s="25">
        <f>VLOOKUP(A45,Dados!$A$86:$G$129,7,)</f>
        <v>2000</v>
      </c>
      <c r="M45" s="25">
        <f>IF(G45=0,0,Inventário!J53)</f>
        <v>0.2</v>
      </c>
      <c r="N45" s="25"/>
      <c r="O45" s="25">
        <f>IF(G45=0,0,Inventário!K53)</f>
        <v>0.5</v>
      </c>
      <c r="P45" s="25">
        <f t="shared" si="8"/>
        <v>100</v>
      </c>
      <c r="Q45" s="2426">
        <f>Inventário!G53</f>
        <v>20</v>
      </c>
      <c r="R45" s="25"/>
    </row>
    <row r="46" spans="1:18" customFormat="1" x14ac:dyDescent="0.2">
      <c r="A46" s="2405">
        <f>Inventário!C54</f>
        <v>4</v>
      </c>
      <c r="B46" s="2405"/>
      <c r="C46" s="25"/>
      <c r="D46" s="2418"/>
      <c r="E46" s="25">
        <f t="shared" si="6"/>
        <v>58</v>
      </c>
      <c r="F46" s="25">
        <f t="shared" si="7"/>
        <v>22</v>
      </c>
      <c r="G46" s="2405">
        <f>VLOOKUP(A46,Listas!$D$29:$F$52,3,)</f>
        <v>6</v>
      </c>
      <c r="H46" s="2426">
        <f>Inventário!F54</f>
        <v>12000</v>
      </c>
      <c r="I46" s="25"/>
      <c r="J46" s="25"/>
      <c r="K46" s="2426">
        <f>Inventário!E54</f>
        <v>1</v>
      </c>
      <c r="L46" s="25">
        <f>VLOOKUP(A46,Dados!$A$86:$G$129,7,)</f>
        <v>3000</v>
      </c>
      <c r="M46" s="25">
        <f>IF(G46=0,0,Inventário!J54)</f>
        <v>0.2</v>
      </c>
      <c r="N46" s="25"/>
      <c r="O46" s="25">
        <f>IF(G46=0,0,Inventário!K54)</f>
        <v>0.5</v>
      </c>
      <c r="P46" s="25">
        <f t="shared" si="8"/>
        <v>375</v>
      </c>
      <c r="Q46" s="2426">
        <f>Inventário!G54</f>
        <v>8</v>
      </c>
      <c r="R46" s="25"/>
    </row>
    <row r="47" spans="1:18" customFormat="1" x14ac:dyDescent="0.2">
      <c r="A47" s="2405">
        <f>Inventário!C55</f>
        <v>24</v>
      </c>
      <c r="B47" s="2405"/>
      <c r="C47" s="25"/>
      <c r="D47" s="2418"/>
      <c r="E47" s="25">
        <f t="shared" si="6"/>
        <v>58</v>
      </c>
      <c r="F47" s="25">
        <f t="shared" si="7"/>
        <v>22</v>
      </c>
      <c r="G47" s="2405">
        <f>VLOOKUP(A47,Listas!$D$29:$F$52,3,)</f>
        <v>9</v>
      </c>
      <c r="H47" s="2426">
        <f>Inventário!F55</f>
        <v>4000</v>
      </c>
      <c r="I47" s="25"/>
      <c r="J47" s="25"/>
      <c r="K47" s="2426">
        <f>Inventário!E55</f>
        <v>1</v>
      </c>
      <c r="L47" s="25">
        <f>VLOOKUP(A47,Dados!$A$86:$G$129,7,)</f>
        <v>1200</v>
      </c>
      <c r="M47" s="25">
        <f>IF(G47=0,0,Inventário!J55)</f>
        <v>0.2</v>
      </c>
      <c r="N47" s="25"/>
      <c r="O47" s="25">
        <f>IF(G47=0,0,Inventário!K55)</f>
        <v>0.5</v>
      </c>
      <c r="P47" s="25">
        <f t="shared" si="8"/>
        <v>150</v>
      </c>
      <c r="Q47" s="2426">
        <f>Inventário!G55</f>
        <v>8</v>
      </c>
      <c r="R47" s="25"/>
    </row>
    <row r="48" spans="1:18" customFormat="1" x14ac:dyDescent="0.2">
      <c r="A48" s="2405">
        <f>Inventário!C56</f>
        <v>18</v>
      </c>
      <c r="B48" s="2405"/>
      <c r="C48" s="25"/>
      <c r="D48" s="2418"/>
      <c r="E48" s="25">
        <f t="shared" si="6"/>
        <v>58</v>
      </c>
      <c r="F48" s="25">
        <f t="shared" si="7"/>
        <v>22</v>
      </c>
      <c r="G48" s="2405">
        <f>VLOOKUP(A48,Listas!$D$29:$F$52,3,)</f>
        <v>12</v>
      </c>
      <c r="H48" s="2426">
        <f>Inventário!F56</f>
        <v>10000</v>
      </c>
      <c r="I48" s="25"/>
      <c r="J48" s="25"/>
      <c r="K48" s="2426">
        <f>Inventário!E56</f>
        <v>1</v>
      </c>
      <c r="L48" s="25">
        <f>VLOOKUP(A48,Dados!$A$86:$G$129,7,)</f>
        <v>2000</v>
      </c>
      <c r="M48" s="25">
        <f>IF(G48=0,0,Inventário!J56)</f>
        <v>0.2</v>
      </c>
      <c r="N48" s="25"/>
      <c r="O48" s="25">
        <f>IF(G48=0,0,Inventário!K56)</f>
        <v>0.5</v>
      </c>
      <c r="P48" s="25">
        <f t="shared" si="8"/>
        <v>166</v>
      </c>
      <c r="Q48" s="2426">
        <f>Inventário!G56</f>
        <v>12</v>
      </c>
      <c r="R48" s="25"/>
    </row>
    <row r="49" spans="1:17" customFormat="1" x14ac:dyDescent="0.2">
      <c r="A49" s="2405">
        <f>Inventário!C57</f>
        <v>17</v>
      </c>
      <c r="B49" s="2405"/>
      <c r="C49" s="25"/>
      <c r="D49" s="2418"/>
      <c r="E49" s="25">
        <f t="shared" si="6"/>
        <v>58</v>
      </c>
      <c r="F49" s="25">
        <f t="shared" si="7"/>
        <v>22</v>
      </c>
      <c r="G49" s="2405">
        <f>VLOOKUP(A49,Listas!$D$29:$F$52,3,)</f>
        <v>1</v>
      </c>
      <c r="H49" s="2426">
        <f>Inventário!F57</f>
        <v>13000</v>
      </c>
      <c r="I49" s="25"/>
      <c r="J49" s="25"/>
      <c r="K49" s="2426">
        <f>Inventário!E57</f>
        <v>1</v>
      </c>
      <c r="L49" s="25">
        <f>VLOOKUP(A49,Dados!$A$86:$G$129,7,)</f>
        <v>1500</v>
      </c>
      <c r="M49" s="25">
        <f>IF(G49=0,0,Inventário!J57)</f>
        <v>0.2</v>
      </c>
      <c r="N49" s="25"/>
      <c r="O49" s="25">
        <f>IF(G49=0,0,Inventário!K57)</f>
        <v>0.5</v>
      </c>
      <c r="P49" s="25">
        <f t="shared" si="8"/>
        <v>100</v>
      </c>
      <c r="Q49" s="2426">
        <f>Inventário!G57</f>
        <v>15</v>
      </c>
    </row>
    <row r="50" spans="1:17" customFormat="1" x14ac:dyDescent="0.2">
      <c r="A50" s="2405">
        <f>Inventário!C58</f>
        <v>3</v>
      </c>
      <c r="B50" s="2405"/>
      <c r="C50" s="25"/>
      <c r="D50" s="2418"/>
      <c r="E50" s="25">
        <f t="shared" si="6"/>
        <v>58</v>
      </c>
      <c r="F50" s="25">
        <f t="shared" si="7"/>
        <v>22</v>
      </c>
      <c r="G50" s="2405">
        <f>VLOOKUP(A50,Listas!$D$29:$F$52,3,)</f>
        <v>35</v>
      </c>
      <c r="H50" s="2426">
        <f>Inventário!F58</f>
        <v>5000</v>
      </c>
      <c r="I50" s="25"/>
      <c r="J50" s="25"/>
      <c r="K50" s="2426">
        <f>Inventário!E58</f>
        <v>1</v>
      </c>
      <c r="L50" s="25">
        <f>VLOOKUP(A50,Dados!$A$86:$G$129,7,)</f>
        <v>1200</v>
      </c>
      <c r="M50" s="25">
        <f>IF(G50=0,0,Inventário!J58)</f>
        <v>0.2</v>
      </c>
      <c r="N50" s="25"/>
      <c r="O50" s="25">
        <f>IF(G50=0,0,Inventário!K58)</f>
        <v>0.5</v>
      </c>
      <c r="P50" s="25">
        <f t="shared" si="8"/>
        <v>60</v>
      </c>
      <c r="Q50" s="2426">
        <f>Inventário!G58</f>
        <v>20</v>
      </c>
    </row>
    <row r="51" spans="1:17" customFormat="1" x14ac:dyDescent="0.2">
      <c r="A51" s="2405">
        <f>Inventário!C59</f>
        <v>4</v>
      </c>
      <c r="B51" s="2405"/>
      <c r="C51" s="25"/>
      <c r="D51" s="2418"/>
      <c r="E51" s="25">
        <f t="shared" si="6"/>
        <v>58</v>
      </c>
      <c r="F51" s="25">
        <f t="shared" si="7"/>
        <v>22</v>
      </c>
      <c r="G51" s="2405">
        <f>VLOOKUP(A51,Listas!$D$29:$F$52,3,)</f>
        <v>6</v>
      </c>
      <c r="H51" s="2426">
        <f>Inventário!F59</f>
        <v>8000</v>
      </c>
      <c r="I51" s="25"/>
      <c r="J51" s="25"/>
      <c r="K51" s="2426">
        <f>Inventário!E59</f>
        <v>1</v>
      </c>
      <c r="L51" s="25">
        <f>VLOOKUP(A51,Dados!$A$86:$G$129,7,)</f>
        <v>3000</v>
      </c>
      <c r="M51" s="25">
        <f>IF(G51=0,0,Inventário!J59)</f>
        <v>0.2</v>
      </c>
      <c r="N51" s="25"/>
      <c r="O51" s="25">
        <f>IF(G51=0,0,Inventário!K59)</f>
        <v>0.5</v>
      </c>
      <c r="P51" s="25">
        <f t="shared" si="8"/>
        <v>375</v>
      </c>
      <c r="Q51" s="2426">
        <f>Inventário!G59</f>
        <v>8</v>
      </c>
    </row>
    <row r="52" spans="1:17" customFormat="1" x14ac:dyDescent="0.2">
      <c r="A52" s="2405">
        <f>Inventário!C60</f>
        <v>1</v>
      </c>
      <c r="B52" s="2405"/>
      <c r="C52" s="25"/>
      <c r="D52" s="2418"/>
      <c r="E52" s="25">
        <f t="shared" si="6"/>
        <v>0</v>
      </c>
      <c r="F52" s="25">
        <f t="shared" si="7"/>
        <v>0</v>
      </c>
      <c r="G52" s="2405">
        <f>VLOOKUP(A52,Listas!$D$29:$F$52,3,)</f>
        <v>0</v>
      </c>
      <c r="H52" s="2426">
        <f>Inventário!F60</f>
        <v>0</v>
      </c>
      <c r="I52" s="25"/>
      <c r="J52" s="25"/>
      <c r="K52" s="2426">
        <f>Inventário!E60</f>
        <v>0</v>
      </c>
      <c r="L52" s="25">
        <f>VLOOKUP(A52,Dados!$A$86:$G$129,7,)</f>
        <v>0</v>
      </c>
      <c r="M52" s="25">
        <f>IF(G52=0,0,Inventário!J60)</f>
        <v>0</v>
      </c>
      <c r="N52" s="25"/>
      <c r="O52" s="25">
        <f>IF(G52=0,0,Inventário!K60)</f>
        <v>0</v>
      </c>
      <c r="P52" s="25">
        <f t="shared" si="8"/>
        <v>0</v>
      </c>
      <c r="Q52" s="2426">
        <f>Inventário!G60</f>
        <v>0</v>
      </c>
    </row>
    <row r="53" spans="1:17" customFormat="1" x14ac:dyDescent="0.2">
      <c r="A53" s="2405">
        <f>Inventário!C61</f>
        <v>1</v>
      </c>
      <c r="B53" s="2405"/>
      <c r="C53" s="25"/>
      <c r="D53" s="2418"/>
      <c r="E53" s="25">
        <f t="shared" si="6"/>
        <v>0</v>
      </c>
      <c r="F53" s="25">
        <f t="shared" si="7"/>
        <v>0</v>
      </c>
      <c r="G53" s="2405">
        <f>VLOOKUP(A53,Listas!$D$29:$F$52,3,)</f>
        <v>0</v>
      </c>
      <c r="H53" s="2426">
        <f>Inventário!F61</f>
        <v>0</v>
      </c>
      <c r="I53" s="25"/>
      <c r="J53" s="25"/>
      <c r="K53" s="2426">
        <f>Inventário!E61</f>
        <v>0</v>
      </c>
      <c r="L53" s="25">
        <f>VLOOKUP(A53,Dados!$A$86:$G$129,7,)</f>
        <v>0</v>
      </c>
      <c r="M53" s="25">
        <f>IF(G53=0,0,Inventário!J61)</f>
        <v>0</v>
      </c>
      <c r="N53" s="25"/>
      <c r="O53" s="25">
        <f>IF(G53=0,0,Inventário!K61)</f>
        <v>0</v>
      </c>
      <c r="P53" s="25">
        <f t="shared" si="8"/>
        <v>0</v>
      </c>
      <c r="Q53" s="2426">
        <f>Inventário!G61</f>
        <v>0</v>
      </c>
    </row>
    <row r="54" spans="1:17" customFormat="1" x14ac:dyDescent="0.2">
      <c r="A54" s="2405">
        <f>Inventário!C62</f>
        <v>1</v>
      </c>
      <c r="B54" s="2405"/>
      <c r="C54" s="25"/>
      <c r="D54" s="2418"/>
      <c r="E54" s="25">
        <f t="shared" si="6"/>
        <v>0</v>
      </c>
      <c r="F54" s="25">
        <f t="shared" si="7"/>
        <v>0</v>
      </c>
      <c r="G54" s="2405">
        <f>VLOOKUP(A54,Listas!$D$29:$F$52,3,)</f>
        <v>0</v>
      </c>
      <c r="H54" s="2426">
        <f>Inventário!F62</f>
        <v>0</v>
      </c>
      <c r="I54" s="25"/>
      <c r="J54" s="25"/>
      <c r="K54" s="2426">
        <f>Inventário!E62</f>
        <v>0</v>
      </c>
      <c r="L54" s="25">
        <f>VLOOKUP(A54,Dados!$A$86:$G$129,7,)</f>
        <v>0</v>
      </c>
      <c r="M54" s="25">
        <f>IF(G54=0,0,Inventário!J62)</f>
        <v>0</v>
      </c>
      <c r="N54" s="25"/>
      <c r="O54" s="25">
        <f>IF(G54=0,0,Inventário!K62)</f>
        <v>0</v>
      </c>
      <c r="P54" s="25">
        <f t="shared" si="8"/>
        <v>0</v>
      </c>
      <c r="Q54" s="2426">
        <f>Inventário!G62</f>
        <v>0</v>
      </c>
    </row>
    <row r="55" spans="1:17" customFormat="1" x14ac:dyDescent="0.2">
      <c r="A55" s="2405">
        <f>Inventário!C63</f>
        <v>1</v>
      </c>
      <c r="B55" s="2405"/>
      <c r="C55" s="25"/>
      <c r="D55" s="2418"/>
      <c r="E55" s="25">
        <f t="shared" si="6"/>
        <v>0</v>
      </c>
      <c r="F55" s="25">
        <f t="shared" si="7"/>
        <v>0</v>
      </c>
      <c r="G55" s="2405">
        <f>VLOOKUP(A55,Listas!$D$29:$F$52,3,)</f>
        <v>0</v>
      </c>
      <c r="H55" s="2426">
        <f>Inventário!F63</f>
        <v>0</v>
      </c>
      <c r="I55" s="25"/>
      <c r="J55" s="25"/>
      <c r="K55" s="2426">
        <f>Inventário!E63</f>
        <v>0</v>
      </c>
      <c r="L55" s="25">
        <f>VLOOKUP(A55,Dados!$A$86:$G$129,7,)</f>
        <v>0</v>
      </c>
      <c r="M55" s="25">
        <f>IF(G55=0,0,Inventário!J63)</f>
        <v>0</v>
      </c>
      <c r="N55" s="25"/>
      <c r="O55" s="25">
        <f>IF(G55=0,0,Inventário!K63)</f>
        <v>0</v>
      </c>
      <c r="P55" s="25">
        <f t="shared" si="8"/>
        <v>0</v>
      </c>
      <c r="Q55" s="2426">
        <f>Inventário!G63</f>
        <v>0</v>
      </c>
    </row>
    <row r="56" spans="1:17" customFormat="1" x14ac:dyDescent="0.2">
      <c r="A56" s="2405">
        <f>Inventário!C64</f>
        <v>1</v>
      </c>
      <c r="B56" s="2405"/>
      <c r="C56" s="25"/>
      <c r="D56" s="2418"/>
      <c r="E56" s="25">
        <f t="shared" si="6"/>
        <v>0</v>
      </c>
      <c r="F56" s="25">
        <f t="shared" si="7"/>
        <v>0</v>
      </c>
      <c r="G56" s="2405">
        <f>VLOOKUP(A56,Listas!$D$29:$F$52,3,)</f>
        <v>0</v>
      </c>
      <c r="H56" s="2426">
        <f>Inventário!F64</f>
        <v>0</v>
      </c>
      <c r="I56" s="25"/>
      <c r="J56" s="25"/>
      <c r="K56" s="2426">
        <f>Inventário!E64</f>
        <v>0</v>
      </c>
      <c r="L56" s="25">
        <f>VLOOKUP(A56,Dados!$A$86:$G$129,7,)</f>
        <v>0</v>
      </c>
      <c r="M56" s="25">
        <f>IF(G56=0,0,Inventário!J64)</f>
        <v>0</v>
      </c>
      <c r="N56" s="25"/>
      <c r="O56" s="25">
        <f>IF(G56=0,0,Inventário!K64)</f>
        <v>0</v>
      </c>
      <c r="P56" s="25">
        <f t="shared" si="8"/>
        <v>0</v>
      </c>
      <c r="Q56" s="2426">
        <f>Inventário!G64</f>
        <v>0</v>
      </c>
    </row>
    <row r="57" spans="1:17" customFormat="1" x14ac:dyDescent="0.2">
      <c r="A57" s="2405">
        <f>Inventário!C65</f>
        <v>1</v>
      </c>
      <c r="B57" s="2405"/>
      <c r="C57" s="25"/>
      <c r="D57" s="2418"/>
      <c r="E57" s="25">
        <f t="shared" si="6"/>
        <v>0</v>
      </c>
      <c r="F57" s="25">
        <f t="shared" si="7"/>
        <v>0</v>
      </c>
      <c r="G57" s="2405">
        <f>VLOOKUP(A57,Listas!$D$29:$F$52,3,)</f>
        <v>0</v>
      </c>
      <c r="H57" s="2426">
        <f>Inventário!F65</f>
        <v>0</v>
      </c>
      <c r="I57" s="25"/>
      <c r="J57" s="25"/>
      <c r="K57" s="2426">
        <f>Inventário!E65</f>
        <v>0</v>
      </c>
      <c r="L57" s="25">
        <f>VLOOKUP(A57,Dados!$A$86:$G$129,7,)</f>
        <v>0</v>
      </c>
      <c r="M57" s="25">
        <f>IF(G57=0,0,Inventário!J65)</f>
        <v>0</v>
      </c>
      <c r="N57" s="25"/>
      <c r="O57" s="25">
        <f>IF(G57=0,0,Inventário!K65)</f>
        <v>0</v>
      </c>
      <c r="P57" s="25">
        <f t="shared" si="8"/>
        <v>0</v>
      </c>
      <c r="Q57" s="2426">
        <f>Inventário!G65</f>
        <v>0</v>
      </c>
    </row>
    <row r="58" spans="1:17" customFormat="1" x14ac:dyDescent="0.2">
      <c r="A58" s="2405">
        <f>Inventário!C66</f>
        <v>1</v>
      </c>
      <c r="B58" s="2405"/>
      <c r="C58" s="25"/>
      <c r="D58" s="2418"/>
      <c r="E58" s="25">
        <f t="shared" si="6"/>
        <v>0</v>
      </c>
      <c r="F58" s="25">
        <f t="shared" si="7"/>
        <v>0</v>
      </c>
      <c r="G58" s="2405">
        <f>VLOOKUP(A58,Listas!$D$29:$F$52,3,)</f>
        <v>0</v>
      </c>
      <c r="H58" s="2426">
        <f>Inventário!F66</f>
        <v>0</v>
      </c>
      <c r="I58" s="25"/>
      <c r="J58" s="25"/>
      <c r="K58" s="2426">
        <f>Inventário!E66</f>
        <v>0</v>
      </c>
      <c r="L58" s="25">
        <f>VLOOKUP(A58,Dados!$A$86:$G$129,7,)</f>
        <v>0</v>
      </c>
      <c r="M58" s="25">
        <f>IF(G58=0,0,Inventário!J66)</f>
        <v>0</v>
      </c>
      <c r="N58" s="25"/>
      <c r="O58" s="25">
        <f>IF(G58=0,0,Inventário!K66)</f>
        <v>0</v>
      </c>
      <c r="P58" s="25">
        <f t="shared" si="8"/>
        <v>0</v>
      </c>
      <c r="Q58" s="2426">
        <f>Inventário!G66</f>
        <v>0</v>
      </c>
    </row>
    <row r="59" spans="1:17" customFormat="1" x14ac:dyDescent="0.2">
      <c r="A59" s="2405">
        <f>Inventário!C67</f>
        <v>1</v>
      </c>
      <c r="B59" s="2405"/>
      <c r="C59" s="25"/>
      <c r="D59" s="2418"/>
      <c r="E59" s="25">
        <f t="shared" si="6"/>
        <v>0</v>
      </c>
      <c r="F59" s="25">
        <f t="shared" si="7"/>
        <v>0</v>
      </c>
      <c r="G59" s="2405">
        <f>VLOOKUP(A59,Listas!$D$29:$F$52,3,)</f>
        <v>0</v>
      </c>
      <c r="H59" s="2426">
        <f>Inventário!F67</f>
        <v>0</v>
      </c>
      <c r="I59" s="25"/>
      <c r="J59" s="25"/>
      <c r="K59" s="2426">
        <f>Inventário!E67</f>
        <v>0</v>
      </c>
      <c r="L59" s="25">
        <f>VLOOKUP(A59,Dados!$A$86:$G$129,7,)</f>
        <v>0</v>
      </c>
      <c r="M59" s="25">
        <f>IF(G59=0,0,Inventário!J67)</f>
        <v>0</v>
      </c>
      <c r="N59" s="25"/>
      <c r="O59" s="25">
        <f>IF(G59=0,0,Inventário!K67)</f>
        <v>0</v>
      </c>
      <c r="P59" s="25">
        <f t="shared" si="8"/>
        <v>0</v>
      </c>
      <c r="Q59" s="2426">
        <f>Inventário!G67</f>
        <v>0</v>
      </c>
    </row>
    <row r="60" spans="1:17" customFormat="1" x14ac:dyDescent="0.2">
      <c r="A60" s="2405">
        <f>Inventário!C68</f>
        <v>1</v>
      </c>
      <c r="B60" s="2405"/>
      <c r="C60" s="25"/>
      <c r="D60" s="2418"/>
      <c r="E60" s="25">
        <f t="shared" si="6"/>
        <v>0</v>
      </c>
      <c r="F60" s="25">
        <f t="shared" si="7"/>
        <v>0</v>
      </c>
      <c r="G60" s="2405">
        <f>VLOOKUP(A60,Listas!$D$29:$F$52,3,)</f>
        <v>0</v>
      </c>
      <c r="H60" s="2426">
        <f>Inventário!F68</f>
        <v>0</v>
      </c>
      <c r="I60" s="25"/>
      <c r="J60" s="25"/>
      <c r="K60" s="2426">
        <f>Inventário!E68</f>
        <v>0</v>
      </c>
      <c r="L60" s="25">
        <f>VLOOKUP(A60,Dados!$A$86:$G$129,7,)</f>
        <v>0</v>
      </c>
      <c r="M60" s="25">
        <f>IF(G60=0,0,Inventário!J68)</f>
        <v>0</v>
      </c>
      <c r="N60" s="25"/>
      <c r="O60" s="25">
        <f>IF(G60=0,0,Inventário!K68)</f>
        <v>0</v>
      </c>
      <c r="P60" s="25">
        <f t="shared" si="8"/>
        <v>0</v>
      </c>
      <c r="Q60" s="2426">
        <f>Inventário!G68</f>
        <v>0</v>
      </c>
    </row>
    <row r="61" spans="1:17" customFormat="1" x14ac:dyDescent="0.2">
      <c r="A61" s="2405">
        <f>Inventário!C69</f>
        <v>1</v>
      </c>
      <c r="B61" s="2405"/>
      <c r="C61" s="25"/>
      <c r="D61" s="2418"/>
      <c r="E61" s="25">
        <f t="shared" si="6"/>
        <v>0</v>
      </c>
      <c r="F61" s="25">
        <f t="shared" si="7"/>
        <v>0</v>
      </c>
      <c r="G61" s="2405">
        <f>VLOOKUP(A61,Listas!$D$29:$F$52,3,)</f>
        <v>0</v>
      </c>
      <c r="H61" s="2426">
        <f>Inventário!F69</f>
        <v>0</v>
      </c>
      <c r="I61" s="25"/>
      <c r="J61" s="25"/>
      <c r="K61" s="2426">
        <f>Inventário!E69</f>
        <v>0</v>
      </c>
      <c r="L61" s="25">
        <f>VLOOKUP(A61,Dados!$A$86:$G$129,7,)</f>
        <v>0</v>
      </c>
      <c r="M61" s="25">
        <f>IF(G61=0,0,Inventário!J69)</f>
        <v>0</v>
      </c>
      <c r="N61" s="25"/>
      <c r="O61" s="25">
        <f>IF(G61=0,0,Inventário!K69)</f>
        <v>0</v>
      </c>
      <c r="P61" s="25">
        <f t="shared" si="8"/>
        <v>0</v>
      </c>
      <c r="Q61" s="2426">
        <f>Inventário!G69</f>
        <v>0</v>
      </c>
    </row>
    <row r="62" spans="1:17" customFormat="1" x14ac:dyDescent="0.2">
      <c r="A62" s="2405">
        <f>Inventário!C70</f>
        <v>1</v>
      </c>
      <c r="B62" s="2405"/>
      <c r="C62" s="25"/>
      <c r="D62" s="2418"/>
      <c r="E62" s="25">
        <f t="shared" si="6"/>
        <v>0</v>
      </c>
      <c r="F62" s="25">
        <f t="shared" si="7"/>
        <v>0</v>
      </c>
      <c r="G62" s="2405">
        <f>VLOOKUP(A62,Listas!$D$29:$F$52,3,)</f>
        <v>0</v>
      </c>
      <c r="H62" s="2426">
        <f>Inventário!F70</f>
        <v>0</v>
      </c>
      <c r="I62" s="25"/>
      <c r="J62" s="25"/>
      <c r="K62" s="2426">
        <f>Inventário!E70</f>
        <v>0</v>
      </c>
      <c r="L62" s="25">
        <f>VLOOKUP(A62,Dados!$A$86:$G$129,7,)</f>
        <v>0</v>
      </c>
      <c r="M62" s="25">
        <f>IF(G62=0,0,Inventário!J70)</f>
        <v>0</v>
      </c>
      <c r="N62" s="25"/>
      <c r="O62" s="25">
        <f>IF(G62=0,0,Inventário!K70)</f>
        <v>0</v>
      </c>
      <c r="P62" s="25">
        <f t="shared" si="8"/>
        <v>0</v>
      </c>
      <c r="Q62" s="2426">
        <f>Inventário!G70</f>
        <v>0</v>
      </c>
    </row>
    <row r="63" spans="1:17" customFormat="1" x14ac:dyDescent="0.2">
      <c r="A63" s="2405">
        <f>Inventário!C71</f>
        <v>1</v>
      </c>
      <c r="B63" s="2405"/>
      <c r="C63" s="25"/>
      <c r="D63" s="2418"/>
      <c r="E63" s="25">
        <f t="shared" si="6"/>
        <v>0</v>
      </c>
      <c r="F63" s="25">
        <f t="shared" si="7"/>
        <v>0</v>
      </c>
      <c r="G63" s="2405">
        <f>VLOOKUP(A63,Listas!$D$29:$F$52,3,)</f>
        <v>0</v>
      </c>
      <c r="H63" s="2426">
        <f>Inventário!F71</f>
        <v>0</v>
      </c>
      <c r="I63" s="25"/>
      <c r="J63" s="25"/>
      <c r="K63" s="2426">
        <f>Inventário!E71</f>
        <v>0</v>
      </c>
      <c r="L63" s="25">
        <f>VLOOKUP(A63,Dados!$A$86:$G$129,7,)</f>
        <v>0</v>
      </c>
      <c r="M63" s="25">
        <f>IF(G63=0,0,Inventário!J71)</f>
        <v>0</v>
      </c>
      <c r="N63" s="25"/>
      <c r="O63" s="25">
        <f>IF(G63=0,0,Inventário!K71)</f>
        <v>0</v>
      </c>
      <c r="P63" s="25">
        <f t="shared" si="8"/>
        <v>0</v>
      </c>
      <c r="Q63" s="2426">
        <f>Inventário!G71</f>
        <v>0</v>
      </c>
    </row>
    <row r="64" spans="1:17" customFormat="1" x14ac:dyDescent="0.2">
      <c r="A64" s="25"/>
      <c r="B64" s="25"/>
      <c r="C64" s="2405"/>
      <c r="D64" s="2405"/>
      <c r="E64" s="2405"/>
      <c r="F64" s="2405"/>
      <c r="G64" s="2405"/>
      <c r="H64" s="2405"/>
      <c r="I64" s="25"/>
      <c r="J64" s="25"/>
      <c r="K64" s="25"/>
      <c r="L64" s="25"/>
      <c r="M64" s="25"/>
      <c r="N64" s="25"/>
      <c r="O64" s="25"/>
      <c r="P64" s="25"/>
      <c r="Q64" s="25"/>
    </row>
    <row r="65" spans="1:18" customFormat="1" x14ac:dyDescent="0.2">
      <c r="A65" s="25"/>
      <c r="B65" s="25"/>
      <c r="C65" s="25"/>
      <c r="D65" s="2451" t="s">
        <v>1536</v>
      </c>
      <c r="E65" s="2451" t="s">
        <v>1454</v>
      </c>
      <c r="F65" s="2451" t="s">
        <v>1455</v>
      </c>
      <c r="G65" s="2451" t="s">
        <v>1535</v>
      </c>
      <c r="H65" s="2451" t="s">
        <v>1526</v>
      </c>
      <c r="I65" s="2451" t="s">
        <v>1525</v>
      </c>
      <c r="J65" s="2451" t="s">
        <v>965</v>
      </c>
      <c r="K65" s="2451" t="s">
        <v>0</v>
      </c>
      <c r="L65" s="2451" t="s">
        <v>1524</v>
      </c>
      <c r="M65" s="2451" t="s">
        <v>1523</v>
      </c>
      <c r="N65" s="2451" t="s">
        <v>1522</v>
      </c>
      <c r="O65" s="2451" t="s">
        <v>1521</v>
      </c>
      <c r="P65" s="2451" t="s">
        <v>1534</v>
      </c>
      <c r="Q65" s="2451" t="s">
        <v>1530</v>
      </c>
      <c r="R65" s="25" t="s">
        <v>1533</v>
      </c>
    </row>
    <row r="66" spans="1:18" customFormat="1" x14ac:dyDescent="0.2">
      <c r="A66" s="2405" t="s">
        <v>1518</v>
      </c>
      <c r="B66" s="2405"/>
      <c r="C66" s="25"/>
      <c r="D66" s="25"/>
      <c r="E66" s="25"/>
      <c r="F66" s="25"/>
      <c r="G66" s="2405" t="s">
        <v>1517</v>
      </c>
      <c r="H66" s="2405" t="s">
        <v>1035</v>
      </c>
      <c r="I66" s="25"/>
      <c r="J66" s="25"/>
      <c r="K66" s="2405" t="s">
        <v>0</v>
      </c>
      <c r="L66" s="2405" t="s">
        <v>1516</v>
      </c>
      <c r="M66" s="25"/>
      <c r="N66" s="25"/>
      <c r="O66" s="25"/>
      <c r="P66" s="25"/>
      <c r="Q66" s="25"/>
      <c r="R66" s="25"/>
    </row>
    <row r="67" spans="1:18" customFormat="1" x14ac:dyDescent="0.2">
      <c r="A67" s="2426">
        <f>Inventário!C80</f>
        <v>10</v>
      </c>
      <c r="B67" s="2426"/>
      <c r="C67" s="25"/>
      <c r="D67" s="2418"/>
      <c r="E67" s="25">
        <f t="shared" ref="E67:E86" si="9">IF(F67=22,$E$1,0)</f>
        <v>58</v>
      </c>
      <c r="F67" s="25">
        <f t="shared" ref="F67:F86" si="10">IF(K67=0,0,22)</f>
        <v>22</v>
      </c>
      <c r="G67" s="2405">
        <f>VLOOKUP(A67,Listas!$D$55:$F$85,3,)</f>
        <v>4</v>
      </c>
      <c r="H67" s="2426">
        <f>Inventário!F80</f>
        <v>5000</v>
      </c>
      <c r="I67" s="25"/>
      <c r="J67" s="25"/>
      <c r="K67" s="2426">
        <f>Inventário!E80</f>
        <v>1</v>
      </c>
      <c r="L67" s="2426">
        <f>Inventário!G80</f>
        <v>10</v>
      </c>
      <c r="M67" s="25">
        <f>IF(G67=0,0,Inventário!J80)</f>
        <v>0.3</v>
      </c>
      <c r="N67" s="25"/>
      <c r="O67" s="25">
        <f>IF(G67=0,0,Inventário!K80)</f>
        <v>0.5</v>
      </c>
      <c r="P67" s="25"/>
      <c r="Q67" s="25"/>
      <c r="R67" s="25"/>
    </row>
    <row r="68" spans="1:18" customFormat="1" x14ac:dyDescent="0.2">
      <c r="A68" s="2426">
        <f>Inventário!C81</f>
        <v>23</v>
      </c>
      <c r="B68" s="2426"/>
      <c r="C68" s="25"/>
      <c r="D68" s="2418"/>
      <c r="E68" s="25">
        <f t="shared" si="9"/>
        <v>58</v>
      </c>
      <c r="F68" s="25">
        <f t="shared" si="10"/>
        <v>22</v>
      </c>
      <c r="G68" s="2405">
        <f>VLOOKUP(A68,Listas!$D$55:$F$85,3,)</f>
        <v>12</v>
      </c>
      <c r="H68" s="2426">
        <f>Inventário!F81</f>
        <v>280</v>
      </c>
      <c r="I68" s="25"/>
      <c r="J68" s="25"/>
      <c r="K68" s="2426">
        <f>Inventário!E81</f>
        <v>6</v>
      </c>
      <c r="L68" s="2426">
        <f>Inventário!G81</f>
        <v>8</v>
      </c>
      <c r="M68" s="25">
        <f>IF(G68=0,0,Inventário!J81)</f>
        <v>0.3</v>
      </c>
      <c r="N68" s="25"/>
      <c r="O68" s="25">
        <f>IF(G68=0,0,Inventário!K81)</f>
        <v>0.5</v>
      </c>
      <c r="P68" s="25"/>
      <c r="Q68" s="25"/>
      <c r="R68" s="25"/>
    </row>
    <row r="69" spans="1:18" customFormat="1" x14ac:dyDescent="0.2">
      <c r="A69" s="2426">
        <f>Inventário!C82</f>
        <v>24</v>
      </c>
      <c r="B69" s="2426"/>
      <c r="C69" s="25"/>
      <c r="D69" s="2418"/>
      <c r="E69" s="25">
        <f t="shared" si="9"/>
        <v>58</v>
      </c>
      <c r="F69" s="25">
        <f t="shared" si="10"/>
        <v>22</v>
      </c>
      <c r="G69" s="2405">
        <f>VLOOKUP(A69,Listas!$D$55:$F$85,3,)</f>
        <v>27</v>
      </c>
      <c r="H69" s="2426">
        <f>Inventário!F82</f>
        <v>280</v>
      </c>
      <c r="I69" s="25"/>
      <c r="J69" s="25"/>
      <c r="K69" s="2426">
        <f>Inventário!E82</f>
        <v>6</v>
      </c>
      <c r="L69" s="2426">
        <f>Inventário!G82</f>
        <v>8</v>
      </c>
      <c r="M69" s="25">
        <f>IF(G69=0,0,Inventário!J82)</f>
        <v>0.3</v>
      </c>
      <c r="N69" s="25"/>
      <c r="O69" s="25">
        <f>IF(G69=0,0,Inventário!K82)</f>
        <v>0.5</v>
      </c>
      <c r="P69" s="25"/>
      <c r="Q69" s="25"/>
      <c r="R69" s="25"/>
    </row>
    <row r="70" spans="1:18" customFormat="1" x14ac:dyDescent="0.2">
      <c r="A70" s="2426">
        <f>Inventário!C83</f>
        <v>18</v>
      </c>
      <c r="B70" s="2426"/>
      <c r="C70" s="25"/>
      <c r="D70" s="2418"/>
      <c r="E70" s="25">
        <f t="shared" si="9"/>
        <v>58</v>
      </c>
      <c r="F70" s="25">
        <f t="shared" si="10"/>
        <v>22</v>
      </c>
      <c r="G70" s="2405">
        <f>VLOOKUP(A70,Listas!$D$55:$F$85,3,)</f>
        <v>6</v>
      </c>
      <c r="H70" s="2426">
        <f>Inventário!F83</f>
        <v>2800</v>
      </c>
      <c r="I70" s="25"/>
      <c r="J70" s="25"/>
      <c r="K70" s="2426">
        <f>Inventário!E83</f>
        <v>2</v>
      </c>
      <c r="L70" s="2426">
        <f>Inventário!G83</f>
        <v>10</v>
      </c>
      <c r="M70" s="25">
        <f>IF(G70=0,0,Inventário!J83)</f>
        <v>0.3</v>
      </c>
      <c r="N70" s="25"/>
      <c r="O70" s="25">
        <f>IF(G70=0,0,Inventário!K83)</f>
        <v>0.5</v>
      </c>
      <c r="P70" s="25"/>
      <c r="Q70" s="25"/>
      <c r="R70" s="25"/>
    </row>
    <row r="71" spans="1:18" customFormat="1" x14ac:dyDescent="0.2">
      <c r="A71" s="2426">
        <f>Inventário!C84</f>
        <v>27</v>
      </c>
      <c r="B71" s="2426"/>
      <c r="C71" s="25"/>
      <c r="D71" s="2418"/>
      <c r="E71" s="25">
        <f t="shared" si="9"/>
        <v>58</v>
      </c>
      <c r="F71" s="25">
        <f t="shared" si="10"/>
        <v>22</v>
      </c>
      <c r="G71" s="2405">
        <f>VLOOKUP(A71,Listas!$D$55:$F$85,3,)</f>
        <v>11</v>
      </c>
      <c r="H71" s="2426">
        <f>Inventário!F84</f>
        <v>500</v>
      </c>
      <c r="I71" s="25"/>
      <c r="J71" s="25"/>
      <c r="K71" s="2426">
        <f>Inventário!E84</f>
        <v>6</v>
      </c>
      <c r="L71" s="2426">
        <f>Inventário!G84</f>
        <v>2</v>
      </c>
      <c r="M71" s="25">
        <f>IF(G71=0,0,Inventário!J84)</f>
        <v>0.3</v>
      </c>
      <c r="N71" s="25"/>
      <c r="O71" s="25">
        <f>IF(G71=0,0,Inventário!K84)</f>
        <v>0.5</v>
      </c>
      <c r="P71" s="25"/>
      <c r="Q71" s="25"/>
      <c r="R71" s="25"/>
    </row>
    <row r="72" spans="1:18" customFormat="1" x14ac:dyDescent="0.2">
      <c r="A72" s="2426">
        <f>Inventário!C85</f>
        <v>1</v>
      </c>
      <c r="B72" s="2426"/>
      <c r="C72" s="25"/>
      <c r="D72" s="2418"/>
      <c r="E72" s="25">
        <f t="shared" si="9"/>
        <v>0</v>
      </c>
      <c r="F72" s="25">
        <f t="shared" si="10"/>
        <v>0</v>
      </c>
      <c r="G72" s="2405">
        <f>VLOOKUP(A72,Listas!$D$55:$F$85,3,)</f>
        <v>0</v>
      </c>
      <c r="H72" s="2426">
        <f>Inventário!F85</f>
        <v>0</v>
      </c>
      <c r="I72" s="25"/>
      <c r="J72" s="25"/>
      <c r="K72" s="2426">
        <f>Inventário!E85</f>
        <v>0</v>
      </c>
      <c r="L72" s="2426">
        <f>Inventário!G85</f>
        <v>0</v>
      </c>
      <c r="M72" s="25">
        <f>IF(G72=0,0,Inventário!J85)</f>
        <v>0</v>
      </c>
      <c r="N72" s="25"/>
      <c r="O72" s="25">
        <f>IF(G72=0,0,Inventário!K85)</f>
        <v>0</v>
      </c>
      <c r="P72" s="25"/>
      <c r="Q72" s="25"/>
      <c r="R72" s="25"/>
    </row>
    <row r="73" spans="1:18" customFormat="1" x14ac:dyDescent="0.2">
      <c r="A73" s="2426">
        <f>Inventário!C86</f>
        <v>1</v>
      </c>
      <c r="B73" s="2426"/>
      <c r="C73" s="25"/>
      <c r="D73" s="2418"/>
      <c r="E73" s="25">
        <f t="shared" si="9"/>
        <v>0</v>
      </c>
      <c r="F73" s="25">
        <f t="shared" si="10"/>
        <v>0</v>
      </c>
      <c r="G73" s="2405">
        <f>VLOOKUP(A73,Listas!$D$55:$F$85,3,)</f>
        <v>0</v>
      </c>
      <c r="H73" s="2426">
        <f>Inventário!F86</f>
        <v>0</v>
      </c>
      <c r="I73" s="25"/>
      <c r="J73" s="25"/>
      <c r="K73" s="2426">
        <f>Inventário!E86</f>
        <v>0</v>
      </c>
      <c r="L73" s="2426">
        <f>Inventário!G86</f>
        <v>0</v>
      </c>
      <c r="M73" s="25">
        <f>IF(G73=0,0,Inventário!J86)</f>
        <v>0</v>
      </c>
      <c r="N73" s="25"/>
      <c r="O73" s="25">
        <f>IF(G73=0,0,Inventário!K86)</f>
        <v>0</v>
      </c>
      <c r="P73" s="25"/>
      <c r="Q73" s="25"/>
      <c r="R73" s="25"/>
    </row>
    <row r="74" spans="1:18" customFormat="1" x14ac:dyDescent="0.2">
      <c r="A74" s="2426">
        <f>Inventário!C87</f>
        <v>1</v>
      </c>
      <c r="B74" s="2426"/>
      <c r="C74" s="25"/>
      <c r="D74" s="2418"/>
      <c r="E74" s="25">
        <f t="shared" si="9"/>
        <v>0</v>
      </c>
      <c r="F74" s="25">
        <f t="shared" si="10"/>
        <v>0</v>
      </c>
      <c r="G74" s="2405">
        <f>VLOOKUP(A74,Listas!$D$55:$F$85,3,)</f>
        <v>0</v>
      </c>
      <c r="H74" s="2426">
        <f>Inventário!F87</f>
        <v>0</v>
      </c>
      <c r="I74" s="25"/>
      <c r="J74" s="25"/>
      <c r="K74" s="2426">
        <f>Inventário!E87</f>
        <v>0</v>
      </c>
      <c r="L74" s="2426">
        <f>Inventário!G87</f>
        <v>0</v>
      </c>
      <c r="M74" s="25">
        <f>IF(G74=0,0,Inventário!J87)</f>
        <v>0</v>
      </c>
      <c r="N74" s="25"/>
      <c r="O74" s="25">
        <f>IF(G74=0,0,Inventário!K87)</f>
        <v>0</v>
      </c>
      <c r="P74" s="25"/>
      <c r="Q74" s="25"/>
      <c r="R74" s="25"/>
    </row>
    <row r="75" spans="1:18" customFormat="1" x14ac:dyDescent="0.2">
      <c r="A75" s="2426">
        <f>Inventário!C88</f>
        <v>1</v>
      </c>
      <c r="B75" s="2426"/>
      <c r="C75" s="25"/>
      <c r="D75" s="2418"/>
      <c r="E75" s="25">
        <f t="shared" si="9"/>
        <v>0</v>
      </c>
      <c r="F75" s="25">
        <f t="shared" si="10"/>
        <v>0</v>
      </c>
      <c r="G75" s="2405">
        <f>VLOOKUP(A75,Listas!$D$55:$F$85,3,)</f>
        <v>0</v>
      </c>
      <c r="H75" s="2426">
        <f>Inventário!F88</f>
        <v>0</v>
      </c>
      <c r="I75" s="25"/>
      <c r="J75" s="25"/>
      <c r="K75" s="2426">
        <f>Inventário!E88</f>
        <v>0</v>
      </c>
      <c r="L75" s="2426">
        <f>Inventário!G88</f>
        <v>0</v>
      </c>
      <c r="M75" s="25">
        <f>IF(G75=0,0,Inventário!J88)</f>
        <v>0</v>
      </c>
      <c r="N75" s="25"/>
      <c r="O75" s="25">
        <f>IF(G75=0,0,Inventário!K88)</f>
        <v>0</v>
      </c>
      <c r="P75" s="25"/>
      <c r="Q75" s="25"/>
      <c r="R75" s="25"/>
    </row>
    <row r="76" spans="1:18" customFormat="1" x14ac:dyDescent="0.2">
      <c r="A76" s="2426">
        <f>Inventário!C89</f>
        <v>1</v>
      </c>
      <c r="B76" s="2426"/>
      <c r="C76" s="25"/>
      <c r="D76" s="2418"/>
      <c r="E76" s="25">
        <f t="shared" si="9"/>
        <v>0</v>
      </c>
      <c r="F76" s="25">
        <f t="shared" si="10"/>
        <v>0</v>
      </c>
      <c r="G76" s="2405">
        <f>VLOOKUP(A76,Listas!$D$55:$F$85,3,)</f>
        <v>0</v>
      </c>
      <c r="H76" s="2426">
        <f>Inventário!F89</f>
        <v>0</v>
      </c>
      <c r="I76" s="25"/>
      <c r="J76" s="25"/>
      <c r="K76" s="2426">
        <f>Inventário!E89</f>
        <v>0</v>
      </c>
      <c r="L76" s="2426">
        <f>Inventário!G89</f>
        <v>0</v>
      </c>
      <c r="M76" s="25">
        <f>IF(G76=0,0,Inventário!J89)</f>
        <v>0</v>
      </c>
      <c r="N76" s="25"/>
      <c r="O76" s="25">
        <f>IF(G76=0,0,Inventário!K89)</f>
        <v>0</v>
      </c>
      <c r="P76" s="25"/>
      <c r="Q76" s="25"/>
      <c r="R76" s="25"/>
    </row>
    <row r="77" spans="1:18" customFormat="1" x14ac:dyDescent="0.2">
      <c r="A77" s="2426">
        <f>Inventário!C90</f>
        <v>1</v>
      </c>
      <c r="B77" s="2426"/>
      <c r="C77" s="25"/>
      <c r="D77" s="2418"/>
      <c r="E77" s="25">
        <f t="shared" si="9"/>
        <v>0</v>
      </c>
      <c r="F77" s="25">
        <f t="shared" si="10"/>
        <v>0</v>
      </c>
      <c r="G77" s="2405">
        <f>VLOOKUP(A77,Listas!$D$55:$F$85,3,)</f>
        <v>0</v>
      </c>
      <c r="H77" s="2426">
        <f>Inventário!F90</f>
        <v>0</v>
      </c>
      <c r="I77" s="25"/>
      <c r="J77" s="25"/>
      <c r="K77" s="2426">
        <f>Inventário!E90</f>
        <v>0</v>
      </c>
      <c r="L77" s="2426">
        <f>Inventário!G90</f>
        <v>0</v>
      </c>
      <c r="M77" s="25">
        <f>IF(G77=0,0,Inventário!J90)</f>
        <v>0</v>
      </c>
      <c r="N77" s="25"/>
      <c r="O77" s="25">
        <f>IF(G77=0,0,Inventário!K90)</f>
        <v>0</v>
      </c>
      <c r="P77" s="25"/>
      <c r="Q77" s="25"/>
      <c r="R77" s="25"/>
    </row>
    <row r="78" spans="1:18" customFormat="1" x14ac:dyDescent="0.2">
      <c r="A78" s="2426">
        <f>Inventário!C91</f>
        <v>1</v>
      </c>
      <c r="B78" s="2426"/>
      <c r="C78" s="25"/>
      <c r="D78" s="2418"/>
      <c r="E78" s="25">
        <f t="shared" si="9"/>
        <v>0</v>
      </c>
      <c r="F78" s="25">
        <f t="shared" si="10"/>
        <v>0</v>
      </c>
      <c r="G78" s="2405">
        <f>VLOOKUP(A78,Listas!$D$55:$F$85,3,)</f>
        <v>0</v>
      </c>
      <c r="H78" s="2426">
        <f>Inventário!F91</f>
        <v>0</v>
      </c>
      <c r="I78" s="25"/>
      <c r="J78" s="25"/>
      <c r="K78" s="2426">
        <f>Inventário!E91</f>
        <v>0</v>
      </c>
      <c r="L78" s="2426">
        <f>Inventário!G91</f>
        <v>0</v>
      </c>
      <c r="M78" s="25">
        <f>IF(G78=0,0,Inventário!J91)</f>
        <v>0</v>
      </c>
      <c r="N78" s="25"/>
      <c r="O78" s="25">
        <f>IF(G78=0,0,Inventário!K91)</f>
        <v>0</v>
      </c>
      <c r="P78" s="25"/>
      <c r="Q78" s="25"/>
      <c r="R78" s="25"/>
    </row>
    <row r="79" spans="1:18" customFormat="1" x14ac:dyDescent="0.2">
      <c r="A79" s="2426">
        <f>Inventário!C92</f>
        <v>1</v>
      </c>
      <c r="B79" s="2426"/>
      <c r="C79" s="25"/>
      <c r="D79" s="2418"/>
      <c r="E79" s="25">
        <f t="shared" si="9"/>
        <v>0</v>
      </c>
      <c r="F79" s="25">
        <f t="shared" si="10"/>
        <v>0</v>
      </c>
      <c r="G79" s="2405">
        <f>VLOOKUP(A79,Listas!$D$55:$F$85,3,)</f>
        <v>0</v>
      </c>
      <c r="H79" s="2426">
        <f>Inventário!F92</f>
        <v>0</v>
      </c>
      <c r="I79" s="25"/>
      <c r="J79" s="25"/>
      <c r="K79" s="2426">
        <f>Inventário!E92</f>
        <v>0</v>
      </c>
      <c r="L79" s="2426">
        <f>Inventário!G92</f>
        <v>0</v>
      </c>
      <c r="M79" s="25">
        <f>IF(G79=0,0,Inventário!J92)</f>
        <v>0</v>
      </c>
      <c r="N79" s="25"/>
      <c r="O79" s="25">
        <f>IF(G79=0,0,Inventário!K92)</f>
        <v>0</v>
      </c>
      <c r="P79" s="25"/>
      <c r="Q79" s="25"/>
      <c r="R79" s="25"/>
    </row>
    <row r="80" spans="1:18" customFormat="1" x14ac:dyDescent="0.2">
      <c r="A80" s="2426">
        <f>Inventário!C93</f>
        <v>1</v>
      </c>
      <c r="B80" s="2426"/>
      <c r="C80" s="25"/>
      <c r="D80" s="2418"/>
      <c r="E80" s="25">
        <f t="shared" si="9"/>
        <v>0</v>
      </c>
      <c r="F80" s="25">
        <f t="shared" si="10"/>
        <v>0</v>
      </c>
      <c r="G80" s="2405">
        <f>VLOOKUP(A80,Listas!$D$55:$F$85,3,)</f>
        <v>0</v>
      </c>
      <c r="H80" s="2426">
        <f>Inventário!F93</f>
        <v>0</v>
      </c>
      <c r="I80" s="25"/>
      <c r="J80" s="25"/>
      <c r="K80" s="2426">
        <f>Inventário!E93</f>
        <v>0</v>
      </c>
      <c r="L80" s="2426">
        <f>Inventário!G93</f>
        <v>0</v>
      </c>
      <c r="M80" s="25">
        <f>IF(G80=0,0,Inventário!J93)</f>
        <v>0</v>
      </c>
      <c r="N80" s="25"/>
      <c r="O80" s="25">
        <f>IF(G80=0,0,Inventário!K93)</f>
        <v>0</v>
      </c>
      <c r="P80" s="25"/>
      <c r="Q80" s="25"/>
      <c r="R80" s="25"/>
    </row>
    <row r="81" spans="1:17" customFormat="1" x14ac:dyDescent="0.2">
      <c r="A81" s="2426">
        <f>Inventário!C94</f>
        <v>1</v>
      </c>
      <c r="B81" s="2426"/>
      <c r="C81" s="25"/>
      <c r="D81" s="2418"/>
      <c r="E81" s="25">
        <f t="shared" si="9"/>
        <v>0</v>
      </c>
      <c r="F81" s="25">
        <f t="shared" si="10"/>
        <v>0</v>
      </c>
      <c r="G81" s="2405">
        <f>VLOOKUP(A81,Listas!$D$55:$F$85,3,)</f>
        <v>0</v>
      </c>
      <c r="H81" s="2426">
        <f>Inventário!F94</f>
        <v>0</v>
      </c>
      <c r="I81" s="25"/>
      <c r="J81" s="25"/>
      <c r="K81" s="2426">
        <f>Inventário!E94</f>
        <v>0</v>
      </c>
      <c r="L81" s="2426">
        <f>Inventário!G94</f>
        <v>0</v>
      </c>
      <c r="M81" s="25">
        <f>IF(G81=0,0,Inventário!J94)</f>
        <v>0</v>
      </c>
      <c r="N81" s="25"/>
      <c r="O81" s="25">
        <f>IF(G81=0,0,Inventário!K94)</f>
        <v>0</v>
      </c>
      <c r="P81" s="25"/>
      <c r="Q81" s="25"/>
    </row>
    <row r="82" spans="1:17" customFormat="1" x14ac:dyDescent="0.2">
      <c r="A82" s="2426">
        <f>Inventário!C95</f>
        <v>1</v>
      </c>
      <c r="B82" s="2426"/>
      <c r="C82" s="25"/>
      <c r="D82" s="2418"/>
      <c r="E82" s="25">
        <f t="shared" si="9"/>
        <v>0</v>
      </c>
      <c r="F82" s="25">
        <f t="shared" si="10"/>
        <v>0</v>
      </c>
      <c r="G82" s="2405">
        <f>VLOOKUP(A82,Listas!$D$55:$F$85,3,)</f>
        <v>0</v>
      </c>
      <c r="H82" s="2426">
        <f>Inventário!F95</f>
        <v>0</v>
      </c>
      <c r="I82" s="25"/>
      <c r="J82" s="25"/>
      <c r="K82" s="2426">
        <f>Inventário!E95</f>
        <v>0</v>
      </c>
      <c r="L82" s="2426">
        <f>Inventário!G95</f>
        <v>0</v>
      </c>
      <c r="M82" s="25">
        <f>IF(G82=0,0,Inventário!J95)</f>
        <v>0</v>
      </c>
      <c r="N82" s="25"/>
      <c r="O82" s="25">
        <f>IF(G82=0,0,Inventário!K95)</f>
        <v>0</v>
      </c>
      <c r="P82" s="25"/>
      <c r="Q82" s="25"/>
    </row>
    <row r="83" spans="1:17" customFormat="1" x14ac:dyDescent="0.2">
      <c r="A83" s="2426">
        <f>Inventário!C96</f>
        <v>1</v>
      </c>
      <c r="B83" s="2426"/>
      <c r="C83" s="25"/>
      <c r="D83" s="2418"/>
      <c r="E83" s="25">
        <f t="shared" si="9"/>
        <v>0</v>
      </c>
      <c r="F83" s="25">
        <f t="shared" si="10"/>
        <v>0</v>
      </c>
      <c r="G83" s="2405">
        <f>VLOOKUP(A83,Listas!$D$55:$F$85,3,)</f>
        <v>0</v>
      </c>
      <c r="H83" s="2426">
        <f>Inventário!F96</f>
        <v>0</v>
      </c>
      <c r="I83" s="25"/>
      <c r="J83" s="25"/>
      <c r="K83" s="2426">
        <f>Inventário!E96</f>
        <v>0</v>
      </c>
      <c r="L83" s="2426">
        <f>Inventário!G96</f>
        <v>0</v>
      </c>
      <c r="M83" s="25">
        <f>IF(G83=0,0,Inventário!J96)</f>
        <v>0</v>
      </c>
      <c r="N83" s="25"/>
      <c r="O83" s="25">
        <f>IF(G83=0,0,Inventário!K96)</f>
        <v>0</v>
      </c>
      <c r="P83" s="25"/>
      <c r="Q83" s="25"/>
    </row>
    <row r="84" spans="1:17" customFormat="1" x14ac:dyDescent="0.2">
      <c r="A84" s="2426">
        <f>Inventário!C97</f>
        <v>1</v>
      </c>
      <c r="B84" s="2426"/>
      <c r="C84" s="25"/>
      <c r="D84" s="2418"/>
      <c r="E84" s="25">
        <f t="shared" si="9"/>
        <v>0</v>
      </c>
      <c r="F84" s="25">
        <f t="shared" si="10"/>
        <v>0</v>
      </c>
      <c r="G84" s="2405">
        <f>VLOOKUP(A84,Listas!$D$55:$F$85,3,)</f>
        <v>0</v>
      </c>
      <c r="H84" s="2426">
        <f>Inventário!F97</f>
        <v>0</v>
      </c>
      <c r="I84" s="25"/>
      <c r="J84" s="25"/>
      <c r="K84" s="2426">
        <f>Inventário!E97</f>
        <v>0</v>
      </c>
      <c r="L84" s="2426">
        <f>Inventário!G97</f>
        <v>0</v>
      </c>
      <c r="M84" s="25">
        <f>IF(G84=0,0,Inventário!J97)</f>
        <v>0</v>
      </c>
      <c r="N84" s="25"/>
      <c r="O84" s="25">
        <f>IF(G84=0,0,Inventário!K97)</f>
        <v>0</v>
      </c>
      <c r="P84" s="25"/>
      <c r="Q84" s="25"/>
    </row>
    <row r="85" spans="1:17" customFormat="1" x14ac:dyDescent="0.2">
      <c r="A85" s="2426">
        <f>Inventário!C98</f>
        <v>1</v>
      </c>
      <c r="B85" s="2426"/>
      <c r="C85" s="25"/>
      <c r="D85" s="2418"/>
      <c r="E85" s="25">
        <f t="shared" si="9"/>
        <v>0</v>
      </c>
      <c r="F85" s="25">
        <f t="shared" si="10"/>
        <v>0</v>
      </c>
      <c r="G85" s="2405">
        <f>VLOOKUP(A85,Listas!$D$55:$F$85,3,)</f>
        <v>0</v>
      </c>
      <c r="H85" s="2426">
        <f>Inventário!F98</f>
        <v>0</v>
      </c>
      <c r="I85" s="25"/>
      <c r="J85" s="25"/>
      <c r="K85" s="2426">
        <f>Inventário!E98</f>
        <v>0</v>
      </c>
      <c r="L85" s="2426">
        <f>Inventário!G98</f>
        <v>0</v>
      </c>
      <c r="M85" s="25">
        <f>IF(G85=0,0,Inventário!J98)</f>
        <v>0</v>
      </c>
      <c r="N85" s="25"/>
      <c r="O85" s="25">
        <f>IF(G85=0,0,Inventário!K98)</f>
        <v>0</v>
      </c>
      <c r="P85" s="25"/>
      <c r="Q85" s="25"/>
    </row>
    <row r="86" spans="1:17" customFormat="1" x14ac:dyDescent="0.2">
      <c r="A86" s="2426">
        <f>Inventário!C99</f>
        <v>1</v>
      </c>
      <c r="B86" s="2426"/>
      <c r="C86" s="25"/>
      <c r="D86" s="2418"/>
      <c r="E86" s="25">
        <f t="shared" si="9"/>
        <v>0</v>
      </c>
      <c r="F86" s="25">
        <f t="shared" si="10"/>
        <v>0</v>
      </c>
      <c r="G86" s="2405">
        <f>VLOOKUP(A86,Listas!$D$55:$F$85,3,)</f>
        <v>0</v>
      </c>
      <c r="H86" s="2426">
        <f>Inventário!F99</f>
        <v>0</v>
      </c>
      <c r="I86" s="25"/>
      <c r="J86" s="25"/>
      <c r="K86" s="2426">
        <f>Inventário!E99</f>
        <v>0</v>
      </c>
      <c r="L86" s="2426">
        <f>Inventário!G99</f>
        <v>0</v>
      </c>
      <c r="M86" s="25">
        <f>IF(G86=0,0,Inventário!J99)</f>
        <v>0</v>
      </c>
      <c r="N86" s="25"/>
      <c r="O86" s="25">
        <f>IF(G86=0,0,Inventário!K99)</f>
        <v>0</v>
      </c>
      <c r="P86" s="25"/>
      <c r="Q86" s="25"/>
    </row>
    <row r="87" spans="1:17" customFormat="1" x14ac:dyDescent="0.2">
      <c r="A87" s="25"/>
      <c r="B87" s="25"/>
      <c r="C87" s="25"/>
      <c r="D87" s="2426"/>
      <c r="E87" s="2405"/>
      <c r="F87" s="2405"/>
      <c r="G87" s="2405"/>
      <c r="H87" s="2405"/>
      <c r="I87" s="25"/>
      <c r="J87" s="25"/>
      <c r="K87" s="25"/>
      <c r="L87" s="25"/>
      <c r="M87" s="25"/>
      <c r="N87" s="25"/>
      <c r="O87" s="25"/>
      <c r="P87" s="25"/>
      <c r="Q87" s="25"/>
    </row>
    <row r="88" spans="1:17" customFormat="1" x14ac:dyDescent="0.2">
      <c r="A88" s="25"/>
      <c r="B88" s="25"/>
      <c r="C88" s="25"/>
      <c r="D88" s="2450" t="s">
        <v>1532</v>
      </c>
      <c r="E88" s="2450" t="s">
        <v>1454</v>
      </c>
      <c r="F88" s="2450" t="s">
        <v>1455</v>
      </c>
      <c r="G88" s="2450" t="s">
        <v>1531</v>
      </c>
      <c r="H88" s="2450" t="s">
        <v>1526</v>
      </c>
      <c r="I88" s="2450" t="s">
        <v>1525</v>
      </c>
      <c r="J88" s="2450" t="s">
        <v>965</v>
      </c>
      <c r="K88" s="2450" t="s">
        <v>0</v>
      </c>
      <c r="L88" s="2450" t="s">
        <v>1524</v>
      </c>
      <c r="M88" s="2450" t="s">
        <v>1523</v>
      </c>
      <c r="N88" s="2450" t="s">
        <v>1522</v>
      </c>
      <c r="O88" s="2450" t="s">
        <v>1521</v>
      </c>
      <c r="P88" s="2450" t="s">
        <v>1530</v>
      </c>
      <c r="Q88" s="25" t="s">
        <v>1529</v>
      </c>
    </row>
    <row r="89" spans="1:17" customFormat="1" x14ac:dyDescent="0.2">
      <c r="A89" s="2405" t="s">
        <v>1518</v>
      </c>
      <c r="B89" s="2405"/>
      <c r="C89" s="25"/>
      <c r="D89" s="25"/>
      <c r="E89" s="25"/>
      <c r="F89" s="25"/>
      <c r="G89" s="2405" t="s">
        <v>1517</v>
      </c>
      <c r="H89" s="2405" t="s">
        <v>1035</v>
      </c>
      <c r="I89" s="25"/>
      <c r="J89" s="25"/>
      <c r="K89" s="2405" t="s">
        <v>0</v>
      </c>
      <c r="L89" s="2405" t="s">
        <v>1516</v>
      </c>
      <c r="M89" s="25"/>
      <c r="N89" s="25"/>
      <c r="O89" s="25"/>
      <c r="P89" s="25"/>
      <c r="Q89" s="25"/>
    </row>
    <row r="90" spans="1:17" customFormat="1" x14ac:dyDescent="0.2">
      <c r="A90" s="2405">
        <f>Inventário!C6</f>
        <v>6</v>
      </c>
      <c r="B90" s="2405"/>
      <c r="C90" s="25"/>
      <c r="D90" s="2418"/>
      <c r="E90" s="25">
        <f t="shared" ref="E90:E109" si="11">IF(F90=22,$E$1,0)</f>
        <v>58</v>
      </c>
      <c r="F90" s="25">
        <f t="shared" ref="F90:F109" si="12">IF(K90=0,0,22)</f>
        <v>22</v>
      </c>
      <c r="G90" s="2405">
        <f>VLOOKUP(A90,Listas!$D$88:$F$113,3,)</f>
        <v>8</v>
      </c>
      <c r="H90" s="2426">
        <f>Inventário!F6</f>
        <v>100000</v>
      </c>
      <c r="I90" s="25"/>
      <c r="J90" s="25"/>
      <c r="K90" s="2426">
        <f>Inventário!E6</f>
        <v>1</v>
      </c>
      <c r="L90" s="2426">
        <f>Inventário!G6</f>
        <v>35</v>
      </c>
      <c r="M90" s="25">
        <f>IF(G90=0,0,Inventário!J6)</f>
        <v>0.2</v>
      </c>
      <c r="N90" s="25"/>
      <c r="O90" s="25">
        <f>IF(G90=0,0,Inventário!K6)</f>
        <v>0.02</v>
      </c>
      <c r="P90" s="25"/>
      <c r="Q90" s="25"/>
    </row>
    <row r="91" spans="1:17" customFormat="1" x14ac:dyDescent="0.2">
      <c r="A91" s="2405">
        <f>Inventário!C7</f>
        <v>5</v>
      </c>
      <c r="B91" s="2405"/>
      <c r="C91" s="25"/>
      <c r="D91" s="2418"/>
      <c r="E91" s="25">
        <f t="shared" si="11"/>
        <v>58</v>
      </c>
      <c r="F91" s="25">
        <f t="shared" si="12"/>
        <v>22</v>
      </c>
      <c r="G91" s="2405">
        <f>VLOOKUP(A91,Listas!$D$88:$F$113,3,)</f>
        <v>70</v>
      </c>
      <c r="H91" s="2426">
        <f>Inventário!F7</f>
        <v>64000</v>
      </c>
      <c r="I91" s="25"/>
      <c r="J91" s="25"/>
      <c r="K91" s="2426">
        <f>Inventário!E7</f>
        <v>2</v>
      </c>
      <c r="L91" s="2426">
        <f>Inventário!G7</f>
        <v>35</v>
      </c>
      <c r="M91" s="25">
        <f>IF(G91=0,0,Inventário!J7)</f>
        <v>0.2</v>
      </c>
      <c r="N91" s="25"/>
      <c r="O91" s="25">
        <f>IF(G91=0,0,Inventário!K7)</f>
        <v>0.02</v>
      </c>
      <c r="P91" s="25"/>
      <c r="Q91" s="25"/>
    </row>
    <row r="92" spans="1:17" customFormat="1" x14ac:dyDescent="0.2">
      <c r="A92" s="2405">
        <f>Inventário!C8</f>
        <v>7</v>
      </c>
      <c r="B92" s="2405"/>
      <c r="C92" s="25"/>
      <c r="D92" s="2418"/>
      <c r="E92" s="25">
        <f ca="1">IF(F92=22,$E$1,0)</f>
        <v>58</v>
      </c>
      <c r="F92" s="25">
        <f ca="1">IF(K92=0,0,22)</f>
        <v>22</v>
      </c>
      <c r="G92" s="2405">
        <f>VLOOKUP(A92,Listas!$D$88:$F$113,3,)</f>
        <v>11</v>
      </c>
      <c r="H92" s="2426">
        <f>Inventário!F8</f>
        <v>10000</v>
      </c>
      <c r="I92" s="25"/>
      <c r="J92" s="25"/>
      <c r="K92" s="2426">
        <f ca="1">Inventário!E8</f>
        <v>6.324555320336759</v>
      </c>
      <c r="L92" s="2426">
        <f>Inventário!G8</f>
        <v>12</v>
      </c>
      <c r="M92" s="25">
        <f>IF(G92=0,0,Inventário!J8)</f>
        <v>0.2</v>
      </c>
      <c r="N92" s="25"/>
      <c r="O92" s="25">
        <f>IF(G92=0,0,Inventário!K8)</f>
        <v>0.02</v>
      </c>
      <c r="P92" s="25"/>
      <c r="Q92" s="25"/>
    </row>
    <row r="93" spans="1:17" customFormat="1" x14ac:dyDescent="0.2">
      <c r="A93" s="2405">
        <f>Inventário!C9</f>
        <v>9</v>
      </c>
      <c r="B93" s="2405"/>
      <c r="C93" s="25"/>
      <c r="D93" s="2418"/>
      <c r="E93" s="25">
        <f ca="1">IF(F93=22,$E$1,0)</f>
        <v>58</v>
      </c>
      <c r="F93" s="25">
        <f ca="1">IF(K93=0,0,22)</f>
        <v>22</v>
      </c>
      <c r="G93" s="2405">
        <f>VLOOKUP(A93,Listas!$D$88:$F$113,3,)</f>
        <v>87</v>
      </c>
      <c r="H93" s="2426">
        <f>Inventário!F9</f>
        <v>8000</v>
      </c>
      <c r="I93" s="25"/>
      <c r="J93" s="25"/>
      <c r="K93" s="2426">
        <f ca="1">Inventário!E9</f>
        <v>57.565826486706598</v>
      </c>
      <c r="L93" s="2426">
        <f>Inventário!G9</f>
        <v>12</v>
      </c>
      <c r="M93" s="25">
        <f>IF(G93=0,0,Inventário!J9)</f>
        <v>0.2</v>
      </c>
      <c r="N93" s="25"/>
      <c r="O93" s="25">
        <f>IF(G93=0,0,Inventário!K9)</f>
        <v>0.02</v>
      </c>
      <c r="P93" s="25"/>
      <c r="Q93" s="25"/>
    </row>
    <row r="94" spans="1:17" customFormat="1" x14ac:dyDescent="0.2">
      <c r="A94" s="2405">
        <f>Inventário!C10</f>
        <v>12</v>
      </c>
      <c r="B94" s="2405"/>
      <c r="C94" s="25"/>
      <c r="D94" s="2418"/>
      <c r="E94" s="25">
        <f t="shared" si="11"/>
        <v>58</v>
      </c>
      <c r="F94" s="25">
        <f t="shared" si="12"/>
        <v>22</v>
      </c>
      <c r="G94" s="2405">
        <f>VLOOKUP(A94,Listas!$D$88:$F$113,3,)</f>
        <v>12</v>
      </c>
      <c r="H94" s="2426">
        <f>Inventário!F10</f>
        <v>150000</v>
      </c>
      <c r="I94" s="25"/>
      <c r="J94" s="25"/>
      <c r="K94" s="2426">
        <f>Inventário!E10</f>
        <v>1</v>
      </c>
      <c r="L94" s="2426">
        <f>Inventário!G10</f>
        <v>25</v>
      </c>
      <c r="M94" s="25">
        <f>IF(G94=0,0,Inventário!J10)</f>
        <v>0.2</v>
      </c>
      <c r="N94" s="25"/>
      <c r="O94" s="25">
        <f>IF(G94=0,0,Inventário!K10)</f>
        <v>0.02</v>
      </c>
      <c r="P94" s="25"/>
      <c r="Q94" s="25"/>
    </row>
    <row r="95" spans="1:17" customFormat="1" x14ac:dyDescent="0.2">
      <c r="A95" s="2405">
        <f>Inventário!C11</f>
        <v>16</v>
      </c>
      <c r="B95" s="2405"/>
      <c r="C95" s="25"/>
      <c r="D95" s="2418"/>
      <c r="E95" s="25">
        <f t="shared" si="11"/>
        <v>58</v>
      </c>
      <c r="F95" s="25">
        <f t="shared" si="12"/>
        <v>22</v>
      </c>
      <c r="G95" s="2405">
        <f>VLOOKUP(A95,Listas!$D$88:$F$113,3,)</f>
        <v>21</v>
      </c>
      <c r="H95" s="2426">
        <f>Inventário!F11</f>
        <v>82500</v>
      </c>
      <c r="I95" s="25"/>
      <c r="J95" s="25"/>
      <c r="K95" s="2426">
        <f>Inventário!E11</f>
        <v>1</v>
      </c>
      <c r="L95" s="2426">
        <f>Inventário!G11</f>
        <v>25</v>
      </c>
      <c r="M95" s="25">
        <f>IF(G95=0,0,Inventário!J11)</f>
        <v>0.2</v>
      </c>
      <c r="N95" s="25"/>
      <c r="O95" s="25">
        <f>IF(G95=0,0,Inventário!K11)</f>
        <v>0.02</v>
      </c>
      <c r="P95" s="25"/>
      <c r="Q95" s="25"/>
    </row>
    <row r="96" spans="1:17" customFormat="1" x14ac:dyDescent="0.2">
      <c r="A96" s="2405">
        <f>Inventário!C12</f>
        <v>21</v>
      </c>
      <c r="B96" s="2405"/>
      <c r="C96" s="25"/>
      <c r="D96" s="2418"/>
      <c r="E96" s="25">
        <f t="shared" si="11"/>
        <v>58</v>
      </c>
      <c r="F96" s="25">
        <f t="shared" si="12"/>
        <v>22</v>
      </c>
      <c r="G96" s="2405">
        <f>VLOOKUP(A96,Listas!$D$88:$F$113,3,)</f>
        <v>10</v>
      </c>
      <c r="H96" s="2426">
        <f>Inventário!F12</f>
        <v>7500</v>
      </c>
      <c r="I96" s="25"/>
      <c r="J96" s="25"/>
      <c r="K96" s="2426">
        <f>Inventário!E12</f>
        <v>20</v>
      </c>
      <c r="L96" s="2426">
        <f>Inventário!G12</f>
        <v>15</v>
      </c>
      <c r="M96" s="25">
        <f>IF(G96=0,0,Inventário!J12)</f>
        <v>0.2</v>
      </c>
      <c r="N96" s="25"/>
      <c r="O96" s="25">
        <f>IF(G96=0,0,Inventário!K12)</f>
        <v>0.02</v>
      </c>
      <c r="P96" s="25"/>
      <c r="Q96" s="25"/>
    </row>
    <row r="97" spans="1:19" customFormat="1" x14ac:dyDescent="0.2">
      <c r="A97" s="2405">
        <f>Inventário!C13</f>
        <v>20</v>
      </c>
      <c r="B97" s="2405"/>
      <c r="C97" s="25"/>
      <c r="D97" s="2418"/>
      <c r="E97" s="25">
        <f t="shared" si="11"/>
        <v>58</v>
      </c>
      <c r="F97" s="25">
        <f t="shared" si="12"/>
        <v>22</v>
      </c>
      <c r="G97" s="2405">
        <f>VLOOKUP(A97,Listas!$D$88:$F$113,3,)</f>
        <v>19</v>
      </c>
      <c r="H97" s="2426">
        <f>Inventário!F13</f>
        <v>500</v>
      </c>
      <c r="I97" s="25"/>
      <c r="J97" s="25"/>
      <c r="K97" s="2426">
        <f>Inventário!E13</f>
        <v>20</v>
      </c>
      <c r="L97" s="2426">
        <f>Inventário!G13</f>
        <v>12</v>
      </c>
      <c r="M97" s="25">
        <f>IF(G97=0,0,Inventário!J13)</f>
        <v>0.2</v>
      </c>
      <c r="N97" s="25"/>
      <c r="O97" s="25">
        <f>IF(G97=0,0,Inventário!K13)</f>
        <v>0.02</v>
      </c>
      <c r="P97" s="25"/>
      <c r="Q97" s="25"/>
      <c r="R97" s="25"/>
      <c r="S97" s="25"/>
    </row>
    <row r="98" spans="1:19" customFormat="1" x14ac:dyDescent="0.2">
      <c r="A98" s="2405">
        <f>Inventário!C14</f>
        <v>25</v>
      </c>
      <c r="B98" s="2405"/>
      <c r="C98" s="25"/>
      <c r="D98" s="2418"/>
      <c r="E98" s="25">
        <f t="shared" si="11"/>
        <v>58</v>
      </c>
      <c r="F98" s="25">
        <f t="shared" si="12"/>
        <v>22</v>
      </c>
      <c r="G98" s="2405">
        <f>VLOOKUP(A98,Listas!$D$88:$F$113,3,)</f>
        <v>13</v>
      </c>
      <c r="H98" s="2426">
        <f>Inventário!F14</f>
        <v>2000</v>
      </c>
      <c r="I98" s="25"/>
      <c r="J98" s="25"/>
      <c r="K98" s="2426">
        <f>Inventário!E14</f>
        <v>40</v>
      </c>
      <c r="L98" s="2426">
        <f>Inventário!G14</f>
        <v>12</v>
      </c>
      <c r="M98" s="25">
        <f>IF(G98=0,0,Inventário!J14)</f>
        <v>0.2</v>
      </c>
      <c r="N98" s="25"/>
      <c r="O98" s="25">
        <f>IF(G98=0,0,Inventário!K14)</f>
        <v>0.02</v>
      </c>
      <c r="P98" s="25"/>
      <c r="Q98" s="25"/>
      <c r="R98" s="25"/>
      <c r="S98" s="25"/>
    </row>
    <row r="99" spans="1:19" customFormat="1" x14ac:dyDescent="0.2">
      <c r="A99" s="2405">
        <f>Inventário!C15</f>
        <v>18</v>
      </c>
      <c r="B99" s="2405"/>
      <c r="C99" s="25"/>
      <c r="D99" s="2418"/>
      <c r="E99" s="25">
        <f t="shared" si="11"/>
        <v>58</v>
      </c>
      <c r="F99" s="25">
        <f t="shared" si="12"/>
        <v>22</v>
      </c>
      <c r="G99" s="2405">
        <f>VLOOKUP(A99,Listas!$D$88:$F$113,3,)</f>
        <v>18</v>
      </c>
      <c r="H99" s="2426">
        <f>Inventário!F15</f>
        <v>5000</v>
      </c>
      <c r="I99" s="25"/>
      <c r="J99" s="25"/>
      <c r="K99" s="2426">
        <f>Inventário!E15</f>
        <v>1</v>
      </c>
      <c r="L99" s="2426">
        <f>Inventário!G15</f>
        <v>25</v>
      </c>
      <c r="M99" s="25">
        <f>IF(G99=0,0,Inventário!J15)</f>
        <v>0.2</v>
      </c>
      <c r="N99" s="25"/>
      <c r="O99" s="25">
        <f>IF(G99=0,0,Inventário!K15)</f>
        <v>0.02</v>
      </c>
      <c r="P99" s="25"/>
      <c r="Q99" s="25"/>
      <c r="R99" s="25"/>
      <c r="S99" s="25"/>
    </row>
    <row r="100" spans="1:19" customFormat="1" x14ac:dyDescent="0.2">
      <c r="A100" s="2405">
        <f>Inventário!C16</f>
        <v>14</v>
      </c>
      <c r="B100" s="2405"/>
      <c r="C100" s="25"/>
      <c r="D100" s="2418"/>
      <c r="E100" s="25">
        <f t="shared" si="11"/>
        <v>58</v>
      </c>
      <c r="F100" s="25">
        <f t="shared" si="12"/>
        <v>22</v>
      </c>
      <c r="G100" s="2405">
        <f>VLOOKUP(A100,Listas!$D$88:$F$113,3,)</f>
        <v>20</v>
      </c>
      <c r="H100" s="2426">
        <f>Inventário!F16</f>
        <v>6000</v>
      </c>
      <c r="I100" s="25"/>
      <c r="J100" s="25"/>
      <c r="K100" s="2426">
        <f>Inventário!E16</f>
        <v>1</v>
      </c>
      <c r="L100" s="2426">
        <f>Inventário!G16</f>
        <v>1</v>
      </c>
      <c r="M100" s="25">
        <f>IF(G100=0,0,Inventário!J16)</f>
        <v>0.2</v>
      </c>
      <c r="N100" s="25"/>
      <c r="O100" s="25">
        <f>IF(G100=0,0,Inventário!K16)</f>
        <v>0.02</v>
      </c>
      <c r="P100" s="25"/>
      <c r="Q100" s="25"/>
      <c r="R100" s="25"/>
      <c r="S100" s="25"/>
    </row>
    <row r="101" spans="1:19" customFormat="1" x14ac:dyDescent="0.2">
      <c r="A101" s="2405">
        <f>Inventário!C17</f>
        <v>1</v>
      </c>
      <c r="B101" s="2405"/>
      <c r="C101" s="25"/>
      <c r="D101" s="2418"/>
      <c r="E101" s="25">
        <f t="shared" si="11"/>
        <v>0</v>
      </c>
      <c r="F101" s="25">
        <f t="shared" si="12"/>
        <v>0</v>
      </c>
      <c r="G101" s="2405">
        <f>VLOOKUP(A101,Listas!$D$88:$F$113,3,)</f>
        <v>0</v>
      </c>
      <c r="H101" s="2426">
        <f>Inventário!F17</f>
        <v>0</v>
      </c>
      <c r="I101" s="25"/>
      <c r="J101" s="25"/>
      <c r="K101" s="2426">
        <f>Inventário!E17</f>
        <v>0</v>
      </c>
      <c r="L101" s="2426">
        <f>Inventário!G17</f>
        <v>0</v>
      </c>
      <c r="M101" s="25">
        <f>IF(G101=0,0,Inventário!J17)</f>
        <v>0</v>
      </c>
      <c r="N101" s="25"/>
      <c r="O101" s="25">
        <f>IF(G101=0,0,Inventário!K17)</f>
        <v>0</v>
      </c>
      <c r="P101" s="25"/>
      <c r="Q101" s="25"/>
      <c r="R101" s="25"/>
      <c r="S101" s="25"/>
    </row>
    <row r="102" spans="1:19" customFormat="1" x14ac:dyDescent="0.2">
      <c r="A102" s="2405">
        <f>Inventário!C18</f>
        <v>12</v>
      </c>
      <c r="B102" s="2405"/>
      <c r="C102" s="25"/>
      <c r="D102" s="2418"/>
      <c r="E102" s="25">
        <f t="shared" si="11"/>
        <v>58</v>
      </c>
      <c r="F102" s="25">
        <f t="shared" si="12"/>
        <v>22</v>
      </c>
      <c r="G102" s="2405">
        <f>VLOOKUP(A102,Listas!$D$88:$F$113,3,)</f>
        <v>12</v>
      </c>
      <c r="H102" s="2426">
        <f>Inventário!F18</f>
        <v>20000</v>
      </c>
      <c r="I102" s="25"/>
      <c r="J102" s="25"/>
      <c r="K102" s="2426">
        <f>Inventário!E18</f>
        <v>3</v>
      </c>
      <c r="L102" s="2426">
        <f>Inventário!G18</f>
        <v>5</v>
      </c>
      <c r="M102" s="25">
        <f>IF(G102=0,0,Inventário!J18)</f>
        <v>0.2</v>
      </c>
      <c r="N102" s="25"/>
      <c r="O102" s="25">
        <f>IF(G102=0,0,Inventário!K18)</f>
        <v>0.02</v>
      </c>
      <c r="P102" s="25"/>
      <c r="Q102" s="25"/>
      <c r="R102" s="25"/>
      <c r="S102" s="25"/>
    </row>
    <row r="103" spans="1:19" customFormat="1" x14ac:dyDescent="0.2">
      <c r="A103" s="2405">
        <f>Inventário!C19</f>
        <v>1</v>
      </c>
      <c r="B103" s="2405"/>
      <c r="C103" s="25"/>
      <c r="D103" s="2418"/>
      <c r="E103" s="25">
        <f t="shared" si="11"/>
        <v>0</v>
      </c>
      <c r="F103" s="25">
        <f t="shared" si="12"/>
        <v>0</v>
      </c>
      <c r="G103" s="2405">
        <f>VLOOKUP(A103,Listas!$D$88:$F$113,3,)</f>
        <v>0</v>
      </c>
      <c r="H103" s="2426">
        <f>Inventário!F19</f>
        <v>0</v>
      </c>
      <c r="I103" s="25"/>
      <c r="J103" s="25"/>
      <c r="K103" s="2426">
        <f>Inventário!E19</f>
        <v>0</v>
      </c>
      <c r="L103" s="2426">
        <f>Inventário!G19</f>
        <v>0</v>
      </c>
      <c r="M103" s="25">
        <f>IF(G103=0,0,Inventário!J19)</f>
        <v>0</v>
      </c>
      <c r="N103" s="25"/>
      <c r="O103" s="25">
        <f>IF(G103=0,0,Inventário!K19)</f>
        <v>0</v>
      </c>
      <c r="P103" s="25"/>
      <c r="Q103" s="25"/>
      <c r="R103" s="25"/>
      <c r="S103" s="25"/>
    </row>
    <row r="104" spans="1:19" customFormat="1" x14ac:dyDescent="0.2">
      <c r="A104" s="2405">
        <f>Inventário!C20</f>
        <v>1</v>
      </c>
      <c r="B104" s="2405"/>
      <c r="C104" s="25"/>
      <c r="D104" s="2418"/>
      <c r="E104" s="25">
        <f t="shared" si="11"/>
        <v>0</v>
      </c>
      <c r="F104" s="25">
        <f t="shared" si="12"/>
        <v>0</v>
      </c>
      <c r="G104" s="2405">
        <f>VLOOKUP(A104,Listas!$D$88:$F$113,3,)</f>
        <v>0</v>
      </c>
      <c r="H104" s="2426">
        <f>Inventário!F20</f>
        <v>0</v>
      </c>
      <c r="I104" s="25"/>
      <c r="J104" s="25"/>
      <c r="K104" s="2426">
        <f>Inventário!E20</f>
        <v>0</v>
      </c>
      <c r="L104" s="2426">
        <f>Inventário!G20</f>
        <v>0</v>
      </c>
      <c r="M104" s="25">
        <f>IF(G104=0,0,Inventário!J20)</f>
        <v>0</v>
      </c>
      <c r="N104" s="25"/>
      <c r="O104" s="25">
        <f>IF(G104=0,0,Inventário!K20)</f>
        <v>0</v>
      </c>
      <c r="P104" s="25"/>
      <c r="Q104" s="25"/>
      <c r="R104" s="25"/>
      <c r="S104" s="25"/>
    </row>
    <row r="105" spans="1:19" customFormat="1" x14ac:dyDescent="0.2">
      <c r="A105" s="2405">
        <f>Inventário!C21</f>
        <v>1</v>
      </c>
      <c r="B105" s="2405"/>
      <c r="C105" s="25"/>
      <c r="D105" s="2418"/>
      <c r="E105" s="25">
        <f t="shared" si="11"/>
        <v>0</v>
      </c>
      <c r="F105" s="25">
        <f t="shared" si="12"/>
        <v>0</v>
      </c>
      <c r="G105" s="2405">
        <f>VLOOKUP(A105,Listas!$D$88:$F$113,3,)</f>
        <v>0</v>
      </c>
      <c r="H105" s="2426">
        <f>Inventário!F21</f>
        <v>0</v>
      </c>
      <c r="I105" s="25"/>
      <c r="J105" s="25"/>
      <c r="K105" s="2426">
        <f>Inventário!E21</f>
        <v>0</v>
      </c>
      <c r="L105" s="2426">
        <f>Inventário!G21</f>
        <v>0</v>
      </c>
      <c r="M105" s="25">
        <f>IF(G105=0,0,Inventário!J21)</f>
        <v>0</v>
      </c>
      <c r="N105" s="25"/>
      <c r="O105" s="25">
        <f>IF(G105=0,0,Inventário!K21)</f>
        <v>0</v>
      </c>
      <c r="P105" s="25"/>
      <c r="Q105" s="25"/>
      <c r="R105" s="25"/>
      <c r="S105" s="25"/>
    </row>
    <row r="106" spans="1:19" customFormat="1" x14ac:dyDescent="0.2">
      <c r="A106" s="2405">
        <f>Inventário!C22</f>
        <v>1</v>
      </c>
      <c r="B106" s="2405"/>
      <c r="C106" s="25"/>
      <c r="D106" s="2418"/>
      <c r="E106" s="25">
        <f t="shared" si="11"/>
        <v>0</v>
      </c>
      <c r="F106" s="25">
        <f t="shared" si="12"/>
        <v>0</v>
      </c>
      <c r="G106" s="2405">
        <f>VLOOKUP(A106,Listas!$D$88:$F$113,3,)</f>
        <v>0</v>
      </c>
      <c r="H106" s="2426">
        <f>Inventário!F22</f>
        <v>0</v>
      </c>
      <c r="I106" s="25"/>
      <c r="J106" s="25"/>
      <c r="K106" s="2426">
        <f>Inventário!E22</f>
        <v>0</v>
      </c>
      <c r="L106" s="2426">
        <f>Inventário!G22</f>
        <v>0</v>
      </c>
      <c r="M106" s="25">
        <f>IF(G106=0,0,Inventário!J22)</f>
        <v>0</v>
      </c>
      <c r="N106" s="25"/>
      <c r="O106" s="25">
        <f>IF(G106=0,0,Inventário!K22)</f>
        <v>0</v>
      </c>
      <c r="P106" s="25"/>
      <c r="Q106" s="25"/>
      <c r="R106" s="25"/>
      <c r="S106" s="25"/>
    </row>
    <row r="107" spans="1:19" customFormat="1" x14ac:dyDescent="0.2">
      <c r="A107" s="2405">
        <f>Inventário!C23</f>
        <v>1</v>
      </c>
      <c r="B107" s="2405"/>
      <c r="C107" s="25"/>
      <c r="D107" s="2418"/>
      <c r="E107" s="25">
        <f t="shared" si="11"/>
        <v>0</v>
      </c>
      <c r="F107" s="25">
        <f t="shared" si="12"/>
        <v>0</v>
      </c>
      <c r="G107" s="2405">
        <f>VLOOKUP(A107,Listas!$D$88:$F$113,3,)</f>
        <v>0</v>
      </c>
      <c r="H107" s="2426">
        <f>Inventário!F23</f>
        <v>0</v>
      </c>
      <c r="I107" s="25"/>
      <c r="J107" s="25"/>
      <c r="K107" s="2426">
        <f>Inventário!E23</f>
        <v>0</v>
      </c>
      <c r="L107" s="2426">
        <f>Inventário!G23</f>
        <v>0</v>
      </c>
      <c r="M107" s="25">
        <f>IF(G107=0,0,Inventário!J23)</f>
        <v>0</v>
      </c>
      <c r="N107" s="25"/>
      <c r="O107" s="25">
        <f>IF(G107=0,0,Inventário!K23)</f>
        <v>0</v>
      </c>
      <c r="P107" s="25"/>
      <c r="Q107" s="25"/>
      <c r="R107" s="25"/>
      <c r="S107" s="25"/>
    </row>
    <row r="108" spans="1:19" customFormat="1" x14ac:dyDescent="0.2">
      <c r="A108" s="2405">
        <f>Inventário!C24</f>
        <v>1</v>
      </c>
      <c r="B108" s="2405"/>
      <c r="C108" s="25"/>
      <c r="D108" s="2418"/>
      <c r="E108" s="25">
        <f t="shared" si="11"/>
        <v>0</v>
      </c>
      <c r="F108" s="25">
        <f t="shared" si="12"/>
        <v>0</v>
      </c>
      <c r="G108" s="2405">
        <f>VLOOKUP(A108,Listas!$D$88:$F$113,3,)</f>
        <v>0</v>
      </c>
      <c r="H108" s="2426">
        <f>Inventário!F24</f>
        <v>0</v>
      </c>
      <c r="I108" s="25"/>
      <c r="J108" s="25"/>
      <c r="K108" s="2426">
        <f>Inventário!E24</f>
        <v>0</v>
      </c>
      <c r="L108" s="2426">
        <f>Inventário!G24</f>
        <v>0</v>
      </c>
      <c r="M108" s="25">
        <f>IF(G108=0,0,Inventário!J24)</f>
        <v>0</v>
      </c>
      <c r="N108" s="25"/>
      <c r="O108" s="25">
        <f>IF(G108=0,0,Inventário!K24)</f>
        <v>0</v>
      </c>
      <c r="P108" s="25"/>
      <c r="Q108" s="25"/>
      <c r="R108" s="25"/>
      <c r="S108" s="25"/>
    </row>
    <row r="109" spans="1:19" customFormat="1" x14ac:dyDescent="0.2">
      <c r="A109" s="2405">
        <f>Inventário!C25</f>
        <v>1</v>
      </c>
      <c r="B109" s="2405"/>
      <c r="C109" s="25"/>
      <c r="D109" s="2418"/>
      <c r="E109" s="25">
        <f t="shared" si="11"/>
        <v>0</v>
      </c>
      <c r="F109" s="25">
        <f t="shared" si="12"/>
        <v>0</v>
      </c>
      <c r="G109" s="2405">
        <f>VLOOKUP(A109,Listas!$D$88:$F$113,3,)</f>
        <v>0</v>
      </c>
      <c r="H109" s="2426">
        <f>Inventário!F25</f>
        <v>0</v>
      </c>
      <c r="I109" s="25"/>
      <c r="J109" s="25"/>
      <c r="K109" s="2426">
        <f>Inventário!E25</f>
        <v>0</v>
      </c>
      <c r="L109" s="2426">
        <f>Inventário!G25</f>
        <v>0</v>
      </c>
      <c r="M109" s="25">
        <f>IF(G109=0,0,Inventário!J25)</f>
        <v>0</v>
      </c>
      <c r="N109" s="25"/>
      <c r="O109" s="25">
        <f>IF(G109=0,0,Inventário!K25)</f>
        <v>0</v>
      </c>
      <c r="P109" s="25"/>
      <c r="Q109" s="25"/>
      <c r="R109" s="25"/>
      <c r="S109" s="25"/>
    </row>
    <row r="110" spans="1:19" customFormat="1" x14ac:dyDescent="0.2">
      <c r="A110" s="25"/>
      <c r="B110" s="25"/>
      <c r="C110" s="2405"/>
      <c r="D110" s="2405"/>
      <c r="E110" s="2405"/>
      <c r="F110" s="2405"/>
      <c r="G110" s="2405"/>
      <c r="H110" s="240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</row>
    <row r="111" spans="1:19" customFormat="1" x14ac:dyDescent="0.2">
      <c r="A111" s="25"/>
      <c r="B111" s="25"/>
      <c r="C111" s="25"/>
      <c r="D111" s="2449" t="s">
        <v>1528</v>
      </c>
      <c r="E111" s="2449" t="s">
        <v>1454</v>
      </c>
      <c r="F111" s="2449" t="s">
        <v>1455</v>
      </c>
      <c r="G111" s="2449" t="s">
        <v>1527</v>
      </c>
      <c r="H111" s="2449" t="s">
        <v>1526</v>
      </c>
      <c r="I111" s="2449" t="s">
        <v>1525</v>
      </c>
      <c r="J111" s="2449" t="s">
        <v>965</v>
      </c>
      <c r="K111" s="2449" t="s">
        <v>0</v>
      </c>
      <c r="L111" s="2449" t="s">
        <v>1524</v>
      </c>
      <c r="M111" s="2449" t="s">
        <v>1523</v>
      </c>
      <c r="N111" s="2449" t="s">
        <v>1522</v>
      </c>
      <c r="O111" s="2449" t="s">
        <v>1521</v>
      </c>
      <c r="P111" s="2449" t="s">
        <v>1515</v>
      </c>
      <c r="Q111" s="2449" t="s">
        <v>1514</v>
      </c>
      <c r="R111" s="2449" t="s">
        <v>1520</v>
      </c>
      <c r="S111" s="25" t="s">
        <v>1519</v>
      </c>
    </row>
    <row r="112" spans="1:19" customFormat="1" x14ac:dyDescent="0.2">
      <c r="A112" s="2405" t="s">
        <v>1518</v>
      </c>
      <c r="B112" s="2405"/>
      <c r="C112" s="25"/>
      <c r="D112" s="25"/>
      <c r="E112" s="25"/>
      <c r="F112" s="25"/>
      <c r="G112" s="2405" t="s">
        <v>1517</v>
      </c>
      <c r="H112" s="2405" t="s">
        <v>1035</v>
      </c>
      <c r="I112" s="25"/>
      <c r="J112" s="25"/>
      <c r="K112" s="2405" t="s">
        <v>0</v>
      </c>
      <c r="L112" s="2405" t="s">
        <v>1516</v>
      </c>
      <c r="M112" s="25"/>
      <c r="N112" s="25"/>
      <c r="O112" s="25"/>
      <c r="P112" s="2444" t="s">
        <v>1515</v>
      </c>
      <c r="Q112" s="25"/>
      <c r="R112" s="2444" t="str">
        <f>Inventário!M104</f>
        <v>Consumo de comb.</v>
      </c>
      <c r="S112" s="2444" t="str">
        <f>Inventário!L104</f>
        <v>Combustível</v>
      </c>
    </row>
    <row r="113" spans="1:19" customFormat="1" x14ac:dyDescent="0.2">
      <c r="A113" s="2406">
        <f>Inventário!C105</f>
        <v>2</v>
      </c>
      <c r="B113" s="2406"/>
      <c r="C113" s="25"/>
      <c r="D113" s="2418"/>
      <c r="E113" s="25">
        <f t="shared" ref="E113:E119" si="13">IF(F113=22,$E$1,0)</f>
        <v>58</v>
      </c>
      <c r="F113" s="25">
        <f t="shared" ref="F113:F119" si="14">IF(G113=0,0,22)</f>
        <v>22</v>
      </c>
      <c r="G113" s="2448">
        <f>VLOOKUP(A113,Listas!$D$144:$F$148,3,)</f>
        <v>7</v>
      </c>
      <c r="H113" s="2427">
        <f>Inventário!F105</f>
        <v>130000</v>
      </c>
      <c r="I113" s="25"/>
      <c r="J113" s="25"/>
      <c r="K113" s="2427">
        <f>Inventário!E105</f>
        <v>1</v>
      </c>
      <c r="L113" s="2427">
        <f>Inventário!G105</f>
        <v>15</v>
      </c>
      <c r="M113" s="25">
        <f>IF(G113=0,0,Inventário!J105)</f>
        <v>0.3</v>
      </c>
      <c r="N113" s="25"/>
      <c r="O113" s="25">
        <f>IF(G113=0,0,Inventário!K105)</f>
        <v>0.5</v>
      </c>
      <c r="P113" s="2444">
        <f>Inventário!I105</f>
        <v>0.7</v>
      </c>
      <c r="Q113" s="2418"/>
      <c r="R113" s="2444">
        <f>Inventário!M105</f>
        <v>4800</v>
      </c>
      <c r="S113" s="2444">
        <f>Inventário!L105</f>
        <v>2</v>
      </c>
    </row>
    <row r="114" spans="1:19" customFormat="1" x14ac:dyDescent="0.2">
      <c r="A114" s="2406">
        <f>Inventário!C106</f>
        <v>4</v>
      </c>
      <c r="B114" s="2406"/>
      <c r="C114" s="25"/>
      <c r="D114" s="2418"/>
      <c r="E114" s="25">
        <f t="shared" si="13"/>
        <v>58</v>
      </c>
      <c r="F114" s="25">
        <f t="shared" si="14"/>
        <v>22</v>
      </c>
      <c r="G114" s="2448">
        <f>VLOOKUP(A114,Listas!$D$144:$F$148,3,)</f>
        <v>34</v>
      </c>
      <c r="H114" s="2427">
        <f>Inventário!F106</f>
        <v>10000</v>
      </c>
      <c r="I114" s="25"/>
      <c r="J114" s="25"/>
      <c r="K114" s="2427">
        <f>Inventário!E106</f>
        <v>1</v>
      </c>
      <c r="L114" s="2427">
        <f>Inventário!G106</f>
        <v>10</v>
      </c>
      <c r="M114" s="25">
        <f>IF(G114=0,0,Inventário!J106)</f>
        <v>0.3</v>
      </c>
      <c r="N114" s="25"/>
      <c r="O114" s="25">
        <f>IF(G114=0,0,Inventário!K106)</f>
        <v>0.5</v>
      </c>
      <c r="P114" s="2444">
        <f>Inventário!I106</f>
        <v>1</v>
      </c>
      <c r="Q114" s="2418"/>
      <c r="R114" s="2444">
        <f>Inventário!M106</f>
        <v>480</v>
      </c>
      <c r="S114" s="2444">
        <f>Inventário!L106</f>
        <v>4</v>
      </c>
    </row>
    <row r="115" spans="1:19" customFormat="1" x14ac:dyDescent="0.2">
      <c r="A115" s="2406">
        <f>Inventário!C107</f>
        <v>1</v>
      </c>
      <c r="B115" s="2406"/>
      <c r="C115" s="25"/>
      <c r="D115" s="2418"/>
      <c r="E115" s="25">
        <f t="shared" si="13"/>
        <v>0</v>
      </c>
      <c r="F115" s="25">
        <f t="shared" si="14"/>
        <v>0</v>
      </c>
      <c r="G115" s="2448">
        <f>VLOOKUP(A115,Listas!$D$144:$F$148,3,)</f>
        <v>0</v>
      </c>
      <c r="H115" s="2427">
        <f>Inventário!F107</f>
        <v>0</v>
      </c>
      <c r="I115" s="25"/>
      <c r="J115" s="25"/>
      <c r="K115" s="2427">
        <f>Inventário!E107</f>
        <v>0</v>
      </c>
      <c r="L115" s="2427">
        <f>Inventário!G107</f>
        <v>0</v>
      </c>
      <c r="M115" s="25">
        <f>IF(G115=0,0,Inventário!J107)</f>
        <v>0</v>
      </c>
      <c r="N115" s="25"/>
      <c r="O115" s="25">
        <f>IF(G115=0,0,Inventário!K107)</f>
        <v>0</v>
      </c>
      <c r="P115" s="2444">
        <f>Inventário!I107</f>
        <v>1</v>
      </c>
      <c r="Q115" s="2418"/>
      <c r="R115" s="2444">
        <f>Inventário!M107</f>
        <v>0</v>
      </c>
      <c r="S115" s="2444">
        <f>Inventário!L107</f>
        <v>1</v>
      </c>
    </row>
    <row r="116" spans="1:19" customFormat="1" x14ac:dyDescent="0.2">
      <c r="A116" s="2406">
        <f>Inventário!C108</f>
        <v>1</v>
      </c>
      <c r="B116" s="2406"/>
      <c r="C116" s="25"/>
      <c r="D116" s="2418"/>
      <c r="E116" s="25">
        <f t="shared" si="13"/>
        <v>0</v>
      </c>
      <c r="F116" s="25">
        <f t="shared" si="14"/>
        <v>0</v>
      </c>
      <c r="G116" s="2448">
        <f>VLOOKUP(A116,Listas!$D$144:$F$148,3,)</f>
        <v>0</v>
      </c>
      <c r="H116" s="2427">
        <f>Inventário!F108</f>
        <v>0</v>
      </c>
      <c r="I116" s="25"/>
      <c r="J116" s="25"/>
      <c r="K116" s="2427">
        <f>Inventário!E108</f>
        <v>0</v>
      </c>
      <c r="L116" s="2427">
        <f>Inventário!G108</f>
        <v>0</v>
      </c>
      <c r="M116" s="25">
        <f>IF(G116=0,0,Inventário!J108)</f>
        <v>0</v>
      </c>
      <c r="N116" s="25"/>
      <c r="O116" s="25">
        <f>IF(G116=0,0,Inventário!K108)</f>
        <v>0</v>
      </c>
      <c r="P116" s="2444">
        <f>Inventário!I108</f>
        <v>1</v>
      </c>
      <c r="Q116" s="2418"/>
      <c r="R116" s="2444">
        <f>Inventário!M108</f>
        <v>0</v>
      </c>
      <c r="S116" s="2444">
        <f>Inventário!L108</f>
        <v>1</v>
      </c>
    </row>
    <row r="117" spans="1:19" customFormat="1" x14ac:dyDescent="0.2">
      <c r="A117" s="2406">
        <f>Inventário!C109</f>
        <v>1</v>
      </c>
      <c r="B117" s="2406"/>
      <c r="C117" s="25"/>
      <c r="D117" s="2418"/>
      <c r="E117" s="25">
        <f t="shared" si="13"/>
        <v>0</v>
      </c>
      <c r="F117" s="25">
        <f t="shared" si="14"/>
        <v>0</v>
      </c>
      <c r="G117" s="2448">
        <f>VLOOKUP(A117,Listas!$D$144:$F$148,3,)</f>
        <v>0</v>
      </c>
      <c r="H117" s="2427">
        <f>Inventário!F109</f>
        <v>0</v>
      </c>
      <c r="I117" s="25"/>
      <c r="J117" s="25"/>
      <c r="K117" s="2427">
        <f>Inventário!E109</f>
        <v>0</v>
      </c>
      <c r="L117" s="2427">
        <f>Inventário!G109</f>
        <v>0</v>
      </c>
      <c r="M117" s="25">
        <f>IF(G117=0,0,Inventário!J109)</f>
        <v>0</v>
      </c>
      <c r="N117" s="25"/>
      <c r="O117" s="25">
        <f>IF(G117=0,0,Inventário!K109)</f>
        <v>0</v>
      </c>
      <c r="P117" s="2444">
        <f>Inventário!I109</f>
        <v>1</v>
      </c>
      <c r="Q117" s="2418"/>
      <c r="R117" s="2444">
        <f>Inventário!M109</f>
        <v>0</v>
      </c>
      <c r="S117" s="2444">
        <f>Inventário!L109</f>
        <v>1</v>
      </c>
    </row>
    <row r="118" spans="1:19" customFormat="1" x14ac:dyDescent="0.2">
      <c r="A118" s="2406">
        <f>Inventário!C110</f>
        <v>1</v>
      </c>
      <c r="B118" s="2406"/>
      <c r="C118" s="25"/>
      <c r="D118" s="2418"/>
      <c r="E118" s="25">
        <f t="shared" si="13"/>
        <v>0</v>
      </c>
      <c r="F118" s="25">
        <f t="shared" si="14"/>
        <v>0</v>
      </c>
      <c r="G118" s="2448">
        <f>VLOOKUP(A118,Listas!$D$144:$F$148,3,)</f>
        <v>0</v>
      </c>
      <c r="H118" s="2427">
        <f>Inventário!F110</f>
        <v>0</v>
      </c>
      <c r="I118" s="25"/>
      <c r="J118" s="25"/>
      <c r="K118" s="2427">
        <f>Inventário!E110</f>
        <v>0</v>
      </c>
      <c r="L118" s="2427">
        <f>Inventário!G110</f>
        <v>0</v>
      </c>
      <c r="M118" s="25">
        <f>IF(G118=0,0,Inventário!J110)</f>
        <v>0</v>
      </c>
      <c r="N118" s="25"/>
      <c r="O118" s="25">
        <f>IF(G118=0,0,Inventário!K110)</f>
        <v>0</v>
      </c>
      <c r="P118" s="2444">
        <f>Inventário!I110</f>
        <v>1</v>
      </c>
      <c r="Q118" s="2418"/>
      <c r="R118" s="2444">
        <f>Inventário!M110</f>
        <v>0</v>
      </c>
      <c r="S118" s="2444">
        <f>Inventário!L110</f>
        <v>1</v>
      </c>
    </row>
    <row r="119" spans="1:19" customFormat="1" x14ac:dyDescent="0.2">
      <c r="A119" s="2406">
        <f>Inventário!C111</f>
        <v>1</v>
      </c>
      <c r="B119" s="2406"/>
      <c r="C119" s="25"/>
      <c r="D119" s="2418"/>
      <c r="E119" s="25">
        <f t="shared" si="13"/>
        <v>0</v>
      </c>
      <c r="F119" s="25">
        <f t="shared" si="14"/>
        <v>0</v>
      </c>
      <c r="G119" s="2448">
        <f>VLOOKUP(A119,Listas!$D$144:$F$148,3,)</f>
        <v>0</v>
      </c>
      <c r="H119" s="2427">
        <f>Inventário!F111</f>
        <v>0</v>
      </c>
      <c r="I119" s="25"/>
      <c r="J119" s="25"/>
      <c r="K119" s="2427">
        <f>Inventário!E111</f>
        <v>0</v>
      </c>
      <c r="L119" s="2427">
        <f>Inventário!G111</f>
        <v>0</v>
      </c>
      <c r="M119" s="25">
        <f>IF(G119=0,0,Inventário!J111)</f>
        <v>0</v>
      </c>
      <c r="N119" s="25"/>
      <c r="O119" s="25">
        <f>IF(G119=0,0,Inventário!K111)</f>
        <v>0</v>
      </c>
      <c r="P119" s="2444">
        <f>Inventário!I111</f>
        <v>1</v>
      </c>
      <c r="Q119" s="2418"/>
      <c r="R119" s="2444">
        <f>Inventário!M111</f>
        <v>0</v>
      </c>
      <c r="S119" s="2444">
        <f>Inventário!L111</f>
        <v>1</v>
      </c>
    </row>
    <row r="120" spans="1:19" customFormat="1" x14ac:dyDescent="0.2">
      <c r="A120" s="25"/>
      <c r="B120" s="25"/>
      <c r="C120" s="2406"/>
      <c r="D120" s="2406"/>
      <c r="E120" s="2427"/>
      <c r="F120" s="2427"/>
      <c r="G120" s="2427"/>
      <c r="H120" s="2444"/>
      <c r="I120" s="2444"/>
      <c r="J120" s="2444"/>
      <c r="K120" s="2444"/>
      <c r="L120" s="2444"/>
      <c r="M120" s="25"/>
      <c r="N120" s="25"/>
      <c r="O120" s="25"/>
      <c r="P120" s="25"/>
      <c r="Q120" s="25"/>
      <c r="R120" s="25"/>
      <c r="S120" s="25"/>
    </row>
    <row r="121" spans="1:19" customFormat="1" x14ac:dyDescent="0.2">
      <c r="A121" s="25"/>
      <c r="B121" s="25"/>
      <c r="C121" s="25"/>
      <c r="D121" s="2447" t="s">
        <v>1514</v>
      </c>
      <c r="E121" s="2447" t="s">
        <v>1454</v>
      </c>
      <c r="F121" s="2447" t="s">
        <v>1455</v>
      </c>
      <c r="G121" s="2447" t="s">
        <v>1513</v>
      </c>
      <c r="H121" s="2447" t="s">
        <v>1512</v>
      </c>
      <c r="I121" s="2447" t="s">
        <v>1511</v>
      </c>
      <c r="J121" s="2446" t="s">
        <v>827</v>
      </c>
      <c r="K121" s="2405" t="s">
        <v>1510</v>
      </c>
      <c r="L121" s="25"/>
      <c r="M121" s="25"/>
      <c r="N121" s="25"/>
      <c r="O121" s="25"/>
      <c r="P121" s="25"/>
      <c r="Q121" s="25"/>
      <c r="R121" s="25"/>
      <c r="S121" s="25"/>
    </row>
    <row r="122" spans="1:19" customFormat="1" x14ac:dyDescent="0.2">
      <c r="A122" s="2405" t="s">
        <v>1470</v>
      </c>
      <c r="B122" s="2405"/>
      <c r="C122" s="25"/>
      <c r="D122" s="2405"/>
      <c r="E122" s="25"/>
      <c r="F122" s="2405"/>
      <c r="G122" s="2405" t="s">
        <v>1492</v>
      </c>
      <c r="H122" s="2405" t="s">
        <v>1035</v>
      </c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</row>
    <row r="123" spans="1:19" customFormat="1" x14ac:dyDescent="0.2">
      <c r="A123" s="2443">
        <v>3</v>
      </c>
      <c r="B123" s="2433"/>
      <c r="C123" s="25"/>
      <c r="D123" s="25"/>
      <c r="E123" s="25">
        <f t="shared" ref="E123:E151" si="15">IF(F123=22,$E$1,0)</f>
        <v>0</v>
      </c>
      <c r="F123" s="25">
        <f t="shared" ref="F123:F151" si="16">IF(H123=0,0,22)</f>
        <v>0</v>
      </c>
      <c r="G123" s="2438">
        <v>54</v>
      </c>
      <c r="H123" s="2442">
        <f>Inventário!D113</f>
        <v>0</v>
      </c>
      <c r="I123" s="25">
        <v>1</v>
      </c>
      <c r="J123" s="25">
        <f>IF(F123=0,0,"Álcool - Utilitário")</f>
        <v>0</v>
      </c>
      <c r="K123" s="25"/>
      <c r="L123" s="25"/>
      <c r="M123" s="25"/>
      <c r="N123" s="25"/>
      <c r="O123" s="25"/>
      <c r="P123" s="25"/>
      <c r="Q123" s="25"/>
      <c r="R123" s="25"/>
      <c r="S123" s="25"/>
    </row>
    <row r="124" spans="1:19" customFormat="1" x14ac:dyDescent="0.2">
      <c r="A124" s="2441">
        <v>2</v>
      </c>
      <c r="B124" s="2433"/>
      <c r="C124" s="25"/>
      <c r="D124" s="25"/>
      <c r="E124" s="25">
        <f t="shared" si="15"/>
        <v>58</v>
      </c>
      <c r="F124" s="25">
        <f t="shared" si="16"/>
        <v>22</v>
      </c>
      <c r="G124" s="2438">
        <v>55</v>
      </c>
      <c r="H124" s="2440">
        <f>Inventário!D114</f>
        <v>3.05</v>
      </c>
      <c r="I124" s="25">
        <v>1</v>
      </c>
      <c r="J124" s="25" t="str">
        <f>IF(F124=0,0,"Diesel - Utilitário")</f>
        <v>Diesel - Utilitário</v>
      </c>
      <c r="K124" s="2445"/>
      <c r="L124" s="2438"/>
      <c r="M124" s="25"/>
      <c r="N124" s="25"/>
      <c r="O124" s="25"/>
      <c r="P124" s="25"/>
      <c r="Q124" s="25"/>
      <c r="R124" s="25"/>
      <c r="S124" s="25"/>
    </row>
    <row r="125" spans="1:19" customFormat="1" x14ac:dyDescent="0.2">
      <c r="A125" s="2439">
        <v>4</v>
      </c>
      <c r="B125" s="2433"/>
      <c r="C125" s="25"/>
      <c r="D125" s="25"/>
      <c r="E125" s="25">
        <f t="shared" si="15"/>
        <v>58</v>
      </c>
      <c r="F125" s="25">
        <f t="shared" si="16"/>
        <v>22</v>
      </c>
      <c r="G125" s="2438">
        <v>53</v>
      </c>
      <c r="H125" s="2437">
        <f>Inventário!D115</f>
        <v>3.3</v>
      </c>
      <c r="I125" s="25">
        <v>1</v>
      </c>
      <c r="J125" s="25" t="str">
        <f>IF(F125=0,0,"Gasolina - Utilitário")</f>
        <v>Gasolina - Utilitário</v>
      </c>
      <c r="K125" s="2445"/>
      <c r="L125" s="2438"/>
      <c r="M125" s="25"/>
      <c r="N125" s="25"/>
      <c r="O125" s="25"/>
      <c r="P125" s="25"/>
      <c r="Q125" s="25"/>
      <c r="R125" s="25"/>
      <c r="S125" s="25"/>
    </row>
    <row r="126" spans="1:19" customFormat="1" x14ac:dyDescent="0.2">
      <c r="A126" s="2443">
        <f>Geral!D8</f>
        <v>2</v>
      </c>
      <c r="B126" s="2433"/>
      <c r="C126" s="25"/>
      <c r="D126" s="25"/>
      <c r="E126" s="25">
        <f t="shared" si="15"/>
        <v>58</v>
      </c>
      <c r="F126" s="25">
        <f t="shared" si="16"/>
        <v>22</v>
      </c>
      <c r="G126" s="2438">
        <f>VLOOKUP(A126,Listas!$D$116:$F$124,3,)</f>
        <v>33</v>
      </c>
      <c r="H126" s="2442">
        <f>Geral!I8</f>
        <v>600</v>
      </c>
      <c r="I126" s="25">
        <v>1</v>
      </c>
      <c r="J126" s="25" t="str">
        <f>IF(H126=0,"",VLOOKUP(G126,Listas!$F$116:$G$141,2,))</f>
        <v>Telefone</v>
      </c>
      <c r="K126" s="25"/>
      <c r="L126" s="2438"/>
      <c r="M126" s="25"/>
      <c r="N126" s="25"/>
      <c r="O126" s="25"/>
      <c r="P126" s="25"/>
      <c r="Q126" s="25"/>
      <c r="R126" s="25"/>
      <c r="S126" s="25"/>
    </row>
    <row r="127" spans="1:19" customFormat="1" x14ac:dyDescent="0.2">
      <c r="A127" s="2441">
        <f>Geral!D9</f>
        <v>3</v>
      </c>
      <c r="B127" s="2433"/>
      <c r="C127" s="25"/>
      <c r="D127" s="25"/>
      <c r="E127" s="25">
        <f t="shared" si="15"/>
        <v>58</v>
      </c>
      <c r="F127" s="25">
        <f t="shared" si="16"/>
        <v>22</v>
      </c>
      <c r="G127" s="2438">
        <f>VLOOKUP(A127,Listas!$D$116:$F$124,3,)</f>
        <v>24</v>
      </c>
      <c r="H127" s="2440">
        <f>Geral!I9</f>
        <v>362</v>
      </c>
      <c r="I127" s="25">
        <v>1</v>
      </c>
      <c r="J127" s="25" t="str">
        <f>IF(H127=0,"",VLOOKUP(G127,Listas!$F$116:$G$141,2,))</f>
        <v>Despesas bancárias</v>
      </c>
      <c r="K127" s="25"/>
      <c r="L127" s="25"/>
      <c r="M127" s="25"/>
      <c r="N127" s="25"/>
      <c r="O127" s="25"/>
      <c r="P127" s="25"/>
      <c r="Q127" s="25"/>
      <c r="R127" s="25"/>
      <c r="S127" s="25"/>
    </row>
    <row r="128" spans="1:19" customFormat="1" x14ac:dyDescent="0.2">
      <c r="A128" s="2441">
        <f>Geral!D10</f>
        <v>1</v>
      </c>
      <c r="B128" s="2433"/>
      <c r="C128" s="25"/>
      <c r="D128" s="25"/>
      <c r="E128" s="25">
        <f t="shared" si="15"/>
        <v>0</v>
      </c>
      <c r="F128" s="25">
        <f t="shared" si="16"/>
        <v>0</v>
      </c>
      <c r="G128" s="2438">
        <f>VLOOKUP(A128,Listas!$D$116:$F$124,3,)</f>
        <v>0</v>
      </c>
      <c r="H128" s="2440">
        <f>Geral!I10</f>
        <v>0</v>
      </c>
      <c r="I128" s="25">
        <v>1</v>
      </c>
      <c r="J128" s="25" t="str">
        <f>IF(H128=0,"",VLOOKUP(G128,Listas!$F$116:$G$141,2,))</f>
        <v/>
      </c>
      <c r="K128" s="25"/>
      <c r="L128" s="25"/>
      <c r="M128" s="25"/>
      <c r="N128" s="2427"/>
      <c r="O128" s="25"/>
      <c r="P128" s="25"/>
      <c r="Q128" s="25"/>
      <c r="R128" s="25"/>
      <c r="S128" s="25"/>
    </row>
    <row r="129" spans="1:13" customFormat="1" x14ac:dyDescent="0.2">
      <c r="A129" s="2441">
        <f>Geral!D11</f>
        <v>1</v>
      </c>
      <c r="B129" s="2433"/>
      <c r="C129" s="25"/>
      <c r="D129" s="25"/>
      <c r="E129" s="25">
        <f t="shared" si="15"/>
        <v>0</v>
      </c>
      <c r="F129" s="25">
        <f t="shared" si="16"/>
        <v>0</v>
      </c>
      <c r="G129" s="2438">
        <f>VLOOKUP(A129,Listas!$D$116:$F$124,3,)</f>
        <v>0</v>
      </c>
      <c r="H129" s="2440">
        <f>Geral!I11</f>
        <v>0</v>
      </c>
      <c r="I129" s="25">
        <v>1</v>
      </c>
      <c r="J129" s="25" t="str">
        <f>IF(H129=0,"",VLOOKUP(G129,Listas!$F$116:$G$141,2,))</f>
        <v/>
      </c>
      <c r="K129" s="25"/>
      <c r="L129" s="25"/>
      <c r="M129" s="25"/>
    </row>
    <row r="130" spans="1:13" customFormat="1" x14ac:dyDescent="0.2">
      <c r="A130" s="2441">
        <f>Geral!D12</f>
        <v>1</v>
      </c>
      <c r="B130" s="2433"/>
      <c r="C130" s="25"/>
      <c r="D130" s="25"/>
      <c r="E130" s="25">
        <f t="shared" si="15"/>
        <v>0</v>
      </c>
      <c r="F130" s="25">
        <f t="shared" si="16"/>
        <v>0</v>
      </c>
      <c r="G130" s="2438">
        <f>VLOOKUP(A130,Listas!$D$116:$F$124,3,)</f>
        <v>0</v>
      </c>
      <c r="H130" s="2440">
        <f>Geral!I12</f>
        <v>0</v>
      </c>
      <c r="I130" s="25">
        <v>1</v>
      </c>
      <c r="J130" s="25" t="str">
        <f>IF(H130=0,"",VLOOKUP(G130,Listas!$F$116:$G$141,2,))</f>
        <v/>
      </c>
      <c r="K130" s="25"/>
      <c r="L130" s="25"/>
      <c r="M130" s="25"/>
    </row>
    <row r="131" spans="1:13" customFormat="1" x14ac:dyDescent="0.2">
      <c r="A131" s="2439">
        <f>Geral!D13</f>
        <v>1</v>
      </c>
      <c r="B131" s="2433"/>
      <c r="C131" s="25"/>
      <c r="D131" s="25"/>
      <c r="E131" s="25">
        <f t="shared" si="15"/>
        <v>0</v>
      </c>
      <c r="F131" s="25">
        <f t="shared" si="16"/>
        <v>0</v>
      </c>
      <c r="G131" s="2438">
        <f>VLOOKUP(A131,Listas!$D$116:$F$124,3,)</f>
        <v>0</v>
      </c>
      <c r="H131" s="2437">
        <f>Geral!I13</f>
        <v>0</v>
      </c>
      <c r="I131" s="25">
        <v>1</v>
      </c>
      <c r="J131" s="25" t="str">
        <f>IF(H131=0,"",VLOOKUP(G131,Listas!$F$116:$G$141,2,))</f>
        <v/>
      </c>
      <c r="K131" s="25"/>
      <c r="L131" s="25"/>
      <c r="M131" s="25"/>
    </row>
    <row r="132" spans="1:13" customFormat="1" x14ac:dyDescent="0.2">
      <c r="A132" s="2443">
        <f>Geral!D18</f>
        <v>2</v>
      </c>
      <c r="B132" s="2433"/>
      <c r="C132" s="25"/>
      <c r="D132" s="25"/>
      <c r="E132" s="25">
        <f t="shared" si="15"/>
        <v>58</v>
      </c>
      <c r="F132" s="25">
        <f t="shared" si="16"/>
        <v>22</v>
      </c>
      <c r="G132" s="2438">
        <f>VLOOKUP(A132,Listas!$D$126:$F$129,3,)</f>
        <v>35</v>
      </c>
      <c r="H132" s="2442">
        <f>Geral!I18</f>
        <v>1200</v>
      </c>
      <c r="I132" s="25">
        <v>1</v>
      </c>
      <c r="J132" s="25" t="str">
        <f>IF(H132=0,"",VLOOKUP(G132,Listas!$F$116:$G$141,2,))</f>
        <v>Energia Elétrica</v>
      </c>
      <c r="K132" s="25"/>
      <c r="L132" s="25"/>
      <c r="M132" s="25"/>
    </row>
    <row r="133" spans="1:13" customFormat="1" x14ac:dyDescent="0.2">
      <c r="A133" s="2441">
        <f>Geral!D19</f>
        <v>3</v>
      </c>
      <c r="B133" s="2433"/>
      <c r="C133" s="25"/>
      <c r="D133" s="25"/>
      <c r="E133" s="25">
        <f t="shared" si="15"/>
        <v>58</v>
      </c>
      <c r="F133" s="25">
        <f t="shared" si="16"/>
        <v>22</v>
      </c>
      <c r="G133" s="2438">
        <f>VLOOKUP(A133,Listas!$D$126:$F$129,3,)</f>
        <v>43</v>
      </c>
      <c r="H133" s="2440">
        <f>Geral!I19</f>
        <v>396</v>
      </c>
      <c r="I133" s="25">
        <v>1</v>
      </c>
      <c r="J133" s="25" t="str">
        <f>IF(H133=0,"",VLOOKUP(G133,Listas!$F$116:$G$141,2,))</f>
        <v>Gasolina</v>
      </c>
      <c r="K133" s="25"/>
      <c r="L133" s="25"/>
      <c r="M133" s="25"/>
    </row>
    <row r="134" spans="1:13" customFormat="1" x14ac:dyDescent="0.2">
      <c r="A134" s="2441">
        <f>Geral!D20</f>
        <v>1</v>
      </c>
      <c r="B134" s="2433"/>
      <c r="C134" s="25"/>
      <c r="D134" s="25"/>
      <c r="E134" s="25">
        <f t="shared" si="15"/>
        <v>0</v>
      </c>
      <c r="F134" s="25">
        <f t="shared" si="16"/>
        <v>0</v>
      </c>
      <c r="G134" s="2438">
        <f>VLOOKUP(A134,Listas!$D$126:$F$129,3,)</f>
        <v>0</v>
      </c>
      <c r="H134" s="2440">
        <f>Geral!I20</f>
        <v>0</v>
      </c>
      <c r="I134" s="25">
        <v>1</v>
      </c>
      <c r="J134" s="25" t="str">
        <f>IF(H134=0,"",VLOOKUP(G134,Listas!$F$116:$G$141,2,))</f>
        <v/>
      </c>
      <c r="K134" s="25"/>
      <c r="L134" s="25"/>
      <c r="M134" s="25"/>
    </row>
    <row r="135" spans="1:13" customFormat="1" x14ac:dyDescent="0.2">
      <c r="A135" s="2441">
        <f>Geral!D21</f>
        <v>1</v>
      </c>
      <c r="B135" s="2433"/>
      <c r="C135" s="25"/>
      <c r="D135" s="25"/>
      <c r="E135" s="25">
        <f t="shared" si="15"/>
        <v>0</v>
      </c>
      <c r="F135" s="25">
        <f t="shared" si="16"/>
        <v>0</v>
      </c>
      <c r="G135" s="2438">
        <f>VLOOKUP(A135,Listas!$D$126:$F$129,3,)</f>
        <v>0</v>
      </c>
      <c r="H135" s="2440">
        <f>Geral!I21</f>
        <v>0</v>
      </c>
      <c r="I135" s="25">
        <v>1</v>
      </c>
      <c r="J135" s="25" t="str">
        <f>IF(H135=0,"",VLOOKUP(G135,Listas!$F$116:$G$141,2,))</f>
        <v/>
      </c>
      <c r="K135" s="2444"/>
      <c r="L135" s="2444"/>
      <c r="M135" s="2444"/>
    </row>
    <row r="136" spans="1:13" customFormat="1" x14ac:dyDescent="0.2">
      <c r="A136" s="2439">
        <f>Geral!D22</f>
        <v>1</v>
      </c>
      <c r="B136" s="2433"/>
      <c r="C136" s="25"/>
      <c r="D136" s="25"/>
      <c r="E136" s="25">
        <f t="shared" si="15"/>
        <v>0</v>
      </c>
      <c r="F136" s="25">
        <f t="shared" si="16"/>
        <v>0</v>
      </c>
      <c r="G136" s="2438">
        <f>VLOOKUP(A136,Listas!$D$126:$F$129,3,)</f>
        <v>0</v>
      </c>
      <c r="H136" s="2437">
        <f>Geral!I22</f>
        <v>0</v>
      </c>
      <c r="I136" s="25">
        <v>1</v>
      </c>
      <c r="J136" s="25" t="str">
        <f>IF(H136=0,"",VLOOKUP(G136,Listas!$F$116:$G$141,2,))</f>
        <v/>
      </c>
      <c r="K136" s="2444"/>
      <c r="L136" s="2444"/>
      <c r="M136" s="2444"/>
    </row>
    <row r="137" spans="1:13" customFormat="1" x14ac:dyDescent="0.2">
      <c r="A137" s="2443">
        <f>Geral!D27</f>
        <v>3</v>
      </c>
      <c r="B137" s="2433"/>
      <c r="C137" s="25"/>
      <c r="D137" s="25"/>
      <c r="E137" s="25">
        <f t="shared" si="15"/>
        <v>58</v>
      </c>
      <c r="F137" s="25">
        <f t="shared" si="16"/>
        <v>22</v>
      </c>
      <c r="G137" s="2438">
        <f>VLOOKUP(A137,Listas!$D$131:$F$141,3,)</f>
        <v>28</v>
      </c>
      <c r="H137" s="2442">
        <f>Geral!I27</f>
        <v>600</v>
      </c>
      <c r="I137" s="25">
        <v>1</v>
      </c>
      <c r="J137" s="25" t="str">
        <f>IF(H137=0,"",VLOOKUP(G137,Listas!$F$116:$G$141,2,))</f>
        <v>CNA</v>
      </c>
      <c r="K137" s="25"/>
      <c r="L137" s="25"/>
      <c r="M137" s="25"/>
    </row>
    <row r="138" spans="1:13" customFormat="1" x14ac:dyDescent="0.2">
      <c r="A138" s="2441">
        <f>Geral!D28</f>
        <v>4</v>
      </c>
      <c r="B138" s="2433"/>
      <c r="C138" s="25"/>
      <c r="D138" s="25"/>
      <c r="E138" s="25">
        <f t="shared" si="15"/>
        <v>58</v>
      </c>
      <c r="F138" s="25">
        <f t="shared" si="16"/>
        <v>22</v>
      </c>
      <c r="G138" s="2438">
        <f>VLOOKUP(A138,Listas!$D$131:$F$141,3,)</f>
        <v>27</v>
      </c>
      <c r="H138" s="2440">
        <f>Geral!I28</f>
        <v>800</v>
      </c>
      <c r="I138" s="25">
        <v>1</v>
      </c>
      <c r="J138" s="25" t="str">
        <f>IF(H138=0,"",VLOOKUP(G138,Listas!$F$116:$G$141,2,))</f>
        <v>ITR</v>
      </c>
      <c r="K138" s="25"/>
      <c r="L138" s="25"/>
      <c r="M138" s="25"/>
    </row>
    <row r="139" spans="1:13" customFormat="1" x14ac:dyDescent="0.2">
      <c r="A139" s="2441">
        <f>Geral!D29</f>
        <v>1</v>
      </c>
      <c r="B139" s="2433"/>
      <c r="C139" s="25"/>
      <c r="D139" s="25"/>
      <c r="E139" s="25">
        <f t="shared" si="15"/>
        <v>0</v>
      </c>
      <c r="F139" s="25">
        <f t="shared" si="16"/>
        <v>0</v>
      </c>
      <c r="G139" s="2438">
        <f>VLOOKUP(A139,Listas!$D$131:$F$141,3,)</f>
        <v>0</v>
      </c>
      <c r="H139" s="2440">
        <f>Geral!I29</f>
        <v>0</v>
      </c>
      <c r="I139" s="25">
        <v>1</v>
      </c>
      <c r="J139" s="25" t="str">
        <f>IF(H139=0,"",VLOOKUP(G139,Listas!$F$116:$G$141,2,))</f>
        <v/>
      </c>
      <c r="K139" s="25"/>
      <c r="L139" s="25"/>
      <c r="M139" s="25"/>
    </row>
    <row r="140" spans="1:13" customFormat="1" x14ac:dyDescent="0.2">
      <c r="A140" s="2441">
        <f>Geral!D30</f>
        <v>10</v>
      </c>
      <c r="B140" s="2433"/>
      <c r="C140" s="25"/>
      <c r="D140" s="25"/>
      <c r="E140" s="25">
        <f t="shared" si="15"/>
        <v>58</v>
      </c>
      <c r="F140" s="25">
        <f t="shared" si="16"/>
        <v>22</v>
      </c>
      <c r="G140" s="2438">
        <f>VLOOKUP(A140,Listas!$D$131:$F$141,3,)</f>
        <v>58</v>
      </c>
      <c r="H140" s="2440">
        <f>Geral!I30</f>
        <v>1820</v>
      </c>
      <c r="I140" s="25">
        <v>1</v>
      </c>
      <c r="J140" s="25" t="str">
        <f>IF(H140=0,"",VLOOKUP(G140,Listas!$F$116:$G$141,2,))</f>
        <v>IPVA</v>
      </c>
      <c r="K140" s="25"/>
      <c r="L140" s="25"/>
      <c r="M140" s="25"/>
    </row>
    <row r="141" spans="1:13" customFormat="1" x14ac:dyDescent="0.2">
      <c r="A141" s="2441">
        <f>Geral!D31</f>
        <v>11</v>
      </c>
      <c r="B141" s="2433"/>
      <c r="C141" s="25"/>
      <c r="D141" s="25"/>
      <c r="E141" s="25">
        <f t="shared" si="15"/>
        <v>58</v>
      </c>
      <c r="F141" s="25">
        <f t="shared" si="16"/>
        <v>22</v>
      </c>
      <c r="G141" s="2438">
        <f>VLOOKUP(A141,Listas!$D$131:$F$141,3,)</f>
        <v>56</v>
      </c>
      <c r="H141" s="2440">
        <f>Geral!I31</f>
        <v>5000</v>
      </c>
      <c r="I141" s="25">
        <v>1</v>
      </c>
      <c r="J141" s="25" t="str">
        <f>IF(H141=0,"",VLOOKUP(G141,Listas!$F$116:$G$141,2,))</f>
        <v>Seguro</v>
      </c>
      <c r="K141" s="25"/>
      <c r="L141" s="25"/>
      <c r="M141" s="25"/>
    </row>
    <row r="142" spans="1:13" customFormat="1" x14ac:dyDescent="0.2">
      <c r="A142" s="2441">
        <f>Geral!D32</f>
        <v>10</v>
      </c>
      <c r="B142" s="2433"/>
      <c r="C142" s="25"/>
      <c r="D142" s="25"/>
      <c r="E142" s="25">
        <f t="shared" si="15"/>
        <v>58</v>
      </c>
      <c r="F142" s="25">
        <f t="shared" si="16"/>
        <v>22</v>
      </c>
      <c r="G142" s="2438">
        <f>VLOOKUP(A142,Listas!$D$131:$F$141,3,)</f>
        <v>58</v>
      </c>
      <c r="H142" s="2440">
        <f>Geral!I32</f>
        <v>200</v>
      </c>
      <c r="I142" s="25">
        <v>1</v>
      </c>
      <c r="J142" s="25" t="str">
        <f>IF(H142=0,"",VLOOKUP(G142,Listas!$F$116:$G$141,2,))</f>
        <v>IPVA</v>
      </c>
      <c r="K142" s="25"/>
      <c r="L142" s="25"/>
      <c r="M142" s="25"/>
    </row>
    <row r="143" spans="1:13" customFormat="1" x14ac:dyDescent="0.2">
      <c r="A143" s="2441">
        <f>Geral!D33</f>
        <v>1</v>
      </c>
      <c r="B143" s="2433"/>
      <c r="C143" s="25"/>
      <c r="D143" s="25"/>
      <c r="E143" s="25">
        <f t="shared" si="15"/>
        <v>0</v>
      </c>
      <c r="F143" s="25">
        <f t="shared" si="16"/>
        <v>0</v>
      </c>
      <c r="G143" s="2438">
        <f>VLOOKUP(A143,Listas!$D$131:$F$141,3,)</f>
        <v>0</v>
      </c>
      <c r="H143" s="2440">
        <f>Geral!I33</f>
        <v>0</v>
      </c>
      <c r="I143" s="25">
        <v>1</v>
      </c>
      <c r="J143" s="25" t="str">
        <f>IF(H143=0,"",VLOOKUP(G143,Listas!$F$116:$G$141,2,))</f>
        <v/>
      </c>
      <c r="K143" s="25"/>
      <c r="L143" s="25"/>
      <c r="M143" s="25"/>
    </row>
    <row r="144" spans="1:13" customFormat="1" x14ac:dyDescent="0.2">
      <c r="A144" s="2441">
        <f>Geral!D34</f>
        <v>1</v>
      </c>
      <c r="B144" s="2433"/>
      <c r="C144" s="25"/>
      <c r="D144" s="25"/>
      <c r="E144" s="25">
        <f t="shared" si="15"/>
        <v>0</v>
      </c>
      <c r="F144" s="25">
        <f t="shared" si="16"/>
        <v>0</v>
      </c>
      <c r="G144" s="2438">
        <f>VLOOKUP(A144,Listas!$D$131:$F$141,3,)</f>
        <v>0</v>
      </c>
      <c r="H144" s="2440">
        <f>Geral!I34</f>
        <v>0</v>
      </c>
      <c r="I144" s="25">
        <v>1</v>
      </c>
      <c r="J144" s="25" t="str">
        <f>IF(H144=0,"",VLOOKUP(G144,Listas!$F$116:$G$141,2,))</f>
        <v/>
      </c>
      <c r="K144" s="25"/>
      <c r="L144" s="25"/>
      <c r="M144" s="25"/>
    </row>
    <row r="145" spans="1:12" customFormat="1" x14ac:dyDescent="0.2">
      <c r="A145" s="2441">
        <f>Geral!D35</f>
        <v>1</v>
      </c>
      <c r="B145" s="2433"/>
      <c r="C145" s="25"/>
      <c r="D145" s="25"/>
      <c r="E145" s="25">
        <f t="shared" si="15"/>
        <v>0</v>
      </c>
      <c r="F145" s="25">
        <f t="shared" si="16"/>
        <v>0</v>
      </c>
      <c r="G145" s="2438">
        <f>VLOOKUP(A145,Listas!$D$131:$F$141,3,)</f>
        <v>0</v>
      </c>
      <c r="H145" s="2440">
        <f>Geral!I35</f>
        <v>0</v>
      </c>
      <c r="I145" s="25">
        <v>1</v>
      </c>
      <c r="J145" s="25" t="str">
        <f>IF(H145=0,"",VLOOKUP(G145,Listas!$F$116:$G$141,2,))</f>
        <v/>
      </c>
      <c r="K145" s="25"/>
      <c r="L145" s="25"/>
    </row>
    <row r="146" spans="1:12" customFormat="1" x14ac:dyDescent="0.2">
      <c r="A146" s="2439">
        <f>Geral!D36</f>
        <v>1</v>
      </c>
      <c r="B146" s="2433"/>
      <c r="C146" s="25"/>
      <c r="D146" s="25"/>
      <c r="E146" s="25">
        <f t="shared" si="15"/>
        <v>0</v>
      </c>
      <c r="F146" s="25">
        <f t="shared" si="16"/>
        <v>0</v>
      </c>
      <c r="G146" s="2438">
        <f>VLOOKUP(A146,Listas!$D$131:$F$141,3,)</f>
        <v>0</v>
      </c>
      <c r="H146" s="2437">
        <f>Geral!I36</f>
        <v>0</v>
      </c>
      <c r="I146" s="25">
        <v>1</v>
      </c>
      <c r="J146" s="25" t="str">
        <f>IF(H146=0,"",VLOOKUP(G146,Listas!$F$116:$G$141,2,))</f>
        <v/>
      </c>
      <c r="K146" s="25"/>
      <c r="L146" s="25"/>
    </row>
    <row r="147" spans="1:12" customFormat="1" x14ac:dyDescent="0.2">
      <c r="A147" s="2435">
        <f>Geral!D41</f>
        <v>16</v>
      </c>
      <c r="B147" s="2435"/>
      <c r="C147" s="25"/>
      <c r="D147" s="2418"/>
      <c r="E147" s="25">
        <f t="shared" si="15"/>
        <v>58</v>
      </c>
      <c r="F147" s="25">
        <f t="shared" si="16"/>
        <v>22</v>
      </c>
      <c r="G147" s="2436">
        <f>IF(H147=0,0,7)</f>
        <v>7</v>
      </c>
      <c r="H147" s="2435">
        <f>Geral!I41</f>
        <v>28080</v>
      </c>
      <c r="I147" s="2418">
        <v>1</v>
      </c>
      <c r="J147" s="25"/>
      <c r="K147" s="25"/>
      <c r="L147" s="25"/>
    </row>
    <row r="148" spans="1:12" customFormat="1" x14ac:dyDescent="0.2">
      <c r="A148" s="2435">
        <f>Geral!D42</f>
        <v>1</v>
      </c>
      <c r="B148" s="2435"/>
      <c r="C148" s="25"/>
      <c r="D148" s="2418"/>
      <c r="E148" s="25">
        <f t="shared" si="15"/>
        <v>0</v>
      </c>
      <c r="F148" s="25">
        <f t="shared" si="16"/>
        <v>0</v>
      </c>
      <c r="G148" s="2436">
        <f>IF(H148=0,0,7)</f>
        <v>0</v>
      </c>
      <c r="H148" s="2435">
        <f>Geral!I42</f>
        <v>0</v>
      </c>
      <c r="I148" s="2418">
        <v>1</v>
      </c>
      <c r="J148" s="25"/>
      <c r="K148" s="25"/>
      <c r="L148" s="25"/>
    </row>
    <row r="149" spans="1:12" customFormat="1" x14ac:dyDescent="0.2">
      <c r="A149" s="2435">
        <f>Geral!D43</f>
        <v>1</v>
      </c>
      <c r="B149" s="2435"/>
      <c r="C149" s="25"/>
      <c r="D149" s="2418"/>
      <c r="E149" s="25">
        <f t="shared" si="15"/>
        <v>0</v>
      </c>
      <c r="F149" s="25">
        <f t="shared" si="16"/>
        <v>0</v>
      </c>
      <c r="G149" s="2436">
        <f>IF(H149=0,0,7)</f>
        <v>0</v>
      </c>
      <c r="H149" s="2435">
        <f>Geral!I43</f>
        <v>0</v>
      </c>
      <c r="I149" s="2418">
        <v>1</v>
      </c>
      <c r="J149" s="25"/>
      <c r="K149" s="25"/>
      <c r="L149" s="25"/>
    </row>
    <row r="150" spans="1:12" customFormat="1" x14ac:dyDescent="0.2">
      <c r="A150" s="2435">
        <f>Geral!D44</f>
        <v>1</v>
      </c>
      <c r="B150" s="2435"/>
      <c r="C150" s="25"/>
      <c r="D150" s="2418"/>
      <c r="E150" s="25">
        <f t="shared" si="15"/>
        <v>0</v>
      </c>
      <c r="F150" s="25">
        <f t="shared" si="16"/>
        <v>0</v>
      </c>
      <c r="G150" s="2436">
        <f>IF(H150=0,0,7)</f>
        <v>0</v>
      </c>
      <c r="H150" s="2435">
        <f>Geral!I44</f>
        <v>0</v>
      </c>
      <c r="I150" s="2418">
        <v>1</v>
      </c>
      <c r="J150" s="25"/>
      <c r="K150" s="25"/>
      <c r="L150" s="25"/>
    </row>
    <row r="151" spans="1:12" customFormat="1" x14ac:dyDescent="0.2">
      <c r="A151" s="2435">
        <f>Geral!D45</f>
        <v>1</v>
      </c>
      <c r="B151" s="2435"/>
      <c r="C151" s="25"/>
      <c r="D151" s="2418"/>
      <c r="E151" s="25">
        <f t="shared" si="15"/>
        <v>0</v>
      </c>
      <c r="F151" s="25">
        <f t="shared" si="16"/>
        <v>0</v>
      </c>
      <c r="G151" s="2436">
        <f>IF(H151=0,0,7)</f>
        <v>0</v>
      </c>
      <c r="H151" s="2435">
        <f>Geral!I45</f>
        <v>0</v>
      </c>
      <c r="I151" s="2418">
        <v>1</v>
      </c>
      <c r="J151" s="25"/>
      <c r="K151" s="25"/>
      <c r="L151" s="25"/>
    </row>
    <row r="152" spans="1:12" customFormat="1" x14ac:dyDescent="0.2">
      <c r="A152" s="2433"/>
      <c r="B152" s="2433"/>
      <c r="C152" s="25"/>
      <c r="D152" s="25"/>
      <c r="E152" s="25"/>
      <c r="F152" s="2434"/>
      <c r="G152" s="2433"/>
      <c r="H152" s="25"/>
      <c r="I152" s="25"/>
      <c r="J152" s="25"/>
      <c r="K152" s="25"/>
      <c r="L152" s="25"/>
    </row>
    <row r="153" spans="1:12" customFormat="1" x14ac:dyDescent="0.2">
      <c r="A153" s="25"/>
      <c r="B153" s="25"/>
      <c r="C153" s="25"/>
      <c r="D153" s="2432" t="s">
        <v>1509</v>
      </c>
      <c r="E153" s="2432" t="s">
        <v>1454</v>
      </c>
      <c r="F153" s="2432" t="s">
        <v>1455</v>
      </c>
      <c r="G153" s="2432" t="s">
        <v>1508</v>
      </c>
      <c r="H153" s="2432" t="s">
        <v>1507</v>
      </c>
      <c r="I153" s="2432" t="s">
        <v>1506</v>
      </c>
      <c r="J153" s="2432" t="s">
        <v>1505</v>
      </c>
      <c r="K153" s="2432" t="s">
        <v>1504</v>
      </c>
      <c r="L153" s="25" t="s">
        <v>1503</v>
      </c>
    </row>
    <row r="154" spans="1:12" customFormat="1" x14ac:dyDescent="0.2">
      <c r="A154" s="2405" t="s">
        <v>1470</v>
      </c>
      <c r="B154" s="2405"/>
      <c r="C154" s="25"/>
      <c r="D154" s="25"/>
      <c r="E154" s="25"/>
      <c r="F154" s="25"/>
      <c r="G154" s="2405" t="s">
        <v>1492</v>
      </c>
      <c r="H154" s="2405" t="s">
        <v>42</v>
      </c>
      <c r="I154" s="2405" t="s">
        <v>1502</v>
      </c>
      <c r="J154" s="2405" t="s">
        <v>1501</v>
      </c>
      <c r="K154" s="2431" t="s">
        <v>1500</v>
      </c>
      <c r="L154" s="25"/>
    </row>
    <row r="155" spans="1:12" customFormat="1" x14ac:dyDescent="0.2">
      <c r="A155" s="2405">
        <f>'Mão-de-obra'!C11</f>
        <v>8</v>
      </c>
      <c r="B155" s="2405"/>
      <c r="C155" s="25"/>
      <c r="D155" s="25"/>
      <c r="E155" s="25">
        <f t="shared" ref="E155:E173" si="17">IF(F155=22,$E$1,0)</f>
        <v>58</v>
      </c>
      <c r="F155" s="25">
        <f t="shared" ref="F155:F173" si="18">IF(G155=0,0,22)</f>
        <v>22</v>
      </c>
      <c r="G155" s="2405">
        <f>VLOOKUP(A155,Listas!$D$151:$F$162,3,)</f>
        <v>30</v>
      </c>
      <c r="H155" s="2405">
        <f t="shared" ref="H155:H173" si="19">IF(A155=1,0,IF(A155=12,9,26))</f>
        <v>26</v>
      </c>
      <c r="I155" s="2405">
        <f>'Mão-de-obra'!E11</f>
        <v>2</v>
      </c>
      <c r="J155" s="2405">
        <f>IF(A155=12,1,'Mão-de-obra'!D11)</f>
        <v>1</v>
      </c>
      <c r="K155" s="25">
        <f>IF(A155=12,'Mão-de-obra'!D11,1)</f>
        <v>1</v>
      </c>
      <c r="L155" s="25"/>
    </row>
    <row r="156" spans="1:12" customFormat="1" x14ac:dyDescent="0.2">
      <c r="A156" s="2405">
        <f>'Mão-de-obra'!C12</f>
        <v>12</v>
      </c>
      <c r="B156" s="2405"/>
      <c r="C156" s="25"/>
      <c r="D156" s="25"/>
      <c r="E156" s="25">
        <f t="shared" si="17"/>
        <v>58</v>
      </c>
      <c r="F156" s="25">
        <f t="shared" si="18"/>
        <v>22</v>
      </c>
      <c r="G156" s="2405">
        <f>VLOOKUP(A156,Listas!$D$151:$F$162,3,)</f>
        <v>6</v>
      </c>
      <c r="H156" s="2405">
        <f t="shared" si="19"/>
        <v>9</v>
      </c>
      <c r="I156" s="2405">
        <f>'Mão-de-obra'!E12</f>
        <v>80</v>
      </c>
      <c r="J156" s="2405">
        <f>IF(A156=12,1,'Mão-de-obra'!D12)</f>
        <v>1</v>
      </c>
      <c r="K156" s="25">
        <f>IF(A156=12,'Mão-de-obra'!D12,1)</f>
        <v>84</v>
      </c>
      <c r="L156" s="25"/>
    </row>
    <row r="157" spans="1:12" customFormat="1" x14ac:dyDescent="0.2">
      <c r="A157" s="2405">
        <f>'Mão-de-obra'!C13</f>
        <v>1</v>
      </c>
      <c r="B157" s="2405"/>
      <c r="C157" s="25"/>
      <c r="D157" s="25"/>
      <c r="E157" s="25">
        <f t="shared" si="17"/>
        <v>0</v>
      </c>
      <c r="F157" s="25">
        <f t="shared" si="18"/>
        <v>0</v>
      </c>
      <c r="G157" s="2405">
        <f>VLOOKUP(A157,Listas!$D$151:$F$162,3,)</f>
        <v>0</v>
      </c>
      <c r="H157" s="2405">
        <f t="shared" si="19"/>
        <v>0</v>
      </c>
      <c r="I157" s="2405">
        <f>'Mão-de-obra'!E13</f>
        <v>0</v>
      </c>
      <c r="J157" s="2405">
        <f>IF(A157=12,1,'Mão-de-obra'!D13)</f>
        <v>0</v>
      </c>
      <c r="K157" s="25">
        <f>IF(A157=12,'Mão-de-obra'!D13,1)</f>
        <v>1</v>
      </c>
      <c r="L157" s="25"/>
    </row>
    <row r="158" spans="1:12" customFormat="1" x14ac:dyDescent="0.2">
      <c r="A158" s="2405">
        <f>'Mão-de-obra'!C14</f>
        <v>1</v>
      </c>
      <c r="B158" s="2405"/>
      <c r="C158" s="25"/>
      <c r="D158" s="25"/>
      <c r="E158" s="25">
        <f t="shared" si="17"/>
        <v>0</v>
      </c>
      <c r="F158" s="25">
        <f t="shared" si="18"/>
        <v>0</v>
      </c>
      <c r="G158" s="2405">
        <f>VLOOKUP(A158,Listas!$D$151:$F$162,3,)</f>
        <v>0</v>
      </c>
      <c r="H158" s="2405">
        <f t="shared" si="19"/>
        <v>0</v>
      </c>
      <c r="I158" s="2405">
        <f>'Mão-de-obra'!E14</f>
        <v>0</v>
      </c>
      <c r="J158" s="2405">
        <f>IF(A158=12,1,'Mão-de-obra'!D14)</f>
        <v>0</v>
      </c>
      <c r="K158" s="25">
        <f>IF(A158=12,'Mão-de-obra'!D14,1)</f>
        <v>1</v>
      </c>
      <c r="L158" s="25"/>
    </row>
    <row r="159" spans="1:12" customFormat="1" x14ac:dyDescent="0.2">
      <c r="A159" s="2405">
        <f>'Mão-de-obra'!C15</f>
        <v>1</v>
      </c>
      <c r="B159" s="2405"/>
      <c r="C159" s="25"/>
      <c r="D159" s="25"/>
      <c r="E159" s="25">
        <f t="shared" si="17"/>
        <v>0</v>
      </c>
      <c r="F159" s="25">
        <f t="shared" si="18"/>
        <v>0</v>
      </c>
      <c r="G159" s="2405">
        <f>VLOOKUP(A159,Listas!$D$151:$F$162,3,)</f>
        <v>0</v>
      </c>
      <c r="H159" s="2405">
        <f t="shared" si="19"/>
        <v>0</v>
      </c>
      <c r="I159" s="2405">
        <f>'Mão-de-obra'!E15</f>
        <v>0</v>
      </c>
      <c r="J159" s="2405">
        <f>IF(A159=12,1,'Mão-de-obra'!D15)</f>
        <v>0</v>
      </c>
      <c r="K159" s="2405">
        <f>IF(A159=12,'Mão-de-obra'!D15,1)</f>
        <v>1</v>
      </c>
      <c r="L159" s="25"/>
    </row>
    <row r="160" spans="1:12" customFormat="1" x14ac:dyDescent="0.2">
      <c r="A160" s="2405">
        <f>'Mão-de-obra'!C16</f>
        <v>1</v>
      </c>
      <c r="B160" s="2405"/>
      <c r="C160" s="25"/>
      <c r="D160" s="25"/>
      <c r="E160" s="25">
        <f t="shared" si="17"/>
        <v>0</v>
      </c>
      <c r="F160" s="25">
        <f t="shared" si="18"/>
        <v>0</v>
      </c>
      <c r="G160" s="2405">
        <f>VLOOKUP(A160,Listas!$D$151:$F$162,3,)</f>
        <v>0</v>
      </c>
      <c r="H160" s="2405">
        <f t="shared" si="19"/>
        <v>0</v>
      </c>
      <c r="I160" s="2405">
        <f>'Mão-de-obra'!E16</f>
        <v>0</v>
      </c>
      <c r="J160" s="2405">
        <f>IF(A160=12,1,'Mão-de-obra'!D16)</f>
        <v>0</v>
      </c>
      <c r="K160" s="25">
        <f>IF(A160=12,'Mão-de-obra'!D16,1)</f>
        <v>1</v>
      </c>
      <c r="L160" s="25"/>
    </row>
    <row r="161" spans="1:14" customFormat="1" x14ac:dyDescent="0.2">
      <c r="A161" s="2405">
        <f>'Mão-de-obra'!C17</f>
        <v>1</v>
      </c>
      <c r="B161" s="2405"/>
      <c r="C161" s="25"/>
      <c r="D161" s="25"/>
      <c r="E161" s="25">
        <f t="shared" si="17"/>
        <v>0</v>
      </c>
      <c r="F161" s="25">
        <f t="shared" si="18"/>
        <v>0</v>
      </c>
      <c r="G161" s="2405">
        <f>VLOOKUP(A161,Listas!$D$151:$F$162,3,)</f>
        <v>0</v>
      </c>
      <c r="H161" s="2405">
        <f t="shared" si="19"/>
        <v>0</v>
      </c>
      <c r="I161" s="2405">
        <f>'Mão-de-obra'!E17</f>
        <v>0</v>
      </c>
      <c r="J161" s="2405">
        <f>IF(A161=12,1,'Mão-de-obra'!D17)</f>
        <v>0</v>
      </c>
      <c r="K161" s="25">
        <f>IF(A161=12,'Mão-de-obra'!D17,1)</f>
        <v>1</v>
      </c>
      <c r="L161" s="25"/>
      <c r="M161" s="25"/>
      <c r="N161" s="25"/>
    </row>
    <row r="162" spans="1:14" customFormat="1" x14ac:dyDescent="0.2">
      <c r="A162" s="2405">
        <f>'Mão-de-obra'!C18</f>
        <v>1</v>
      </c>
      <c r="B162" s="2405"/>
      <c r="C162" s="25"/>
      <c r="D162" s="25"/>
      <c r="E162" s="25">
        <f t="shared" si="17"/>
        <v>0</v>
      </c>
      <c r="F162" s="25">
        <f t="shared" si="18"/>
        <v>0</v>
      </c>
      <c r="G162" s="2405">
        <f>VLOOKUP(A162,Listas!$D$151:$F$162,3,)</f>
        <v>0</v>
      </c>
      <c r="H162" s="2405">
        <f t="shared" si="19"/>
        <v>0</v>
      </c>
      <c r="I162" s="2405">
        <f>'Mão-de-obra'!E18</f>
        <v>0</v>
      </c>
      <c r="J162" s="2405">
        <f>IF(A162=12,1,'Mão-de-obra'!D18)</f>
        <v>0</v>
      </c>
      <c r="K162" s="25">
        <f>IF(A162=12,'Mão-de-obra'!D18,1)</f>
        <v>1</v>
      </c>
      <c r="L162" s="25"/>
      <c r="M162" s="25"/>
      <c r="N162" s="25"/>
    </row>
    <row r="163" spans="1:14" customFormat="1" x14ac:dyDescent="0.2">
      <c r="A163" s="2405">
        <f>'Mão-de-obra'!C19</f>
        <v>1</v>
      </c>
      <c r="B163" s="2405"/>
      <c r="C163" s="25"/>
      <c r="D163" s="25"/>
      <c r="E163" s="25">
        <f t="shared" si="17"/>
        <v>0</v>
      </c>
      <c r="F163" s="25">
        <f t="shared" si="18"/>
        <v>0</v>
      </c>
      <c r="G163" s="2405">
        <f>VLOOKUP(A163,Listas!$D$151:$F$162,3,)</f>
        <v>0</v>
      </c>
      <c r="H163" s="2405">
        <f t="shared" si="19"/>
        <v>0</v>
      </c>
      <c r="I163" s="2405">
        <f>'Mão-de-obra'!E19</f>
        <v>0</v>
      </c>
      <c r="J163" s="2405">
        <f>IF(A163=12,1,'Mão-de-obra'!D19)</f>
        <v>0</v>
      </c>
      <c r="K163" s="25">
        <f>IF(A163=12,'Mão-de-obra'!D19,1)</f>
        <v>1</v>
      </c>
      <c r="L163" s="25"/>
      <c r="M163" s="25"/>
      <c r="N163" s="25"/>
    </row>
    <row r="164" spans="1:14" customFormat="1" x14ac:dyDescent="0.2">
      <c r="A164" s="2405">
        <f>'Mão-de-obra'!C20</f>
        <v>1</v>
      </c>
      <c r="B164" s="2405"/>
      <c r="C164" s="25"/>
      <c r="D164" s="25"/>
      <c r="E164" s="25">
        <f t="shared" si="17"/>
        <v>0</v>
      </c>
      <c r="F164" s="25">
        <f t="shared" si="18"/>
        <v>0</v>
      </c>
      <c r="G164" s="2405">
        <f>VLOOKUP(A164,Listas!$D$151:$F$162,3,)</f>
        <v>0</v>
      </c>
      <c r="H164" s="2405">
        <f t="shared" si="19"/>
        <v>0</v>
      </c>
      <c r="I164" s="2405">
        <f>'Mão-de-obra'!E20</f>
        <v>0</v>
      </c>
      <c r="J164" s="2405">
        <f>IF(A164=12,1,'Mão-de-obra'!D20)</f>
        <v>0</v>
      </c>
      <c r="K164" s="25">
        <f>IF(A164=12,'Mão-de-obra'!D20,1)</f>
        <v>1</v>
      </c>
      <c r="L164" s="25"/>
      <c r="M164" s="25"/>
      <c r="N164" s="25"/>
    </row>
    <row r="165" spans="1:14" customFormat="1" x14ac:dyDescent="0.2">
      <c r="A165" s="2405">
        <f>'Mão-de-obra'!C21</f>
        <v>1</v>
      </c>
      <c r="B165" s="2405"/>
      <c r="C165" s="25"/>
      <c r="D165" s="25"/>
      <c r="E165" s="25">
        <f t="shared" si="17"/>
        <v>0</v>
      </c>
      <c r="F165" s="25">
        <f t="shared" si="18"/>
        <v>0</v>
      </c>
      <c r="G165" s="2405">
        <f>VLOOKUP(A165,Listas!$D$151:$F$162,3,)</f>
        <v>0</v>
      </c>
      <c r="H165" s="2405">
        <f t="shared" si="19"/>
        <v>0</v>
      </c>
      <c r="I165" s="2405">
        <f>'Mão-de-obra'!E21</f>
        <v>0</v>
      </c>
      <c r="J165" s="2405">
        <f>IF(A165=12,1,'Mão-de-obra'!D21)</f>
        <v>0</v>
      </c>
      <c r="K165" s="25">
        <f>IF(A165=12,'Mão-de-obra'!D21,1)</f>
        <v>1</v>
      </c>
      <c r="L165" s="25"/>
      <c r="M165" s="25"/>
      <c r="N165" s="25"/>
    </row>
    <row r="166" spans="1:14" customFormat="1" x14ac:dyDescent="0.2">
      <c r="A166" s="2405">
        <f>'Mão-de-obra'!C22</f>
        <v>1</v>
      </c>
      <c r="B166" s="2405"/>
      <c r="C166" s="25"/>
      <c r="D166" s="25"/>
      <c r="E166" s="25">
        <f t="shared" si="17"/>
        <v>0</v>
      </c>
      <c r="F166" s="25">
        <f t="shared" si="18"/>
        <v>0</v>
      </c>
      <c r="G166" s="2405">
        <f>VLOOKUP(A166,Listas!$D$151:$F$162,3,)</f>
        <v>0</v>
      </c>
      <c r="H166" s="2405">
        <f t="shared" si="19"/>
        <v>0</v>
      </c>
      <c r="I166" s="2405">
        <f>'Mão-de-obra'!E22</f>
        <v>0</v>
      </c>
      <c r="J166" s="2405">
        <f>IF(A166=12,1,'Mão-de-obra'!D22)</f>
        <v>0</v>
      </c>
      <c r="K166" s="25">
        <f>IF(A166=12,'Mão-de-obra'!D22,1)</f>
        <v>1</v>
      </c>
      <c r="L166" s="25"/>
      <c r="M166" s="25"/>
      <c r="N166" s="25"/>
    </row>
    <row r="167" spans="1:14" customFormat="1" x14ac:dyDescent="0.2">
      <c r="A167" s="2405">
        <f>'Mão-de-obra'!C23</f>
        <v>1</v>
      </c>
      <c r="B167" s="2405"/>
      <c r="C167" s="25"/>
      <c r="D167" s="25"/>
      <c r="E167" s="25">
        <f t="shared" si="17"/>
        <v>0</v>
      </c>
      <c r="F167" s="25">
        <f t="shared" si="18"/>
        <v>0</v>
      </c>
      <c r="G167" s="2405">
        <f>VLOOKUP(A167,Listas!$D$151:$F$162,3,)</f>
        <v>0</v>
      </c>
      <c r="H167" s="2405">
        <f t="shared" si="19"/>
        <v>0</v>
      </c>
      <c r="I167" s="2405">
        <f>'Mão-de-obra'!E23</f>
        <v>0</v>
      </c>
      <c r="J167" s="2405">
        <f>IF(A167=12,1,'Mão-de-obra'!D23)</f>
        <v>0</v>
      </c>
      <c r="K167" s="25">
        <f>IF(A167=12,'Mão-de-obra'!D23,1)</f>
        <v>1</v>
      </c>
      <c r="L167" s="25"/>
      <c r="M167" s="25"/>
      <c r="N167" s="25"/>
    </row>
    <row r="168" spans="1:14" customFormat="1" x14ac:dyDescent="0.2">
      <c r="A168" s="2405">
        <f>'Mão-de-obra'!C24</f>
        <v>1</v>
      </c>
      <c r="B168" s="2405"/>
      <c r="C168" s="25"/>
      <c r="D168" s="25"/>
      <c r="E168" s="25">
        <f t="shared" si="17"/>
        <v>0</v>
      </c>
      <c r="F168" s="25">
        <f t="shared" si="18"/>
        <v>0</v>
      </c>
      <c r="G168" s="2405">
        <f>VLOOKUP(A168,Listas!$D$151:$F$162,3,)</f>
        <v>0</v>
      </c>
      <c r="H168" s="2405">
        <f t="shared" si="19"/>
        <v>0</v>
      </c>
      <c r="I168" s="2405">
        <f>'Mão-de-obra'!E24</f>
        <v>0</v>
      </c>
      <c r="J168" s="2405">
        <f>IF(A168=12,1,'Mão-de-obra'!D24)</f>
        <v>0</v>
      </c>
      <c r="K168" s="25">
        <f>IF(A168=12,'Mão-de-obra'!D24,1)</f>
        <v>1</v>
      </c>
      <c r="L168" s="25"/>
      <c r="M168" s="25"/>
      <c r="N168" s="25"/>
    </row>
    <row r="169" spans="1:14" customFormat="1" x14ac:dyDescent="0.2">
      <c r="A169" s="2405">
        <f>'Mão-de-obra'!C25</f>
        <v>1</v>
      </c>
      <c r="B169" s="2405"/>
      <c r="C169" s="25"/>
      <c r="D169" s="25"/>
      <c r="E169" s="25">
        <f t="shared" si="17"/>
        <v>0</v>
      </c>
      <c r="F169" s="25">
        <f t="shared" si="18"/>
        <v>0</v>
      </c>
      <c r="G169" s="2405">
        <f>VLOOKUP(A169,Listas!$D$151:$F$162,3,)</f>
        <v>0</v>
      </c>
      <c r="H169" s="2405">
        <f t="shared" si="19"/>
        <v>0</v>
      </c>
      <c r="I169" s="2405">
        <f>'Mão-de-obra'!E25</f>
        <v>0</v>
      </c>
      <c r="J169" s="2405">
        <f>IF(A169=12,1,'Mão-de-obra'!D25)</f>
        <v>0</v>
      </c>
      <c r="K169" s="25">
        <f>IF(A169=12,'Mão-de-obra'!D25,1)</f>
        <v>1</v>
      </c>
      <c r="L169" s="25"/>
      <c r="M169" s="25"/>
      <c r="N169" s="25"/>
    </row>
    <row r="170" spans="1:14" customFormat="1" x14ac:dyDescent="0.2">
      <c r="A170" s="2405">
        <f>'Mão-de-obra'!C26</f>
        <v>1</v>
      </c>
      <c r="B170" s="2405"/>
      <c r="C170" s="25"/>
      <c r="D170" s="25"/>
      <c r="E170" s="25">
        <f t="shared" si="17"/>
        <v>0</v>
      </c>
      <c r="F170" s="25">
        <f t="shared" si="18"/>
        <v>0</v>
      </c>
      <c r="G170" s="2405">
        <f>VLOOKUP(A170,Listas!$D$151:$F$162,3,)</f>
        <v>0</v>
      </c>
      <c r="H170" s="2405">
        <f t="shared" si="19"/>
        <v>0</v>
      </c>
      <c r="I170" s="2405">
        <f>'Mão-de-obra'!E26</f>
        <v>0</v>
      </c>
      <c r="J170" s="2405">
        <f>IF(A170=12,1,'Mão-de-obra'!D26)</f>
        <v>0</v>
      </c>
      <c r="K170" s="25">
        <f>IF(A170=12,'Mão-de-obra'!D26,1)</f>
        <v>1</v>
      </c>
      <c r="L170" s="25"/>
      <c r="M170" s="25"/>
      <c r="N170" s="25"/>
    </row>
    <row r="171" spans="1:14" customFormat="1" x14ac:dyDescent="0.2">
      <c r="A171" s="2405">
        <f>'Mão-de-obra'!C27</f>
        <v>1</v>
      </c>
      <c r="B171" s="2405"/>
      <c r="C171" s="25"/>
      <c r="D171" s="25"/>
      <c r="E171" s="25">
        <f t="shared" si="17"/>
        <v>0</v>
      </c>
      <c r="F171" s="25">
        <f t="shared" si="18"/>
        <v>0</v>
      </c>
      <c r="G171" s="2405">
        <f>VLOOKUP(A171,Listas!$D$151:$F$162,3,)</f>
        <v>0</v>
      </c>
      <c r="H171" s="2405">
        <f t="shared" si="19"/>
        <v>0</v>
      </c>
      <c r="I171" s="2405">
        <f>'Mão-de-obra'!E27</f>
        <v>0</v>
      </c>
      <c r="J171" s="2405">
        <f>IF(A171=12,1,'Mão-de-obra'!D27)</f>
        <v>0</v>
      </c>
      <c r="K171" s="25">
        <f>IF(A171=12,'Mão-de-obra'!D27,1)</f>
        <v>1</v>
      </c>
      <c r="L171" s="25"/>
      <c r="M171" s="25"/>
      <c r="N171" s="25"/>
    </row>
    <row r="172" spans="1:14" customFormat="1" x14ac:dyDescent="0.2">
      <c r="A172" s="2405">
        <f>'Mão-de-obra'!C28</f>
        <v>1</v>
      </c>
      <c r="B172" s="2405"/>
      <c r="C172" s="25"/>
      <c r="D172" s="25"/>
      <c r="E172" s="25">
        <f t="shared" si="17"/>
        <v>0</v>
      </c>
      <c r="F172" s="25">
        <f t="shared" si="18"/>
        <v>0</v>
      </c>
      <c r="G172" s="2405">
        <f>VLOOKUP(A172,Listas!$D$151:$F$162,3,)</f>
        <v>0</v>
      </c>
      <c r="H172" s="2405">
        <f t="shared" si="19"/>
        <v>0</v>
      </c>
      <c r="I172" s="2405">
        <f>'Mão-de-obra'!E28</f>
        <v>0</v>
      </c>
      <c r="J172" s="2405">
        <f>IF(A172=12,1,'Mão-de-obra'!D28)</f>
        <v>0</v>
      </c>
      <c r="K172" s="25">
        <f>IF(A172=12,'Mão-de-obra'!D28,1)</f>
        <v>1</v>
      </c>
      <c r="L172" s="25"/>
      <c r="M172" s="25"/>
      <c r="N172" s="25"/>
    </row>
    <row r="173" spans="1:14" customFormat="1" x14ac:dyDescent="0.2">
      <c r="A173" s="2405">
        <f>'Mão-de-obra'!C29</f>
        <v>1</v>
      </c>
      <c r="B173" s="2405"/>
      <c r="C173" s="25"/>
      <c r="D173" s="25"/>
      <c r="E173" s="25">
        <f t="shared" si="17"/>
        <v>0</v>
      </c>
      <c r="F173" s="25">
        <f t="shared" si="18"/>
        <v>0</v>
      </c>
      <c r="G173" s="2405">
        <f>VLOOKUP(A173,Listas!$D$151:$F$162,3,)</f>
        <v>0</v>
      </c>
      <c r="H173" s="2405">
        <f t="shared" si="19"/>
        <v>0</v>
      </c>
      <c r="I173" s="2405">
        <f>'Mão-de-obra'!E29</f>
        <v>0</v>
      </c>
      <c r="J173" s="2405">
        <f>IF(A173=12,1,'Mão-de-obra'!D29)</f>
        <v>0</v>
      </c>
      <c r="K173" s="25">
        <f>IF(A173=12,'Mão-de-obra'!D29,1)</f>
        <v>1</v>
      </c>
      <c r="L173" s="25"/>
      <c r="M173" s="25"/>
      <c r="N173" s="25"/>
    </row>
    <row r="174" spans="1:14" customFormat="1" x14ac:dyDescent="0.2">
      <c r="A174" s="25"/>
      <c r="B174" s="25"/>
      <c r="C174" s="2405"/>
      <c r="D174" s="2405"/>
      <c r="E174" s="2405"/>
      <c r="F174" s="2405"/>
      <c r="G174" s="2405"/>
      <c r="H174" s="2405"/>
      <c r="I174" s="25"/>
      <c r="J174" s="25"/>
      <c r="K174" s="25"/>
      <c r="L174" s="25"/>
      <c r="M174" s="25"/>
      <c r="N174" s="25"/>
    </row>
    <row r="175" spans="1:14" customFormat="1" x14ac:dyDescent="0.2">
      <c r="A175" s="25"/>
      <c r="B175" s="25"/>
      <c r="C175" s="25"/>
      <c r="D175" s="2430" t="s">
        <v>1474</v>
      </c>
      <c r="E175" s="2430" t="s">
        <v>1454</v>
      </c>
      <c r="F175" s="2430" t="s">
        <v>1455</v>
      </c>
      <c r="G175" s="2430" t="s">
        <v>1499</v>
      </c>
      <c r="H175" s="2430" t="s">
        <v>1498</v>
      </c>
      <c r="I175" s="2430" t="s">
        <v>1497</v>
      </c>
      <c r="J175" s="2430" t="s">
        <v>1496</v>
      </c>
      <c r="K175" s="2430" t="s">
        <v>1495</v>
      </c>
      <c r="L175" s="2429" t="s">
        <v>1035</v>
      </c>
      <c r="M175" s="2428" t="s">
        <v>1494</v>
      </c>
      <c r="N175" s="25" t="s">
        <v>1493</v>
      </c>
    </row>
    <row r="176" spans="1:14" customFormat="1" x14ac:dyDescent="0.2">
      <c r="A176" s="2405" t="s">
        <v>1470</v>
      </c>
      <c r="B176" s="2405" t="s">
        <v>1795</v>
      </c>
      <c r="C176" s="2405" t="s">
        <v>1796</v>
      </c>
      <c r="D176" s="2405"/>
      <c r="E176" s="2405"/>
      <c r="F176" s="2405"/>
      <c r="G176" s="2405" t="s">
        <v>1492</v>
      </c>
      <c r="H176" s="2405"/>
      <c r="I176" s="25" t="s">
        <v>967</v>
      </c>
      <c r="J176" s="25" t="s">
        <v>371</v>
      </c>
      <c r="K176" s="25" t="s">
        <v>372</v>
      </c>
      <c r="L176" s="25" t="s">
        <v>1491</v>
      </c>
      <c r="M176" s="25" t="s">
        <v>877</v>
      </c>
      <c r="N176" s="25"/>
    </row>
    <row r="177" spans="1:13" customFormat="1" x14ac:dyDescent="0.2">
      <c r="A177" s="25">
        <f>Rebanho!B26</f>
        <v>2</v>
      </c>
      <c r="B177" s="25">
        <v>1</v>
      </c>
      <c r="C177" s="25" t="str">
        <f>IF(F177=22,B177&amp;" "&amp;E177,"")</f>
        <v>1 58</v>
      </c>
      <c r="D177" s="2423"/>
      <c r="E177" s="25">
        <f t="shared" ref="E177:E195" si="20">IF(F177=22,$E$1,0)</f>
        <v>58</v>
      </c>
      <c r="F177" s="25">
        <f t="shared" ref="F177:F195" si="21">IF(G177=0,0,22)</f>
        <v>22</v>
      </c>
      <c r="G177" s="2405">
        <f>IF(Rebanho!E26=0,0,VLOOKUP(A177,Listas!$D$165:$F$183,3,))</f>
        <v>1</v>
      </c>
      <c r="H177" s="2405">
        <v>0</v>
      </c>
      <c r="I177" s="2405">
        <f>Rebanho!E26</f>
        <v>8</v>
      </c>
      <c r="J177" s="25">
        <f>Rebanho!F26</f>
        <v>27</v>
      </c>
      <c r="K177" s="25">
        <f>Rebanho!G26</f>
        <v>180</v>
      </c>
      <c r="L177" s="2412">
        <f>Rebanho!G49</f>
        <v>396.75</v>
      </c>
      <c r="M177" s="25">
        <f>ROUND(Rebanho!Z48,0)</f>
        <v>0</v>
      </c>
    </row>
    <row r="178" spans="1:13" customFormat="1" x14ac:dyDescent="0.2">
      <c r="A178" s="25">
        <f>Rebanho!B27</f>
        <v>3</v>
      </c>
      <c r="B178" s="25">
        <v>2</v>
      </c>
      <c r="C178" s="25" t="str">
        <f t="shared" ref="C178:C195" si="22">IF(F178=22,B178&amp;" "&amp;E178,"")</f>
        <v>2 58</v>
      </c>
      <c r="D178" s="2423"/>
      <c r="E178" s="25">
        <f t="shared" si="20"/>
        <v>58</v>
      </c>
      <c r="F178" s="25">
        <f t="shared" si="21"/>
        <v>22</v>
      </c>
      <c r="G178" s="2405">
        <f>IF(Rebanho!E27=0,0,VLOOKUP(A178,Listas!$D$165:$F$183,3,))</f>
        <v>16</v>
      </c>
      <c r="H178" s="2405">
        <f>I177</f>
        <v>8</v>
      </c>
      <c r="I178" s="2405">
        <f>H178+Rebanho!E27</f>
        <v>13</v>
      </c>
      <c r="J178" s="25">
        <f>Rebanho!F27</f>
        <v>180</v>
      </c>
      <c r="K178" s="25">
        <f>Rebanho!G27</f>
        <v>250</v>
      </c>
      <c r="L178" s="2412">
        <f>Rebanho!G50</f>
        <v>824.16666666666663</v>
      </c>
      <c r="M178" s="25">
        <f>ROUND(Rebanho!Z49,0)</f>
        <v>331</v>
      </c>
    </row>
    <row r="179" spans="1:13" customFormat="1" x14ac:dyDescent="0.2">
      <c r="A179" s="25">
        <f>Rebanho!B28</f>
        <v>4</v>
      </c>
      <c r="B179" s="25">
        <v>3</v>
      </c>
      <c r="C179" s="25" t="str">
        <f t="shared" si="22"/>
        <v>3 58</v>
      </c>
      <c r="D179" s="2423"/>
      <c r="E179" s="25">
        <f t="shared" si="20"/>
        <v>58</v>
      </c>
      <c r="F179" s="25">
        <f t="shared" si="21"/>
        <v>22</v>
      </c>
      <c r="G179" s="2405">
        <f>IF(Rebanho!E28=0,0,VLOOKUP(A179,Listas!$D$165:$F$183,3,))</f>
        <v>3</v>
      </c>
      <c r="H179" s="2405">
        <f>I178</f>
        <v>13</v>
      </c>
      <c r="I179" s="2405">
        <f>H179+Rebanho!E28</f>
        <v>21</v>
      </c>
      <c r="J179" s="25">
        <f>Rebanho!F28</f>
        <v>250</v>
      </c>
      <c r="K179" s="25">
        <f>Rebanho!G28</f>
        <v>370</v>
      </c>
      <c r="L179" s="2412">
        <f>Rebanho!G51</f>
        <v>1188.3333333333333</v>
      </c>
      <c r="M179" s="25">
        <f>ROUND(Rebanho!Z50,0)</f>
        <v>522</v>
      </c>
    </row>
    <row r="180" spans="1:13" customFormat="1" x14ac:dyDescent="0.2">
      <c r="A180" s="25">
        <f>Rebanho!B29</f>
        <v>5</v>
      </c>
      <c r="B180" s="25">
        <v>4</v>
      </c>
      <c r="C180" s="25" t="str">
        <f t="shared" si="22"/>
        <v>4 58</v>
      </c>
      <c r="D180" s="2423"/>
      <c r="E180" s="25">
        <f t="shared" si="20"/>
        <v>58</v>
      </c>
      <c r="F180" s="25">
        <f t="shared" si="21"/>
        <v>22</v>
      </c>
      <c r="G180" s="2405">
        <f>IF(Rebanho!E29=0,0,VLOOKUP(A180,Listas!$D$165:$F$183,3,))</f>
        <v>5</v>
      </c>
      <c r="H180" s="2405">
        <f>I179</f>
        <v>21</v>
      </c>
      <c r="I180" s="2405">
        <f>H180+Rebanho!E29</f>
        <v>29</v>
      </c>
      <c r="J180" s="25">
        <f>Rebanho!F29</f>
        <v>370</v>
      </c>
      <c r="K180" s="25">
        <f>Rebanho!G29</f>
        <v>477</v>
      </c>
      <c r="L180" s="2412">
        <f>Rebanho!G52</f>
        <v>1623.4166666666667</v>
      </c>
      <c r="M180" s="25">
        <f>ROUND(Rebanho!Z51,0)</f>
        <v>515</v>
      </c>
    </row>
    <row r="181" spans="1:13" customFormat="1" x14ac:dyDescent="0.2">
      <c r="A181" s="25">
        <f>Rebanho!B30</f>
        <v>6</v>
      </c>
      <c r="B181" s="25">
        <v>5</v>
      </c>
      <c r="C181" s="25" t="str">
        <f t="shared" si="22"/>
        <v>5 58</v>
      </c>
      <c r="D181" s="2423"/>
      <c r="E181" s="25">
        <f t="shared" si="20"/>
        <v>58</v>
      </c>
      <c r="F181" s="25">
        <f t="shared" si="21"/>
        <v>22</v>
      </c>
      <c r="G181" s="2405">
        <f>IF(Rebanho!E30=0,0,VLOOKUP(A181,Listas!$D$165:$F$183,3,))</f>
        <v>6</v>
      </c>
      <c r="H181" s="2405">
        <f>I180</f>
        <v>29</v>
      </c>
      <c r="I181" s="2405">
        <f>H181+Rebanho!E30</f>
        <v>32</v>
      </c>
      <c r="J181" s="25">
        <f>Rebanho!F30</f>
        <v>477</v>
      </c>
      <c r="K181" s="25">
        <f>Rebanho!G30</f>
        <v>570</v>
      </c>
      <c r="L181" s="2412">
        <f>Rebanho!G53</f>
        <v>115</v>
      </c>
      <c r="M181" s="25">
        <f>ROUND(Rebanho!Z52,0)</f>
        <v>192</v>
      </c>
    </row>
    <row r="182" spans="1:13" customFormat="1" x14ac:dyDescent="0.2">
      <c r="A182" s="25">
        <f>Rebanho!B31</f>
        <v>7</v>
      </c>
      <c r="B182" s="25">
        <v>6</v>
      </c>
      <c r="C182" s="25" t="str">
        <f t="shared" si="22"/>
        <v/>
      </c>
      <c r="D182" s="2423"/>
      <c r="E182" s="25">
        <f t="shared" si="20"/>
        <v>0</v>
      </c>
      <c r="F182" s="25">
        <f t="shared" si="21"/>
        <v>0</v>
      </c>
      <c r="G182" s="2405">
        <f>IF(Rebanho!E31=0,0,VLOOKUP(A182,Listas!$D$165:$F$183,3,))</f>
        <v>0</v>
      </c>
      <c r="H182" s="2405">
        <v>0</v>
      </c>
      <c r="I182" s="2405">
        <f>Rebanho!E31</f>
        <v>0</v>
      </c>
      <c r="J182" s="25">
        <f>Rebanho!F31</f>
        <v>0</v>
      </c>
      <c r="K182" s="25">
        <f>Rebanho!G31</f>
        <v>0</v>
      </c>
      <c r="L182" s="2412">
        <f>Rebanho!G54</f>
        <v>0</v>
      </c>
      <c r="M182" s="25">
        <f>ROUND(Rebanho!Z53,0)</f>
        <v>0</v>
      </c>
    </row>
    <row r="183" spans="1:13" customFormat="1" x14ac:dyDescent="0.2">
      <c r="A183" s="25">
        <f>Rebanho!B32</f>
        <v>8</v>
      </c>
      <c r="B183" s="25">
        <v>7</v>
      </c>
      <c r="C183" s="25" t="str">
        <f t="shared" si="22"/>
        <v/>
      </c>
      <c r="D183" s="2423"/>
      <c r="E183" s="25">
        <f t="shared" si="20"/>
        <v>0</v>
      </c>
      <c r="F183" s="25">
        <f t="shared" si="21"/>
        <v>0</v>
      </c>
      <c r="G183" s="2405">
        <f>IF(Rebanho!E32=0,0,VLOOKUP(A183,Listas!$D$165:$F$183,3,))</f>
        <v>0</v>
      </c>
      <c r="H183" s="2426">
        <v>0</v>
      </c>
      <c r="I183" s="2426">
        <f>Rebanho!E32</f>
        <v>0</v>
      </c>
      <c r="J183" s="25">
        <f>Rebanho!F32</f>
        <v>0</v>
      </c>
      <c r="K183" s="25">
        <f>Rebanho!G32</f>
        <v>0</v>
      </c>
      <c r="L183" s="2412">
        <f>Rebanho!G55</f>
        <v>0</v>
      </c>
      <c r="M183" s="25">
        <f>ROUND(Rebanho!Z54,0)</f>
        <v>0</v>
      </c>
    </row>
    <row r="184" spans="1:13" customFormat="1" x14ac:dyDescent="0.2">
      <c r="A184" s="25">
        <f>Rebanho!B33</f>
        <v>9</v>
      </c>
      <c r="B184" s="25">
        <v>8</v>
      </c>
      <c r="C184" s="25" t="str">
        <f t="shared" si="22"/>
        <v/>
      </c>
      <c r="D184" s="2423"/>
      <c r="E184" s="25">
        <f t="shared" si="20"/>
        <v>0</v>
      </c>
      <c r="F184" s="25">
        <f t="shared" si="21"/>
        <v>0</v>
      </c>
      <c r="G184" s="2405">
        <f>IF(Rebanho!E33=0,0,VLOOKUP(A184,Listas!$D$165:$F$183,3,))</f>
        <v>0</v>
      </c>
      <c r="H184" s="2426">
        <f>I183</f>
        <v>0</v>
      </c>
      <c r="I184" s="2426">
        <f>ROUND(H184+Rebanho!E33,0)</f>
        <v>0</v>
      </c>
      <c r="J184" s="25">
        <f>Rebanho!F33</f>
        <v>0</v>
      </c>
      <c r="K184" s="25">
        <f>Rebanho!G33</f>
        <v>0</v>
      </c>
      <c r="L184" s="2412">
        <f>Rebanho!G56</f>
        <v>0</v>
      </c>
      <c r="M184" s="25">
        <f>ROUND(Rebanho!Z55,0)</f>
        <v>0</v>
      </c>
    </row>
    <row r="185" spans="1:13" customFormat="1" x14ac:dyDescent="0.2">
      <c r="A185" s="25">
        <f>Rebanho!B34</f>
        <v>10</v>
      </c>
      <c r="B185" s="25">
        <v>9</v>
      </c>
      <c r="C185" s="25" t="str">
        <f t="shared" si="22"/>
        <v>9 58</v>
      </c>
      <c r="D185" s="2423"/>
      <c r="E185" s="25">
        <f t="shared" si="20"/>
        <v>58</v>
      </c>
      <c r="F185" s="25">
        <f t="shared" si="21"/>
        <v>22</v>
      </c>
      <c r="G185" s="2405">
        <f>IF(Rebanho!E34=0,0,VLOOKUP(A185,Listas!$D$165:$F$183,3,))</f>
        <v>14</v>
      </c>
      <c r="H185" s="2426">
        <f>I184</f>
        <v>0</v>
      </c>
      <c r="I185" s="2426">
        <f>ROUND(H185+Rebanho!E34,0)</f>
        <v>27</v>
      </c>
      <c r="J185" s="25">
        <f>Rebanho!F34</f>
        <v>0</v>
      </c>
      <c r="K185" s="25">
        <f>Rebanho!G34</f>
        <v>0</v>
      </c>
      <c r="L185" s="2412">
        <f>Rebanho!G57</f>
        <v>0</v>
      </c>
      <c r="M185" s="25">
        <f>ROUND(Rebanho!Z56,0)</f>
        <v>0</v>
      </c>
    </row>
    <row r="186" spans="1:13" customFormat="1" x14ac:dyDescent="0.2">
      <c r="A186" s="25">
        <f>Rebanho!B35</f>
        <v>11</v>
      </c>
      <c r="B186" s="25">
        <v>10</v>
      </c>
      <c r="C186" s="25" t="str">
        <f t="shared" si="22"/>
        <v>10 58</v>
      </c>
      <c r="D186" s="2423"/>
      <c r="E186" s="25">
        <f t="shared" si="20"/>
        <v>58</v>
      </c>
      <c r="F186" s="25">
        <f t="shared" si="21"/>
        <v>22</v>
      </c>
      <c r="G186" s="2405">
        <f>IF(Rebanho!E35=0,0,VLOOKUP(A186,Listas!$D$165:$F$183,3,))</f>
        <v>17</v>
      </c>
      <c r="H186" s="2426">
        <f>I185</f>
        <v>27</v>
      </c>
      <c r="I186" s="2426">
        <f>ROUND(H186+Rebanho!E35,0)</f>
        <v>37</v>
      </c>
      <c r="J186" s="25">
        <f>Rebanho!F35</f>
        <v>0</v>
      </c>
      <c r="K186" s="25">
        <f>Rebanho!G35</f>
        <v>0</v>
      </c>
      <c r="L186" s="2412">
        <f>Rebanho!G58</f>
        <v>0</v>
      </c>
      <c r="M186" s="25">
        <f>ROUND(Rebanho!Z57,0)</f>
        <v>0</v>
      </c>
    </row>
    <row r="187" spans="1:13" customFormat="1" x14ac:dyDescent="0.2">
      <c r="A187" s="25">
        <f>Rebanho!B36</f>
        <v>12</v>
      </c>
      <c r="B187" s="25">
        <v>11</v>
      </c>
      <c r="C187" s="25" t="str">
        <f t="shared" si="22"/>
        <v/>
      </c>
      <c r="D187" s="2423"/>
      <c r="E187" s="25">
        <f t="shared" si="20"/>
        <v>0</v>
      </c>
      <c r="F187" s="25">
        <f t="shared" si="21"/>
        <v>0</v>
      </c>
      <c r="G187" s="2405">
        <f>IF(Rebanho!E36=0,0,VLOOKUP(A187,Listas!$D$165:$F$183,3,))</f>
        <v>0</v>
      </c>
      <c r="H187" s="2426">
        <f>I186</f>
        <v>37</v>
      </c>
      <c r="I187" s="2426">
        <f>ROUND(H187+Rebanho!E36,0)</f>
        <v>37</v>
      </c>
      <c r="J187" s="25">
        <f>Rebanho!F36</f>
        <v>0</v>
      </c>
      <c r="K187" s="25">
        <f>Rebanho!G36</f>
        <v>0</v>
      </c>
      <c r="L187" s="2412">
        <f>Rebanho!G59</f>
        <v>0</v>
      </c>
      <c r="M187" s="25">
        <f>ROUND(Rebanho!Z58,0)</f>
        <v>0</v>
      </c>
    </row>
    <row r="188" spans="1:13" customFormat="1" x14ac:dyDescent="0.2">
      <c r="A188" s="25">
        <f>Rebanho!B37</f>
        <v>13</v>
      </c>
      <c r="B188" s="25">
        <v>12</v>
      </c>
      <c r="C188" s="25" t="str">
        <f t="shared" si="22"/>
        <v/>
      </c>
      <c r="D188" s="2423"/>
      <c r="E188" s="25">
        <f t="shared" si="20"/>
        <v>0</v>
      </c>
      <c r="F188" s="25">
        <f t="shared" si="21"/>
        <v>0</v>
      </c>
      <c r="G188" s="2405">
        <f>IF(Rebanho!E37=0,0,VLOOKUP(A188,Listas!$D$165:$F$183,3,))</f>
        <v>0</v>
      </c>
      <c r="H188" s="2426">
        <f>I187</f>
        <v>37</v>
      </c>
      <c r="I188" s="2426">
        <f>ROUND(H188+Rebanho!E37,0)</f>
        <v>37</v>
      </c>
      <c r="J188" s="25">
        <f>Rebanho!F37</f>
        <v>0</v>
      </c>
      <c r="K188" s="25">
        <f>Rebanho!G37</f>
        <v>0</v>
      </c>
      <c r="L188" s="2412">
        <f>Rebanho!G60</f>
        <v>0</v>
      </c>
      <c r="M188" s="25">
        <f>ROUND(Rebanho!Z59,0)</f>
        <v>0</v>
      </c>
    </row>
    <row r="189" spans="1:13" customFormat="1" ht="13.5" customHeight="1" x14ac:dyDescent="0.2">
      <c r="A189" s="25">
        <f>Rebanho!B38</f>
        <v>14</v>
      </c>
      <c r="B189" s="25">
        <v>13</v>
      </c>
      <c r="C189" s="25" t="str">
        <f t="shared" si="22"/>
        <v/>
      </c>
      <c r="D189" s="2423"/>
      <c r="E189" s="25">
        <f t="shared" si="20"/>
        <v>0</v>
      </c>
      <c r="F189" s="25">
        <f t="shared" si="21"/>
        <v>0</v>
      </c>
      <c r="G189" s="2405">
        <f>IF(Rebanho!E38=0,0,VLOOKUP(A189,Listas!$D$165:$F$183,3,))</f>
        <v>0</v>
      </c>
      <c r="H189" s="2426">
        <f>H188</f>
        <v>37</v>
      </c>
      <c r="I189" s="2426">
        <f>ROUND(H189+Rebanho!E38,0)</f>
        <v>37</v>
      </c>
      <c r="J189" s="25">
        <f>Rebanho!F38</f>
        <v>0</v>
      </c>
      <c r="K189" s="25">
        <f>Rebanho!G38</f>
        <v>0</v>
      </c>
      <c r="L189" s="2412">
        <f>Rebanho!G61</f>
        <v>0</v>
      </c>
      <c r="M189" s="25">
        <f>ROUND(Rebanho!Z60,0)</f>
        <v>0</v>
      </c>
    </row>
    <row r="190" spans="1:13" customFormat="1" ht="12.75" customHeight="1" x14ac:dyDescent="0.2">
      <c r="A190" s="25">
        <f>Rebanho!B39</f>
        <v>15</v>
      </c>
      <c r="B190" s="25">
        <v>14</v>
      </c>
      <c r="C190" s="25" t="str">
        <f t="shared" si="22"/>
        <v/>
      </c>
      <c r="D190" s="2423"/>
      <c r="E190" s="25">
        <f t="shared" si="20"/>
        <v>0</v>
      </c>
      <c r="F190" s="25">
        <f t="shared" si="21"/>
        <v>0</v>
      </c>
      <c r="G190" s="2405">
        <f>IF(Rebanho!E39=0,0,VLOOKUP(A190,Listas!$D$165:$F$183,3,))</f>
        <v>0</v>
      </c>
      <c r="H190" s="2405">
        <v>0</v>
      </c>
      <c r="I190" s="2405">
        <f>Rebanho!E39</f>
        <v>0</v>
      </c>
      <c r="J190" s="25">
        <f>Rebanho!F39</f>
        <v>0</v>
      </c>
      <c r="K190" s="25">
        <f>Rebanho!G39</f>
        <v>0</v>
      </c>
      <c r="L190" s="2412">
        <f>Rebanho!G62</f>
        <v>0</v>
      </c>
      <c r="M190" s="25">
        <f>ROUND(Rebanho!Z61,0)</f>
        <v>0</v>
      </c>
    </row>
    <row r="191" spans="1:13" customFormat="1" x14ac:dyDescent="0.2">
      <c r="A191" s="25">
        <f>Rebanho!B40</f>
        <v>16</v>
      </c>
      <c r="B191" s="25">
        <v>15</v>
      </c>
      <c r="C191" s="25" t="str">
        <f t="shared" si="22"/>
        <v/>
      </c>
      <c r="D191" s="2423"/>
      <c r="E191" s="25">
        <f t="shared" si="20"/>
        <v>0</v>
      </c>
      <c r="F191" s="25">
        <f t="shared" si="21"/>
        <v>0</v>
      </c>
      <c r="G191" s="2405">
        <f>IF(Rebanho!E40=0,0,VLOOKUP(A191,Listas!$D$165:$F$183,3,))</f>
        <v>0</v>
      </c>
      <c r="H191" s="2405">
        <f>I190</f>
        <v>0</v>
      </c>
      <c r="I191" s="2405">
        <f>H191+Rebanho!E40</f>
        <v>0</v>
      </c>
      <c r="J191" s="25">
        <f>Rebanho!F40</f>
        <v>0</v>
      </c>
      <c r="K191" s="25">
        <f>Rebanho!G40</f>
        <v>0</v>
      </c>
      <c r="L191" s="2412">
        <f>Rebanho!G63</f>
        <v>0</v>
      </c>
      <c r="M191" s="25">
        <f>ROUND(Rebanho!Z62,0)</f>
        <v>0</v>
      </c>
    </row>
    <row r="192" spans="1:13" customFormat="1" ht="12.75" customHeight="1" x14ac:dyDescent="0.2">
      <c r="A192" s="25">
        <f>Rebanho!B41</f>
        <v>17</v>
      </c>
      <c r="B192" s="25">
        <v>16</v>
      </c>
      <c r="C192" s="25" t="str">
        <f t="shared" si="22"/>
        <v/>
      </c>
      <c r="D192" s="2423"/>
      <c r="E192" s="25">
        <f t="shared" si="20"/>
        <v>0</v>
      </c>
      <c r="F192" s="25">
        <f t="shared" si="21"/>
        <v>0</v>
      </c>
      <c r="G192" s="2405">
        <f>IF(Rebanho!E41=0,0,VLOOKUP(A192,Listas!$D$165:$F$183,3,))</f>
        <v>0</v>
      </c>
      <c r="H192" s="2405">
        <f>I191</f>
        <v>0</v>
      </c>
      <c r="I192" s="2405">
        <f>H192+Rebanho!E41</f>
        <v>0</v>
      </c>
      <c r="J192" s="25">
        <f>Rebanho!F41</f>
        <v>0</v>
      </c>
      <c r="K192" s="25">
        <f>Rebanho!G41</f>
        <v>0</v>
      </c>
      <c r="L192" s="2412">
        <f>Rebanho!G64</f>
        <v>0</v>
      </c>
      <c r="M192" s="25">
        <f>ROUND(Rebanho!Z63,0)</f>
        <v>0</v>
      </c>
    </row>
    <row r="193" spans="1:52" x14ac:dyDescent="0.2">
      <c r="A193" s="25">
        <f>Rebanho!B42</f>
        <v>18</v>
      </c>
      <c r="B193" s="25">
        <v>17</v>
      </c>
      <c r="C193" s="25" t="str">
        <f t="shared" si="22"/>
        <v/>
      </c>
      <c r="D193" s="2423"/>
      <c r="E193" s="25">
        <f t="shared" si="20"/>
        <v>0</v>
      </c>
      <c r="F193" s="25">
        <f t="shared" si="21"/>
        <v>0</v>
      </c>
      <c r="G193" s="2405">
        <f>IF(Rebanho!E42=0,0,VLOOKUP(A193,Listas!$D$165:$F$183,3,))</f>
        <v>0</v>
      </c>
      <c r="H193" s="2405">
        <f>I192</f>
        <v>0</v>
      </c>
      <c r="I193" s="2405">
        <f>H193+Rebanho!E42</f>
        <v>0</v>
      </c>
      <c r="J193" s="25">
        <f>Rebanho!F42</f>
        <v>0</v>
      </c>
      <c r="K193" s="25">
        <f>Rebanho!G42</f>
        <v>0</v>
      </c>
      <c r="L193" s="2412">
        <f>Rebanho!G65</f>
        <v>0</v>
      </c>
      <c r="M193" s="25">
        <f>ROUND(Rebanho!Z64,0)</f>
        <v>0</v>
      </c>
    </row>
    <row r="194" spans="1:52" x14ac:dyDescent="0.2">
      <c r="A194" s="25">
        <v>19</v>
      </c>
      <c r="B194" s="25">
        <v>18</v>
      </c>
      <c r="C194" s="25" t="str">
        <f t="shared" si="22"/>
        <v>18 58</v>
      </c>
      <c r="D194" s="2423"/>
      <c r="E194" s="25">
        <f t="shared" si="20"/>
        <v>58</v>
      </c>
      <c r="F194" s="25">
        <f t="shared" si="21"/>
        <v>22</v>
      </c>
      <c r="G194" s="2405">
        <f>IF(Rebanho!I70=0,0,VLOOKUP(A194,Listas!$D$165:$F$183,3,))</f>
        <v>13</v>
      </c>
      <c r="H194" s="2405">
        <v>0</v>
      </c>
      <c r="I194" s="2427">
        <f>Rebanho!I70</f>
        <v>12</v>
      </c>
      <c r="J194" s="2426">
        <f>Rebanho!F70</f>
        <v>400</v>
      </c>
      <c r="K194" s="2413">
        <f>J194</f>
        <v>400</v>
      </c>
      <c r="L194" s="2412">
        <f>Rebanho!G70</f>
        <v>3000</v>
      </c>
      <c r="M194" s="25">
        <f>Rebanho!E70</f>
        <v>8</v>
      </c>
    </row>
    <row r="195" spans="1:52" x14ac:dyDescent="0.2">
      <c r="A195" s="25">
        <v>20</v>
      </c>
      <c r="B195" s="25">
        <v>19</v>
      </c>
      <c r="C195" s="25" t="str">
        <f t="shared" si="22"/>
        <v/>
      </c>
      <c r="D195" s="2423"/>
      <c r="E195" s="25">
        <f t="shared" si="20"/>
        <v>0</v>
      </c>
      <c r="F195" s="25">
        <f t="shared" si="21"/>
        <v>0</v>
      </c>
      <c r="G195" s="2405">
        <f>IF(Rebanho!I71=0,0,VLOOKUP(A195,Listas!$D$165:$F$183,3,))</f>
        <v>0</v>
      </c>
      <c r="H195" s="2405">
        <v>0</v>
      </c>
      <c r="I195" s="2427">
        <f>Rebanho!I71</f>
        <v>0</v>
      </c>
      <c r="J195" s="2426">
        <f>Rebanho!F71</f>
        <v>0</v>
      </c>
      <c r="K195" s="2413">
        <f>J195</f>
        <v>0</v>
      </c>
      <c r="L195" s="2412">
        <f>Rebanho!G71</f>
        <v>0</v>
      </c>
      <c r="M195" s="25">
        <f>Rebanho!E71</f>
        <v>0</v>
      </c>
    </row>
    <row r="196" spans="1:52" x14ac:dyDescent="0.2">
      <c r="C196" s="25"/>
      <c r="H196" s="2405"/>
      <c r="I196" s="2405"/>
    </row>
    <row r="197" spans="1:52" x14ac:dyDescent="0.2">
      <c r="C197" s="2405"/>
      <c r="D197" s="2424" t="s">
        <v>1490</v>
      </c>
      <c r="E197" s="2424" t="s">
        <v>1454</v>
      </c>
      <c r="F197" s="2424" t="s">
        <v>1455</v>
      </c>
      <c r="G197" s="2424" t="s">
        <v>1489</v>
      </c>
      <c r="H197" s="2424" t="s">
        <v>1488</v>
      </c>
      <c r="I197" s="2425" t="s">
        <v>1487</v>
      </c>
      <c r="J197" s="2424" t="s">
        <v>1486</v>
      </c>
      <c r="K197" s="2425" t="s">
        <v>1485</v>
      </c>
      <c r="L197" s="2425" t="s">
        <v>1484</v>
      </c>
      <c r="M197" s="2424" t="s">
        <v>1483</v>
      </c>
      <c r="N197" s="2424" t="s">
        <v>1482</v>
      </c>
      <c r="O197" s="2424" t="s">
        <v>1481</v>
      </c>
      <c r="P197" s="25" t="s">
        <v>1480</v>
      </c>
    </row>
    <row r="198" spans="1:52" x14ac:dyDescent="0.2">
      <c r="C198" s="2405"/>
      <c r="D198" s="2423"/>
      <c r="E198" s="25">
        <f>IF(F198=22,$E$1,0)</f>
        <v>58</v>
      </c>
      <c r="F198" s="2405">
        <v>22</v>
      </c>
      <c r="G198" s="2422">
        <f>Rebanho!E5*100</f>
        <v>0</v>
      </c>
      <c r="H198" s="2422">
        <f>Rebanho!E6*100</f>
        <v>2</v>
      </c>
      <c r="I198" s="2421">
        <f>Rebanho!E7</f>
        <v>0</v>
      </c>
      <c r="J198" s="2421">
        <f>Rebanho!E8</f>
        <v>0</v>
      </c>
      <c r="K198" s="2421">
        <f>Rebanho!E13</f>
        <v>0</v>
      </c>
      <c r="L198" s="2421">
        <f>Rebanho!E14</f>
        <v>0</v>
      </c>
      <c r="M198" s="2421">
        <f>Rebanho!E17*100</f>
        <v>0</v>
      </c>
      <c r="N198" s="2421">
        <f>Rebanho!E18*100</f>
        <v>0</v>
      </c>
      <c r="O198" s="2421">
        <f>Rebanho!E19*100</f>
        <v>49.279470746130926</v>
      </c>
    </row>
    <row r="199" spans="1:52" x14ac:dyDescent="0.2">
      <c r="C199" s="2405"/>
      <c r="D199" s="25"/>
      <c r="H199" s="2405"/>
      <c r="I199" s="2405"/>
    </row>
    <row r="200" spans="1:52" x14ac:dyDescent="0.2">
      <c r="B200" s="2405" t="s">
        <v>1795</v>
      </c>
      <c r="C200" s="2405" t="s">
        <v>1796</v>
      </c>
      <c r="D200" s="2420" t="s">
        <v>1452</v>
      </c>
      <c r="E200" s="2420" t="s">
        <v>1454</v>
      </c>
      <c r="F200" s="2420" t="s">
        <v>1455</v>
      </c>
      <c r="G200" s="2420" t="s">
        <v>1479</v>
      </c>
      <c r="H200" s="2420" t="s">
        <v>1478</v>
      </c>
      <c r="I200" s="2420" t="s">
        <v>1477</v>
      </c>
      <c r="J200" s="2420" t="s">
        <v>0</v>
      </c>
      <c r="K200" s="2419" t="s">
        <v>504</v>
      </c>
      <c r="L200" s="2419" t="s">
        <v>1476</v>
      </c>
      <c r="M200" s="25" t="s">
        <v>1475</v>
      </c>
      <c r="N200" s="25" t="s">
        <v>1450</v>
      </c>
      <c r="O200" s="25" t="s">
        <v>1797</v>
      </c>
    </row>
    <row r="201" spans="1:52" x14ac:dyDescent="0.2">
      <c r="B201" s="2834" t="s">
        <v>1798</v>
      </c>
      <c r="C201" s="2834" t="str">
        <f>IF(F201=22,B201&amp;" "&amp;E201,"")</f>
        <v>ins.1 58</v>
      </c>
      <c r="D201" s="2834"/>
      <c r="E201" s="2834">
        <f t="shared" ref="E201:E266" si="23">IF(F201=22,$E$1,0)</f>
        <v>58</v>
      </c>
      <c r="F201" s="2834">
        <f t="shared" ref="F201:F266" si="24">IF(H201=0,0,22)</f>
        <v>22</v>
      </c>
      <c r="G201" s="2835"/>
      <c r="H201" s="2835">
        <f>Pastagem!D31</f>
        <v>10</v>
      </c>
      <c r="I201" s="2835"/>
      <c r="J201" s="2834"/>
      <c r="K201" s="2834" t="str">
        <f>Pastagem!B31</f>
        <v>semente</v>
      </c>
      <c r="L201" s="2834"/>
      <c r="M201" s="2834"/>
      <c r="N201" s="2834">
        <f>Pastagem!E31</f>
        <v>16</v>
      </c>
      <c r="O201" s="2834"/>
      <c r="P201" s="2834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">
      <c r="B202" s="2834" t="s">
        <v>1799</v>
      </c>
      <c r="C202" s="2834" t="str">
        <f t="shared" ref="C202:C267" si="25">IF(F202=22,B202&amp;" "&amp;E202,"")</f>
        <v>ins.2 58</v>
      </c>
      <c r="D202" s="2834"/>
      <c r="E202" s="2834">
        <f t="shared" si="23"/>
        <v>58</v>
      </c>
      <c r="F202" s="2834">
        <f t="shared" si="24"/>
        <v>22</v>
      </c>
      <c r="G202" s="2835"/>
      <c r="H202" s="2835">
        <f>Pastagem!D32</f>
        <v>15</v>
      </c>
      <c r="I202" s="2835"/>
      <c r="J202" s="2834"/>
      <c r="K202" s="2834" t="str">
        <f>Pastagem!B32</f>
        <v>outros</v>
      </c>
      <c r="L202" s="2834"/>
      <c r="M202" s="2834"/>
      <c r="N202" s="2834">
        <f>Pastagem!E32</f>
        <v>1.4000000000000001</v>
      </c>
      <c r="O202" s="2834"/>
      <c r="P202" s="2834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">
      <c r="B203" s="2834" t="s">
        <v>1800</v>
      </c>
      <c r="C203" s="2834" t="str">
        <f t="shared" si="25"/>
        <v>ins.3 58</v>
      </c>
      <c r="D203" s="2834"/>
      <c r="E203" s="2834">
        <f t="shared" si="23"/>
        <v>58</v>
      </c>
      <c r="F203" s="2834">
        <f t="shared" si="24"/>
        <v>22</v>
      </c>
      <c r="G203" s="2835"/>
      <c r="H203" s="2835">
        <f>Pastagem!D33</f>
        <v>16</v>
      </c>
      <c r="I203" s="2835"/>
      <c r="J203" s="2834"/>
      <c r="K203" s="2834" t="str">
        <f>Pastagem!B33</f>
        <v xml:space="preserve">2 4 d </v>
      </c>
      <c r="L203" s="2834"/>
      <c r="M203" s="2834"/>
      <c r="N203" s="2834">
        <f>Pastagem!E33</f>
        <v>3</v>
      </c>
      <c r="O203" s="2834"/>
      <c r="P203" s="2834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">
      <c r="B204" s="2834" t="s">
        <v>1801</v>
      </c>
      <c r="C204" s="2834" t="str">
        <f t="shared" si="25"/>
        <v>ins.4 58</v>
      </c>
      <c r="D204" s="2834"/>
      <c r="E204" s="2834">
        <f t="shared" si="23"/>
        <v>58</v>
      </c>
      <c r="F204" s="2834">
        <f t="shared" si="24"/>
        <v>22</v>
      </c>
      <c r="G204" s="2835"/>
      <c r="H204" s="2835">
        <f>Pastagem!D34</f>
        <v>140</v>
      </c>
      <c r="I204" s="2835"/>
      <c r="J204" s="2834"/>
      <c r="K204" s="2836" t="str">
        <f>Pastagem!B34</f>
        <v>calcario</v>
      </c>
      <c r="L204" s="2834"/>
      <c r="M204" s="2834"/>
      <c r="N204" s="2834">
        <f>Pastagem!E34</f>
        <v>1</v>
      </c>
      <c r="O204" s="2834"/>
      <c r="P204" s="283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">
      <c r="B205" s="2834" t="s">
        <v>1802</v>
      </c>
      <c r="C205" s="2834" t="str">
        <f t="shared" si="25"/>
        <v>ins.5 58</v>
      </c>
      <c r="D205" s="2834"/>
      <c r="E205" s="2834">
        <f t="shared" si="23"/>
        <v>58</v>
      </c>
      <c r="F205" s="2834">
        <f t="shared" si="24"/>
        <v>22</v>
      </c>
      <c r="G205" s="2835"/>
      <c r="H205" s="2835">
        <f>Pastagem!D35</f>
        <v>1600</v>
      </c>
      <c r="I205" s="2835"/>
      <c r="J205" s="2834"/>
      <c r="K205" s="2834" t="str">
        <f>Pastagem!B35</f>
        <v>map</v>
      </c>
      <c r="L205" s="2834"/>
      <c r="M205" s="2834"/>
      <c r="N205" s="2834">
        <f>Pastagem!E35</f>
        <v>0.15</v>
      </c>
      <c r="O205" s="2834"/>
      <c r="P205" s="2834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">
      <c r="B206" s="2834" t="s">
        <v>1803</v>
      </c>
      <c r="C206" s="2834" t="str">
        <f t="shared" si="25"/>
        <v/>
      </c>
      <c r="D206" s="2834"/>
      <c r="E206" s="2834">
        <f t="shared" si="23"/>
        <v>0</v>
      </c>
      <c r="F206" s="2834">
        <f t="shared" si="24"/>
        <v>0</v>
      </c>
      <c r="G206" s="2835"/>
      <c r="H206" s="2835">
        <f>Pastagem!D36</f>
        <v>0</v>
      </c>
      <c r="I206" s="2835"/>
      <c r="J206" s="2834"/>
      <c r="K206" s="2834">
        <f>Pastagem!B36</f>
        <v>0</v>
      </c>
      <c r="L206" s="2834"/>
      <c r="M206" s="2834"/>
      <c r="N206" s="2834">
        <f>Pastagem!E36</f>
        <v>0</v>
      </c>
      <c r="O206" s="2834"/>
      <c r="P206" s="2834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">
      <c r="B207" s="2834" t="s">
        <v>1804</v>
      </c>
      <c r="C207" s="2834" t="str">
        <f t="shared" si="25"/>
        <v/>
      </c>
      <c r="D207" s="2834"/>
      <c r="E207" s="2834">
        <f t="shared" si="23"/>
        <v>0</v>
      </c>
      <c r="F207" s="2834">
        <f t="shared" si="24"/>
        <v>0</v>
      </c>
      <c r="G207" s="2835"/>
      <c r="H207" s="2835">
        <f>Pastagem!D37</f>
        <v>0</v>
      </c>
      <c r="I207" s="2835"/>
      <c r="J207" s="2834"/>
      <c r="K207" s="2834">
        <f>Pastagem!B37</f>
        <v>0</v>
      </c>
      <c r="L207" s="2834"/>
      <c r="M207" s="2834"/>
      <c r="N207" s="2834">
        <f>Pastagem!E37</f>
        <v>0</v>
      </c>
      <c r="O207" s="2834"/>
      <c r="P207" s="2834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">
      <c r="B208" s="2834" t="s">
        <v>1805</v>
      </c>
      <c r="C208" s="2834" t="str">
        <f t="shared" si="25"/>
        <v/>
      </c>
      <c r="D208" s="2834"/>
      <c r="E208" s="2834">
        <f t="shared" si="23"/>
        <v>0</v>
      </c>
      <c r="F208" s="2834">
        <f t="shared" si="24"/>
        <v>0</v>
      </c>
      <c r="G208" s="2835"/>
      <c r="H208" s="2835">
        <f>Pastagem!D38</f>
        <v>0</v>
      </c>
      <c r="I208" s="2835"/>
      <c r="J208" s="2834"/>
      <c r="K208" s="2834">
        <f>Pastagem!B38</f>
        <v>0</v>
      </c>
      <c r="L208" s="2834"/>
      <c r="M208" s="2834"/>
      <c r="N208" s="2834">
        <f>Pastagem!E38</f>
        <v>0</v>
      </c>
      <c r="O208" s="2834"/>
      <c r="P208" s="2834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2:16" customFormat="1" x14ac:dyDescent="0.2">
      <c r="B209" s="2834" t="s">
        <v>1806</v>
      </c>
      <c r="C209" s="2834" t="str">
        <f t="shared" si="25"/>
        <v/>
      </c>
      <c r="D209" s="2834"/>
      <c r="E209" s="2834">
        <f t="shared" si="23"/>
        <v>0</v>
      </c>
      <c r="F209" s="2834">
        <f t="shared" si="24"/>
        <v>0</v>
      </c>
      <c r="G209" s="2835"/>
      <c r="H209" s="2835">
        <f>Pastagem!D39</f>
        <v>0</v>
      </c>
      <c r="I209" s="2835"/>
      <c r="J209" s="2834"/>
      <c r="K209" s="2834">
        <f>Pastagem!B39</f>
        <v>0</v>
      </c>
      <c r="L209" s="2834"/>
      <c r="M209" s="2834"/>
      <c r="N209" s="2834">
        <f>Pastagem!E39</f>
        <v>0</v>
      </c>
      <c r="O209" s="2834"/>
      <c r="P209" s="2834"/>
    </row>
    <row r="210" spans="2:16" customFormat="1" x14ac:dyDescent="0.2">
      <c r="B210" s="2834" t="s">
        <v>1807</v>
      </c>
      <c r="C210" s="2834" t="str">
        <f t="shared" si="25"/>
        <v/>
      </c>
      <c r="D210" s="2834"/>
      <c r="E210" s="2834">
        <f t="shared" si="23"/>
        <v>0</v>
      </c>
      <c r="F210" s="2834">
        <f t="shared" si="24"/>
        <v>0</v>
      </c>
      <c r="G210" s="2835"/>
      <c r="H210" s="2835">
        <f>Pastagem!D40</f>
        <v>0</v>
      </c>
      <c r="I210" s="2835"/>
      <c r="J210" s="2834"/>
      <c r="K210" s="2834">
        <f>Pastagem!B40</f>
        <v>0</v>
      </c>
      <c r="L210" s="2834"/>
      <c r="M210" s="2834"/>
      <c r="N210" s="2837">
        <f>Pastagem!E40</f>
        <v>0</v>
      </c>
      <c r="O210" s="2834"/>
      <c r="P210" s="2834"/>
    </row>
    <row r="211" spans="2:16" customFormat="1" x14ac:dyDescent="0.2">
      <c r="B211" s="2834" t="s">
        <v>1808</v>
      </c>
      <c r="C211" s="2834" t="str">
        <f t="shared" si="25"/>
        <v/>
      </c>
      <c r="D211" s="2834"/>
      <c r="E211" s="2834">
        <f t="shared" si="23"/>
        <v>0</v>
      </c>
      <c r="F211" s="2834">
        <f t="shared" si="24"/>
        <v>0</v>
      </c>
      <c r="G211" s="2835"/>
      <c r="H211" s="2835">
        <f>Pastagem!D41</f>
        <v>0</v>
      </c>
      <c r="I211" s="2835"/>
      <c r="J211" s="2834"/>
      <c r="K211" s="2834">
        <f>Pastagem!B41</f>
        <v>0</v>
      </c>
      <c r="L211" s="2834"/>
      <c r="M211" s="2834"/>
      <c r="N211" s="2834">
        <f>Pastagem!E41</f>
        <v>0</v>
      </c>
      <c r="O211" s="2834"/>
      <c r="P211" s="2834"/>
    </row>
    <row r="212" spans="2:16" customFormat="1" x14ac:dyDescent="0.2">
      <c r="B212" s="2834" t="s">
        <v>1809</v>
      </c>
      <c r="C212" s="2834" t="str">
        <f t="shared" si="25"/>
        <v/>
      </c>
      <c r="D212" s="2834"/>
      <c r="E212" s="2834">
        <f t="shared" si="23"/>
        <v>0</v>
      </c>
      <c r="F212" s="2834">
        <f t="shared" si="24"/>
        <v>0</v>
      </c>
      <c r="G212" s="2835"/>
      <c r="H212" s="2835">
        <f>Pastagem!D42</f>
        <v>0</v>
      </c>
      <c r="I212" s="2835"/>
      <c r="J212" s="2834"/>
      <c r="K212" s="2834">
        <f>Pastagem!B42</f>
        <v>0</v>
      </c>
      <c r="L212" s="2834"/>
      <c r="M212" s="2834"/>
      <c r="N212" s="2834">
        <f>Pastagem!E42</f>
        <v>0</v>
      </c>
      <c r="O212" s="2834"/>
      <c r="P212" s="2834"/>
    </row>
    <row r="213" spans="2:16" customFormat="1" x14ac:dyDescent="0.2">
      <c r="B213" s="2834" t="s">
        <v>1810</v>
      </c>
      <c r="C213" s="2834" t="str">
        <f t="shared" si="25"/>
        <v/>
      </c>
      <c r="D213" s="2834"/>
      <c r="E213" s="2834">
        <f t="shared" si="23"/>
        <v>0</v>
      </c>
      <c r="F213" s="2834">
        <f t="shared" si="24"/>
        <v>0</v>
      </c>
      <c r="G213" s="2835"/>
      <c r="H213" s="2835">
        <f>Pastagem!D43</f>
        <v>0</v>
      </c>
      <c r="I213" s="2835"/>
      <c r="J213" s="2834"/>
      <c r="K213" s="2834">
        <f>Pastagem!B43</f>
        <v>0</v>
      </c>
      <c r="L213" s="2834"/>
      <c r="M213" s="2834"/>
      <c r="N213" s="2834">
        <f>Pastagem!E43</f>
        <v>0</v>
      </c>
      <c r="O213" s="2834"/>
      <c r="P213" s="2834"/>
    </row>
    <row r="214" spans="2:16" customFormat="1" x14ac:dyDescent="0.2">
      <c r="B214" s="2834" t="s">
        <v>1811</v>
      </c>
      <c r="C214" s="2834" t="str">
        <f t="shared" si="25"/>
        <v/>
      </c>
      <c r="D214" s="2834"/>
      <c r="E214" s="2834">
        <f t="shared" si="23"/>
        <v>0</v>
      </c>
      <c r="F214" s="2834">
        <f t="shared" si="24"/>
        <v>0</v>
      </c>
      <c r="G214" s="2835"/>
      <c r="H214" s="2835">
        <f>Pastagem!D44</f>
        <v>0</v>
      </c>
      <c r="I214" s="2835"/>
      <c r="J214" s="2834"/>
      <c r="K214" s="2834">
        <f>Pastagem!B44</f>
        <v>0</v>
      </c>
      <c r="L214" s="2834"/>
      <c r="M214" s="2834"/>
      <c r="N214" s="2834">
        <f>Pastagem!E44</f>
        <v>0</v>
      </c>
      <c r="O214" s="2834"/>
      <c r="P214" s="2834"/>
    </row>
    <row r="215" spans="2:16" customFormat="1" x14ac:dyDescent="0.2">
      <c r="B215" s="2834" t="s">
        <v>1812</v>
      </c>
      <c r="C215" s="2834" t="str">
        <f t="shared" si="25"/>
        <v/>
      </c>
      <c r="D215" s="2834"/>
      <c r="E215" s="2834">
        <f t="shared" si="23"/>
        <v>0</v>
      </c>
      <c r="F215" s="2834">
        <f t="shared" si="24"/>
        <v>0</v>
      </c>
      <c r="G215" s="2835"/>
      <c r="H215" s="2835">
        <f>Pastagem!D45</f>
        <v>0</v>
      </c>
      <c r="I215" s="2835"/>
      <c r="J215" s="2834"/>
      <c r="K215" s="2834">
        <f>Pastagem!B45</f>
        <v>0</v>
      </c>
      <c r="L215" s="2834"/>
      <c r="M215" s="2834"/>
      <c r="N215" s="2834">
        <f>Pastagem!E45</f>
        <v>0</v>
      </c>
      <c r="O215" s="2834"/>
      <c r="P215" s="2834"/>
    </row>
    <row r="216" spans="2:16" customFormat="1" x14ac:dyDescent="0.2">
      <c r="B216" s="2834" t="s">
        <v>1813</v>
      </c>
      <c r="C216" s="2834" t="str">
        <f t="shared" si="25"/>
        <v/>
      </c>
      <c r="D216" s="2834"/>
      <c r="E216" s="2834">
        <f t="shared" si="23"/>
        <v>0</v>
      </c>
      <c r="F216" s="2834">
        <f t="shared" si="24"/>
        <v>0</v>
      </c>
      <c r="G216" s="2835"/>
      <c r="H216" s="2835">
        <f>Pastagem!D77</f>
        <v>0</v>
      </c>
      <c r="I216" s="2835"/>
      <c r="J216" s="2834"/>
      <c r="K216" s="2834">
        <f>Pastagem!B77</f>
        <v>0</v>
      </c>
      <c r="L216" s="2834"/>
      <c r="M216" s="2834"/>
      <c r="N216" s="2834">
        <f>Pastagem!E77</f>
        <v>0</v>
      </c>
      <c r="O216" s="2834"/>
      <c r="P216" s="2834"/>
    </row>
    <row r="217" spans="2:16" customFormat="1" x14ac:dyDescent="0.2">
      <c r="B217" s="2834" t="s">
        <v>1814</v>
      </c>
      <c r="C217" s="2834" t="str">
        <f t="shared" si="25"/>
        <v>ins.17 58</v>
      </c>
      <c r="D217" s="2834"/>
      <c r="E217" s="2834">
        <f t="shared" si="23"/>
        <v>58</v>
      </c>
      <c r="F217" s="2834">
        <f t="shared" si="24"/>
        <v>22</v>
      </c>
      <c r="G217" s="2835"/>
      <c r="H217" s="2835">
        <f>Pastagem!D78</f>
        <v>70</v>
      </c>
      <c r="I217" s="2835"/>
      <c r="J217" s="2834"/>
      <c r="K217" s="2834" t="str">
        <f>Pastagem!B78</f>
        <v>2 4 d picloram</v>
      </c>
      <c r="L217" s="2834"/>
      <c r="M217" s="2834"/>
      <c r="N217" s="2834">
        <f>Pastagem!E78</f>
        <v>2.5</v>
      </c>
      <c r="O217" s="2834"/>
      <c r="P217" s="2834"/>
    </row>
    <row r="218" spans="2:16" customFormat="1" x14ac:dyDescent="0.2">
      <c r="B218" s="2834" t="s">
        <v>1815</v>
      </c>
      <c r="C218" s="2834" t="str">
        <f t="shared" si="25"/>
        <v/>
      </c>
      <c r="D218" s="2834"/>
      <c r="E218" s="2834">
        <f t="shared" si="23"/>
        <v>0</v>
      </c>
      <c r="F218" s="2834">
        <f t="shared" si="24"/>
        <v>0</v>
      </c>
      <c r="G218" s="2835"/>
      <c r="H218" s="2835">
        <f>Pastagem!D79</f>
        <v>0</v>
      </c>
      <c r="I218" s="2835"/>
      <c r="J218" s="2834"/>
      <c r="K218" s="2834">
        <f>Pastagem!B79</f>
        <v>0</v>
      </c>
      <c r="L218" s="2834"/>
      <c r="M218" s="2834"/>
      <c r="N218" s="2834">
        <f>Pastagem!E79</f>
        <v>0</v>
      </c>
      <c r="O218" s="2834"/>
      <c r="P218" s="2834"/>
    </row>
    <row r="219" spans="2:16" customFormat="1" x14ac:dyDescent="0.2">
      <c r="B219" s="2834" t="s">
        <v>1816</v>
      </c>
      <c r="C219" s="2834" t="str">
        <f t="shared" si="25"/>
        <v/>
      </c>
      <c r="D219" s="2834"/>
      <c r="E219" s="2834">
        <f t="shared" si="23"/>
        <v>0</v>
      </c>
      <c r="F219" s="2834">
        <f t="shared" si="24"/>
        <v>0</v>
      </c>
      <c r="G219" s="2835"/>
      <c r="H219" s="2835">
        <f>Pastagem!D80</f>
        <v>0</v>
      </c>
      <c r="I219" s="2835"/>
      <c r="J219" s="2834"/>
      <c r="K219" s="2834">
        <f>Pastagem!B80</f>
        <v>0</v>
      </c>
      <c r="L219" s="2834"/>
      <c r="M219" s="2834"/>
      <c r="N219" s="2834">
        <f>Pastagem!E80</f>
        <v>0</v>
      </c>
      <c r="O219" s="2834"/>
      <c r="P219" s="2834"/>
    </row>
    <row r="220" spans="2:16" customFormat="1" x14ac:dyDescent="0.2">
      <c r="B220" s="2834" t="s">
        <v>1817</v>
      </c>
      <c r="C220" s="2834" t="str">
        <f t="shared" si="25"/>
        <v/>
      </c>
      <c r="D220" s="2834"/>
      <c r="E220" s="2834">
        <f t="shared" si="23"/>
        <v>0</v>
      </c>
      <c r="F220" s="2834">
        <f t="shared" si="24"/>
        <v>0</v>
      </c>
      <c r="G220" s="2835"/>
      <c r="H220" s="2835">
        <f>Pastagem!D81</f>
        <v>0</v>
      </c>
      <c r="I220" s="2835"/>
      <c r="J220" s="2834"/>
      <c r="K220" s="2834">
        <f>Pastagem!B81</f>
        <v>0</v>
      </c>
      <c r="L220" s="2834"/>
      <c r="M220" s="2834"/>
      <c r="N220" s="2834">
        <f>Pastagem!E81</f>
        <v>0</v>
      </c>
      <c r="O220" s="2834"/>
      <c r="P220" s="2834"/>
    </row>
    <row r="221" spans="2:16" customFormat="1" x14ac:dyDescent="0.2">
      <c r="B221" s="2834" t="s">
        <v>1818</v>
      </c>
      <c r="C221" s="2834" t="str">
        <f t="shared" si="25"/>
        <v/>
      </c>
      <c r="D221" s="2834"/>
      <c r="E221" s="2834">
        <f t="shared" si="23"/>
        <v>0</v>
      </c>
      <c r="F221" s="2834">
        <f t="shared" si="24"/>
        <v>0</v>
      </c>
      <c r="G221" s="2835"/>
      <c r="H221" s="2835">
        <f>Pastagem!D82</f>
        <v>0</v>
      </c>
      <c r="I221" s="2835"/>
      <c r="J221" s="2834"/>
      <c r="K221" s="2834">
        <f>Pastagem!B82</f>
        <v>0</v>
      </c>
      <c r="L221" s="2834"/>
      <c r="M221" s="2834"/>
      <c r="N221" s="2834">
        <f>Pastagem!E82</f>
        <v>0</v>
      </c>
      <c r="O221" s="2834"/>
      <c r="P221" s="2834"/>
    </row>
    <row r="222" spans="2:16" customFormat="1" x14ac:dyDescent="0.2">
      <c r="B222" s="2834" t="s">
        <v>1819</v>
      </c>
      <c r="C222" s="2834" t="str">
        <f t="shared" si="25"/>
        <v/>
      </c>
      <c r="D222" s="2834"/>
      <c r="E222" s="2834">
        <f t="shared" si="23"/>
        <v>0</v>
      </c>
      <c r="F222" s="2834">
        <f t="shared" si="24"/>
        <v>0</v>
      </c>
      <c r="G222" s="2835"/>
      <c r="H222" s="2835">
        <f>Pastagem!D83</f>
        <v>0</v>
      </c>
      <c r="I222" s="2835"/>
      <c r="J222" s="2834"/>
      <c r="K222" s="2834">
        <f>Pastagem!B83</f>
        <v>0</v>
      </c>
      <c r="L222" s="2834"/>
      <c r="M222" s="2834"/>
      <c r="N222" s="2834">
        <f>Pastagem!E83</f>
        <v>0</v>
      </c>
      <c r="O222" s="2834"/>
      <c r="P222" s="2834"/>
    </row>
    <row r="223" spans="2:16" customFormat="1" x14ac:dyDescent="0.2">
      <c r="B223" s="2834" t="s">
        <v>1820</v>
      </c>
      <c r="C223" s="2834" t="str">
        <f t="shared" si="25"/>
        <v/>
      </c>
      <c r="D223" s="2834"/>
      <c r="E223" s="2834">
        <f t="shared" si="23"/>
        <v>0</v>
      </c>
      <c r="F223" s="2834">
        <f t="shared" si="24"/>
        <v>0</v>
      </c>
      <c r="G223" s="2835"/>
      <c r="H223" s="2835">
        <f>Pastagem!D84</f>
        <v>0</v>
      </c>
      <c r="I223" s="2835"/>
      <c r="J223" s="2834"/>
      <c r="K223" s="2834">
        <f>Pastagem!B84</f>
        <v>0</v>
      </c>
      <c r="L223" s="2834"/>
      <c r="M223" s="2834"/>
      <c r="N223" s="2834">
        <f>Pastagem!E84</f>
        <v>0</v>
      </c>
      <c r="O223" s="2834"/>
      <c r="P223" s="2834"/>
    </row>
    <row r="224" spans="2:16" customFormat="1" x14ac:dyDescent="0.2">
      <c r="B224" s="2834" t="s">
        <v>1821</v>
      </c>
      <c r="C224" s="2834" t="str">
        <f t="shared" si="25"/>
        <v/>
      </c>
      <c r="D224" s="2834"/>
      <c r="E224" s="2834">
        <f t="shared" si="23"/>
        <v>0</v>
      </c>
      <c r="F224" s="2834">
        <f t="shared" si="24"/>
        <v>0</v>
      </c>
      <c r="G224" s="2835"/>
      <c r="H224" s="2835">
        <f>Pastagem!D85</f>
        <v>0</v>
      </c>
      <c r="I224" s="2835"/>
      <c r="J224" s="2834"/>
      <c r="K224" s="2834">
        <f>Pastagem!B85</f>
        <v>0</v>
      </c>
      <c r="L224" s="2834"/>
      <c r="M224" s="2834"/>
      <c r="N224" s="2834">
        <f>Pastagem!E85</f>
        <v>0</v>
      </c>
      <c r="O224" s="2834"/>
      <c r="P224" s="2834"/>
    </row>
    <row r="225" spans="1:52" x14ac:dyDescent="0.2">
      <c r="B225" s="2834" t="s">
        <v>1822</v>
      </c>
      <c r="C225" s="2834" t="str">
        <f t="shared" si="25"/>
        <v/>
      </c>
      <c r="D225" s="2834"/>
      <c r="E225" s="2834">
        <f t="shared" si="23"/>
        <v>0</v>
      </c>
      <c r="F225" s="2834">
        <f t="shared" si="24"/>
        <v>0</v>
      </c>
      <c r="G225" s="2835"/>
      <c r="H225" s="2835">
        <f>Pastagem!D86</f>
        <v>0</v>
      </c>
      <c r="I225" s="2835"/>
      <c r="J225" s="2834"/>
      <c r="K225" s="2834">
        <f>Pastagem!B86</f>
        <v>0</v>
      </c>
      <c r="L225" s="2834"/>
      <c r="M225" s="2834"/>
      <c r="N225" s="2834">
        <f>Pastagem!E86</f>
        <v>0</v>
      </c>
      <c r="O225" s="2834"/>
      <c r="P225" s="2834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">
      <c r="A226" s="189"/>
      <c r="B226" s="189"/>
      <c r="C226" s="189"/>
      <c r="D226" s="189"/>
      <c r="E226" s="189"/>
      <c r="F226" s="189"/>
      <c r="G226" s="2448"/>
      <c r="H226" s="2448"/>
      <c r="I226" s="2448"/>
      <c r="J226" s="189"/>
      <c r="K226" s="189"/>
      <c r="L226" s="189"/>
      <c r="M226" s="189"/>
      <c r="N226" s="189"/>
      <c r="O226" s="189"/>
      <c r="P226" s="189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">
      <c r="B227" s="2838" t="s">
        <v>1823</v>
      </c>
      <c r="C227" s="2838" t="str">
        <f t="shared" si="25"/>
        <v/>
      </c>
      <c r="D227" s="2838"/>
      <c r="E227" s="2838">
        <f t="shared" si="23"/>
        <v>0</v>
      </c>
      <c r="F227" s="2838">
        <f t="shared" si="24"/>
        <v>0</v>
      </c>
      <c r="G227" s="2839"/>
      <c r="H227" s="2839">
        <f>Agricultura!D31</f>
        <v>0</v>
      </c>
      <c r="I227" s="2839"/>
      <c r="J227" s="2838"/>
      <c r="K227" s="2838">
        <f>Agricultura!B31</f>
        <v>0</v>
      </c>
      <c r="L227" s="2838"/>
      <c r="M227" s="2838"/>
      <c r="N227" s="2838">
        <f>Agricultura!E31</f>
        <v>0</v>
      </c>
      <c r="O227" s="2838"/>
      <c r="P227" s="2838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">
      <c r="B228" s="2838" t="s">
        <v>1824</v>
      </c>
      <c r="C228" s="2838" t="str">
        <f t="shared" si="25"/>
        <v/>
      </c>
      <c r="D228" s="2838"/>
      <c r="E228" s="2838">
        <f t="shared" si="23"/>
        <v>0</v>
      </c>
      <c r="F228" s="2838">
        <f t="shared" si="24"/>
        <v>0</v>
      </c>
      <c r="G228" s="2839"/>
      <c r="H228" s="2839">
        <f>Agricultura!D32</f>
        <v>0</v>
      </c>
      <c r="I228" s="2839"/>
      <c r="J228" s="2838"/>
      <c r="K228" s="2838">
        <f>Agricultura!B32</f>
        <v>0</v>
      </c>
      <c r="L228" s="2838"/>
      <c r="M228" s="2838"/>
      <c r="N228" s="2838">
        <f>Agricultura!E32</f>
        <v>0</v>
      </c>
      <c r="O228" s="2838"/>
      <c r="P228" s="283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">
      <c r="B229" s="2838" t="s">
        <v>1825</v>
      </c>
      <c r="C229" s="2838" t="str">
        <f t="shared" si="25"/>
        <v/>
      </c>
      <c r="D229" s="2838"/>
      <c r="E229" s="2838">
        <f t="shared" si="23"/>
        <v>0</v>
      </c>
      <c r="F229" s="2838">
        <f t="shared" si="24"/>
        <v>0</v>
      </c>
      <c r="G229" s="2839"/>
      <c r="H229" s="2839">
        <f>Agricultura!D33</f>
        <v>0</v>
      </c>
      <c r="I229" s="2839"/>
      <c r="J229" s="2838"/>
      <c r="K229" s="2838">
        <f>Agricultura!B33</f>
        <v>0</v>
      </c>
      <c r="L229" s="2838"/>
      <c r="M229" s="2838"/>
      <c r="N229" s="2838">
        <f>Agricultura!E33</f>
        <v>0</v>
      </c>
      <c r="O229" s="2838"/>
      <c r="P229" s="2838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">
      <c r="B230" s="2838" t="s">
        <v>1826</v>
      </c>
      <c r="C230" s="2838" t="str">
        <f t="shared" si="25"/>
        <v/>
      </c>
      <c r="D230" s="2838"/>
      <c r="E230" s="2838">
        <f t="shared" si="23"/>
        <v>0</v>
      </c>
      <c r="F230" s="2838">
        <f t="shared" si="24"/>
        <v>0</v>
      </c>
      <c r="G230" s="2839"/>
      <c r="H230" s="2839">
        <f>Agricultura!D34</f>
        <v>0</v>
      </c>
      <c r="I230" s="2839"/>
      <c r="J230" s="2838"/>
      <c r="K230" s="2838">
        <f>Agricultura!B34</f>
        <v>0</v>
      </c>
      <c r="L230" s="2838"/>
      <c r="M230" s="2838"/>
      <c r="N230" s="2838">
        <f>Agricultura!E34</f>
        <v>0</v>
      </c>
      <c r="O230" s="2838"/>
      <c r="P230" s="2838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">
      <c r="B231" s="2838" t="s">
        <v>1827</v>
      </c>
      <c r="C231" s="2838" t="str">
        <f t="shared" si="25"/>
        <v/>
      </c>
      <c r="D231" s="2838"/>
      <c r="E231" s="2838">
        <f t="shared" si="23"/>
        <v>0</v>
      </c>
      <c r="F231" s="2838">
        <f t="shared" si="24"/>
        <v>0</v>
      </c>
      <c r="G231" s="2839"/>
      <c r="H231" s="2839">
        <f>Agricultura!D35</f>
        <v>0</v>
      </c>
      <c r="I231" s="2839"/>
      <c r="J231" s="2838"/>
      <c r="K231" s="2838">
        <f>Agricultura!B35</f>
        <v>0</v>
      </c>
      <c r="L231" s="2838"/>
      <c r="M231" s="2838"/>
      <c r="N231" s="2838">
        <f>Agricultura!E35</f>
        <v>0</v>
      </c>
      <c r="O231" s="2838"/>
      <c r="P231" s="2838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">
      <c r="B232" s="2838" t="s">
        <v>1828</v>
      </c>
      <c r="C232" s="2838" t="str">
        <f t="shared" si="25"/>
        <v/>
      </c>
      <c r="D232" s="2838"/>
      <c r="E232" s="2838">
        <f t="shared" si="23"/>
        <v>0</v>
      </c>
      <c r="F232" s="2838">
        <f t="shared" si="24"/>
        <v>0</v>
      </c>
      <c r="G232" s="2839"/>
      <c r="H232" s="2839">
        <f>Agricultura!D36</f>
        <v>0</v>
      </c>
      <c r="I232" s="2839"/>
      <c r="J232" s="2838"/>
      <c r="K232" s="2838">
        <f>Agricultura!B36</f>
        <v>0</v>
      </c>
      <c r="L232" s="2838"/>
      <c r="M232" s="2838"/>
      <c r="N232" s="2838">
        <f>Agricultura!E36</f>
        <v>0</v>
      </c>
      <c r="O232" s="2838"/>
      <c r="P232" s="2838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">
      <c r="B233" s="2838" t="s">
        <v>1829</v>
      </c>
      <c r="C233" s="2838" t="str">
        <f t="shared" si="25"/>
        <v/>
      </c>
      <c r="D233" s="2838"/>
      <c r="E233" s="2838">
        <f t="shared" si="23"/>
        <v>0</v>
      </c>
      <c r="F233" s="2838">
        <f t="shared" si="24"/>
        <v>0</v>
      </c>
      <c r="G233" s="2839"/>
      <c r="H233" s="2839">
        <f>Agricultura!D37</f>
        <v>0</v>
      </c>
      <c r="I233" s="2839"/>
      <c r="J233" s="2838"/>
      <c r="K233" s="2838">
        <f>Agricultura!B37</f>
        <v>0</v>
      </c>
      <c r="L233" s="2838"/>
      <c r="M233" s="2838"/>
      <c r="N233" s="2838">
        <f>Agricultura!E37</f>
        <v>0</v>
      </c>
      <c r="O233" s="2838"/>
      <c r="P233" s="2838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">
      <c r="B234" s="2838" t="s">
        <v>1830</v>
      </c>
      <c r="C234" s="2838" t="str">
        <f t="shared" si="25"/>
        <v/>
      </c>
      <c r="D234" s="2838"/>
      <c r="E234" s="2838">
        <f t="shared" si="23"/>
        <v>0</v>
      </c>
      <c r="F234" s="2838">
        <f t="shared" si="24"/>
        <v>0</v>
      </c>
      <c r="G234" s="2839"/>
      <c r="H234" s="2839">
        <f>Agricultura!D38</f>
        <v>0</v>
      </c>
      <c r="I234" s="2839"/>
      <c r="J234" s="2838"/>
      <c r="K234" s="2838">
        <f>Agricultura!B38</f>
        <v>0</v>
      </c>
      <c r="L234" s="2838"/>
      <c r="M234" s="2838"/>
      <c r="N234" s="2838">
        <f>Agricultura!E38</f>
        <v>0</v>
      </c>
      <c r="O234" s="2838"/>
      <c r="P234" s="2838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">
      <c r="B235" s="2838" t="s">
        <v>1831</v>
      </c>
      <c r="C235" s="2838" t="str">
        <f t="shared" si="25"/>
        <v/>
      </c>
      <c r="D235" s="2838"/>
      <c r="E235" s="2838">
        <f t="shared" si="23"/>
        <v>0</v>
      </c>
      <c r="F235" s="2838">
        <f t="shared" si="24"/>
        <v>0</v>
      </c>
      <c r="G235" s="2839"/>
      <c r="H235" s="2839">
        <f>Agricultura!D39</f>
        <v>0</v>
      </c>
      <c r="I235" s="2839"/>
      <c r="J235" s="2838"/>
      <c r="K235" s="2838">
        <f>Agricultura!B39</f>
        <v>0</v>
      </c>
      <c r="L235" s="2838"/>
      <c r="M235" s="2838"/>
      <c r="N235" s="2838">
        <f>Agricultura!E39</f>
        <v>0</v>
      </c>
      <c r="O235" s="2838"/>
      <c r="P235" s="2838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">
      <c r="B236" s="2838" t="s">
        <v>1832</v>
      </c>
      <c r="C236" s="2838" t="str">
        <f t="shared" si="25"/>
        <v/>
      </c>
      <c r="D236" s="2838"/>
      <c r="E236" s="2838">
        <f t="shared" si="23"/>
        <v>0</v>
      </c>
      <c r="F236" s="2838">
        <f t="shared" si="24"/>
        <v>0</v>
      </c>
      <c r="G236" s="2839"/>
      <c r="H236" s="2839">
        <f>Agricultura!D40</f>
        <v>0</v>
      </c>
      <c r="I236" s="2839"/>
      <c r="J236" s="2838"/>
      <c r="K236" s="2838">
        <f>Agricultura!B40</f>
        <v>0</v>
      </c>
      <c r="L236" s="2838"/>
      <c r="M236" s="2838"/>
      <c r="N236" s="2840">
        <f>Agricultura!E40</f>
        <v>0</v>
      </c>
      <c r="O236" s="2838"/>
      <c r="P236" s="2838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">
      <c r="B237" s="2838" t="s">
        <v>1833</v>
      </c>
      <c r="C237" s="2838" t="str">
        <f t="shared" si="25"/>
        <v/>
      </c>
      <c r="D237" s="2838"/>
      <c r="E237" s="2838">
        <f t="shared" si="23"/>
        <v>0</v>
      </c>
      <c r="F237" s="2838">
        <f t="shared" si="24"/>
        <v>0</v>
      </c>
      <c r="G237" s="2839"/>
      <c r="H237" s="2839">
        <f>Agricultura!D41</f>
        <v>0</v>
      </c>
      <c r="I237" s="2839"/>
      <c r="J237" s="2838"/>
      <c r="K237" s="2838">
        <f>Agricultura!B41</f>
        <v>0</v>
      </c>
      <c r="L237" s="2838"/>
      <c r="M237" s="2838"/>
      <c r="N237" s="2838">
        <f>Agricultura!E41</f>
        <v>0</v>
      </c>
      <c r="O237" s="2838"/>
      <c r="P237" s="2838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">
      <c r="B238" s="2838" t="s">
        <v>1834</v>
      </c>
      <c r="C238" s="2838" t="str">
        <f t="shared" si="25"/>
        <v/>
      </c>
      <c r="D238" s="2838"/>
      <c r="E238" s="2838">
        <f t="shared" si="23"/>
        <v>0</v>
      </c>
      <c r="F238" s="2838">
        <f t="shared" si="24"/>
        <v>0</v>
      </c>
      <c r="G238" s="2839"/>
      <c r="H238" s="2839">
        <f>Agricultura!D42</f>
        <v>0</v>
      </c>
      <c r="I238" s="2839"/>
      <c r="J238" s="2838"/>
      <c r="K238" s="2838">
        <f>Agricultura!B42</f>
        <v>0</v>
      </c>
      <c r="L238" s="2838"/>
      <c r="M238" s="2838"/>
      <c r="N238" s="2838">
        <f>Agricultura!E42</f>
        <v>0</v>
      </c>
      <c r="O238" s="2838"/>
      <c r="P238" s="28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">
      <c r="B239" s="2838" t="s">
        <v>1835</v>
      </c>
      <c r="C239" s="2838" t="str">
        <f t="shared" si="25"/>
        <v/>
      </c>
      <c r="D239" s="2838"/>
      <c r="E239" s="2838">
        <f t="shared" si="23"/>
        <v>0</v>
      </c>
      <c r="F239" s="2838">
        <f t="shared" si="24"/>
        <v>0</v>
      </c>
      <c r="G239" s="2839"/>
      <c r="H239" s="2839">
        <f>Agricultura!D43</f>
        <v>0</v>
      </c>
      <c r="I239" s="2839"/>
      <c r="J239" s="2838"/>
      <c r="K239" s="2838">
        <f>Agricultura!B43</f>
        <v>0</v>
      </c>
      <c r="L239" s="2838"/>
      <c r="M239" s="2838"/>
      <c r="N239" s="2838">
        <f>Agricultura!E43</f>
        <v>0</v>
      </c>
      <c r="O239" s="2838"/>
      <c r="P239" s="2838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">
      <c r="B240" s="2838" t="s">
        <v>1836</v>
      </c>
      <c r="C240" s="2838" t="str">
        <f t="shared" si="25"/>
        <v/>
      </c>
      <c r="D240" s="2838"/>
      <c r="E240" s="2838">
        <f t="shared" si="23"/>
        <v>0</v>
      </c>
      <c r="F240" s="2838">
        <f t="shared" si="24"/>
        <v>0</v>
      </c>
      <c r="G240" s="2839"/>
      <c r="H240" s="2839">
        <f>Agricultura!D44</f>
        <v>0</v>
      </c>
      <c r="I240" s="2839"/>
      <c r="J240" s="2838"/>
      <c r="K240" s="2838">
        <f>Agricultura!B44</f>
        <v>0</v>
      </c>
      <c r="L240" s="2838"/>
      <c r="M240" s="2838"/>
      <c r="N240" s="2838">
        <f>Agricultura!E44</f>
        <v>0</v>
      </c>
      <c r="O240" s="2838"/>
      <c r="P240" s="2838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">
      <c r="B241" s="2838" t="s">
        <v>1837</v>
      </c>
      <c r="C241" s="2838" t="str">
        <f t="shared" si="25"/>
        <v/>
      </c>
      <c r="D241" s="2838"/>
      <c r="E241" s="2838">
        <f t="shared" si="23"/>
        <v>0</v>
      </c>
      <c r="F241" s="2838">
        <f t="shared" si="24"/>
        <v>0</v>
      </c>
      <c r="G241" s="2839"/>
      <c r="H241" s="2839">
        <f>Agricultura!D45</f>
        <v>0</v>
      </c>
      <c r="I241" s="2839"/>
      <c r="J241" s="2838"/>
      <c r="K241" s="2838">
        <f>Agricultura!B45</f>
        <v>0</v>
      </c>
      <c r="L241" s="2838"/>
      <c r="M241" s="2838"/>
      <c r="N241" s="2838">
        <f>Agricultura!E45</f>
        <v>0</v>
      </c>
      <c r="O241" s="2838"/>
      <c r="P241" s="2838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">
      <c r="B242" s="2838" t="s">
        <v>1838</v>
      </c>
      <c r="C242" s="2838" t="str">
        <f t="shared" si="25"/>
        <v/>
      </c>
      <c r="D242" s="2838"/>
      <c r="E242" s="2838">
        <f t="shared" si="23"/>
        <v>0</v>
      </c>
      <c r="F242" s="2838">
        <f t="shared" si="24"/>
        <v>0</v>
      </c>
      <c r="G242" s="2839"/>
      <c r="H242" s="2839">
        <f>Agricultura!D77</f>
        <v>0</v>
      </c>
      <c r="I242" s="2839"/>
      <c r="J242" s="2838"/>
      <c r="K242" s="2838">
        <f>Agricultura!B77</f>
        <v>0</v>
      </c>
      <c r="L242" s="2838"/>
      <c r="M242" s="2838"/>
      <c r="N242" s="2838">
        <f>Agricultura!E77</f>
        <v>0</v>
      </c>
      <c r="O242" s="2838"/>
      <c r="P242" s="2838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">
      <c r="B243" s="2838" t="s">
        <v>1839</v>
      </c>
      <c r="C243" s="2838" t="str">
        <f t="shared" si="25"/>
        <v/>
      </c>
      <c r="D243" s="2838"/>
      <c r="E243" s="2838">
        <f t="shared" si="23"/>
        <v>0</v>
      </c>
      <c r="F243" s="2838">
        <f t="shared" si="24"/>
        <v>0</v>
      </c>
      <c r="G243" s="2839"/>
      <c r="H243" s="2839">
        <f>Agricultura!D78</f>
        <v>0</v>
      </c>
      <c r="I243" s="2839"/>
      <c r="J243" s="2838"/>
      <c r="K243" s="2838">
        <f>Agricultura!B78</f>
        <v>0</v>
      </c>
      <c r="L243" s="2838"/>
      <c r="M243" s="2838"/>
      <c r="N243" s="2838">
        <f>Agricultura!E78</f>
        <v>0</v>
      </c>
      <c r="O243" s="2838"/>
      <c r="P243" s="2838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">
      <c r="B244" s="2838" t="s">
        <v>1840</v>
      </c>
      <c r="C244" s="2838" t="str">
        <f t="shared" si="25"/>
        <v/>
      </c>
      <c r="D244" s="2838"/>
      <c r="E244" s="2838">
        <f t="shared" si="23"/>
        <v>0</v>
      </c>
      <c r="F244" s="2838">
        <f t="shared" si="24"/>
        <v>0</v>
      </c>
      <c r="G244" s="2839"/>
      <c r="H244" s="2839">
        <f>Agricultura!D79</f>
        <v>0</v>
      </c>
      <c r="I244" s="2839"/>
      <c r="J244" s="2838"/>
      <c r="K244" s="2838">
        <f>Agricultura!B79</f>
        <v>0</v>
      </c>
      <c r="L244" s="2838"/>
      <c r="M244" s="2838"/>
      <c r="N244" s="2838">
        <f>Agricultura!E79</f>
        <v>0</v>
      </c>
      <c r="O244" s="2838"/>
      <c r="P244" s="2838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">
      <c r="B245" s="2838" t="s">
        <v>1841</v>
      </c>
      <c r="C245" s="2838" t="str">
        <f t="shared" si="25"/>
        <v/>
      </c>
      <c r="D245" s="2838"/>
      <c r="E245" s="2838">
        <f t="shared" si="23"/>
        <v>0</v>
      </c>
      <c r="F245" s="2838">
        <f t="shared" si="24"/>
        <v>0</v>
      </c>
      <c r="G245" s="2839"/>
      <c r="H245" s="2839">
        <f>Agricultura!D80</f>
        <v>0</v>
      </c>
      <c r="I245" s="2839"/>
      <c r="J245" s="2838"/>
      <c r="K245" s="2838">
        <f>Agricultura!B80</f>
        <v>0</v>
      </c>
      <c r="L245" s="2838"/>
      <c r="M245" s="2838"/>
      <c r="N245" s="2838">
        <f>Agricultura!E80</f>
        <v>0</v>
      </c>
      <c r="O245" s="2838"/>
      <c r="P245" s="2838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">
      <c r="B246" s="2838" t="s">
        <v>1842</v>
      </c>
      <c r="C246" s="2838" t="str">
        <f t="shared" si="25"/>
        <v/>
      </c>
      <c r="D246" s="2838"/>
      <c r="E246" s="2838">
        <f t="shared" si="23"/>
        <v>0</v>
      </c>
      <c r="F246" s="2838">
        <f t="shared" si="24"/>
        <v>0</v>
      </c>
      <c r="G246" s="2839"/>
      <c r="H246" s="2839">
        <f>Agricultura!D81</f>
        <v>0</v>
      </c>
      <c r="I246" s="2839"/>
      <c r="J246" s="2838"/>
      <c r="K246" s="2838">
        <f>Agricultura!B81</f>
        <v>0</v>
      </c>
      <c r="L246" s="2838"/>
      <c r="M246" s="2838"/>
      <c r="N246" s="2838">
        <f>Agricultura!E81</f>
        <v>0</v>
      </c>
      <c r="O246" s="2838"/>
      <c r="P246" s="2838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">
      <c r="B247" s="2838" t="s">
        <v>1843</v>
      </c>
      <c r="C247" s="2838" t="str">
        <f t="shared" si="25"/>
        <v/>
      </c>
      <c r="D247" s="2838"/>
      <c r="E247" s="2838">
        <f t="shared" si="23"/>
        <v>0</v>
      </c>
      <c r="F247" s="2838">
        <f t="shared" si="24"/>
        <v>0</v>
      </c>
      <c r="G247" s="2839"/>
      <c r="H247" s="2839">
        <f>Agricultura!D82</f>
        <v>0</v>
      </c>
      <c r="I247" s="2839"/>
      <c r="J247" s="2838"/>
      <c r="K247" s="2838">
        <f>Agricultura!B82</f>
        <v>0</v>
      </c>
      <c r="L247" s="2838"/>
      <c r="M247" s="2838"/>
      <c r="N247" s="2838">
        <f>Agricultura!E82</f>
        <v>0</v>
      </c>
      <c r="O247" s="2838"/>
      <c r="P247" s="2838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">
      <c r="B248" s="2838" t="s">
        <v>1844</v>
      </c>
      <c r="C248" s="2838" t="str">
        <f t="shared" si="25"/>
        <v/>
      </c>
      <c r="D248" s="2838"/>
      <c r="E248" s="2838">
        <f t="shared" si="23"/>
        <v>0</v>
      </c>
      <c r="F248" s="2838">
        <f t="shared" si="24"/>
        <v>0</v>
      </c>
      <c r="G248" s="2839"/>
      <c r="H248" s="2839">
        <f>Agricultura!D83</f>
        <v>0</v>
      </c>
      <c r="I248" s="2839"/>
      <c r="J248" s="2838"/>
      <c r="K248" s="2838">
        <f>Agricultura!B83</f>
        <v>0</v>
      </c>
      <c r="L248" s="2838"/>
      <c r="M248" s="2838"/>
      <c r="N248" s="2838">
        <f>Agricultura!E83</f>
        <v>0</v>
      </c>
      <c r="O248" s="2838"/>
      <c r="P248" s="283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">
      <c r="B249" s="2838" t="s">
        <v>1845</v>
      </c>
      <c r="C249" s="2838" t="str">
        <f t="shared" si="25"/>
        <v/>
      </c>
      <c r="D249" s="2838"/>
      <c r="E249" s="2838">
        <f t="shared" si="23"/>
        <v>0</v>
      </c>
      <c r="F249" s="2838">
        <f t="shared" si="24"/>
        <v>0</v>
      </c>
      <c r="G249" s="2839"/>
      <c r="H249" s="2839">
        <f>Agricultura!D84</f>
        <v>0</v>
      </c>
      <c r="I249" s="2839"/>
      <c r="J249" s="2838"/>
      <c r="K249" s="2838">
        <f>Agricultura!B84</f>
        <v>0</v>
      </c>
      <c r="L249" s="2838"/>
      <c r="M249" s="2838"/>
      <c r="N249" s="2838">
        <f>Agricultura!E84</f>
        <v>0</v>
      </c>
      <c r="O249" s="2838"/>
      <c r="P249" s="2838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">
      <c r="B250" s="2838" t="s">
        <v>1846</v>
      </c>
      <c r="C250" s="2838" t="str">
        <f t="shared" si="25"/>
        <v/>
      </c>
      <c r="D250" s="2838"/>
      <c r="E250" s="2838">
        <f t="shared" si="23"/>
        <v>0</v>
      </c>
      <c r="F250" s="2838">
        <f t="shared" si="24"/>
        <v>0</v>
      </c>
      <c r="G250" s="2839"/>
      <c r="H250" s="2839">
        <f>Agricultura!D85</f>
        <v>0</v>
      </c>
      <c r="I250" s="2839"/>
      <c r="J250" s="2838"/>
      <c r="K250" s="2838">
        <f>Agricultura!B85</f>
        <v>0</v>
      </c>
      <c r="L250" s="2838"/>
      <c r="M250" s="2838"/>
      <c r="N250" s="2838">
        <f>Agricultura!E85</f>
        <v>0</v>
      </c>
      <c r="O250" s="2838"/>
      <c r="P250" s="2838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">
      <c r="B251" s="2838" t="s">
        <v>1847</v>
      </c>
      <c r="C251" s="2838" t="str">
        <f t="shared" si="25"/>
        <v/>
      </c>
      <c r="D251" s="2838"/>
      <c r="E251" s="2838">
        <f t="shared" si="23"/>
        <v>0</v>
      </c>
      <c r="F251" s="2838">
        <f t="shared" si="24"/>
        <v>0</v>
      </c>
      <c r="G251" s="2839"/>
      <c r="H251" s="2839">
        <f>Agricultura!D86</f>
        <v>0</v>
      </c>
      <c r="I251" s="2839"/>
      <c r="J251" s="2838"/>
      <c r="K251" s="2838">
        <f>Agricultura!B86</f>
        <v>0</v>
      </c>
      <c r="L251" s="2838"/>
      <c r="M251" s="2838"/>
      <c r="N251" s="2838">
        <f>Agricultura!E86</f>
        <v>0</v>
      </c>
      <c r="O251" s="2838"/>
      <c r="P251" s="2838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">
      <c r="A252" s="189"/>
      <c r="B252" s="189"/>
      <c r="C252" s="189"/>
      <c r="D252" s="189"/>
      <c r="E252" s="189"/>
      <c r="F252" s="189"/>
      <c r="G252" s="2448"/>
      <c r="H252" s="2448"/>
      <c r="I252" s="2448"/>
      <c r="J252" s="189"/>
      <c r="K252" s="189"/>
      <c r="L252" s="189"/>
      <c r="M252" s="189"/>
      <c r="N252" s="189"/>
      <c r="O252" s="189"/>
      <c r="P252" s="189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">
      <c r="B253" s="2841" t="s">
        <v>1848</v>
      </c>
      <c r="C253" s="2841" t="str">
        <f t="shared" si="25"/>
        <v/>
      </c>
      <c r="D253" s="2841"/>
      <c r="E253" s="2841">
        <f t="shared" si="23"/>
        <v>0</v>
      </c>
      <c r="F253" s="2841">
        <f t="shared" si="24"/>
        <v>0</v>
      </c>
      <c r="G253" s="2842"/>
      <c r="H253" s="2842">
        <f>IF(K253=0,0,Suplementação!F7)</f>
        <v>0</v>
      </c>
      <c r="I253" s="2842"/>
      <c r="J253" s="2841"/>
      <c r="K253" s="2841">
        <f>VLOOKUP(M253,Listas!$D$186:$E$224,2,)</f>
        <v>0</v>
      </c>
      <c r="L253" s="2841"/>
      <c r="M253" s="2841">
        <f>Suplementação!C7</f>
        <v>1</v>
      </c>
      <c r="N253" s="2841" t="e">
        <f>Suplementação!M7</f>
        <v>#DIV/0!</v>
      </c>
      <c r="O253" s="2843">
        <v>24</v>
      </c>
      <c r="P253" s="25">
        <v>16</v>
      </c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">
      <c r="B254" s="2841" t="s">
        <v>1849</v>
      </c>
      <c r="C254" s="2841" t="str">
        <f t="shared" si="25"/>
        <v>ins.52 58</v>
      </c>
      <c r="D254" s="2841"/>
      <c r="E254" s="2841">
        <f t="shared" si="23"/>
        <v>58</v>
      </c>
      <c r="F254" s="2841">
        <f t="shared" si="24"/>
        <v>22</v>
      </c>
      <c r="G254" s="2842"/>
      <c r="H254" s="2842">
        <f>IF(K254=0,0,Suplementação!F8)</f>
        <v>40</v>
      </c>
      <c r="I254" s="2842"/>
      <c r="J254" s="2841"/>
      <c r="K254" s="2841" t="str">
        <f>VLOOKUP(M254,Listas!$D$186:$E$224,2,)</f>
        <v>Sal Mineral 60 g de P 30 kg</v>
      </c>
      <c r="L254" s="2841"/>
      <c r="M254" s="2841">
        <f>IF(Suplementação!C8=Suplementação!C7,0,Suplementação!C8)</f>
        <v>12</v>
      </c>
      <c r="N254" s="2841" t="e">
        <f>IF(Suplementação!M8=Suplementação!M7,0,Suplementação!M8)</f>
        <v>#DIV/0!</v>
      </c>
      <c r="O254" s="2843">
        <v>24</v>
      </c>
      <c r="P254" s="25">
        <v>16</v>
      </c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">
      <c r="B255" s="2841" t="s">
        <v>1850</v>
      </c>
      <c r="C255" s="2841" t="str">
        <f t="shared" si="25"/>
        <v/>
      </c>
      <c r="D255" s="2841"/>
      <c r="E255" s="2841">
        <f t="shared" si="23"/>
        <v>0</v>
      </c>
      <c r="F255" s="2841">
        <f t="shared" si="24"/>
        <v>0</v>
      </c>
      <c r="G255" s="2842"/>
      <c r="H255" s="2842">
        <f>IF(K255=0,0,Suplementação!F9)</f>
        <v>0</v>
      </c>
      <c r="I255" s="2842"/>
      <c r="J255" s="2841"/>
      <c r="K255" s="2841">
        <f>VLOOKUP(M255,Listas!$D$186:$E$224,2,)</f>
        <v>0</v>
      </c>
      <c r="L255" s="2841"/>
      <c r="M255" s="2841">
        <f>IF(Suplementação!C9=Suplementação!C8,0,Suplementação!C9)</f>
        <v>0</v>
      </c>
      <c r="N255" s="2841">
        <f>IF(Suplementação!M9=Suplementação!M8,0,Suplementação!M9)</f>
        <v>6.8888888888888888E-2</v>
      </c>
      <c r="O255" s="2843">
        <v>24</v>
      </c>
      <c r="P255" s="25">
        <v>16</v>
      </c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">
      <c r="B256" s="2841" t="s">
        <v>1851</v>
      </c>
      <c r="C256" s="2841" t="str">
        <f t="shared" si="25"/>
        <v/>
      </c>
      <c r="D256" s="2841"/>
      <c r="E256" s="2841">
        <f t="shared" si="23"/>
        <v>0</v>
      </c>
      <c r="F256" s="2841">
        <f t="shared" si="24"/>
        <v>0</v>
      </c>
      <c r="G256" s="2842"/>
      <c r="H256" s="2842">
        <f>IF(K256=0,0,Suplementação!F10)</f>
        <v>0</v>
      </c>
      <c r="I256" s="2842"/>
      <c r="J256" s="2841"/>
      <c r="K256" s="2841">
        <f>VLOOKUP(M256,Listas!$D$186:$E$224,2,)</f>
        <v>0</v>
      </c>
      <c r="L256" s="2841"/>
      <c r="M256" s="2841">
        <f>IF(Suplementação!C10=Suplementação!C9,0,Suplementação!C10)</f>
        <v>0</v>
      </c>
      <c r="N256" s="2841">
        <f>IF(Suplementação!M10=Suplementação!M9,0,Suplementação!M10)</f>
        <v>9.4111111111111118E-2</v>
      </c>
      <c r="O256" s="2843">
        <v>24</v>
      </c>
      <c r="P256" s="25">
        <v>16</v>
      </c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2:16" customFormat="1" x14ac:dyDescent="0.2">
      <c r="B257" s="2841" t="s">
        <v>1852</v>
      </c>
      <c r="C257" s="2841" t="str">
        <f t="shared" si="25"/>
        <v/>
      </c>
      <c r="D257" s="2841"/>
      <c r="E257" s="2841">
        <f t="shared" si="23"/>
        <v>0</v>
      </c>
      <c r="F257" s="2841">
        <f t="shared" si="24"/>
        <v>0</v>
      </c>
      <c r="G257" s="2842"/>
      <c r="H257" s="2842">
        <f>IF(K257=0,0,Suplementação!F11)</f>
        <v>0</v>
      </c>
      <c r="I257" s="2842"/>
      <c r="J257" s="2841"/>
      <c r="K257" s="2841">
        <f>VLOOKUP(M257,Listas!$D$186:$E$224,2,)</f>
        <v>0</v>
      </c>
      <c r="L257" s="2841"/>
      <c r="M257" s="2841">
        <f>IF(Suplementação!C11=Suplementação!C10,0,Suplementação!C11)</f>
        <v>1</v>
      </c>
      <c r="N257" s="2841">
        <f>IF(Suplementação!M11=Suplementação!M10,0,Suplementação!M11)</f>
        <v>0</v>
      </c>
      <c r="O257" s="2843">
        <v>24</v>
      </c>
      <c r="P257" s="25">
        <v>16</v>
      </c>
    </row>
    <row r="258" spans="2:16" customFormat="1" x14ac:dyDescent="0.2">
      <c r="B258" s="2841" t="s">
        <v>1853</v>
      </c>
      <c r="C258" s="2841" t="str">
        <f t="shared" si="25"/>
        <v>ins.56 58</v>
      </c>
      <c r="D258" s="2841"/>
      <c r="E258" s="2841">
        <f t="shared" si="23"/>
        <v>58</v>
      </c>
      <c r="F258" s="2841">
        <f t="shared" si="24"/>
        <v>22</v>
      </c>
      <c r="G258" s="2842"/>
      <c r="H258" s="2842">
        <f>IF(K258=0,0,Suplementação!F12)</f>
        <v>40</v>
      </c>
      <c r="I258" s="2842"/>
      <c r="J258" s="2841"/>
      <c r="K258" s="2841" t="str">
        <f>VLOOKUP(M258,Listas!$D$186:$E$224,2,)</f>
        <v>Sal Proteinado Secas 30 kg</v>
      </c>
      <c r="L258" s="2841"/>
      <c r="M258" s="2841">
        <f>IF(Suplementação!C12=Suplementação!C11,0,Suplementação!C12)</f>
        <v>38</v>
      </c>
      <c r="N258" s="2841">
        <f>IF(Suplementação!M12=Suplementação!M11,0,Suplementação!M12)</f>
        <v>0.16722222222222222</v>
      </c>
      <c r="O258" s="2843">
        <v>24</v>
      </c>
      <c r="P258" s="25">
        <v>16</v>
      </c>
    </row>
    <row r="259" spans="2:16" customFormat="1" x14ac:dyDescent="0.2">
      <c r="B259" s="2841" t="s">
        <v>1854</v>
      </c>
      <c r="C259" s="2841" t="str">
        <f t="shared" si="25"/>
        <v/>
      </c>
      <c r="D259" s="2841"/>
      <c r="E259" s="2841">
        <f t="shared" si="23"/>
        <v>0</v>
      </c>
      <c r="F259" s="2841">
        <f t="shared" si="24"/>
        <v>0</v>
      </c>
      <c r="G259" s="2842"/>
      <c r="H259" s="2842">
        <f>IF(K259=0,0,Suplementação!F13)</f>
        <v>0</v>
      </c>
      <c r="I259" s="2842"/>
      <c r="J259" s="2841"/>
      <c r="K259" s="2841">
        <f>VLOOKUP(M259,Listas!$D$186:$E$224,2,)</f>
        <v>0</v>
      </c>
      <c r="L259" s="2841"/>
      <c r="M259" s="2841">
        <f>IF(Suplementação!C13=Suplementação!C12,0,Suplementação!C13)</f>
        <v>0</v>
      </c>
      <c r="N259" s="2841">
        <f>IF(Suplementação!M13=Suplementação!M12,0,Suplementação!M13)</f>
        <v>0.24111111111111108</v>
      </c>
      <c r="O259" s="2843">
        <v>24</v>
      </c>
      <c r="P259" s="25">
        <v>16</v>
      </c>
    </row>
    <row r="260" spans="2:16" customFormat="1" x14ac:dyDescent="0.2">
      <c r="B260" s="2841" t="s">
        <v>1855</v>
      </c>
      <c r="C260" s="2841" t="str">
        <f t="shared" si="25"/>
        <v/>
      </c>
      <c r="D260" s="2841"/>
      <c r="E260" s="2841">
        <f t="shared" si="23"/>
        <v>0</v>
      </c>
      <c r="F260" s="2841">
        <f t="shared" si="24"/>
        <v>0</v>
      </c>
      <c r="G260" s="2842"/>
      <c r="H260" s="2842">
        <f>IF(K260=0,0,Suplementação!F14)</f>
        <v>0</v>
      </c>
      <c r="I260" s="2842"/>
      <c r="J260" s="2841"/>
      <c r="K260" s="2841">
        <f>VLOOKUP(M260,Listas!$D$186:$E$224,2,)</f>
        <v>0</v>
      </c>
      <c r="L260" s="2841"/>
      <c r="M260" s="2841">
        <f>IF(Suplementação!C14=Suplementação!C13,0,Suplementação!C14)</f>
        <v>0</v>
      </c>
      <c r="N260" s="2841">
        <f>IF(Suplementação!M14=Suplementação!M13,0,Suplementação!M14)</f>
        <v>0.3293888888888889</v>
      </c>
      <c r="O260" s="2843">
        <v>24</v>
      </c>
      <c r="P260" s="25">
        <v>16</v>
      </c>
    </row>
    <row r="261" spans="2:16" customFormat="1" x14ac:dyDescent="0.2">
      <c r="B261" s="2841" t="s">
        <v>1856</v>
      </c>
      <c r="C261" s="2841" t="str">
        <f t="shared" si="25"/>
        <v/>
      </c>
      <c r="D261" s="2841"/>
      <c r="E261" s="2841">
        <f t="shared" si="23"/>
        <v>0</v>
      </c>
      <c r="F261" s="2841">
        <f t="shared" si="24"/>
        <v>0</v>
      </c>
      <c r="G261" s="2842"/>
      <c r="H261" s="2842">
        <f>IF(K261=0,0,Suplementação!F15)</f>
        <v>0</v>
      </c>
      <c r="I261" s="2842"/>
      <c r="J261" s="2841"/>
      <c r="K261" s="2841">
        <f>VLOOKUP(M261,Listas!$D$186:$E$224,2,)</f>
        <v>0</v>
      </c>
      <c r="L261" s="2841"/>
      <c r="M261" s="2841">
        <f>IF(Suplementação!C15=Suplementação!C14,0,Suplementação!C15)</f>
        <v>1</v>
      </c>
      <c r="N261" s="2841">
        <f>IF(Suplementação!M15=Suplementação!M14,0,Suplementação!M15)</f>
        <v>0</v>
      </c>
      <c r="O261" s="2843">
        <v>24</v>
      </c>
      <c r="P261" s="25">
        <v>16</v>
      </c>
    </row>
    <row r="262" spans="2:16" customFormat="1" x14ac:dyDescent="0.2">
      <c r="B262" s="2841" t="s">
        <v>1857</v>
      </c>
      <c r="C262" s="2841" t="str">
        <f t="shared" si="25"/>
        <v/>
      </c>
      <c r="D262" s="2841"/>
      <c r="E262" s="2841">
        <f t="shared" si="23"/>
        <v>0</v>
      </c>
      <c r="F262" s="2841">
        <f t="shared" si="24"/>
        <v>0</v>
      </c>
      <c r="G262" s="2842"/>
      <c r="H262" s="2842">
        <f>IF(K262=0,0,Suplementação!F16)</f>
        <v>0</v>
      </c>
      <c r="I262" s="2842"/>
      <c r="J262" s="2841"/>
      <c r="K262" s="2841">
        <f>VLOOKUP(M262,Listas!$D$186:$E$224,2,)</f>
        <v>0</v>
      </c>
      <c r="L262" s="2841"/>
      <c r="M262" s="2841">
        <f>IF(Suplementação!C16=Suplementação!C15,0,Suplementação!C16)</f>
        <v>0</v>
      </c>
      <c r="N262" s="2841">
        <f>IF(Suplementação!M16=Suplementação!M15,0,Suplementação!M16)</f>
        <v>0</v>
      </c>
      <c r="O262" s="2843">
        <v>24</v>
      </c>
      <c r="P262" s="25">
        <v>16</v>
      </c>
    </row>
    <row r="263" spans="2:16" customFormat="1" x14ac:dyDescent="0.2">
      <c r="B263" s="2841" t="s">
        <v>1858</v>
      </c>
      <c r="C263" s="2841" t="str">
        <f t="shared" si="25"/>
        <v/>
      </c>
      <c r="D263" s="2841"/>
      <c r="E263" s="2841">
        <f t="shared" si="23"/>
        <v>0</v>
      </c>
      <c r="F263" s="2841">
        <f t="shared" si="24"/>
        <v>0</v>
      </c>
      <c r="G263" s="2842"/>
      <c r="H263" s="2842">
        <f>IF(K263=0,0,Suplementação!F17)</f>
        <v>0</v>
      </c>
      <c r="I263" s="2842"/>
      <c r="J263" s="2841"/>
      <c r="K263" s="2841">
        <f>VLOOKUP(M263,Listas!$D$186:$E$224,2,)</f>
        <v>0</v>
      </c>
      <c r="L263" s="2841"/>
      <c r="M263" s="2841">
        <f>IF(Suplementação!C17=Suplementação!C16,0,Suplementação!C17)</f>
        <v>0</v>
      </c>
      <c r="N263" s="2841">
        <f>IF(Suplementação!M17=Suplementação!M16,0,Suplementação!M17)</f>
        <v>0</v>
      </c>
      <c r="O263" s="2843">
        <v>24</v>
      </c>
      <c r="P263" s="25">
        <v>16</v>
      </c>
    </row>
    <row r="264" spans="2:16" customFormat="1" x14ac:dyDescent="0.2">
      <c r="B264" s="2841" t="s">
        <v>1859</v>
      </c>
      <c r="C264" s="2841" t="str">
        <f t="shared" si="25"/>
        <v/>
      </c>
      <c r="D264" s="2841"/>
      <c r="E264" s="2841">
        <f t="shared" si="23"/>
        <v>0</v>
      </c>
      <c r="F264" s="2841">
        <f t="shared" si="24"/>
        <v>0</v>
      </c>
      <c r="G264" s="2842"/>
      <c r="H264" s="2842">
        <f>IF(K264=0,0,Suplementação!F18)</f>
        <v>0</v>
      </c>
      <c r="I264" s="2842"/>
      <c r="J264" s="2841"/>
      <c r="K264" s="2841">
        <f>VLOOKUP(M264,Listas!$D$186:$E$224,2,)</f>
        <v>0</v>
      </c>
      <c r="L264" s="2841"/>
      <c r="M264" s="2841">
        <f>IF(Suplementação!C18=Suplementação!C17,0,Suplementação!C18)</f>
        <v>0</v>
      </c>
      <c r="N264" s="2841">
        <f>IF(Suplementação!M18=Suplementação!M17,0,Suplementação!M18)</f>
        <v>0</v>
      </c>
      <c r="O264" s="2843">
        <v>24</v>
      </c>
      <c r="P264" s="25">
        <v>16</v>
      </c>
    </row>
    <row r="265" spans="2:16" customFormat="1" x14ac:dyDescent="0.2">
      <c r="B265" s="2841" t="s">
        <v>1860</v>
      </c>
      <c r="C265" s="2841" t="str">
        <f t="shared" si="25"/>
        <v/>
      </c>
      <c r="D265" s="2841"/>
      <c r="E265" s="2841">
        <f t="shared" si="23"/>
        <v>0</v>
      </c>
      <c r="F265" s="2841">
        <f t="shared" si="24"/>
        <v>0</v>
      </c>
      <c r="G265" s="2842"/>
      <c r="H265" s="2842">
        <f>IF(K265=0,0,Suplementação!F19)</f>
        <v>0</v>
      </c>
      <c r="I265" s="2842"/>
      <c r="J265" s="2841"/>
      <c r="K265" s="2841">
        <f>VLOOKUP(M265,Listas!$D$186:$E$224,2,)</f>
        <v>0</v>
      </c>
      <c r="L265" s="2841"/>
      <c r="M265" s="2841">
        <f>IF(Suplementação!C19=Suplementação!C18,0,Suplementação!C19)</f>
        <v>0</v>
      </c>
      <c r="N265" s="2841">
        <f>IF(Suplementação!M19=Suplementação!M18,0,Suplementação!M19)</f>
        <v>0</v>
      </c>
      <c r="O265" s="2843">
        <v>24</v>
      </c>
      <c r="P265" s="25">
        <v>16</v>
      </c>
    </row>
    <row r="266" spans="2:16" customFormat="1" x14ac:dyDescent="0.2">
      <c r="B266" s="2841" t="s">
        <v>1861</v>
      </c>
      <c r="C266" s="2841" t="str">
        <f t="shared" si="25"/>
        <v/>
      </c>
      <c r="D266" s="2841"/>
      <c r="E266" s="2841">
        <f t="shared" si="23"/>
        <v>0</v>
      </c>
      <c r="F266" s="2841">
        <f t="shared" si="24"/>
        <v>0</v>
      </c>
      <c r="G266" s="2842"/>
      <c r="H266" s="2842">
        <f>IF(K266=0,0,Suplementação!F20)</f>
        <v>0</v>
      </c>
      <c r="I266" s="2842"/>
      <c r="J266" s="2841"/>
      <c r="K266" s="2841">
        <f>VLOOKUP(M266,Listas!$D$186:$E$224,2,)</f>
        <v>0</v>
      </c>
      <c r="L266" s="2841"/>
      <c r="M266" s="2841">
        <f>IF(Suplementação!C20=Suplementação!C19,0,Suplementação!C20)</f>
        <v>0</v>
      </c>
      <c r="N266" s="2841">
        <f>IF(Suplementação!M20=Suplementação!M19,0,Suplementação!M20)</f>
        <v>0</v>
      </c>
      <c r="O266" s="2843">
        <v>24</v>
      </c>
      <c r="P266" s="25">
        <v>16</v>
      </c>
    </row>
    <row r="267" spans="2:16" customFormat="1" x14ac:dyDescent="0.2">
      <c r="B267" s="2841" t="s">
        <v>1862</v>
      </c>
      <c r="C267" s="2841" t="str">
        <f t="shared" si="25"/>
        <v/>
      </c>
      <c r="D267" s="2841"/>
      <c r="E267" s="2841">
        <f t="shared" ref="E267:E332" si="26">IF(F267=22,$E$1,0)</f>
        <v>0</v>
      </c>
      <c r="F267" s="2841">
        <f t="shared" ref="F267:F307" si="27">IF(H267=0,0,22)</f>
        <v>0</v>
      </c>
      <c r="G267" s="2842"/>
      <c r="H267" s="2842">
        <f>IF(K267=0,0,Suplementação!F21)</f>
        <v>0</v>
      </c>
      <c r="I267" s="2842"/>
      <c r="J267" s="2841"/>
      <c r="K267" s="2841">
        <f>VLOOKUP(M267,Listas!$D$186:$E$224,2,)</f>
        <v>0</v>
      </c>
      <c r="L267" s="2841"/>
      <c r="M267" s="2841">
        <f>IF(Suplementação!C21=Suplementação!C20,0,Suplementação!C21)</f>
        <v>0</v>
      </c>
      <c r="N267" s="2841">
        <f>IF(Suplementação!M21=Suplementação!M20,0,Suplementação!M21)</f>
        <v>0</v>
      </c>
      <c r="O267" s="2843">
        <v>24</v>
      </c>
      <c r="P267" s="25">
        <v>16</v>
      </c>
    </row>
    <row r="268" spans="2:16" customFormat="1" x14ac:dyDescent="0.2">
      <c r="B268" s="2841" t="s">
        <v>1863</v>
      </c>
      <c r="C268" s="2841" t="str">
        <f t="shared" ref="C268:C333" si="28">IF(F268=22,B268&amp;" "&amp;E268,"")</f>
        <v/>
      </c>
      <c r="D268" s="2841"/>
      <c r="E268" s="2841">
        <f t="shared" si="26"/>
        <v>0</v>
      </c>
      <c r="F268" s="2841">
        <f t="shared" si="27"/>
        <v>0</v>
      </c>
      <c r="G268" s="2842"/>
      <c r="H268" s="2842">
        <f>IF(K268=0,0,Suplementação!F22)</f>
        <v>0</v>
      </c>
      <c r="I268" s="2842"/>
      <c r="J268" s="2841"/>
      <c r="K268" s="2841">
        <f>VLOOKUP(M268,Listas!$D$186:$E$224,2,)</f>
        <v>0</v>
      </c>
      <c r="L268" s="2841"/>
      <c r="M268" s="2841">
        <f>IF(Suplementação!C22=Suplementação!C21,0,Suplementação!C22)</f>
        <v>0</v>
      </c>
      <c r="N268" s="2841">
        <f>IF(Suplementação!M22=Suplementação!M21,0,Suplementação!M22)</f>
        <v>0</v>
      </c>
      <c r="O268" s="2843">
        <v>24</v>
      </c>
      <c r="P268" s="25">
        <v>16</v>
      </c>
    </row>
    <row r="269" spans="2:16" customFormat="1" x14ac:dyDescent="0.2">
      <c r="B269" s="2841" t="s">
        <v>1864</v>
      </c>
      <c r="C269" s="2841" t="str">
        <f t="shared" si="28"/>
        <v/>
      </c>
      <c r="D269" s="2841"/>
      <c r="E269" s="2841">
        <f t="shared" si="26"/>
        <v>0</v>
      </c>
      <c r="F269" s="2841">
        <f t="shared" si="27"/>
        <v>0</v>
      </c>
      <c r="G269" s="2842"/>
      <c r="H269" s="2842">
        <f>IF(K269=0,0,Suplementação!F23)</f>
        <v>0</v>
      </c>
      <c r="I269" s="2842"/>
      <c r="J269" s="2841"/>
      <c r="K269" s="2841">
        <f>VLOOKUP(M269,Listas!$D$186:$E$224,2,)</f>
        <v>0</v>
      </c>
      <c r="L269" s="2841"/>
      <c r="M269" s="2841">
        <f>IF(Suplementação!C23=Suplementação!C22,0,Suplementação!C23)</f>
        <v>0</v>
      </c>
      <c r="N269" s="2841">
        <f>IF(Suplementação!M23=Suplementação!M22,0,Suplementação!M23)</f>
        <v>0</v>
      </c>
      <c r="O269" s="2843">
        <v>24</v>
      </c>
      <c r="P269" s="25">
        <v>16</v>
      </c>
    </row>
    <row r="270" spans="2:16" customFormat="1" x14ac:dyDescent="0.2">
      <c r="B270" s="2841" t="s">
        <v>1865</v>
      </c>
      <c r="C270" s="2841" t="str">
        <f t="shared" si="28"/>
        <v/>
      </c>
      <c r="D270" s="2841"/>
      <c r="E270" s="2841">
        <f t="shared" si="26"/>
        <v>0</v>
      </c>
      <c r="F270" s="2841">
        <f t="shared" si="27"/>
        <v>0</v>
      </c>
      <c r="G270" s="2842"/>
      <c r="H270" s="2842">
        <f>IF(K270=0,0,Suplementação!F24)</f>
        <v>0</v>
      </c>
      <c r="I270" s="2842"/>
      <c r="J270" s="2841"/>
      <c r="K270" s="2841">
        <f>VLOOKUP(M270,Listas!$D$186:$E$224,2,)</f>
        <v>0</v>
      </c>
      <c r="L270" s="2841"/>
      <c r="M270" s="2841">
        <f>IF(Suplementação!C24=Suplementação!C23,0,Suplementação!C24)</f>
        <v>0</v>
      </c>
      <c r="N270" s="2841">
        <f>IF(Suplementação!M24=Suplementação!M23,0,Suplementação!M24)</f>
        <v>0</v>
      </c>
      <c r="O270" s="2843">
        <v>24</v>
      </c>
      <c r="P270" s="25">
        <v>16</v>
      </c>
    </row>
    <row r="271" spans="2:16" customFormat="1" x14ac:dyDescent="0.2">
      <c r="B271" s="2841" t="s">
        <v>1866</v>
      </c>
      <c r="C271" s="2841" t="str">
        <f t="shared" si="28"/>
        <v/>
      </c>
      <c r="D271" s="2841"/>
      <c r="E271" s="2841">
        <f t="shared" si="26"/>
        <v>0</v>
      </c>
      <c r="F271" s="2841">
        <f t="shared" si="27"/>
        <v>0</v>
      </c>
      <c r="G271" s="2842"/>
      <c r="H271" s="2842">
        <f>IF(K271=0,0,Suplementação!F25)</f>
        <v>0</v>
      </c>
      <c r="I271" s="2842"/>
      <c r="J271" s="2841"/>
      <c r="K271" s="2841">
        <f>VLOOKUP(M271,Listas!$D$186:$E$224,2,)</f>
        <v>0</v>
      </c>
      <c r="L271" s="2841"/>
      <c r="M271" s="2841">
        <f>IF(Suplementação!C25=Suplementação!C24,0,Suplementação!C25)</f>
        <v>0</v>
      </c>
      <c r="N271" s="2841">
        <f>IF(Suplementação!M25=Suplementação!M24,0,Suplementação!M25)</f>
        <v>0</v>
      </c>
      <c r="O271" s="2843">
        <v>24</v>
      </c>
      <c r="P271" s="25">
        <v>16</v>
      </c>
    </row>
    <row r="272" spans="2:16" customFormat="1" x14ac:dyDescent="0.2">
      <c r="B272" s="2841" t="s">
        <v>1867</v>
      </c>
      <c r="C272" s="2841" t="str">
        <f t="shared" si="28"/>
        <v/>
      </c>
      <c r="D272" s="2841"/>
      <c r="E272" s="2841">
        <f t="shared" si="26"/>
        <v>0</v>
      </c>
      <c r="F272" s="2841">
        <f t="shared" si="27"/>
        <v>0</v>
      </c>
      <c r="G272" s="2842"/>
      <c r="H272" s="2842">
        <f>IF(K272=0,0,Suplementação!F26)</f>
        <v>0</v>
      </c>
      <c r="I272" s="2842"/>
      <c r="J272" s="2841"/>
      <c r="K272" s="2841">
        <f>VLOOKUP(M272,Listas!$D$186:$E$224,2,)</f>
        <v>0</v>
      </c>
      <c r="L272" s="2841"/>
      <c r="M272" s="2841">
        <f>IF(Suplementação!C26=Suplementação!C25,0,Suplementação!C26)</f>
        <v>0</v>
      </c>
      <c r="N272" s="2841">
        <f>IF(Suplementação!M26=Suplementação!M25,0,Suplementação!M26)</f>
        <v>0</v>
      </c>
      <c r="O272" s="2843">
        <v>24</v>
      </c>
      <c r="P272" s="25">
        <v>16</v>
      </c>
    </row>
    <row r="273" spans="1:52" x14ac:dyDescent="0.2">
      <c r="B273" s="2841" t="s">
        <v>1868</v>
      </c>
      <c r="C273" s="2841" t="str">
        <f t="shared" si="28"/>
        <v/>
      </c>
      <c r="D273" s="2841"/>
      <c r="E273" s="2841">
        <f t="shared" si="26"/>
        <v>0</v>
      </c>
      <c r="F273" s="2841">
        <f t="shared" si="27"/>
        <v>0</v>
      </c>
      <c r="G273" s="2842"/>
      <c r="H273" s="2842">
        <f>IF(K273=0,0,Suplementação!F27)</f>
        <v>0</v>
      </c>
      <c r="I273" s="2842"/>
      <c r="J273" s="2841"/>
      <c r="K273" s="2841">
        <f>VLOOKUP(M273,Listas!$D$186:$E$224,2,)</f>
        <v>0</v>
      </c>
      <c r="L273" s="2841"/>
      <c r="M273" s="2841">
        <f>IF(Suplementação!C27=Suplementação!C26,0,Suplementação!C27)</f>
        <v>0</v>
      </c>
      <c r="N273" s="2841">
        <f>IF(Suplementação!M27=Suplementação!M26,0,Suplementação!M27)</f>
        <v>0</v>
      </c>
      <c r="O273" s="2843">
        <v>24</v>
      </c>
      <c r="P273" s="25">
        <v>16</v>
      </c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</row>
    <row r="274" spans="1:52" x14ac:dyDescent="0.2">
      <c r="B274" s="2841" t="s">
        <v>1869</v>
      </c>
      <c r="C274" s="2841" t="str">
        <f t="shared" si="28"/>
        <v/>
      </c>
      <c r="D274" s="2841"/>
      <c r="E274" s="2841">
        <f t="shared" si="26"/>
        <v>0</v>
      </c>
      <c r="F274" s="2841">
        <f t="shared" si="27"/>
        <v>0</v>
      </c>
      <c r="G274" s="2842"/>
      <c r="H274" s="2842">
        <f>IF(K274=0,0,Suplementação!F28)</f>
        <v>0</v>
      </c>
      <c r="I274" s="2842"/>
      <c r="J274" s="2841"/>
      <c r="K274" s="2841">
        <f>VLOOKUP(M274,Listas!$D$186:$E$224,2,)</f>
        <v>0</v>
      </c>
      <c r="L274" s="2841"/>
      <c r="M274" s="2841">
        <f>IF(Suplementação!C28=Suplementação!C27,0,Suplementação!C28)</f>
        <v>0</v>
      </c>
      <c r="N274" s="2841">
        <f>IF(Suplementação!M28=Suplementação!M27,0,Suplementação!M28)</f>
        <v>0</v>
      </c>
      <c r="O274" s="2843">
        <v>24</v>
      </c>
      <c r="P274" s="25">
        <v>16</v>
      </c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</row>
    <row r="275" spans="1:52" x14ac:dyDescent="0.2">
      <c r="B275" s="2841" t="s">
        <v>1870</v>
      </c>
      <c r="C275" s="2841" t="str">
        <f t="shared" si="28"/>
        <v/>
      </c>
      <c r="D275" s="2841"/>
      <c r="E275" s="2841">
        <f t="shared" si="26"/>
        <v>0</v>
      </c>
      <c r="F275" s="2841">
        <f t="shared" si="27"/>
        <v>0</v>
      </c>
      <c r="G275" s="2842"/>
      <c r="H275" s="2842">
        <f>IF(K275=0,0,Suplementação!F29)</f>
        <v>0</v>
      </c>
      <c r="I275" s="2842"/>
      <c r="J275" s="2841"/>
      <c r="K275" s="2841">
        <f>VLOOKUP(M275,Listas!$D$186:$E$224,2,)</f>
        <v>0</v>
      </c>
      <c r="L275" s="2841"/>
      <c r="M275" s="2841">
        <f>IF(Suplementação!C29=Suplementação!C28,0,Suplementação!C29)</f>
        <v>0</v>
      </c>
      <c r="N275" s="2841">
        <f>IF(Suplementação!M29=Suplementação!M28,0,Suplementação!M29)</f>
        <v>0</v>
      </c>
      <c r="O275" s="2843">
        <v>24</v>
      </c>
      <c r="P275" s="25">
        <v>16</v>
      </c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</row>
    <row r="276" spans="1:52" x14ac:dyDescent="0.2">
      <c r="B276" s="2841" t="s">
        <v>1871</v>
      </c>
      <c r="C276" s="2841" t="str">
        <f t="shared" si="28"/>
        <v/>
      </c>
      <c r="D276" s="2841"/>
      <c r="E276" s="2841">
        <f t="shared" si="26"/>
        <v>0</v>
      </c>
      <c r="F276" s="2841">
        <f t="shared" si="27"/>
        <v>0</v>
      </c>
      <c r="G276" s="2842"/>
      <c r="H276" s="2842">
        <f>IF(K276=0,0,Suplementação!F30)</f>
        <v>0</v>
      </c>
      <c r="I276" s="2842"/>
      <c r="J276" s="2841"/>
      <c r="K276" s="2841">
        <f>VLOOKUP(M276,Listas!$D$186:$E$224,2,)</f>
        <v>0</v>
      </c>
      <c r="L276" s="2841"/>
      <c r="M276" s="2841">
        <f>IF(Suplementação!C30=Suplementação!C29,0,Suplementação!C30)</f>
        <v>0</v>
      </c>
      <c r="N276" s="2841">
        <f>IF(Suplementação!M30=Suplementação!M29,0,Suplementação!M30)</f>
        <v>0</v>
      </c>
      <c r="O276" s="2843">
        <v>24</v>
      </c>
      <c r="P276" s="25">
        <v>16</v>
      </c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</row>
    <row r="277" spans="1:52" x14ac:dyDescent="0.2">
      <c r="B277" s="2841" t="s">
        <v>1872</v>
      </c>
      <c r="C277" s="2841" t="str">
        <f t="shared" si="28"/>
        <v/>
      </c>
      <c r="D277" s="2841"/>
      <c r="E277" s="2841">
        <f t="shared" si="26"/>
        <v>0</v>
      </c>
      <c r="F277" s="2841">
        <f t="shared" si="27"/>
        <v>0</v>
      </c>
      <c r="G277" s="2842"/>
      <c r="H277" s="2842">
        <f>IF(K277=0,0,Suplementação!F31)</f>
        <v>0</v>
      </c>
      <c r="I277" s="2842"/>
      <c r="J277" s="2841"/>
      <c r="K277" s="2841">
        <f>VLOOKUP(M277,Listas!$D$186:$E$224,2,)</f>
        <v>0</v>
      </c>
      <c r="L277" s="2841"/>
      <c r="M277" s="2841">
        <f>IF(Suplementação!C31=Suplementação!C30,0,Suplementação!C31)</f>
        <v>0</v>
      </c>
      <c r="N277" s="2841">
        <f>IF(Suplementação!M31=Suplementação!M30,0,Suplementação!M31)</f>
        <v>0</v>
      </c>
      <c r="O277" s="2843">
        <v>24</v>
      </c>
      <c r="P277" s="25">
        <v>16</v>
      </c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</row>
    <row r="278" spans="1:52" x14ac:dyDescent="0.2">
      <c r="B278" s="2841" t="s">
        <v>1873</v>
      </c>
      <c r="C278" s="2841" t="str">
        <f t="shared" si="28"/>
        <v/>
      </c>
      <c r="D278" s="2841"/>
      <c r="E278" s="2841">
        <f t="shared" si="26"/>
        <v>0</v>
      </c>
      <c r="F278" s="2841">
        <f t="shared" si="27"/>
        <v>0</v>
      </c>
      <c r="G278" s="2842"/>
      <c r="H278" s="2842">
        <f>IF(K278=0,0,Suplementação!F32)</f>
        <v>0</v>
      </c>
      <c r="I278" s="2842"/>
      <c r="J278" s="2841"/>
      <c r="K278" s="2841">
        <f>VLOOKUP(M278,Listas!$D$186:$E$224,2,)</f>
        <v>0</v>
      </c>
      <c r="L278" s="2841"/>
      <c r="M278" s="2841">
        <f>IF(Suplementação!C32=Suplementação!C31,0,Suplementação!C32)</f>
        <v>0</v>
      </c>
      <c r="N278" s="2841">
        <f>IF(Suplementação!M32=Suplementação!M31,0,Suplementação!M32)</f>
        <v>0</v>
      </c>
      <c r="O278" s="2843">
        <v>24</v>
      </c>
      <c r="P278" s="25">
        <v>16</v>
      </c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</row>
    <row r="279" spans="1:52" x14ac:dyDescent="0.2">
      <c r="B279" s="2841" t="s">
        <v>1874</v>
      </c>
      <c r="C279" s="2841" t="str">
        <f t="shared" si="28"/>
        <v/>
      </c>
      <c r="D279" s="2841"/>
      <c r="E279" s="2841">
        <f t="shared" si="26"/>
        <v>0</v>
      </c>
      <c r="F279" s="2841">
        <f t="shared" si="27"/>
        <v>0</v>
      </c>
      <c r="G279" s="2842"/>
      <c r="H279" s="2842">
        <f>IF(K279=0,0,Suplementação!F33)</f>
        <v>0</v>
      </c>
      <c r="I279" s="2842"/>
      <c r="J279" s="2841"/>
      <c r="K279" s="2841">
        <f>VLOOKUP(M279,Listas!$D$186:$E$224,2,)</f>
        <v>0</v>
      </c>
      <c r="L279" s="2841"/>
      <c r="M279" s="2841">
        <f>IF(Suplementação!C33=Suplementação!C32,0,Suplementação!C33)</f>
        <v>0</v>
      </c>
      <c r="N279" s="2841">
        <f>IF(Suplementação!M33=Suplementação!M32,0,Suplementação!M33)</f>
        <v>0</v>
      </c>
      <c r="O279" s="2843">
        <v>24</v>
      </c>
      <c r="P279" s="25">
        <v>16</v>
      </c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</row>
    <row r="280" spans="1:52" x14ac:dyDescent="0.2">
      <c r="B280" s="2841" t="s">
        <v>1875</v>
      </c>
      <c r="C280" s="2841" t="str">
        <f t="shared" si="28"/>
        <v/>
      </c>
      <c r="D280" s="2841"/>
      <c r="E280" s="2841">
        <f t="shared" si="26"/>
        <v>0</v>
      </c>
      <c r="F280" s="2841">
        <f t="shared" si="27"/>
        <v>0</v>
      </c>
      <c r="G280" s="2842"/>
      <c r="H280" s="2842">
        <f>IF(K280=0,0,Suplementação!F34)</f>
        <v>0</v>
      </c>
      <c r="I280" s="2842"/>
      <c r="J280" s="2841"/>
      <c r="K280" s="2841">
        <f>VLOOKUP(M280,Listas!$D$186:$E$224,2,)</f>
        <v>0</v>
      </c>
      <c r="L280" s="2841"/>
      <c r="M280" s="2841">
        <f>IF(Suplementação!C34=Suplementação!C33,0,Suplementação!C34)</f>
        <v>0</v>
      </c>
      <c r="N280" s="2841">
        <f>IF(Suplementação!M34=Suplementação!M33,0,Suplementação!M34)</f>
        <v>0</v>
      </c>
      <c r="O280" s="2843">
        <v>24</v>
      </c>
      <c r="P280" s="25">
        <v>16</v>
      </c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</row>
    <row r="281" spans="1:52" x14ac:dyDescent="0.2">
      <c r="B281" s="2841" t="s">
        <v>1876</v>
      </c>
      <c r="C281" s="2841" t="str">
        <f t="shared" si="28"/>
        <v/>
      </c>
      <c r="D281" s="2841"/>
      <c r="E281" s="2841">
        <f t="shared" si="26"/>
        <v>0</v>
      </c>
      <c r="F281" s="2841">
        <f t="shared" si="27"/>
        <v>0</v>
      </c>
      <c r="G281" s="2842"/>
      <c r="H281" s="2842">
        <f>IF(K281=0,0,Suplementação!F35)</f>
        <v>0</v>
      </c>
      <c r="I281" s="2842"/>
      <c r="J281" s="2841"/>
      <c r="K281" s="2841">
        <f>VLOOKUP(M281,Listas!$D$186:$E$224,2,)</f>
        <v>0</v>
      </c>
      <c r="L281" s="2841"/>
      <c r="M281" s="2841">
        <f>IF(Suplementação!C35=Suplementação!C34,0,Suplementação!C35)</f>
        <v>0</v>
      </c>
      <c r="N281" s="2841">
        <f>IF(Suplementação!M35=Suplementação!M34,0,Suplementação!M35)</f>
        <v>0</v>
      </c>
      <c r="O281" s="2843">
        <v>24</v>
      </c>
      <c r="P281" s="25">
        <v>16</v>
      </c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</row>
    <row r="282" spans="1:52" x14ac:dyDescent="0.2">
      <c r="B282" s="2841" t="s">
        <v>1877</v>
      </c>
      <c r="C282" s="2841" t="str">
        <f t="shared" si="28"/>
        <v/>
      </c>
      <c r="D282" s="2841"/>
      <c r="E282" s="2841">
        <f t="shared" si="26"/>
        <v>0</v>
      </c>
      <c r="F282" s="2841">
        <f t="shared" si="27"/>
        <v>0</v>
      </c>
      <c r="G282" s="2842"/>
      <c r="H282" s="2842">
        <f>IF(K282=0,0,Suplementação!F36)</f>
        <v>0</v>
      </c>
      <c r="I282" s="2842"/>
      <c r="J282" s="2841"/>
      <c r="K282" s="2841">
        <f>VLOOKUP(M282,Listas!$D$186:$E$224,2,)</f>
        <v>0</v>
      </c>
      <c r="L282" s="2841"/>
      <c r="M282" s="2841">
        <f>IF(Suplementação!C36=Suplementação!C35,0,Suplementação!C36)</f>
        <v>0</v>
      </c>
      <c r="N282" s="2841">
        <f>IF(Suplementação!M36=Suplementação!M35,0,Suplementação!M36)</f>
        <v>0</v>
      </c>
      <c r="O282" s="2843">
        <v>24</v>
      </c>
      <c r="P282" s="25">
        <v>16</v>
      </c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</row>
    <row r="283" spans="1:52" x14ac:dyDescent="0.2">
      <c r="B283" s="2841" t="s">
        <v>1878</v>
      </c>
      <c r="C283" s="2841" t="str">
        <f t="shared" si="28"/>
        <v/>
      </c>
      <c r="D283" s="2841"/>
      <c r="E283" s="2841">
        <f t="shared" si="26"/>
        <v>0</v>
      </c>
      <c r="F283" s="2841">
        <f t="shared" si="27"/>
        <v>0</v>
      </c>
      <c r="G283" s="2842"/>
      <c r="H283" s="2842">
        <f>IF(K283=0,0,Suplementação!F37)</f>
        <v>0</v>
      </c>
      <c r="I283" s="2842"/>
      <c r="J283" s="2841"/>
      <c r="K283" s="2841">
        <f>VLOOKUP(M283,Listas!$D$186:$E$224,2,)</f>
        <v>0</v>
      </c>
      <c r="L283" s="2841"/>
      <c r="M283" s="2841">
        <f>IF(Suplementação!C37=Suplementação!C36,0,Suplementação!C37)</f>
        <v>0</v>
      </c>
      <c r="N283" s="2841">
        <f>IF(Suplementação!M37=Suplementação!M36,0,Suplementação!M37)</f>
        <v>0</v>
      </c>
      <c r="O283" s="2843">
        <v>24</v>
      </c>
      <c r="P283" s="25">
        <v>16</v>
      </c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</row>
    <row r="284" spans="1:52" x14ac:dyDescent="0.2">
      <c r="B284" s="2841" t="s">
        <v>1879</v>
      </c>
      <c r="C284" s="2841" t="str">
        <f t="shared" si="28"/>
        <v/>
      </c>
      <c r="D284" s="2841"/>
      <c r="E284" s="2841">
        <f t="shared" si="26"/>
        <v>0</v>
      </c>
      <c r="F284" s="2841">
        <f t="shared" si="27"/>
        <v>0</v>
      </c>
      <c r="G284" s="2842"/>
      <c r="H284" s="2842">
        <f>IF(K284=0,0,Suplementação!F38)</f>
        <v>0</v>
      </c>
      <c r="I284" s="2842"/>
      <c r="J284" s="2841"/>
      <c r="K284" s="2841">
        <f>VLOOKUP(M284,Listas!$D$186:$E$224,2,)</f>
        <v>0</v>
      </c>
      <c r="L284" s="2841"/>
      <c r="M284" s="2841">
        <f>IF(Suplementação!C38=Suplementação!C37,0,Suplementação!C38)</f>
        <v>0</v>
      </c>
      <c r="N284" s="2841">
        <f>IF(Suplementação!M38=Suplementação!M37,0,Suplementação!M38)</f>
        <v>0</v>
      </c>
      <c r="O284" s="2843">
        <v>24</v>
      </c>
      <c r="P284" s="25">
        <v>16</v>
      </c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x14ac:dyDescent="0.2">
      <c r="B285" s="2841" t="s">
        <v>1880</v>
      </c>
      <c r="C285" s="2841" t="str">
        <f t="shared" si="28"/>
        <v/>
      </c>
      <c r="D285" s="2841"/>
      <c r="E285" s="2841">
        <f t="shared" si="26"/>
        <v>0</v>
      </c>
      <c r="F285" s="2841">
        <f t="shared" si="27"/>
        <v>0</v>
      </c>
      <c r="G285" s="2842"/>
      <c r="H285" s="2842">
        <f>IF(K285=0,0,Suplementação!F39)</f>
        <v>0</v>
      </c>
      <c r="I285" s="2842"/>
      <c r="J285" s="2841"/>
      <c r="K285" s="2841">
        <f>VLOOKUP(M285,Listas!$D$186:$E$224,2,)</f>
        <v>0</v>
      </c>
      <c r="L285" s="2841"/>
      <c r="M285" s="2841">
        <f>IF(Suplementação!C39=Suplementação!C38,0,Suplementação!C39)</f>
        <v>0</v>
      </c>
      <c r="N285" s="2841">
        <f>IF(Suplementação!M39=Suplementação!M38,0,Suplementação!M39)</f>
        <v>0</v>
      </c>
      <c r="O285" s="2843">
        <v>24</v>
      </c>
      <c r="P285" s="25">
        <v>16</v>
      </c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x14ac:dyDescent="0.2">
      <c r="B286" s="2841" t="s">
        <v>1881</v>
      </c>
      <c r="C286" s="2841" t="str">
        <f t="shared" si="28"/>
        <v/>
      </c>
      <c r="D286" s="2841"/>
      <c r="E286" s="2841">
        <f t="shared" si="26"/>
        <v>0</v>
      </c>
      <c r="F286" s="2841">
        <f t="shared" si="27"/>
        <v>0</v>
      </c>
      <c r="G286" s="2842"/>
      <c r="H286" s="2842">
        <f>IF(K286=0,0,Suplementação!F40)</f>
        <v>0</v>
      </c>
      <c r="I286" s="2842"/>
      <c r="J286" s="2841"/>
      <c r="K286" s="2841">
        <f>VLOOKUP(M286,Listas!$D$186:$E$224,2,)</f>
        <v>0</v>
      </c>
      <c r="L286" s="2841"/>
      <c r="M286" s="2841">
        <f>IF(Suplementação!C40=Suplementação!C39,0,Suplementação!C40)</f>
        <v>0</v>
      </c>
      <c r="N286" s="2841">
        <f>IF(Suplementação!M40=Suplementação!M39,0,Suplementação!M40)</f>
        <v>0</v>
      </c>
      <c r="O286" s="2843">
        <v>24</v>
      </c>
      <c r="P286" s="25">
        <v>16</v>
      </c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x14ac:dyDescent="0.2">
      <c r="A287" s="189"/>
      <c r="B287" s="189"/>
      <c r="C287" s="189"/>
      <c r="D287" s="189"/>
      <c r="E287" s="189"/>
      <c r="F287" s="189"/>
      <c r="G287" s="2448"/>
      <c r="H287" s="2448"/>
      <c r="I287" s="2448"/>
      <c r="J287" s="189"/>
      <c r="K287" s="189"/>
      <c r="L287" s="189"/>
      <c r="M287" s="189"/>
      <c r="N287" s="189"/>
      <c r="O287" s="189"/>
      <c r="P287" s="189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x14ac:dyDescent="0.2">
      <c r="A288" s="2844"/>
      <c r="B288" s="2844" t="s">
        <v>1882</v>
      </c>
      <c r="C288" s="2844" t="str">
        <f t="shared" si="28"/>
        <v>ins.85 58</v>
      </c>
      <c r="D288" s="2844"/>
      <c r="E288" s="2844">
        <f t="shared" si="26"/>
        <v>58</v>
      </c>
      <c r="F288" s="2844">
        <f t="shared" si="27"/>
        <v>22</v>
      </c>
      <c r="G288" s="2845"/>
      <c r="H288" s="2845">
        <f>IF(K288=0,0,Alimentação!F7)</f>
        <v>0.63673989175421841</v>
      </c>
      <c r="I288" s="2845"/>
      <c r="J288" s="2844"/>
      <c r="K288" s="2844" t="str">
        <f>VLOOKUP(M288,Listas!$D$227:$E$246,2,)</f>
        <v>Ração 1 kg</v>
      </c>
      <c r="L288" s="2844"/>
      <c r="M288" s="2844">
        <f>Alimentação!C7</f>
        <v>8</v>
      </c>
      <c r="N288" s="2844">
        <f>Alimentação!M7</f>
        <v>4.7115</v>
      </c>
      <c r="O288" s="2843">
        <v>69</v>
      </c>
      <c r="P288" s="25">
        <v>16</v>
      </c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x14ac:dyDescent="0.2">
      <c r="A289" s="2844"/>
      <c r="B289" s="2844" t="s">
        <v>1883</v>
      </c>
      <c r="C289" s="2844" t="str">
        <f t="shared" si="28"/>
        <v/>
      </c>
      <c r="D289" s="2844"/>
      <c r="E289" s="2844">
        <f t="shared" si="26"/>
        <v>0</v>
      </c>
      <c r="F289" s="2844">
        <f t="shared" si="27"/>
        <v>0</v>
      </c>
      <c r="G289" s="2845"/>
      <c r="H289" s="2845">
        <f>IF(K289=0,0,Alimentação!F8)</f>
        <v>0</v>
      </c>
      <c r="I289" s="2845"/>
      <c r="J289" s="2844"/>
      <c r="K289" s="2844">
        <f>VLOOKUP(M289,Listas!$D$227:$E$246,2,)</f>
        <v>0</v>
      </c>
      <c r="L289" s="2844"/>
      <c r="M289" s="2844">
        <f>IF(Alimentação!C8=Alimentação!C7,0,Alimentação!C8)</f>
        <v>1</v>
      </c>
      <c r="N289" s="2844">
        <f>IF(Alimentação!M8=Alimentação!M7,0,Alimentação!M8)</f>
        <v>0</v>
      </c>
      <c r="O289" s="2843">
        <v>69</v>
      </c>
      <c r="P289" s="25">
        <v>16</v>
      </c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x14ac:dyDescent="0.2">
      <c r="A290" s="2844"/>
      <c r="B290" s="2844" t="s">
        <v>1884</v>
      </c>
      <c r="C290" s="2844" t="str">
        <f t="shared" si="28"/>
        <v/>
      </c>
      <c r="D290" s="2844"/>
      <c r="E290" s="2844">
        <f t="shared" si="26"/>
        <v>0</v>
      </c>
      <c r="F290" s="2844">
        <f t="shared" si="27"/>
        <v>0</v>
      </c>
      <c r="G290" s="2845"/>
      <c r="H290" s="2845">
        <f>IF(K290=0,0,Alimentação!F9)</f>
        <v>0</v>
      </c>
      <c r="I290" s="2845"/>
      <c r="J290" s="2844"/>
      <c r="K290" s="2844">
        <f>VLOOKUP(M290,Listas!$D$227:$E$246,2,)</f>
        <v>0</v>
      </c>
      <c r="L290" s="2844"/>
      <c r="M290" s="2844">
        <f>IF(Alimentação!C9=Alimentação!C8,0,Alimentação!C9)</f>
        <v>0</v>
      </c>
      <c r="N290" s="2844">
        <f>IF(Suplementação!M43=Suplementação!M42,0,Suplementação!M43)</f>
        <v>0</v>
      </c>
      <c r="O290" s="2843">
        <v>69</v>
      </c>
      <c r="P290" s="25">
        <v>16</v>
      </c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x14ac:dyDescent="0.2">
      <c r="A291" s="2844"/>
      <c r="B291" s="2844" t="s">
        <v>1885</v>
      </c>
      <c r="C291" s="2844" t="str">
        <f t="shared" si="28"/>
        <v/>
      </c>
      <c r="D291" s="2844"/>
      <c r="E291" s="2844">
        <f t="shared" si="26"/>
        <v>0</v>
      </c>
      <c r="F291" s="2844">
        <f t="shared" si="27"/>
        <v>0</v>
      </c>
      <c r="G291" s="2845"/>
      <c r="H291" s="2845">
        <f>IF(K291=0,0,Alimentação!F10)</f>
        <v>0</v>
      </c>
      <c r="I291" s="2845"/>
      <c r="J291" s="2844"/>
      <c r="K291" s="2844">
        <f>VLOOKUP(M291,Listas!$D$227:$E$246,2,)</f>
        <v>0</v>
      </c>
      <c r="L291" s="2844"/>
      <c r="M291" s="2844">
        <f>IF(Alimentação!C10=Alimentação!C9,0,Alimentação!C10)</f>
        <v>0</v>
      </c>
      <c r="N291" s="2844">
        <f>IF(Suplementação!M44=Suplementação!M43,0,Suplementação!M44)</f>
        <v>0</v>
      </c>
      <c r="O291" s="2843">
        <v>69</v>
      </c>
      <c r="P291" s="25">
        <v>16</v>
      </c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x14ac:dyDescent="0.2">
      <c r="A292" s="2844"/>
      <c r="B292" s="2844" t="s">
        <v>1886</v>
      </c>
      <c r="C292" s="2844" t="str">
        <f t="shared" si="28"/>
        <v/>
      </c>
      <c r="D292" s="2844"/>
      <c r="E292" s="2844">
        <f t="shared" si="26"/>
        <v>0</v>
      </c>
      <c r="F292" s="2844">
        <f t="shared" si="27"/>
        <v>0</v>
      </c>
      <c r="G292" s="2845"/>
      <c r="H292" s="2845">
        <f>IF(K292=0,0,Alimentação!F11)</f>
        <v>0</v>
      </c>
      <c r="I292" s="2845"/>
      <c r="J292" s="2844"/>
      <c r="K292" s="2844">
        <f>VLOOKUP(M292,Listas!$D$227:$E$246,2,)</f>
        <v>0</v>
      </c>
      <c r="L292" s="2844"/>
      <c r="M292" s="2844">
        <f>IF(Alimentação!C11=Alimentação!C10,0,Alimentação!C11)</f>
        <v>0</v>
      </c>
      <c r="N292" s="2844">
        <f>IF(Suplementação!M45=Suplementação!M44,0,Suplementação!M45)</f>
        <v>0</v>
      </c>
      <c r="O292" s="2843">
        <v>69</v>
      </c>
      <c r="P292" s="25">
        <v>16</v>
      </c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x14ac:dyDescent="0.2">
      <c r="A293" s="2844"/>
      <c r="B293" s="2844" t="s">
        <v>1887</v>
      </c>
      <c r="C293" s="2844" t="str">
        <f t="shared" si="28"/>
        <v/>
      </c>
      <c r="D293" s="2844"/>
      <c r="E293" s="2844">
        <f t="shared" si="26"/>
        <v>0</v>
      </c>
      <c r="F293" s="2844">
        <f t="shared" si="27"/>
        <v>0</v>
      </c>
      <c r="G293" s="2845"/>
      <c r="H293" s="2845">
        <f>IF(K293=0,0,Alimentação!F12)</f>
        <v>0</v>
      </c>
      <c r="I293" s="2845"/>
      <c r="J293" s="2844"/>
      <c r="K293" s="2844">
        <f>VLOOKUP(M293,Listas!$D$227:$E$246,2,)</f>
        <v>0</v>
      </c>
      <c r="L293" s="2844"/>
      <c r="M293" s="2844">
        <f>IF(Alimentação!C12=Alimentação!C11,0,Alimentação!C12)</f>
        <v>0</v>
      </c>
      <c r="N293" s="2844">
        <f>IF(Suplementação!M46=Suplementação!M45,0,Suplementação!M46)</f>
        <v>0</v>
      </c>
      <c r="O293" s="2843">
        <v>69</v>
      </c>
      <c r="P293" s="25">
        <v>16</v>
      </c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x14ac:dyDescent="0.2">
      <c r="A294" s="2844"/>
      <c r="B294" s="2844" t="s">
        <v>1888</v>
      </c>
      <c r="C294" s="2844" t="str">
        <f t="shared" si="28"/>
        <v/>
      </c>
      <c r="D294" s="2844"/>
      <c r="E294" s="2844">
        <f t="shared" si="26"/>
        <v>0</v>
      </c>
      <c r="F294" s="2844">
        <f t="shared" si="27"/>
        <v>0</v>
      </c>
      <c r="G294" s="2845"/>
      <c r="H294" s="2845">
        <f>IF(K294=0,0,Alimentação!F13)</f>
        <v>0</v>
      </c>
      <c r="I294" s="2845"/>
      <c r="J294" s="2844"/>
      <c r="K294" s="2844">
        <f>VLOOKUP(M294,Listas!$D$227:$E$246,2,)</f>
        <v>0</v>
      </c>
      <c r="L294" s="2844"/>
      <c r="M294" s="2844">
        <f>IF(Alimentação!C13=Alimentação!C12,0,Alimentação!C13)</f>
        <v>0</v>
      </c>
      <c r="N294" s="2844">
        <f>IF(Suplementação!M47=Suplementação!M46,0,Suplementação!M47)</f>
        <v>0</v>
      </c>
      <c r="O294" s="2843">
        <v>69</v>
      </c>
      <c r="P294" s="25">
        <v>16</v>
      </c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x14ac:dyDescent="0.2">
      <c r="A295" s="2844"/>
      <c r="B295" s="2844" t="s">
        <v>1889</v>
      </c>
      <c r="C295" s="2844" t="str">
        <f t="shared" si="28"/>
        <v/>
      </c>
      <c r="D295" s="2844"/>
      <c r="E295" s="2844">
        <f t="shared" si="26"/>
        <v>0</v>
      </c>
      <c r="F295" s="2844">
        <f t="shared" si="27"/>
        <v>0</v>
      </c>
      <c r="G295" s="2845"/>
      <c r="H295" s="2845">
        <f>IF(K295=0,0,Alimentação!F14)</f>
        <v>0</v>
      </c>
      <c r="I295" s="2845"/>
      <c r="J295" s="2844"/>
      <c r="K295" s="2844">
        <f>VLOOKUP(M295,Listas!$D$227:$E$246,2,)</f>
        <v>0</v>
      </c>
      <c r="L295" s="2844"/>
      <c r="M295" s="2844">
        <f>IF(Alimentação!C14=Alimentação!C13,0,Alimentação!C14)</f>
        <v>0</v>
      </c>
      <c r="N295" s="2844">
        <f>IF(Suplementação!M48=Suplementação!M47,0,Suplementação!M48)</f>
        <v>0</v>
      </c>
      <c r="O295" s="2843">
        <v>69</v>
      </c>
      <c r="P295" s="25">
        <v>16</v>
      </c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x14ac:dyDescent="0.2">
      <c r="A296" s="2844"/>
      <c r="B296" s="2844" t="s">
        <v>1890</v>
      </c>
      <c r="C296" s="2844" t="str">
        <f t="shared" si="28"/>
        <v/>
      </c>
      <c r="D296" s="2844"/>
      <c r="E296" s="2844">
        <f t="shared" si="26"/>
        <v>0</v>
      </c>
      <c r="F296" s="2844">
        <f t="shared" si="27"/>
        <v>0</v>
      </c>
      <c r="G296" s="2845"/>
      <c r="H296" s="2845">
        <f>IF(K296=0,0,Alimentação!F15)</f>
        <v>0</v>
      </c>
      <c r="I296" s="2845"/>
      <c r="J296" s="2844"/>
      <c r="K296" s="2844">
        <f>VLOOKUP(M296,Listas!$D$227:$E$246,2,)</f>
        <v>0</v>
      </c>
      <c r="L296" s="2844"/>
      <c r="M296" s="2844">
        <f>IF(Alimentação!C15=Alimentação!C14,0,Alimentação!C15)</f>
        <v>0</v>
      </c>
      <c r="N296" s="2844">
        <f>IF(Suplementação!M49=Suplementação!M48,0,Suplementação!M49)</f>
        <v>0</v>
      </c>
      <c r="O296" s="2843">
        <v>69</v>
      </c>
      <c r="P296" s="25">
        <v>16</v>
      </c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x14ac:dyDescent="0.2">
      <c r="A297" s="2844"/>
      <c r="B297" s="2844" t="s">
        <v>1891</v>
      </c>
      <c r="C297" s="2844" t="str">
        <f t="shared" si="28"/>
        <v/>
      </c>
      <c r="D297" s="2844"/>
      <c r="E297" s="2844">
        <f t="shared" si="26"/>
        <v>0</v>
      </c>
      <c r="F297" s="2844">
        <f t="shared" si="27"/>
        <v>0</v>
      </c>
      <c r="G297" s="2845"/>
      <c r="H297" s="2845">
        <f>IF(K297=0,0,Alimentação!F16)</f>
        <v>0</v>
      </c>
      <c r="I297" s="2845"/>
      <c r="J297" s="2844"/>
      <c r="K297" s="2844">
        <f>VLOOKUP(M297,Listas!$D$227:$E$246,2,)</f>
        <v>0</v>
      </c>
      <c r="L297" s="2844"/>
      <c r="M297" s="2844">
        <f>IF(Alimentação!C16=Alimentação!C15,0,Alimentação!C16)</f>
        <v>0</v>
      </c>
      <c r="N297" s="2844">
        <f>IF(Suplementação!M50=Suplementação!M49,0,Suplementação!M50)</f>
        <v>0</v>
      </c>
      <c r="O297" s="2843">
        <v>69</v>
      </c>
      <c r="P297" s="25">
        <v>16</v>
      </c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x14ac:dyDescent="0.2">
      <c r="A298" s="2844"/>
      <c r="B298" s="2844" t="s">
        <v>1892</v>
      </c>
      <c r="C298" s="2844" t="str">
        <f t="shared" si="28"/>
        <v/>
      </c>
      <c r="D298" s="2844"/>
      <c r="E298" s="2844">
        <f t="shared" si="26"/>
        <v>0</v>
      </c>
      <c r="F298" s="2844">
        <f t="shared" si="27"/>
        <v>0</v>
      </c>
      <c r="G298" s="2845"/>
      <c r="H298" s="2845">
        <f>IF(K298=0,0,Alimentação!F17)</f>
        <v>0</v>
      </c>
      <c r="I298" s="2845"/>
      <c r="J298" s="2844"/>
      <c r="K298" s="2844">
        <f>VLOOKUP(M298,Listas!$D$227:$E$246,2,)</f>
        <v>0</v>
      </c>
      <c r="L298" s="2844"/>
      <c r="M298" s="2844">
        <f>IF(Alimentação!C17=Alimentação!C16,0,Alimentação!C17)</f>
        <v>0</v>
      </c>
      <c r="N298" s="2844">
        <f>IF(Suplementação!M51=Suplementação!M50,0,Suplementação!M51)</f>
        <v>0</v>
      </c>
      <c r="O298" s="2843">
        <v>69</v>
      </c>
      <c r="P298" s="25">
        <v>16</v>
      </c>
      <c r="Q298" s="2844"/>
      <c r="R298" s="2844"/>
      <c r="S298" s="2844"/>
      <c r="T298" s="2844"/>
      <c r="U298" s="2844"/>
      <c r="V298" s="2844"/>
      <c r="W298" s="2844"/>
      <c r="X298" s="2844"/>
      <c r="Y298" s="2844"/>
      <c r="Z298" s="2844"/>
      <c r="AA298" s="2844"/>
      <c r="AB298" s="2844"/>
      <c r="AC298" s="2844"/>
      <c r="AD298" s="2844"/>
      <c r="AE298" s="2844"/>
      <c r="AF298" s="2844"/>
      <c r="AG298" s="2844"/>
      <c r="AH298" s="2844"/>
      <c r="AI298" s="2844"/>
      <c r="AJ298" s="2844"/>
      <c r="AK298" s="2844"/>
      <c r="AL298" s="2844"/>
      <c r="AM298" s="2844"/>
      <c r="AN298" s="2844"/>
      <c r="AO298" s="2844"/>
      <c r="AP298" s="2844"/>
      <c r="AQ298" s="2844"/>
      <c r="AR298" s="2844"/>
      <c r="AS298" s="2844"/>
      <c r="AT298" s="2844"/>
      <c r="AU298" s="2844"/>
      <c r="AV298" s="2844"/>
      <c r="AW298" s="2844"/>
      <c r="AX298" s="2844"/>
      <c r="AY298" s="2844"/>
      <c r="AZ298" s="2844"/>
    </row>
    <row r="299" spans="1:52" x14ac:dyDescent="0.2">
      <c r="A299" s="2844"/>
      <c r="B299" s="2844" t="s">
        <v>1893</v>
      </c>
      <c r="C299" s="2844" t="str">
        <f t="shared" si="28"/>
        <v/>
      </c>
      <c r="D299" s="2844"/>
      <c r="E299" s="2844">
        <f t="shared" si="26"/>
        <v>0</v>
      </c>
      <c r="F299" s="2844">
        <f t="shared" si="27"/>
        <v>0</v>
      </c>
      <c r="G299" s="2845"/>
      <c r="H299" s="2845">
        <f>IF(K299=0,0,Alimentação!F18)</f>
        <v>0</v>
      </c>
      <c r="I299" s="2845"/>
      <c r="J299" s="2844"/>
      <c r="K299" s="2844">
        <f>VLOOKUP(M299,Listas!$D$227:$E$246,2,)</f>
        <v>0</v>
      </c>
      <c r="L299" s="2844"/>
      <c r="M299" s="2844">
        <f>IF(Alimentação!C18=Alimentação!C17,0,Alimentação!C18)</f>
        <v>0</v>
      </c>
      <c r="N299" s="2844">
        <f>IF(Suplementação!M52=Suplementação!M51,0,Suplementação!M52)</f>
        <v>0</v>
      </c>
      <c r="O299" s="2843">
        <v>69</v>
      </c>
      <c r="P299" s="25">
        <v>16</v>
      </c>
      <c r="Q299" s="2844"/>
      <c r="R299" s="2844"/>
      <c r="S299" s="2844"/>
      <c r="T299" s="2844"/>
      <c r="U299" s="2844"/>
      <c r="V299" s="2844"/>
      <c r="W299" s="2844"/>
      <c r="X299" s="2844"/>
      <c r="Y299" s="2844"/>
      <c r="Z299" s="2844"/>
      <c r="AA299" s="2844"/>
      <c r="AB299" s="2844"/>
      <c r="AC299" s="2844"/>
      <c r="AD299" s="2844"/>
      <c r="AE299" s="2844"/>
      <c r="AF299" s="2844"/>
      <c r="AG299" s="2844"/>
      <c r="AH299" s="2844"/>
      <c r="AI299" s="2844"/>
      <c r="AJ299" s="2844"/>
      <c r="AK299" s="2844"/>
      <c r="AL299" s="2844"/>
      <c r="AM299" s="2844"/>
      <c r="AN299" s="2844"/>
      <c r="AO299" s="2844"/>
      <c r="AP299" s="2844"/>
      <c r="AQ299" s="2844"/>
      <c r="AR299" s="2844"/>
      <c r="AS299" s="2844"/>
      <c r="AT299" s="2844"/>
      <c r="AU299" s="2844"/>
      <c r="AV299" s="2844"/>
      <c r="AW299" s="2844"/>
      <c r="AX299" s="2844"/>
      <c r="AY299" s="2844"/>
      <c r="AZ299" s="2844"/>
    </row>
    <row r="300" spans="1:52" x14ac:dyDescent="0.2">
      <c r="A300" s="2844"/>
      <c r="B300" s="2844" t="s">
        <v>1894</v>
      </c>
      <c r="C300" s="2844" t="str">
        <f t="shared" si="28"/>
        <v/>
      </c>
      <c r="D300" s="2844"/>
      <c r="E300" s="2844">
        <f t="shared" si="26"/>
        <v>0</v>
      </c>
      <c r="F300" s="2844">
        <f t="shared" si="27"/>
        <v>0</v>
      </c>
      <c r="G300" s="2845"/>
      <c r="H300" s="2845">
        <f>IF(K300=0,0,Alimentação!F19)</f>
        <v>0</v>
      </c>
      <c r="I300" s="2845"/>
      <c r="J300" s="2844"/>
      <c r="K300" s="2844">
        <f>VLOOKUP(M300,Listas!$D$227:$E$246,2,)</f>
        <v>0</v>
      </c>
      <c r="L300" s="2844"/>
      <c r="M300" s="2844">
        <f>IF(Alimentação!C19=Alimentação!C18,0,Alimentação!C19)</f>
        <v>0</v>
      </c>
      <c r="N300" s="2844">
        <f>IF(Suplementação!M53=Suplementação!M52,0,Suplementação!M53)</f>
        <v>0</v>
      </c>
      <c r="O300" s="2843">
        <v>69</v>
      </c>
      <c r="P300" s="25">
        <v>16</v>
      </c>
      <c r="Q300" s="2844"/>
      <c r="R300" s="2844"/>
      <c r="S300" s="2844"/>
      <c r="T300" s="2844"/>
      <c r="U300" s="2844"/>
      <c r="V300" s="2844"/>
      <c r="W300" s="2844"/>
      <c r="X300" s="2844"/>
      <c r="Y300" s="2844"/>
      <c r="Z300" s="2844"/>
      <c r="AA300" s="2844"/>
      <c r="AB300" s="2844"/>
      <c r="AC300" s="2844"/>
      <c r="AD300" s="2844"/>
      <c r="AE300" s="2844"/>
      <c r="AF300" s="2844"/>
      <c r="AG300" s="2844"/>
      <c r="AH300" s="2844"/>
      <c r="AI300" s="2844"/>
      <c r="AJ300" s="2844"/>
      <c r="AK300" s="2844"/>
      <c r="AL300" s="2844"/>
      <c r="AM300" s="2844"/>
      <c r="AN300" s="2844"/>
      <c r="AO300" s="2844"/>
      <c r="AP300" s="2844"/>
      <c r="AQ300" s="2844"/>
      <c r="AR300" s="2844"/>
      <c r="AS300" s="2844"/>
      <c r="AT300" s="2844"/>
      <c r="AU300" s="2844"/>
      <c r="AV300" s="2844"/>
      <c r="AW300" s="2844"/>
      <c r="AX300" s="2844"/>
      <c r="AY300" s="2844"/>
      <c r="AZ300" s="2844"/>
    </row>
    <row r="301" spans="1:52" x14ac:dyDescent="0.2">
      <c r="A301" s="2844"/>
      <c r="B301" s="2844" t="s">
        <v>1895</v>
      </c>
      <c r="C301" s="2844" t="str">
        <f t="shared" si="28"/>
        <v/>
      </c>
      <c r="D301" s="2844"/>
      <c r="E301" s="2844">
        <f t="shared" si="26"/>
        <v>0</v>
      </c>
      <c r="F301" s="2844">
        <f t="shared" si="27"/>
        <v>0</v>
      </c>
      <c r="G301" s="2845"/>
      <c r="H301" s="2845">
        <f>IF(K301=0,0,Alimentação!F20)</f>
        <v>0</v>
      </c>
      <c r="I301" s="2845"/>
      <c r="J301" s="2844"/>
      <c r="K301" s="2844">
        <f>VLOOKUP(M301,Listas!$D$227:$E$246,2,)</f>
        <v>0</v>
      </c>
      <c r="L301" s="2844"/>
      <c r="M301" s="2844">
        <f>IF(Alimentação!C20=Alimentação!C19,0,Alimentação!C20)</f>
        <v>0</v>
      </c>
      <c r="N301" s="2844">
        <f>IF(Suplementação!M54=Suplementação!M53,0,Suplementação!M54)</f>
        <v>0</v>
      </c>
      <c r="O301" s="2843">
        <v>69</v>
      </c>
      <c r="P301" s="25">
        <v>16</v>
      </c>
      <c r="Q301" s="2844"/>
      <c r="R301" s="2844"/>
      <c r="S301" s="2844"/>
      <c r="T301" s="2844"/>
      <c r="U301" s="2844"/>
      <c r="V301" s="2844"/>
      <c r="W301" s="2844"/>
      <c r="X301" s="2844"/>
      <c r="Y301" s="2844"/>
      <c r="Z301" s="2844"/>
      <c r="AA301" s="2844"/>
      <c r="AB301" s="2844"/>
      <c r="AC301" s="2844"/>
      <c r="AD301" s="2844"/>
      <c r="AE301" s="2844"/>
      <c r="AF301" s="2844"/>
      <c r="AG301" s="2844"/>
      <c r="AH301" s="2844"/>
      <c r="AI301" s="2844"/>
      <c r="AJ301" s="2844"/>
      <c r="AK301" s="2844"/>
      <c r="AL301" s="2844"/>
      <c r="AM301" s="2844"/>
      <c r="AN301" s="2844"/>
      <c r="AO301" s="2844"/>
      <c r="AP301" s="2844"/>
      <c r="AQ301" s="2844"/>
      <c r="AR301" s="2844"/>
      <c r="AS301" s="2844"/>
      <c r="AT301" s="2844"/>
      <c r="AU301" s="2844"/>
      <c r="AV301" s="2844"/>
      <c r="AW301" s="2844"/>
      <c r="AX301" s="2844"/>
      <c r="AY301" s="2844"/>
      <c r="AZ301" s="2844"/>
    </row>
    <row r="302" spans="1:52" x14ac:dyDescent="0.2">
      <c r="A302" s="2844"/>
      <c r="B302" s="2844" t="s">
        <v>1896</v>
      </c>
      <c r="C302" s="2844" t="str">
        <f t="shared" si="28"/>
        <v/>
      </c>
      <c r="D302" s="2844"/>
      <c r="E302" s="2844">
        <f t="shared" si="26"/>
        <v>0</v>
      </c>
      <c r="F302" s="2844">
        <f t="shared" si="27"/>
        <v>0</v>
      </c>
      <c r="G302" s="2845"/>
      <c r="H302" s="2845">
        <f>IF(K302=0,0,Alimentação!F21)</f>
        <v>0</v>
      </c>
      <c r="I302" s="2845"/>
      <c r="J302" s="2844"/>
      <c r="K302" s="2844">
        <f>VLOOKUP(M302,Listas!$D$227:$E$246,2,)</f>
        <v>0</v>
      </c>
      <c r="L302" s="2844"/>
      <c r="M302" s="2844">
        <f>IF(Alimentação!C21=Alimentação!C20,0,Alimentação!C21)</f>
        <v>0</v>
      </c>
      <c r="N302" s="2844">
        <f>IF(Suplementação!M55=Suplementação!M54,0,Suplementação!M55)</f>
        <v>0</v>
      </c>
      <c r="O302" s="2843">
        <v>69</v>
      </c>
      <c r="P302" s="25">
        <v>16</v>
      </c>
      <c r="Q302" s="2844"/>
      <c r="R302" s="2844"/>
      <c r="S302" s="2844"/>
      <c r="T302" s="2844"/>
      <c r="U302" s="2844"/>
      <c r="V302" s="2844"/>
      <c r="W302" s="2844"/>
      <c r="X302" s="2844"/>
      <c r="Y302" s="2844"/>
      <c r="Z302" s="2844"/>
      <c r="AA302" s="2844"/>
      <c r="AB302" s="2844"/>
      <c r="AC302" s="2844"/>
      <c r="AD302" s="2844"/>
      <c r="AE302" s="2844"/>
      <c r="AF302" s="2844"/>
      <c r="AG302" s="2844"/>
      <c r="AH302" s="2844"/>
      <c r="AI302" s="2844"/>
      <c r="AJ302" s="2844"/>
      <c r="AK302" s="2844"/>
      <c r="AL302" s="2844"/>
      <c r="AM302" s="2844"/>
      <c r="AN302" s="2844"/>
      <c r="AO302" s="2844"/>
      <c r="AP302" s="2844"/>
      <c r="AQ302" s="2844"/>
      <c r="AR302" s="2844"/>
      <c r="AS302" s="2844"/>
      <c r="AT302" s="2844"/>
      <c r="AU302" s="2844"/>
      <c r="AV302" s="2844"/>
      <c r="AW302" s="2844"/>
      <c r="AX302" s="2844"/>
      <c r="AY302" s="2844"/>
      <c r="AZ302" s="2844"/>
    </row>
    <row r="303" spans="1:52" x14ac:dyDescent="0.2">
      <c r="A303" s="2844"/>
      <c r="B303" s="2844" t="s">
        <v>1897</v>
      </c>
      <c r="C303" s="2844" t="str">
        <f t="shared" si="28"/>
        <v/>
      </c>
      <c r="D303" s="2844"/>
      <c r="E303" s="2844">
        <f t="shared" si="26"/>
        <v>0</v>
      </c>
      <c r="F303" s="2844">
        <f t="shared" si="27"/>
        <v>0</v>
      </c>
      <c r="G303" s="2845"/>
      <c r="H303" s="2845">
        <f>IF(K303=0,0,Alimentação!F22)</f>
        <v>0</v>
      </c>
      <c r="I303" s="2845"/>
      <c r="J303" s="2844"/>
      <c r="K303" s="2844">
        <f>VLOOKUP(M303,Listas!$D$227:$E$246,2,)</f>
        <v>0</v>
      </c>
      <c r="L303" s="2844"/>
      <c r="M303" s="2844">
        <f>IF(Alimentação!C22=Alimentação!C21,0,Alimentação!C22)</f>
        <v>0</v>
      </c>
      <c r="N303" s="2844">
        <f>IF(Suplementação!M56=Suplementação!M55,0,Suplementação!M56)</f>
        <v>0</v>
      </c>
      <c r="O303" s="2843">
        <v>69</v>
      </c>
      <c r="P303" s="25">
        <v>16</v>
      </c>
      <c r="Q303" s="2844"/>
      <c r="R303" s="2846" t="s">
        <v>519</v>
      </c>
      <c r="S303" s="2844"/>
      <c r="T303" s="2844"/>
      <c r="U303" s="2844"/>
      <c r="V303" s="2844"/>
      <c r="W303" s="2844"/>
      <c r="X303" s="2844"/>
      <c r="Y303" s="2844"/>
      <c r="Z303" s="2844"/>
      <c r="AA303" s="2844"/>
      <c r="AB303" s="2844"/>
      <c r="AC303" s="2844"/>
      <c r="AD303" s="2844"/>
      <c r="AE303" s="2844"/>
      <c r="AF303" s="2844"/>
      <c r="AG303" s="2844"/>
      <c r="AH303" s="2844"/>
      <c r="AI303" s="2844"/>
      <c r="AJ303" s="2844"/>
      <c r="AK303" s="2844"/>
      <c r="AL303" s="2844"/>
      <c r="AM303" s="2844"/>
      <c r="AN303" s="2844"/>
      <c r="AO303" s="2844"/>
      <c r="AP303" s="2844"/>
      <c r="AQ303" s="2844"/>
      <c r="AR303" s="2844"/>
      <c r="AS303" s="2844"/>
      <c r="AT303" s="2844"/>
      <c r="AU303" s="2844"/>
      <c r="AV303" s="2844"/>
      <c r="AW303" s="2844"/>
      <c r="AX303" s="2844"/>
      <c r="AY303" s="2844"/>
      <c r="AZ303" s="2844"/>
    </row>
    <row r="304" spans="1:52" x14ac:dyDescent="0.2">
      <c r="A304" s="2844"/>
      <c r="B304" s="2844" t="s">
        <v>1898</v>
      </c>
      <c r="C304" s="2844" t="str">
        <f t="shared" si="28"/>
        <v/>
      </c>
      <c r="D304" s="2844"/>
      <c r="E304" s="2844">
        <f t="shared" si="26"/>
        <v>0</v>
      </c>
      <c r="F304" s="2844">
        <f t="shared" si="27"/>
        <v>0</v>
      </c>
      <c r="G304" s="2845"/>
      <c r="H304" s="2845">
        <f>IF(K304=0,0,Alimentação!F23)</f>
        <v>0</v>
      </c>
      <c r="I304" s="2845"/>
      <c r="J304" s="2844"/>
      <c r="K304" s="2844">
        <f>VLOOKUP(M304,Listas!$D$227:$E$246,2,)</f>
        <v>0</v>
      </c>
      <c r="L304" s="2844"/>
      <c r="M304" s="2844">
        <f>IF(Alimentação!C23=Alimentação!C22,0,Alimentação!C23)</f>
        <v>0</v>
      </c>
      <c r="N304" s="2844">
        <f>IF(Suplementação!M57=Suplementação!M56,0,Suplementação!M57)</f>
        <v>0</v>
      </c>
      <c r="O304" s="2843">
        <v>69</v>
      </c>
      <c r="P304" s="25">
        <v>16</v>
      </c>
      <c r="Q304" s="2844"/>
      <c r="R304" s="2844"/>
      <c r="S304" s="2844"/>
      <c r="T304" s="2844"/>
      <c r="U304" s="2844"/>
      <c r="V304" s="2844"/>
      <c r="W304" s="2844"/>
      <c r="X304" s="2844"/>
      <c r="Y304" s="2844"/>
      <c r="Z304" s="2844"/>
      <c r="AA304" s="2844"/>
      <c r="AB304" s="2844"/>
      <c r="AC304" s="2844"/>
      <c r="AD304" s="2844"/>
      <c r="AE304" s="2844"/>
      <c r="AF304" s="2844"/>
      <c r="AG304" s="2844"/>
      <c r="AH304" s="2844"/>
      <c r="AI304" s="2844"/>
      <c r="AJ304" s="2844"/>
      <c r="AK304" s="2844"/>
      <c r="AL304" s="2844"/>
      <c r="AM304" s="2844"/>
      <c r="AN304" s="2844"/>
      <c r="AO304" s="2844"/>
      <c r="AP304" s="2844"/>
      <c r="AQ304" s="2844"/>
      <c r="AR304" s="2844"/>
      <c r="AS304" s="2844"/>
      <c r="AT304" s="2844"/>
      <c r="AU304" s="2844"/>
      <c r="AV304" s="2844"/>
      <c r="AW304" s="2844"/>
      <c r="AX304" s="2844"/>
      <c r="AY304" s="2844"/>
      <c r="AZ304" s="2844"/>
    </row>
    <row r="305" spans="1:52" x14ac:dyDescent="0.2">
      <c r="A305" s="2844"/>
      <c r="B305" s="2844" t="s">
        <v>1899</v>
      </c>
      <c r="C305" s="2844" t="str">
        <f>IF(F305=22,B305&amp;" "&amp;E305,"")</f>
        <v/>
      </c>
      <c r="D305" s="2844"/>
      <c r="E305" s="2844">
        <f>IF(F305=22,$E$1,0)</f>
        <v>0</v>
      </c>
      <c r="F305" s="2844">
        <f>IF(H305=0,0,22)</f>
        <v>0</v>
      </c>
      <c r="G305" s="2845"/>
      <c r="H305" s="2845">
        <f>IF(K305=0,0,Alimentação!F24)</f>
        <v>0</v>
      </c>
      <c r="I305" s="2845"/>
      <c r="J305" s="2844"/>
      <c r="K305" s="2844">
        <f>VLOOKUP(M305,Listas!$D$227:$E$246,2,)</f>
        <v>0</v>
      </c>
      <c r="L305" s="2844"/>
      <c r="M305" s="2844">
        <f>IF(Alimentação!C24=Alimentação!C23,0,Alimentação!C24)</f>
        <v>0</v>
      </c>
      <c r="N305" s="2844">
        <f>IF(Suplementação!M58=Suplementação!M57,0,Suplementação!M58)</f>
        <v>0</v>
      </c>
      <c r="O305" s="2843">
        <v>69</v>
      </c>
      <c r="P305" s="25">
        <v>16</v>
      </c>
      <c r="Q305" s="2844"/>
      <c r="R305" s="2844"/>
      <c r="S305" s="2844"/>
      <c r="T305" s="2844"/>
      <c r="U305" s="2844"/>
      <c r="V305" s="2844"/>
      <c r="W305" s="2844"/>
      <c r="X305" s="2844"/>
      <c r="Y305" s="2844"/>
      <c r="Z305" s="2844"/>
      <c r="AA305" s="2844"/>
      <c r="AB305" s="2844"/>
      <c r="AC305" s="2844"/>
      <c r="AD305" s="2844"/>
      <c r="AE305" s="2844"/>
      <c r="AF305" s="2844"/>
      <c r="AG305" s="2844"/>
      <c r="AH305" s="2844"/>
      <c r="AI305" s="2844"/>
      <c r="AJ305" s="2844"/>
      <c r="AK305" s="2844"/>
      <c r="AL305" s="2844"/>
      <c r="AM305" s="2844"/>
      <c r="AN305" s="2844"/>
      <c r="AO305" s="2844"/>
      <c r="AP305" s="2844"/>
      <c r="AQ305" s="2844"/>
      <c r="AR305" s="2844"/>
      <c r="AS305" s="2844"/>
      <c r="AT305" s="2844"/>
      <c r="AU305" s="2844"/>
      <c r="AV305" s="2844"/>
      <c r="AW305" s="2844"/>
      <c r="AX305" s="2844"/>
      <c r="AY305" s="2844"/>
      <c r="AZ305" s="2844"/>
    </row>
    <row r="306" spans="1:52" x14ac:dyDescent="0.2">
      <c r="A306" s="189"/>
      <c r="B306" s="189"/>
      <c r="C306" s="189"/>
      <c r="D306" s="189"/>
      <c r="E306" s="189"/>
      <c r="F306" s="189"/>
      <c r="G306" s="189"/>
      <c r="H306" s="189"/>
      <c r="I306" s="189"/>
      <c r="J306" s="189"/>
      <c r="K306" s="189"/>
      <c r="L306" s="189"/>
      <c r="M306" s="189"/>
      <c r="Q306" s="2448" t="str">
        <f>Sanidade!H6</f>
        <v>Nome Comercial/Fabricante</v>
      </c>
      <c r="R306" s="2448" t="str">
        <f>Sanidade!I6</f>
        <v>Unidade</v>
      </c>
      <c r="S306" s="2448" t="str">
        <f>Sanidade!J6</f>
        <v>Unidade de compra</v>
      </c>
      <c r="T306" s="2448" t="str">
        <f>Sanidade!K6</f>
        <v>Preco (frasco/dose)</v>
      </c>
      <c r="U306" s="2448" t="str">
        <f>Sanidade!L6</f>
        <v>Dose/kg; frasco</v>
      </c>
      <c r="V306" s="2448" t="str">
        <f>Sanidade!M6</f>
        <v>Preco/ml ou dose</v>
      </c>
      <c r="W306" s="2448" t="str">
        <f>Sanidade!N6</f>
        <v>Categoria da aplic.</v>
      </c>
      <c r="X306" s="2448" t="str">
        <f>Sanidade!O6</f>
        <v>% do lote</v>
      </c>
      <c r="Y306" s="2448" t="str">
        <f>Sanidade!P6</f>
        <v>cabeças</v>
      </c>
      <c r="Z306" s="2448" t="str">
        <f>Sanidade!Q6</f>
        <v>Total kg</v>
      </c>
      <c r="AA306" s="189" t="s">
        <v>1450</v>
      </c>
      <c r="AB306" s="189"/>
      <c r="AC306" s="189"/>
      <c r="AD306" s="189"/>
      <c r="AE306" s="189"/>
      <c r="AF306" s="189"/>
      <c r="AG306" s="189"/>
      <c r="AH306" s="189"/>
      <c r="AI306" s="189"/>
      <c r="AJ306" s="189"/>
      <c r="AK306" s="189"/>
      <c r="AL306" s="189"/>
      <c r="AM306" s="189"/>
      <c r="AN306" s="189"/>
      <c r="AO306" s="189"/>
      <c r="AP306" s="189"/>
      <c r="AQ306" s="189"/>
      <c r="AR306" s="189"/>
      <c r="AS306" s="189"/>
      <c r="AT306" s="189"/>
      <c r="AU306" s="189"/>
      <c r="AV306" s="189"/>
      <c r="AW306" s="189"/>
      <c r="AX306" s="189"/>
      <c r="AY306" s="189"/>
      <c r="AZ306" s="189"/>
    </row>
    <row r="307" spans="1:52" x14ac:dyDescent="0.2">
      <c r="A307" s="2417"/>
      <c r="B307" s="25" t="s">
        <v>1900</v>
      </c>
      <c r="C307" s="25" t="str">
        <f t="shared" si="28"/>
        <v>ins.103 58</v>
      </c>
      <c r="D307" s="2418"/>
      <c r="E307" s="2417">
        <f t="shared" si="26"/>
        <v>58</v>
      </c>
      <c r="F307" s="2417">
        <f t="shared" si="27"/>
        <v>22</v>
      </c>
      <c r="G307" s="2416"/>
      <c r="H307" s="2416">
        <f t="shared" ref="H307:H366" si="29">T307</f>
        <v>1.2</v>
      </c>
      <c r="I307" s="2416"/>
      <c r="J307" s="2417"/>
      <c r="K307" s="2417" t="str">
        <f>VLOOKUP(M307,Listas!$D$249:$E$289,2,)</f>
        <v>Aftosa</v>
      </c>
      <c r="L307" s="2417"/>
      <c r="M307" s="2416">
        <f>VALUE(Sanidade!E7&amp;Sanidade!F7)</f>
        <v>22</v>
      </c>
      <c r="N307" s="25">
        <f t="shared" ref="N307:N366" si="30">ROUND(IF(R307=1,1,IF(R307=2,U307,IF(R307=3,U307*S307/Z307))),4)</f>
        <v>1</v>
      </c>
      <c r="O307" s="25">
        <f>VLOOKUP(M307,Listas!$D$249:$G$289,4,)</f>
        <v>0</v>
      </c>
      <c r="P307" s="25">
        <f>VLOOKUP(M307,Listas!$D$249:$I$289,6,)</f>
        <v>0</v>
      </c>
      <c r="Q307" s="2416">
        <f>Sanidade!H7</f>
        <v>0</v>
      </c>
      <c r="R307" s="2416">
        <f>Sanidade!I7</f>
        <v>1</v>
      </c>
      <c r="S307" s="2416">
        <f>Sanidade!J7</f>
        <v>1</v>
      </c>
      <c r="T307" s="2416">
        <f>Sanidade!K7</f>
        <v>1.2</v>
      </c>
      <c r="U307" s="2416">
        <f>Sanidade!L7</f>
        <v>0</v>
      </c>
      <c r="V307" s="2416">
        <f>Sanidade!M7</f>
        <v>1.2</v>
      </c>
      <c r="W307" s="2416">
        <f>Sanidade!N7</f>
        <v>23</v>
      </c>
      <c r="X307" s="2493">
        <f>Sanidade!O7</f>
        <v>1</v>
      </c>
      <c r="Y307" s="2415">
        <f>Sanidade!P7</f>
        <v>3116.864924444445</v>
      </c>
      <c r="Z307" s="2415">
        <f>Sanidade!Q7</f>
        <v>1142585.2620207409</v>
      </c>
    </row>
    <row r="308" spans="1:52" x14ac:dyDescent="0.2">
      <c r="A308" s="2417"/>
      <c r="B308" s="25" t="s">
        <v>1901</v>
      </c>
      <c r="C308" s="25" t="str">
        <f t="shared" si="28"/>
        <v/>
      </c>
      <c r="D308" s="2418"/>
      <c r="E308" s="2417">
        <f t="shared" si="26"/>
        <v>0</v>
      </c>
      <c r="F308" s="2417">
        <f t="shared" ref="F308:F366" si="31">IF(OR(H308=0,K308=K307),0,22)</f>
        <v>0</v>
      </c>
      <c r="G308" s="2416"/>
      <c r="H308" s="2416">
        <f t="shared" si="29"/>
        <v>1.2</v>
      </c>
      <c r="I308" s="2416"/>
      <c r="J308" s="2417"/>
      <c r="K308" s="2417" t="str">
        <f>VLOOKUP(M308,Listas!$D$249:$E$289,2,)</f>
        <v>Aftosa</v>
      </c>
      <c r="L308" s="2417"/>
      <c r="M308" s="2416">
        <f>VALUE(Sanidade!E8&amp;Sanidade!F8)</f>
        <v>22</v>
      </c>
      <c r="N308" s="25">
        <f t="shared" si="30"/>
        <v>1</v>
      </c>
      <c r="O308" s="25">
        <f>VLOOKUP(M308,Listas!$D$249:$G$289,4,)</f>
        <v>0</v>
      </c>
      <c r="P308" s="25">
        <f>VLOOKUP(M308,Listas!$D$249:$I$289,6,)</f>
        <v>0</v>
      </c>
      <c r="Q308" s="2416" t="str">
        <f>Sanidade!H8</f>
        <v>até 2 anos</v>
      </c>
      <c r="R308" s="2416">
        <f>Sanidade!I8</f>
        <v>1</v>
      </c>
      <c r="S308" s="2416">
        <f>Sanidade!J8</f>
        <v>1</v>
      </c>
      <c r="T308" s="2416">
        <f>Sanidade!K8</f>
        <v>1.2</v>
      </c>
      <c r="U308" s="2416">
        <f>Sanidade!L8</f>
        <v>0</v>
      </c>
      <c r="V308" s="2416">
        <f>Sanidade!M8</f>
        <v>1.2</v>
      </c>
      <c r="W308" s="2416">
        <f>Sanidade!N8</f>
        <v>3</v>
      </c>
      <c r="X308" s="2493">
        <f>Sanidade!O8</f>
        <v>1</v>
      </c>
      <c r="Y308" s="2415">
        <f>Sanidade!P8</f>
        <v>793.33333333333337</v>
      </c>
      <c r="Z308" s="2415">
        <f>Sanidade!Q8</f>
        <v>170566.66666666669</v>
      </c>
    </row>
    <row r="309" spans="1:52" x14ac:dyDescent="0.2">
      <c r="A309" s="2417"/>
      <c r="B309" s="25" t="s">
        <v>1902</v>
      </c>
      <c r="C309" s="25" t="str">
        <f t="shared" si="28"/>
        <v/>
      </c>
      <c r="D309" s="2418"/>
      <c r="E309" s="2417">
        <f t="shared" si="26"/>
        <v>0</v>
      </c>
      <c r="F309" s="2417">
        <f t="shared" si="31"/>
        <v>0</v>
      </c>
      <c r="G309" s="2416"/>
      <c r="H309" s="2416">
        <f t="shared" si="29"/>
        <v>1.2</v>
      </c>
      <c r="I309" s="2416"/>
      <c r="J309" s="2417"/>
      <c r="K309" s="2417" t="str">
        <f>VLOOKUP(M309,Listas!$D$249:$E$289,2,)</f>
        <v>Aftosa</v>
      </c>
      <c r="L309" s="2417"/>
      <c r="M309" s="2416">
        <f>VALUE(Sanidade!E9&amp;Sanidade!F9)</f>
        <v>22</v>
      </c>
      <c r="N309" s="25">
        <f t="shared" si="30"/>
        <v>1</v>
      </c>
      <c r="O309" s="25">
        <f>VLOOKUP(M309,Listas!$D$249:$G$289,4,)</f>
        <v>0</v>
      </c>
      <c r="P309" s="25">
        <f>VLOOKUP(M309,Listas!$D$249:$I$289,6,)</f>
        <v>0</v>
      </c>
      <c r="Q309" s="2416" t="str">
        <f>Sanidade!H9</f>
        <v>até 2 anos</v>
      </c>
      <c r="R309" s="2416">
        <f>Sanidade!I9</f>
        <v>1</v>
      </c>
      <c r="S309" s="2416">
        <f>Sanidade!J9</f>
        <v>1</v>
      </c>
      <c r="T309" s="2416">
        <f>Sanidade!K9</f>
        <v>1.2</v>
      </c>
      <c r="U309" s="2416">
        <f>Sanidade!L9</f>
        <v>0</v>
      </c>
      <c r="V309" s="2416">
        <f>Sanidade!M9</f>
        <v>1.2</v>
      </c>
      <c r="W309" s="2416">
        <f>Sanidade!N9</f>
        <v>4</v>
      </c>
      <c r="X309" s="2493">
        <f>Sanidade!O9</f>
        <v>1</v>
      </c>
      <c r="Y309" s="2415">
        <f>Sanidade!P9</f>
        <v>782.75555555555559</v>
      </c>
      <c r="Z309" s="2415">
        <f>Sanidade!Q9</f>
        <v>242654.22222222222</v>
      </c>
    </row>
    <row r="310" spans="1:52" x14ac:dyDescent="0.2">
      <c r="A310" s="2417"/>
      <c r="B310" s="25" t="s">
        <v>1903</v>
      </c>
      <c r="C310" s="25" t="str">
        <f t="shared" si="28"/>
        <v>ins.106 58</v>
      </c>
      <c r="D310" s="2418"/>
      <c r="E310" s="2417">
        <f t="shared" si="26"/>
        <v>58</v>
      </c>
      <c r="F310" s="2417">
        <f t="shared" si="31"/>
        <v>22</v>
      </c>
      <c r="G310" s="2416"/>
      <c r="H310" s="2416">
        <f t="shared" si="29"/>
        <v>0.8</v>
      </c>
      <c r="I310" s="2416"/>
      <c r="J310" s="2417"/>
      <c r="K310" s="2417" t="str">
        <f>VLOOKUP(M310,Listas!$D$249:$E$289,2,)</f>
        <v>Clostridiose</v>
      </c>
      <c r="L310" s="2417"/>
      <c r="M310" s="2416">
        <f>VALUE(Sanidade!E10&amp;Sanidade!F10)</f>
        <v>25</v>
      </c>
      <c r="N310" s="25">
        <f t="shared" si="30"/>
        <v>1</v>
      </c>
      <c r="O310" s="25">
        <f>VLOOKUP(M310,Listas!$D$249:$G$289,4,)</f>
        <v>0</v>
      </c>
      <c r="P310" s="25">
        <f>VLOOKUP(M310,Listas!$D$249:$I$289,6,)</f>
        <v>0</v>
      </c>
      <c r="Q310" s="2493">
        <f>Sanidade!H10</f>
        <v>0</v>
      </c>
      <c r="R310" s="2416">
        <f>Sanidade!I10</f>
        <v>1</v>
      </c>
      <c r="S310" s="2416">
        <f>Sanidade!J10</f>
        <v>1</v>
      </c>
      <c r="T310" s="2416">
        <f>Sanidade!K10</f>
        <v>0.8</v>
      </c>
      <c r="U310" s="2416">
        <f>Sanidade!L10</f>
        <v>0</v>
      </c>
      <c r="V310" s="2416">
        <f>Sanidade!M10</f>
        <v>0.8</v>
      </c>
      <c r="W310" s="2416">
        <f>Sanidade!N10</f>
        <v>23</v>
      </c>
      <c r="X310" s="2493">
        <f>Sanidade!O10</f>
        <v>1</v>
      </c>
      <c r="Y310" s="2415">
        <f>Sanidade!P10</f>
        <v>3116.864924444445</v>
      </c>
      <c r="Z310" s="2415">
        <f>Sanidade!Q10</f>
        <v>1142585.2620207409</v>
      </c>
    </row>
    <row r="311" spans="1:52" x14ac:dyDescent="0.2">
      <c r="A311" s="2417"/>
      <c r="B311" s="25" t="s">
        <v>1904</v>
      </c>
      <c r="C311" s="25" t="str">
        <f t="shared" si="28"/>
        <v/>
      </c>
      <c r="D311" s="2418"/>
      <c r="E311" s="2417">
        <f t="shared" si="26"/>
        <v>0</v>
      </c>
      <c r="F311" s="2417">
        <f t="shared" si="31"/>
        <v>0</v>
      </c>
      <c r="G311" s="2416"/>
      <c r="H311" s="2416">
        <f t="shared" si="29"/>
        <v>0.8</v>
      </c>
      <c r="I311" s="2416"/>
      <c r="J311" s="2417"/>
      <c r="K311" s="2417" t="str">
        <f>VLOOKUP(M311,Listas!$D$249:$E$289,2,)</f>
        <v>Clostridiose</v>
      </c>
      <c r="L311" s="2417"/>
      <c r="M311" s="2416">
        <f>VALUE(Sanidade!E11&amp;Sanidade!F11)</f>
        <v>25</v>
      </c>
      <c r="N311" s="25">
        <f t="shared" si="30"/>
        <v>1</v>
      </c>
      <c r="O311" s="25">
        <f>VLOOKUP(M311,Listas!$D$249:$G$289,4,)</f>
        <v>0</v>
      </c>
      <c r="P311" s="25">
        <f>VLOOKUP(M311,Listas!$D$249:$I$289,6,)</f>
        <v>0</v>
      </c>
      <c r="Q311" s="2416" t="str">
        <f>Sanidade!H11</f>
        <v>até 2 anos</v>
      </c>
      <c r="R311" s="2416">
        <f>Sanidade!I11</f>
        <v>1</v>
      </c>
      <c r="S311" s="2416">
        <f>Sanidade!J11</f>
        <v>1</v>
      </c>
      <c r="T311" s="2416">
        <f>Sanidade!K11</f>
        <v>0.8</v>
      </c>
      <c r="U311" s="2416">
        <f>Sanidade!L11</f>
        <v>0</v>
      </c>
      <c r="V311" s="2416">
        <f>Sanidade!M11</f>
        <v>0.8</v>
      </c>
      <c r="W311" s="2416">
        <f>Sanidade!N11</f>
        <v>3</v>
      </c>
      <c r="X311" s="2493">
        <f>Sanidade!O11</f>
        <v>1</v>
      </c>
      <c r="Y311" s="2415">
        <f>Sanidade!P11</f>
        <v>793.33333333333337</v>
      </c>
      <c r="Z311" s="2415">
        <f>Sanidade!Q11</f>
        <v>170566.66666666669</v>
      </c>
    </row>
    <row r="312" spans="1:52" x14ac:dyDescent="0.2">
      <c r="A312" s="2417"/>
      <c r="B312" s="25" t="s">
        <v>1905</v>
      </c>
      <c r="C312" s="25" t="str">
        <f t="shared" si="28"/>
        <v>ins.108 58</v>
      </c>
      <c r="D312" s="2418"/>
      <c r="E312" s="2417">
        <f t="shared" si="26"/>
        <v>58</v>
      </c>
      <c r="F312" s="2417">
        <f t="shared" si="31"/>
        <v>22</v>
      </c>
      <c r="G312" s="2416"/>
      <c r="H312" s="2416">
        <f t="shared" si="29"/>
        <v>400</v>
      </c>
      <c r="I312" s="2416"/>
      <c r="J312" s="2417"/>
      <c r="K312" s="2417" t="str">
        <f>VLOOKUP(M312,Listas!$D$249:$E$289,2,)</f>
        <v>Ivermectina</v>
      </c>
      <c r="L312" s="2417"/>
      <c r="M312" s="2416">
        <f>VALUE(Sanidade!E16&amp;Sanidade!F16)</f>
        <v>32</v>
      </c>
      <c r="N312" s="25">
        <f t="shared" si="30"/>
        <v>0.02</v>
      </c>
      <c r="O312" s="25">
        <f>VLOOKUP(M312,Listas!$D$249:$G$289,4,)</f>
        <v>0</v>
      </c>
      <c r="P312" s="25">
        <f>VLOOKUP(M312,Listas!$D$249:$I$289,6,)</f>
        <v>0</v>
      </c>
      <c r="Q312" s="2847">
        <f>Sanidade!H16</f>
        <v>0</v>
      </c>
      <c r="R312" s="2416">
        <f>Sanidade!I16</f>
        <v>2</v>
      </c>
      <c r="S312" s="2416">
        <f>Sanidade!J16</f>
        <v>1000</v>
      </c>
      <c r="T312" s="2416">
        <f>Sanidade!K16</f>
        <v>400</v>
      </c>
      <c r="U312" s="2416">
        <f>Sanidade!L16</f>
        <v>0.02</v>
      </c>
      <c r="V312" s="2416">
        <f>Sanidade!M16</f>
        <v>0.4</v>
      </c>
      <c r="W312" s="2416">
        <f>Sanidade!N16</f>
        <v>23</v>
      </c>
      <c r="X312" s="2493">
        <f>Sanidade!O16</f>
        <v>2</v>
      </c>
      <c r="Y312" s="2415">
        <f>Sanidade!P16</f>
        <v>6233.72984888889</v>
      </c>
      <c r="Z312" s="2415">
        <f>Sanidade!Q16</f>
        <v>2285170.5240414818</v>
      </c>
    </row>
    <row r="313" spans="1:52" x14ac:dyDescent="0.2">
      <c r="A313" s="2417"/>
      <c r="B313" s="25" t="s">
        <v>1906</v>
      </c>
      <c r="C313" s="25" t="str">
        <f t="shared" si="28"/>
        <v>ins.109 58</v>
      </c>
      <c r="D313" s="2418"/>
      <c r="E313" s="2417">
        <f t="shared" si="26"/>
        <v>58</v>
      </c>
      <c r="F313" s="2417">
        <f t="shared" si="31"/>
        <v>22</v>
      </c>
      <c r="G313" s="2416"/>
      <c r="H313" s="2416">
        <f t="shared" si="29"/>
        <v>6</v>
      </c>
      <c r="I313" s="2416"/>
      <c r="J313" s="2417"/>
      <c r="K313" s="2417" t="str">
        <f>VLOOKUP(M313,Listas!$D$249:$E$289,2,)</f>
        <v>Mata Bicheira</v>
      </c>
      <c r="L313" s="2417"/>
      <c r="M313" s="2416">
        <f>VALUE(Sanidade!E17&amp;Sanidade!F17)</f>
        <v>35</v>
      </c>
      <c r="N313" s="25">
        <f t="shared" si="30"/>
        <v>5.3E-3</v>
      </c>
      <c r="O313" s="25">
        <f>VLOOKUP(M313,Listas!$D$249:$G$289,4,)</f>
        <v>0</v>
      </c>
      <c r="P313" s="25">
        <f>VLOOKUP(M313,Listas!$D$249:$I$289,6,)</f>
        <v>0</v>
      </c>
      <c r="Q313" s="2416">
        <f>Sanidade!H17</f>
        <v>0</v>
      </c>
      <c r="R313" s="2416">
        <f>Sanidade!I17</f>
        <v>3</v>
      </c>
      <c r="S313" s="2416">
        <f>Sanidade!J17</f>
        <v>500</v>
      </c>
      <c r="T313" s="2416">
        <f>Sanidade!K17</f>
        <v>6</v>
      </c>
      <c r="U313" s="2416">
        <f>Sanidade!L17</f>
        <v>12</v>
      </c>
      <c r="V313" s="2416">
        <f>Sanidade!M17</f>
        <v>72</v>
      </c>
      <c r="W313" s="2416">
        <f>Sanidade!N17</f>
        <v>23</v>
      </c>
      <c r="X313" s="2493">
        <f>Sanidade!O17</f>
        <v>1</v>
      </c>
      <c r="Y313" s="2415">
        <f>Sanidade!P17</f>
        <v>3116.864924444445</v>
      </c>
      <c r="Z313" s="2415">
        <f>Sanidade!Q17</f>
        <v>1142585.2620207409</v>
      </c>
    </row>
    <row r="314" spans="1:52" x14ac:dyDescent="0.2">
      <c r="A314" s="2417"/>
      <c r="B314" s="25" t="s">
        <v>1907</v>
      </c>
      <c r="C314" s="25" t="str">
        <f t="shared" si="28"/>
        <v>ins.110 58</v>
      </c>
      <c r="D314" s="2418"/>
      <c r="E314" s="2417">
        <f t="shared" si="26"/>
        <v>58</v>
      </c>
      <c r="F314" s="2417">
        <f t="shared" si="31"/>
        <v>22</v>
      </c>
      <c r="G314" s="2417"/>
      <c r="H314" s="2416">
        <f t="shared" si="29"/>
        <v>20</v>
      </c>
      <c r="I314" s="2417"/>
      <c r="J314" s="2417"/>
      <c r="K314" s="2417" t="str">
        <f>VLOOKUP(M314,Listas!$D$249:$E$289,2,)</f>
        <v>Cipermetrina</v>
      </c>
      <c r="L314" s="2417"/>
      <c r="M314" s="2416">
        <f>VALUE(Sanidade!E18&amp;Sanidade!F18)</f>
        <v>34</v>
      </c>
      <c r="N314" s="25">
        <f t="shared" si="30"/>
        <v>1.4E-2</v>
      </c>
      <c r="O314" s="25">
        <f>VLOOKUP(M314,Listas!$D$249:$G$289,4,)</f>
        <v>0</v>
      </c>
      <c r="P314" s="25">
        <f>VLOOKUP(M314,Listas!$D$249:$I$289,6,)</f>
        <v>0</v>
      </c>
      <c r="Q314" s="2416" t="str">
        <f>Sanidade!H18</f>
        <v>Pour-on</v>
      </c>
      <c r="R314" s="2416">
        <f>Sanidade!I18</f>
        <v>3</v>
      </c>
      <c r="S314" s="2416">
        <f>Sanidade!J18</f>
        <v>1000</v>
      </c>
      <c r="T314" s="2416">
        <f>Sanidade!K18</f>
        <v>20</v>
      </c>
      <c r="U314" s="2416">
        <f>Sanidade!L18</f>
        <v>16</v>
      </c>
      <c r="V314" s="2416">
        <f>Sanidade!M18</f>
        <v>320</v>
      </c>
      <c r="W314" s="2416">
        <f>Sanidade!N18</f>
        <v>23</v>
      </c>
      <c r="X314" s="2493">
        <f>Sanidade!O18</f>
        <v>1</v>
      </c>
      <c r="Y314" s="2415">
        <f>Sanidade!P18</f>
        <v>3116.864924444445</v>
      </c>
      <c r="Z314" s="2415">
        <f>Sanidade!Q18</f>
        <v>1142585.2620207409</v>
      </c>
    </row>
    <row r="315" spans="1:52" x14ac:dyDescent="0.2">
      <c r="A315" s="2417"/>
      <c r="B315" s="25" t="s">
        <v>1908</v>
      </c>
      <c r="C315" s="25" t="str">
        <f t="shared" si="28"/>
        <v>ins.111 58</v>
      </c>
      <c r="D315" s="2418"/>
      <c r="E315" s="2417">
        <f t="shared" si="26"/>
        <v>58</v>
      </c>
      <c r="F315" s="2417">
        <f t="shared" si="31"/>
        <v>22</v>
      </c>
      <c r="G315" s="2417"/>
      <c r="H315" s="2416">
        <f t="shared" si="29"/>
        <v>0.8</v>
      </c>
      <c r="I315" s="2417"/>
      <c r="J315" s="2417"/>
      <c r="K315" s="2417" t="str">
        <f>VLOOKUP(M315,Listas!$D$249:$E$289,2,)</f>
        <v>Clostridiose</v>
      </c>
      <c r="L315" s="2417"/>
      <c r="M315" s="2416">
        <f>VALUE(Sanidade!E19&amp;Sanidade!F19)</f>
        <v>25</v>
      </c>
      <c r="N315" s="25">
        <f t="shared" si="30"/>
        <v>1</v>
      </c>
      <c r="O315" s="25">
        <f>VLOOKUP(M315,Listas!$D$249:$G$289,4,)</f>
        <v>0</v>
      </c>
      <c r="P315" s="25">
        <f>VLOOKUP(M315,Listas!$D$249:$I$289,6,)</f>
        <v>0</v>
      </c>
      <c r="Q315" s="2416" t="str">
        <f>Sanidade!H19</f>
        <v>até 2 anos</v>
      </c>
      <c r="R315" s="2416">
        <f>Sanidade!I19</f>
        <v>1</v>
      </c>
      <c r="S315" s="2416">
        <f>Sanidade!J19</f>
        <v>1</v>
      </c>
      <c r="T315" s="2416">
        <f>Sanidade!K19</f>
        <v>0.8</v>
      </c>
      <c r="U315" s="2416">
        <f>Sanidade!L19</f>
        <v>0</v>
      </c>
      <c r="V315" s="2416">
        <f>Sanidade!M19</f>
        <v>0.8</v>
      </c>
      <c r="W315" s="2416">
        <f>Sanidade!N19</f>
        <v>4</v>
      </c>
      <c r="X315" s="2493">
        <f>Sanidade!O19</f>
        <v>1</v>
      </c>
      <c r="Y315" s="2415">
        <f>Sanidade!P19</f>
        <v>782.75555555555559</v>
      </c>
      <c r="Z315" s="2415">
        <f>Sanidade!Q19</f>
        <v>242654.22222222222</v>
      </c>
    </row>
    <row r="316" spans="1:52" x14ac:dyDescent="0.2">
      <c r="A316" s="2417"/>
      <c r="B316" s="25" t="s">
        <v>1909</v>
      </c>
      <c r="C316" s="25" t="str">
        <f t="shared" si="28"/>
        <v/>
      </c>
      <c r="D316" s="2418"/>
      <c r="E316" s="2417">
        <f t="shared" si="26"/>
        <v>0</v>
      </c>
      <c r="F316" s="2417">
        <f t="shared" si="31"/>
        <v>0</v>
      </c>
      <c r="G316" s="2417"/>
      <c r="H316" s="2416">
        <f t="shared" si="29"/>
        <v>0</v>
      </c>
      <c r="I316" s="2417"/>
      <c r="J316" s="2417"/>
      <c r="K316" s="2417">
        <f>VLOOKUP(M316,Listas!$D$249:$E$289,2,)</f>
        <v>0</v>
      </c>
      <c r="L316" s="2417"/>
      <c r="M316" s="2416">
        <f>VALUE(Sanidade!E20&amp;Sanidade!F20)</f>
        <v>11</v>
      </c>
      <c r="N316" s="25">
        <f t="shared" si="30"/>
        <v>0</v>
      </c>
      <c r="O316" s="25">
        <f>VLOOKUP(M316,Listas!$D$249:$G$289,4,)</f>
        <v>0</v>
      </c>
      <c r="P316" s="25">
        <f>VLOOKUP(M316,Listas!$D$249:$I$289,6,)</f>
        <v>0</v>
      </c>
      <c r="Q316" s="2416">
        <f>Sanidade!H20</f>
        <v>0</v>
      </c>
      <c r="R316" s="2416">
        <f>Sanidade!I20</f>
        <v>0</v>
      </c>
      <c r="S316" s="2416">
        <f>Sanidade!J20</f>
        <v>0</v>
      </c>
      <c r="T316" s="2416">
        <f>Sanidade!K20</f>
        <v>0</v>
      </c>
      <c r="U316" s="2416">
        <f>Sanidade!L20</f>
        <v>0</v>
      </c>
      <c r="V316" s="2416">
        <f>Sanidade!M20</f>
        <v>0</v>
      </c>
      <c r="W316" s="2416">
        <f>Sanidade!N20</f>
        <v>1</v>
      </c>
      <c r="X316" s="2493">
        <f>Sanidade!O20</f>
        <v>1</v>
      </c>
      <c r="Y316" s="2415">
        <f>Sanidade!P20</f>
        <v>0</v>
      </c>
      <c r="Z316" s="2415">
        <f>Sanidade!Q20</f>
        <v>0</v>
      </c>
    </row>
    <row r="317" spans="1:52" x14ac:dyDescent="0.2">
      <c r="A317" s="2417"/>
      <c r="B317" s="25" t="s">
        <v>1910</v>
      </c>
      <c r="C317" s="25" t="str">
        <f t="shared" si="28"/>
        <v>ins.113 58</v>
      </c>
      <c r="D317" s="2418"/>
      <c r="E317" s="2417">
        <f t="shared" si="26"/>
        <v>58</v>
      </c>
      <c r="F317" s="2417">
        <f t="shared" si="31"/>
        <v>22</v>
      </c>
      <c r="G317" s="2417"/>
      <c r="H317" s="2416">
        <f t="shared" si="29"/>
        <v>5</v>
      </c>
      <c r="I317" s="2417"/>
      <c r="J317" s="2417"/>
      <c r="K317" s="2417" t="str">
        <f>VLOOKUP(M317,Listas!$D$249:$E$289,2,)</f>
        <v>Oxitetraciclina</v>
      </c>
      <c r="L317" s="2417"/>
      <c r="M317" s="2416">
        <f>VALUE(Sanidade!E25&amp;Sanidade!F25)</f>
        <v>42</v>
      </c>
      <c r="N317" s="25">
        <f t="shared" si="30"/>
        <v>2.2000000000000001E-3</v>
      </c>
      <c r="O317" s="25">
        <f>VLOOKUP(M317,Listas!$D$249:$G$289,4,)</f>
        <v>0</v>
      </c>
      <c r="P317" s="25">
        <f>VLOOKUP(M317,Listas!$D$249:$I$289,6,)</f>
        <v>0</v>
      </c>
      <c r="Q317" s="2493" t="str">
        <f>Sanidade!H25</f>
        <v>C/ antinflamatorio</v>
      </c>
      <c r="R317" s="2416">
        <f>Sanidade!I25</f>
        <v>3</v>
      </c>
      <c r="S317" s="2416">
        <f>Sanidade!J25</f>
        <v>50</v>
      </c>
      <c r="T317" s="2416">
        <f>Sanidade!K25</f>
        <v>5</v>
      </c>
      <c r="U317" s="2416">
        <f>Sanidade!L25</f>
        <v>50</v>
      </c>
      <c r="V317" s="2416">
        <f>Sanidade!M25</f>
        <v>250</v>
      </c>
      <c r="W317" s="2416">
        <f>Sanidade!N25</f>
        <v>23</v>
      </c>
      <c r="X317" s="2493">
        <f>Sanidade!O25</f>
        <v>1</v>
      </c>
      <c r="Y317" s="2415">
        <f>Sanidade!P25</f>
        <v>3116.864924444445</v>
      </c>
      <c r="Z317" s="2415">
        <f>Sanidade!Q25</f>
        <v>1142585.2620207409</v>
      </c>
    </row>
    <row r="318" spans="1:52" x14ac:dyDescent="0.2">
      <c r="A318" s="2417"/>
      <c r="B318" s="25" t="s">
        <v>1911</v>
      </c>
      <c r="C318" s="25" t="e">
        <f t="shared" si="28"/>
        <v>#N/A</v>
      </c>
      <c r="D318" s="2418"/>
      <c r="E318" s="2417" t="e">
        <f t="shared" si="26"/>
        <v>#N/A</v>
      </c>
      <c r="F318" s="2417" t="e">
        <f t="shared" si="31"/>
        <v>#N/A</v>
      </c>
      <c r="G318" s="2417"/>
      <c r="H318" s="2416">
        <f t="shared" si="29"/>
        <v>115</v>
      </c>
      <c r="I318" s="2417"/>
      <c r="J318" s="2417"/>
      <c r="K318" s="2417" t="e">
        <f>VLOOKUP(M318,Listas!$D$249:$E$289,2,)</f>
        <v>#N/A</v>
      </c>
      <c r="L318" s="2417"/>
      <c r="M318" s="2416">
        <f>VALUE(Sanidade!E26&amp;Sanidade!F26)</f>
        <v>59</v>
      </c>
      <c r="N318" s="25">
        <f t="shared" si="30"/>
        <v>1.0500000000000001E-2</v>
      </c>
      <c r="O318" s="25" t="e">
        <f>VLOOKUP(M318,Listas!$D$249:$G$289,4,)</f>
        <v>#N/A</v>
      </c>
      <c r="P318" s="25" t="e">
        <f>VLOOKUP(M318,Listas!$D$249:$I$289,6,)</f>
        <v>#N/A</v>
      </c>
      <c r="Q318" s="2493" t="str">
        <f>Sanidade!H26</f>
        <v>Tiguvon</v>
      </c>
      <c r="R318" s="2416">
        <f>Sanidade!I26</f>
        <v>3</v>
      </c>
      <c r="S318" s="2416">
        <f>Sanidade!J26</f>
        <v>1000</v>
      </c>
      <c r="T318" s="2416">
        <f>Sanidade!K26</f>
        <v>115</v>
      </c>
      <c r="U318" s="2416">
        <f>Sanidade!L26</f>
        <v>12</v>
      </c>
      <c r="V318" s="2416">
        <f>Sanidade!M26</f>
        <v>1380</v>
      </c>
      <c r="W318" s="2416">
        <f>Sanidade!N26</f>
        <v>23</v>
      </c>
      <c r="X318" s="2493">
        <f>Sanidade!O26</f>
        <v>1</v>
      </c>
      <c r="Y318" s="2415">
        <f>Sanidade!P26</f>
        <v>3116.864924444445</v>
      </c>
      <c r="Z318" s="2415">
        <f>Sanidade!Q26</f>
        <v>1142585.2620207409</v>
      </c>
    </row>
    <row r="319" spans="1:52" x14ac:dyDescent="0.2">
      <c r="A319" s="2417"/>
      <c r="B319" s="25" t="s">
        <v>1912</v>
      </c>
      <c r="C319" s="25" t="e">
        <f t="shared" si="28"/>
        <v>#N/A</v>
      </c>
      <c r="D319" s="2418"/>
      <c r="E319" s="2417" t="e">
        <f t="shared" si="26"/>
        <v>#N/A</v>
      </c>
      <c r="F319" s="2417" t="e">
        <f t="shared" si="31"/>
        <v>#N/A</v>
      </c>
      <c r="G319" s="2417"/>
      <c r="H319" s="2416">
        <f t="shared" si="29"/>
        <v>0</v>
      </c>
      <c r="I319" s="2417"/>
      <c r="J319" s="2417"/>
      <c r="K319" s="2417">
        <f>VLOOKUP(M319,Listas!$D$249:$E$289,2,)</f>
        <v>0</v>
      </c>
      <c r="L319" s="2417"/>
      <c r="M319" s="2416">
        <f>VALUE(Sanidade!E27&amp;Sanidade!F27)</f>
        <v>11</v>
      </c>
      <c r="N319" s="25">
        <f t="shared" si="30"/>
        <v>0</v>
      </c>
      <c r="O319" s="25">
        <f>VLOOKUP(M319,Listas!$D$249:$G$289,4,)</f>
        <v>0</v>
      </c>
      <c r="P319" s="25">
        <f>VLOOKUP(M319,Listas!$D$249:$I$289,6,)</f>
        <v>0</v>
      </c>
      <c r="Q319" s="2416">
        <f>Sanidade!H27</f>
        <v>0</v>
      </c>
      <c r="R319" s="2416">
        <f>Sanidade!I27</f>
        <v>0</v>
      </c>
      <c r="S319" s="2416">
        <f>Sanidade!J27</f>
        <v>0</v>
      </c>
      <c r="T319" s="2416">
        <f>Sanidade!K27</f>
        <v>0</v>
      </c>
      <c r="U319" s="2416">
        <f>Sanidade!L27</f>
        <v>0</v>
      </c>
      <c r="V319" s="2416">
        <f>Sanidade!M27</f>
        <v>0</v>
      </c>
      <c r="W319" s="2416">
        <f>Sanidade!N27</f>
        <v>1</v>
      </c>
      <c r="X319" s="2493">
        <f>Sanidade!O27</f>
        <v>1</v>
      </c>
      <c r="Y319" s="2415">
        <f>Sanidade!P27</f>
        <v>0</v>
      </c>
      <c r="Z319" s="2415">
        <f>Sanidade!Q27</f>
        <v>0</v>
      </c>
    </row>
    <row r="320" spans="1:52" x14ac:dyDescent="0.2">
      <c r="A320" s="2417"/>
      <c r="B320" s="25" t="s">
        <v>1913</v>
      </c>
      <c r="C320" s="25" t="str">
        <f t="shared" si="28"/>
        <v/>
      </c>
      <c r="D320" s="2418"/>
      <c r="E320" s="2417">
        <f t="shared" si="26"/>
        <v>0</v>
      </c>
      <c r="F320" s="2417">
        <f t="shared" si="31"/>
        <v>0</v>
      </c>
      <c r="G320" s="2417"/>
      <c r="H320" s="2416">
        <f t="shared" si="29"/>
        <v>0</v>
      </c>
      <c r="I320" s="2417"/>
      <c r="J320" s="2417"/>
      <c r="K320" s="2417">
        <f>VLOOKUP(M320,Listas!$D$249:$E$289,2,)</f>
        <v>0</v>
      </c>
      <c r="L320" s="2417"/>
      <c r="M320" s="2416">
        <f>VALUE(Sanidade!E28&amp;Sanidade!F28)</f>
        <v>11</v>
      </c>
      <c r="N320" s="25">
        <f t="shared" si="30"/>
        <v>0</v>
      </c>
      <c r="O320" s="25">
        <f>VLOOKUP(M320,Listas!$D$249:$G$289,4,)</f>
        <v>0</v>
      </c>
      <c r="P320" s="25">
        <f>VLOOKUP(M320,Listas!$D$249:$I$289,6,)</f>
        <v>0</v>
      </c>
      <c r="Q320" s="2416">
        <f>Sanidade!H28</f>
        <v>0</v>
      </c>
      <c r="R320" s="2416">
        <f>Sanidade!I28</f>
        <v>0</v>
      </c>
      <c r="S320" s="2416">
        <f>Sanidade!J28</f>
        <v>0</v>
      </c>
      <c r="T320" s="2416">
        <f>Sanidade!K28</f>
        <v>0</v>
      </c>
      <c r="U320" s="2416">
        <f>Sanidade!L28</f>
        <v>0</v>
      </c>
      <c r="V320" s="2416">
        <f>Sanidade!M28</f>
        <v>0</v>
      </c>
      <c r="W320" s="2416">
        <f>Sanidade!N28</f>
        <v>1</v>
      </c>
      <c r="X320" s="2493">
        <f>Sanidade!O28</f>
        <v>1</v>
      </c>
      <c r="Y320" s="2415">
        <f>Sanidade!P28</f>
        <v>0</v>
      </c>
      <c r="Z320" s="2415">
        <f>Sanidade!Q28</f>
        <v>0</v>
      </c>
    </row>
    <row r="321" spans="1:26" customFormat="1" x14ac:dyDescent="0.2">
      <c r="A321" s="2417"/>
      <c r="B321" s="25" t="s">
        <v>1914</v>
      </c>
      <c r="C321" s="25" t="str">
        <f t="shared" si="28"/>
        <v/>
      </c>
      <c r="D321" s="2418"/>
      <c r="E321" s="2417">
        <f t="shared" si="26"/>
        <v>0</v>
      </c>
      <c r="F321" s="2417">
        <f t="shared" si="31"/>
        <v>0</v>
      </c>
      <c r="G321" s="2417"/>
      <c r="H321" s="2416">
        <f t="shared" si="29"/>
        <v>0</v>
      </c>
      <c r="I321" s="2417"/>
      <c r="J321" s="2417"/>
      <c r="K321" s="2417">
        <f>VLOOKUP(M321,Listas!$D$249:$E$289,2,)</f>
        <v>0</v>
      </c>
      <c r="L321" s="2417"/>
      <c r="M321" s="2416">
        <f>VALUE(Sanidade!E29&amp;Sanidade!F29)</f>
        <v>11</v>
      </c>
      <c r="N321" s="25">
        <f t="shared" si="30"/>
        <v>0</v>
      </c>
      <c r="O321" s="25">
        <f>VLOOKUP(M321,Listas!$D$249:$G$289,4,)</f>
        <v>0</v>
      </c>
      <c r="P321" s="25">
        <f>VLOOKUP(M321,Listas!$D$249:$I$289,6,)</f>
        <v>0</v>
      </c>
      <c r="Q321" s="2416">
        <f>Sanidade!H29</f>
        <v>0</v>
      </c>
      <c r="R321" s="2416">
        <f>Sanidade!I29</f>
        <v>0</v>
      </c>
      <c r="S321" s="2416">
        <f>Sanidade!J29</f>
        <v>0</v>
      </c>
      <c r="T321" s="2416">
        <f>Sanidade!K29</f>
        <v>0</v>
      </c>
      <c r="U321" s="2416">
        <f>Sanidade!L29</f>
        <v>0</v>
      </c>
      <c r="V321" s="2416">
        <f>Sanidade!M29</f>
        <v>0</v>
      </c>
      <c r="W321" s="2416">
        <f>Sanidade!N29</f>
        <v>1</v>
      </c>
      <c r="X321" s="2493">
        <f>Sanidade!O29</f>
        <v>1</v>
      </c>
      <c r="Y321" s="2415">
        <f>Sanidade!P29</f>
        <v>0</v>
      </c>
      <c r="Z321" s="2415">
        <f>Sanidade!Q29</f>
        <v>0</v>
      </c>
    </row>
    <row r="322" spans="1:26" customFormat="1" x14ac:dyDescent="0.2">
      <c r="A322" s="2417"/>
      <c r="B322" s="25" t="s">
        <v>1915</v>
      </c>
      <c r="C322" s="25" t="str">
        <f t="shared" si="28"/>
        <v>ins.118 58</v>
      </c>
      <c r="D322" s="2418"/>
      <c r="E322" s="2417">
        <f t="shared" si="26"/>
        <v>58</v>
      </c>
      <c r="F322" s="2417">
        <f t="shared" si="31"/>
        <v>22</v>
      </c>
      <c r="G322" s="2417"/>
      <c r="H322" s="2416">
        <f t="shared" si="29"/>
        <v>10</v>
      </c>
      <c r="I322" s="2417"/>
      <c r="J322" s="2417"/>
      <c r="K322" s="2417" t="str">
        <f>VLOOKUP(M322,Listas!$D$249:$E$289,2,)</f>
        <v>Ivermectina</v>
      </c>
      <c r="L322" s="2417"/>
      <c r="M322" s="2416">
        <f>VALUE(Sanidade!E34&amp;Sanidade!F34)</f>
        <v>32</v>
      </c>
      <c r="N322" s="25">
        <f t="shared" si="30"/>
        <v>0</v>
      </c>
      <c r="O322" s="25">
        <f>VLOOKUP(M322,Listas!$D$249:$G$289,4,)</f>
        <v>0</v>
      </c>
      <c r="P322" s="25">
        <f>VLOOKUP(M322,Listas!$D$249:$I$289,6,)</f>
        <v>0</v>
      </c>
      <c r="Q322" s="2416" t="str">
        <f>Sanidade!H34</f>
        <v>Tropa pasta</v>
      </c>
      <c r="R322" s="2416">
        <f>Sanidade!I34</f>
        <v>3</v>
      </c>
      <c r="S322" s="2416">
        <f>Sanidade!J34</f>
        <v>1</v>
      </c>
      <c r="T322" s="2416">
        <f>Sanidade!K34</f>
        <v>10</v>
      </c>
      <c r="U322" s="2416">
        <f>Sanidade!L34</f>
        <v>24</v>
      </c>
      <c r="V322" s="2416">
        <f>Sanidade!M34</f>
        <v>240</v>
      </c>
      <c r="W322" s="2416">
        <f>Sanidade!N34</f>
        <v>23</v>
      </c>
      <c r="X322" s="2493">
        <f>Sanidade!O34</f>
        <v>1</v>
      </c>
      <c r="Y322" s="2415">
        <f>Sanidade!P34</f>
        <v>3116.864924444445</v>
      </c>
      <c r="Z322" s="2415">
        <f>Sanidade!Q34</f>
        <v>1142585.2620207409</v>
      </c>
    </row>
    <row r="323" spans="1:26" customFormat="1" x14ac:dyDescent="0.2">
      <c r="A323" s="2417"/>
      <c r="B323" s="25" t="s">
        <v>1916</v>
      </c>
      <c r="C323" s="25" t="str">
        <f t="shared" si="28"/>
        <v/>
      </c>
      <c r="D323" s="2418"/>
      <c r="E323" s="2417">
        <f t="shared" si="26"/>
        <v>0</v>
      </c>
      <c r="F323" s="2417">
        <f t="shared" si="31"/>
        <v>0</v>
      </c>
      <c r="G323" s="2417"/>
      <c r="H323" s="2416">
        <f t="shared" si="29"/>
        <v>0</v>
      </c>
      <c r="I323" s="2417"/>
      <c r="J323" s="2417"/>
      <c r="K323" s="2417">
        <f>VLOOKUP(M323,Listas!$D$249:$E$289,2,)</f>
        <v>0</v>
      </c>
      <c r="L323" s="2417"/>
      <c r="M323" s="2416">
        <f>VALUE(Sanidade!E35&amp;Sanidade!F35)</f>
        <v>11</v>
      </c>
      <c r="N323" s="25">
        <f t="shared" si="30"/>
        <v>0</v>
      </c>
      <c r="O323" s="25">
        <f>VLOOKUP(M323,Listas!$D$249:$G$289,4,)</f>
        <v>0</v>
      </c>
      <c r="P323" s="25">
        <f>VLOOKUP(M323,Listas!$D$249:$I$289,6,)</f>
        <v>0</v>
      </c>
      <c r="Q323" s="2847">
        <f>Sanidade!H35</f>
        <v>0</v>
      </c>
      <c r="R323" s="2416">
        <f>Sanidade!I35</f>
        <v>0</v>
      </c>
      <c r="S323" s="2416">
        <f>Sanidade!J35</f>
        <v>0</v>
      </c>
      <c r="T323" s="2416">
        <f>Sanidade!K35</f>
        <v>0</v>
      </c>
      <c r="U323" s="2416">
        <f>Sanidade!L35</f>
        <v>0</v>
      </c>
      <c r="V323" s="2416">
        <f>Sanidade!M35</f>
        <v>0</v>
      </c>
      <c r="W323" s="2416">
        <f>Sanidade!N35</f>
        <v>1</v>
      </c>
      <c r="X323" s="2493">
        <f>Sanidade!O35</f>
        <v>1</v>
      </c>
      <c r="Y323" s="2415">
        <f>Sanidade!P35</f>
        <v>0</v>
      </c>
      <c r="Z323" s="2415">
        <f>Sanidade!Q35</f>
        <v>0</v>
      </c>
    </row>
    <row r="324" spans="1:26" customFormat="1" x14ac:dyDescent="0.2">
      <c r="A324" s="2417"/>
      <c r="B324" s="25" t="s">
        <v>1917</v>
      </c>
      <c r="C324" s="25" t="str">
        <f t="shared" si="28"/>
        <v/>
      </c>
      <c r="D324" s="2418"/>
      <c r="E324" s="2417">
        <f t="shared" si="26"/>
        <v>0</v>
      </c>
      <c r="F324" s="2417">
        <f t="shared" si="31"/>
        <v>0</v>
      </c>
      <c r="G324" s="2417"/>
      <c r="H324" s="2416">
        <f t="shared" si="29"/>
        <v>0</v>
      </c>
      <c r="I324" s="2417"/>
      <c r="J324" s="2417"/>
      <c r="K324" s="2417">
        <f>VLOOKUP(M324,Listas!$D$249:$E$289,2,)</f>
        <v>0</v>
      </c>
      <c r="L324" s="2417"/>
      <c r="M324" s="2416">
        <f>VALUE(Sanidade!E36&amp;Sanidade!F36)</f>
        <v>11</v>
      </c>
      <c r="N324" s="25">
        <f t="shared" si="30"/>
        <v>0</v>
      </c>
      <c r="O324" s="25">
        <f>VLOOKUP(M324,Listas!$D$249:$G$289,4,)</f>
        <v>0</v>
      </c>
      <c r="P324" s="25">
        <f>VLOOKUP(M324,Listas!$D$249:$I$289,6,)</f>
        <v>0</v>
      </c>
      <c r="Q324" s="2847">
        <f>Sanidade!H36</f>
        <v>0</v>
      </c>
      <c r="R324" s="2416">
        <f>Sanidade!I36</f>
        <v>0</v>
      </c>
      <c r="S324" s="2416">
        <f>Sanidade!J36</f>
        <v>0</v>
      </c>
      <c r="T324" s="2416">
        <f>Sanidade!K36</f>
        <v>0</v>
      </c>
      <c r="U324" s="2416">
        <f>Sanidade!L36</f>
        <v>0</v>
      </c>
      <c r="V324" s="2416">
        <f>Sanidade!M36</f>
        <v>0</v>
      </c>
      <c r="W324" s="2416">
        <f>Sanidade!N36</f>
        <v>1</v>
      </c>
      <c r="X324" s="2493">
        <f>Sanidade!O36</f>
        <v>1</v>
      </c>
      <c r="Y324" s="2415">
        <f>Sanidade!P36</f>
        <v>0</v>
      </c>
      <c r="Z324" s="2415">
        <f>Sanidade!Q36</f>
        <v>0</v>
      </c>
    </row>
    <row r="325" spans="1:26" customFormat="1" x14ac:dyDescent="0.2">
      <c r="A325" s="2417"/>
      <c r="B325" s="25" t="s">
        <v>1918</v>
      </c>
      <c r="C325" s="25" t="str">
        <f t="shared" si="28"/>
        <v/>
      </c>
      <c r="D325" s="2418"/>
      <c r="E325" s="2417">
        <f t="shared" si="26"/>
        <v>0</v>
      </c>
      <c r="F325" s="2417">
        <f t="shared" si="31"/>
        <v>0</v>
      </c>
      <c r="G325" s="2417"/>
      <c r="H325" s="2416">
        <f t="shared" si="29"/>
        <v>0</v>
      </c>
      <c r="I325" s="2417"/>
      <c r="J325" s="2417"/>
      <c r="K325" s="2417">
        <f>VLOOKUP(M325,Listas!$D$249:$E$289,2,)</f>
        <v>0</v>
      </c>
      <c r="L325" s="2417"/>
      <c r="M325" s="2416">
        <f>VALUE(Sanidade!E37&amp;Sanidade!F37)</f>
        <v>11</v>
      </c>
      <c r="N325" s="25">
        <f t="shared" si="30"/>
        <v>0</v>
      </c>
      <c r="O325" s="25">
        <f>VLOOKUP(M325,Listas!$D$249:$G$289,4,)</f>
        <v>0</v>
      </c>
      <c r="P325" s="25">
        <f>VLOOKUP(M325,Listas!$D$249:$I$289,6,)</f>
        <v>0</v>
      </c>
      <c r="Q325" s="2847">
        <f>Sanidade!H37</f>
        <v>0</v>
      </c>
      <c r="R325" s="2416">
        <f>Sanidade!I37</f>
        <v>0</v>
      </c>
      <c r="S325" s="2416">
        <f>Sanidade!J37</f>
        <v>0</v>
      </c>
      <c r="T325" s="2416">
        <f>Sanidade!K37</f>
        <v>0</v>
      </c>
      <c r="U325" s="2416">
        <f>Sanidade!L37</f>
        <v>0</v>
      </c>
      <c r="V325" s="2416">
        <f>Sanidade!M37</f>
        <v>0</v>
      </c>
      <c r="W325" s="2416">
        <f>Sanidade!N37</f>
        <v>1</v>
      </c>
      <c r="X325" s="2493">
        <f>Sanidade!O37</f>
        <v>1</v>
      </c>
      <c r="Y325" s="2415">
        <f>Sanidade!P37</f>
        <v>0</v>
      </c>
      <c r="Z325" s="2415">
        <f>Sanidade!Q37</f>
        <v>0</v>
      </c>
    </row>
    <row r="326" spans="1:26" customFormat="1" x14ac:dyDescent="0.2">
      <c r="A326" s="2417"/>
      <c r="B326" s="25" t="s">
        <v>1919</v>
      </c>
      <c r="C326" s="25" t="str">
        <f t="shared" si="28"/>
        <v/>
      </c>
      <c r="D326" s="2418"/>
      <c r="E326" s="2417">
        <f t="shared" si="26"/>
        <v>0</v>
      </c>
      <c r="F326" s="2417">
        <f t="shared" si="31"/>
        <v>0</v>
      </c>
      <c r="G326" s="2417"/>
      <c r="H326" s="2416">
        <f t="shared" si="29"/>
        <v>0</v>
      </c>
      <c r="I326" s="2417"/>
      <c r="J326" s="2417"/>
      <c r="K326" s="2417">
        <f>VLOOKUP(M326,Listas!$D$249:$E$289,2,)</f>
        <v>0</v>
      </c>
      <c r="L326" s="2417"/>
      <c r="M326" s="2416">
        <f>VALUE(Sanidade!E38&amp;Sanidade!F38)</f>
        <v>11</v>
      </c>
      <c r="N326" s="25">
        <f t="shared" si="30"/>
        <v>0</v>
      </c>
      <c r="O326" s="25">
        <f>VLOOKUP(M326,Listas!$D$249:$G$289,4,)</f>
        <v>0</v>
      </c>
      <c r="P326" s="25">
        <f>VLOOKUP(M326,Listas!$D$249:$I$289,6,)</f>
        <v>0</v>
      </c>
      <c r="Q326" s="2847">
        <f>Sanidade!H38</f>
        <v>0</v>
      </c>
      <c r="R326" s="2416">
        <f>Sanidade!I38</f>
        <v>0</v>
      </c>
      <c r="S326" s="2416">
        <f>Sanidade!J38</f>
        <v>0</v>
      </c>
      <c r="T326" s="2416">
        <f>Sanidade!K38</f>
        <v>0</v>
      </c>
      <c r="U326" s="2416">
        <f>Sanidade!L38</f>
        <v>0</v>
      </c>
      <c r="V326" s="2416">
        <f>Sanidade!M38</f>
        <v>0</v>
      </c>
      <c r="W326" s="2416">
        <f>Sanidade!N38</f>
        <v>1</v>
      </c>
      <c r="X326" s="2493">
        <f>Sanidade!O38</f>
        <v>1</v>
      </c>
      <c r="Y326" s="2415">
        <f>Sanidade!P38</f>
        <v>0</v>
      </c>
      <c r="Z326" s="2415">
        <f>Sanidade!Q38</f>
        <v>0</v>
      </c>
    </row>
    <row r="327" spans="1:26" customFormat="1" x14ac:dyDescent="0.2">
      <c r="A327" s="2417"/>
      <c r="B327" s="25" t="s">
        <v>1920</v>
      </c>
      <c r="C327" s="25" t="str">
        <f t="shared" si="28"/>
        <v/>
      </c>
      <c r="D327" s="2418"/>
      <c r="E327" s="2417">
        <f t="shared" si="26"/>
        <v>0</v>
      </c>
      <c r="F327" s="2417">
        <f t="shared" si="31"/>
        <v>0</v>
      </c>
      <c r="G327" s="2417"/>
      <c r="H327" s="2416">
        <f t="shared" si="29"/>
        <v>0</v>
      </c>
      <c r="I327" s="2417"/>
      <c r="J327" s="2417"/>
      <c r="K327" s="2417">
        <f>VLOOKUP(M327,Listas!$D$249:$E$289,2,)</f>
        <v>0</v>
      </c>
      <c r="L327" s="2417"/>
      <c r="M327" s="2416">
        <f>VALUE(Sanidade!E43&amp;Sanidade!F43)</f>
        <v>11</v>
      </c>
      <c r="N327" s="25">
        <f t="shared" si="30"/>
        <v>0</v>
      </c>
      <c r="O327" s="25">
        <f>VLOOKUP(M327,Listas!$D$249:$G$289,4,)</f>
        <v>0</v>
      </c>
      <c r="P327" s="25">
        <f>VLOOKUP(M327,Listas!$D$249:$I$289,6,)</f>
        <v>0</v>
      </c>
      <c r="Q327" s="2416">
        <f>Sanidade!H43</f>
        <v>0</v>
      </c>
      <c r="R327" s="2416">
        <f>Sanidade!I43</f>
        <v>0</v>
      </c>
      <c r="S327" s="2416">
        <f>Sanidade!J43</f>
        <v>0</v>
      </c>
      <c r="T327" s="2416">
        <f>Sanidade!K43</f>
        <v>0</v>
      </c>
      <c r="U327" s="2416">
        <f>Sanidade!L43</f>
        <v>0</v>
      </c>
      <c r="V327" s="2416">
        <f>Sanidade!M43</f>
        <v>0</v>
      </c>
      <c r="W327" s="2416">
        <f>Sanidade!N43</f>
        <v>1</v>
      </c>
      <c r="X327" s="2493">
        <f>Sanidade!O43</f>
        <v>1</v>
      </c>
      <c r="Y327" s="2415">
        <f>Sanidade!P43</f>
        <v>0</v>
      </c>
      <c r="Z327" s="2415">
        <f>Sanidade!Q43</f>
        <v>0</v>
      </c>
    </row>
    <row r="328" spans="1:26" customFormat="1" x14ac:dyDescent="0.2">
      <c r="A328" s="2417"/>
      <c r="B328" s="25" t="s">
        <v>1921</v>
      </c>
      <c r="C328" s="25" t="str">
        <f t="shared" si="28"/>
        <v/>
      </c>
      <c r="D328" s="2418"/>
      <c r="E328" s="2417">
        <f t="shared" si="26"/>
        <v>0</v>
      </c>
      <c r="F328" s="2417">
        <f t="shared" si="31"/>
        <v>0</v>
      </c>
      <c r="G328" s="2417"/>
      <c r="H328" s="2416">
        <f t="shared" si="29"/>
        <v>0</v>
      </c>
      <c r="I328" s="2417"/>
      <c r="J328" s="2417"/>
      <c r="K328" s="2417">
        <f>VLOOKUP(M328,Listas!$D$249:$E$289,2,)</f>
        <v>0</v>
      </c>
      <c r="L328" s="2417"/>
      <c r="M328" s="2416">
        <f>VALUE(Sanidade!E44&amp;Sanidade!F44)</f>
        <v>11</v>
      </c>
      <c r="N328" s="25">
        <f t="shared" si="30"/>
        <v>0</v>
      </c>
      <c r="O328" s="25">
        <f>VLOOKUP(M328,Listas!$D$249:$G$289,4,)</f>
        <v>0</v>
      </c>
      <c r="P328" s="25">
        <f>VLOOKUP(M328,Listas!$D$249:$I$289,6,)</f>
        <v>0</v>
      </c>
      <c r="Q328" s="2416">
        <f>Sanidade!H44</f>
        <v>0</v>
      </c>
      <c r="R328" s="2416">
        <f>Sanidade!I44</f>
        <v>0</v>
      </c>
      <c r="S328" s="2416">
        <f>Sanidade!J44</f>
        <v>0</v>
      </c>
      <c r="T328" s="2416">
        <f>Sanidade!K44</f>
        <v>0</v>
      </c>
      <c r="U328" s="2416">
        <f>Sanidade!L44</f>
        <v>0</v>
      </c>
      <c r="V328" s="2416">
        <f>Sanidade!M44</f>
        <v>0</v>
      </c>
      <c r="W328" s="2416">
        <f>Sanidade!N44</f>
        <v>1</v>
      </c>
      <c r="X328" s="2493">
        <f>Sanidade!O44</f>
        <v>1</v>
      </c>
      <c r="Y328" s="2415">
        <f>Sanidade!P44</f>
        <v>0</v>
      </c>
      <c r="Z328" s="2415">
        <f>Sanidade!Q44</f>
        <v>0</v>
      </c>
    </row>
    <row r="329" spans="1:26" customFormat="1" x14ac:dyDescent="0.2">
      <c r="A329" s="2417"/>
      <c r="B329" s="25" t="s">
        <v>1922</v>
      </c>
      <c r="C329" s="25" t="str">
        <f t="shared" si="28"/>
        <v/>
      </c>
      <c r="D329" s="2418"/>
      <c r="E329" s="2417">
        <f t="shared" si="26"/>
        <v>0</v>
      </c>
      <c r="F329" s="2417">
        <f t="shared" si="31"/>
        <v>0</v>
      </c>
      <c r="G329" s="2417"/>
      <c r="H329" s="2416">
        <f t="shared" si="29"/>
        <v>0</v>
      </c>
      <c r="I329" s="2417"/>
      <c r="J329" s="2417"/>
      <c r="K329" s="2417">
        <f>VLOOKUP(M329,Listas!$D$249:$E$289,2,)</f>
        <v>0</v>
      </c>
      <c r="L329" s="2417"/>
      <c r="M329" s="2416">
        <f>VALUE(Sanidade!E45&amp;Sanidade!F45)</f>
        <v>11</v>
      </c>
      <c r="N329" s="25">
        <f t="shared" si="30"/>
        <v>0</v>
      </c>
      <c r="O329" s="25">
        <f>VLOOKUP(M329,Listas!$D$249:$G$289,4,)</f>
        <v>0</v>
      </c>
      <c r="P329" s="25">
        <f>VLOOKUP(M329,Listas!$D$249:$I$289,6,)</f>
        <v>0</v>
      </c>
      <c r="Q329" s="2416">
        <f>Sanidade!H45</f>
        <v>0</v>
      </c>
      <c r="R329" s="2416">
        <f>Sanidade!I45</f>
        <v>0</v>
      </c>
      <c r="S329" s="2416">
        <f>Sanidade!J45</f>
        <v>0</v>
      </c>
      <c r="T329" s="2416">
        <f>Sanidade!K45</f>
        <v>0</v>
      </c>
      <c r="U329" s="2416">
        <f>Sanidade!L45</f>
        <v>0</v>
      </c>
      <c r="V329" s="2416">
        <f>Sanidade!M45</f>
        <v>0</v>
      </c>
      <c r="W329" s="2416">
        <f>Sanidade!N45</f>
        <v>1</v>
      </c>
      <c r="X329" s="2493">
        <f>Sanidade!O45</f>
        <v>1</v>
      </c>
      <c r="Y329" s="2415">
        <f>Sanidade!P45</f>
        <v>0</v>
      </c>
      <c r="Z329" s="2415">
        <f>Sanidade!Q45</f>
        <v>0</v>
      </c>
    </row>
    <row r="330" spans="1:26" customFormat="1" x14ac:dyDescent="0.2">
      <c r="A330" s="2417"/>
      <c r="B330" s="25" t="s">
        <v>1923</v>
      </c>
      <c r="C330" s="25" t="str">
        <f t="shared" si="28"/>
        <v/>
      </c>
      <c r="D330" s="2418"/>
      <c r="E330" s="2417">
        <f t="shared" si="26"/>
        <v>0</v>
      </c>
      <c r="F330" s="2417">
        <f t="shared" si="31"/>
        <v>0</v>
      </c>
      <c r="G330" s="2417"/>
      <c r="H330" s="2416">
        <f t="shared" si="29"/>
        <v>0</v>
      </c>
      <c r="I330" s="2417"/>
      <c r="J330" s="2417"/>
      <c r="K330" s="2417">
        <f>VLOOKUP(M330,Listas!$D$249:$E$289,2,)</f>
        <v>0</v>
      </c>
      <c r="L330" s="2417"/>
      <c r="M330" s="2416">
        <f>VALUE(Sanidade!E46&amp;Sanidade!F46)</f>
        <v>11</v>
      </c>
      <c r="N330" s="25">
        <f t="shared" si="30"/>
        <v>0</v>
      </c>
      <c r="O330" s="25">
        <f>VLOOKUP(M330,Listas!$D$249:$G$289,4,)</f>
        <v>0</v>
      </c>
      <c r="P330" s="25">
        <f>VLOOKUP(M330,Listas!$D$249:$I$289,6,)</f>
        <v>0</v>
      </c>
      <c r="Q330" s="2847">
        <f>Sanidade!H46</f>
        <v>0</v>
      </c>
      <c r="R330" s="2416">
        <f>Sanidade!I46</f>
        <v>0</v>
      </c>
      <c r="S330" s="2416">
        <f>Sanidade!J46</f>
        <v>0</v>
      </c>
      <c r="T330" s="2416">
        <f>Sanidade!K46</f>
        <v>0</v>
      </c>
      <c r="U330" s="2416">
        <f>Sanidade!L46</f>
        <v>0</v>
      </c>
      <c r="V330" s="2416">
        <f>Sanidade!M46</f>
        <v>0</v>
      </c>
      <c r="W330" s="2416">
        <f>Sanidade!N46</f>
        <v>1</v>
      </c>
      <c r="X330" s="2493">
        <f>Sanidade!O46</f>
        <v>1</v>
      </c>
      <c r="Y330" s="2415">
        <f>Sanidade!P46</f>
        <v>0</v>
      </c>
      <c r="Z330" s="2415">
        <f>Sanidade!Q46</f>
        <v>0</v>
      </c>
    </row>
    <row r="331" spans="1:26" customFormat="1" x14ac:dyDescent="0.2">
      <c r="A331" s="2417"/>
      <c r="B331" s="25" t="s">
        <v>1924</v>
      </c>
      <c r="C331" s="25" t="str">
        <f t="shared" si="28"/>
        <v/>
      </c>
      <c r="D331" s="2418"/>
      <c r="E331" s="2417">
        <f t="shared" si="26"/>
        <v>0</v>
      </c>
      <c r="F331" s="2417">
        <f t="shared" si="31"/>
        <v>0</v>
      </c>
      <c r="G331" s="2417"/>
      <c r="H331" s="2416">
        <f t="shared" si="29"/>
        <v>0</v>
      </c>
      <c r="I331" s="2417"/>
      <c r="J331" s="2417"/>
      <c r="K331" s="2417">
        <f>VLOOKUP(M331,Listas!$D$249:$E$289,2,)</f>
        <v>0</v>
      </c>
      <c r="L331" s="2417"/>
      <c r="M331" s="2416">
        <f>VALUE(Sanidade!E47&amp;Sanidade!F47)</f>
        <v>11</v>
      </c>
      <c r="N331" s="25">
        <f t="shared" si="30"/>
        <v>0</v>
      </c>
      <c r="O331" s="25">
        <f>VLOOKUP(M331,Listas!$D$249:$G$289,4,)</f>
        <v>0</v>
      </c>
      <c r="P331" s="25">
        <f>VLOOKUP(M331,Listas!$D$249:$I$289,6,)</f>
        <v>0</v>
      </c>
      <c r="Q331" s="2847">
        <f>Sanidade!H47</f>
        <v>0</v>
      </c>
      <c r="R331" s="2416">
        <f>Sanidade!I47</f>
        <v>0</v>
      </c>
      <c r="S331" s="2416">
        <f>Sanidade!J47</f>
        <v>0</v>
      </c>
      <c r="T331" s="2416">
        <f>Sanidade!K47</f>
        <v>0</v>
      </c>
      <c r="U331" s="2416">
        <f>Sanidade!L47</f>
        <v>0</v>
      </c>
      <c r="V331" s="2416">
        <f>Sanidade!M47</f>
        <v>0</v>
      </c>
      <c r="W331" s="2416">
        <f>Sanidade!N47</f>
        <v>1</v>
      </c>
      <c r="X331" s="2493">
        <f>Sanidade!O47</f>
        <v>1</v>
      </c>
      <c r="Y331" s="2415">
        <f>Sanidade!P47</f>
        <v>0</v>
      </c>
      <c r="Z331" s="2415">
        <f>Sanidade!Q47</f>
        <v>0</v>
      </c>
    </row>
    <row r="332" spans="1:26" customFormat="1" x14ac:dyDescent="0.2">
      <c r="A332" s="2417"/>
      <c r="B332" s="25" t="s">
        <v>1925</v>
      </c>
      <c r="C332" s="25" t="str">
        <f t="shared" si="28"/>
        <v/>
      </c>
      <c r="D332" s="2418"/>
      <c r="E332" s="2417">
        <f t="shared" si="26"/>
        <v>0</v>
      </c>
      <c r="F332" s="2417">
        <f t="shared" si="31"/>
        <v>0</v>
      </c>
      <c r="G332" s="2417"/>
      <c r="H332" s="2416">
        <f t="shared" si="29"/>
        <v>0</v>
      </c>
      <c r="I332" s="2417"/>
      <c r="J332" s="2417"/>
      <c r="K332" s="2417">
        <f>VLOOKUP(M332,Listas!$D$249:$E$289,2,)</f>
        <v>0</v>
      </c>
      <c r="L332" s="2417"/>
      <c r="M332" s="2416">
        <f>VALUE(Sanidade!E52&amp;Sanidade!F52)</f>
        <v>11</v>
      </c>
      <c r="N332" s="25">
        <f t="shared" si="30"/>
        <v>0</v>
      </c>
      <c r="O332" s="25">
        <f>VLOOKUP(M332,Listas!$D$249:$G$289,4,)</f>
        <v>0</v>
      </c>
      <c r="P332" s="25">
        <f>VLOOKUP(M332,Listas!$D$249:$I$289,6,)</f>
        <v>0</v>
      </c>
      <c r="Q332" s="2416">
        <f>Sanidade!H52</f>
        <v>0</v>
      </c>
      <c r="R332" s="2416">
        <f>Sanidade!I52</f>
        <v>0</v>
      </c>
      <c r="S332" s="2416">
        <f>Sanidade!J52</f>
        <v>0</v>
      </c>
      <c r="T332" s="2416">
        <f>Sanidade!K52</f>
        <v>0</v>
      </c>
      <c r="U332" s="2416">
        <f>Sanidade!L52</f>
        <v>0</v>
      </c>
      <c r="V332" s="2416">
        <f>Sanidade!M52</f>
        <v>0</v>
      </c>
      <c r="W332" s="2416">
        <f>Sanidade!N52</f>
        <v>1</v>
      </c>
      <c r="X332" s="2493">
        <f>Sanidade!O52</f>
        <v>1</v>
      </c>
      <c r="Y332" s="2415">
        <f>Sanidade!P52</f>
        <v>0</v>
      </c>
      <c r="Z332" s="2415">
        <f>Sanidade!Q52</f>
        <v>0</v>
      </c>
    </row>
    <row r="333" spans="1:26" customFormat="1" x14ac:dyDescent="0.2">
      <c r="A333" s="2417"/>
      <c r="B333" s="25" t="s">
        <v>1926</v>
      </c>
      <c r="C333" s="25" t="str">
        <f t="shared" si="28"/>
        <v/>
      </c>
      <c r="D333" s="2418"/>
      <c r="E333" s="2417">
        <f t="shared" ref="E333:E366" si="32">IF(F333=22,$E$1,0)</f>
        <v>0</v>
      </c>
      <c r="F333" s="2417">
        <f t="shared" si="31"/>
        <v>0</v>
      </c>
      <c r="G333" s="2417"/>
      <c r="H333" s="2416">
        <f t="shared" si="29"/>
        <v>0</v>
      </c>
      <c r="I333" s="2417"/>
      <c r="J333" s="2417"/>
      <c r="K333" s="2417">
        <f>VLOOKUP(M333,Listas!$D$249:$E$289,2,)</f>
        <v>0</v>
      </c>
      <c r="L333" s="2417"/>
      <c r="M333" s="2416">
        <f>VALUE(Sanidade!E53&amp;Sanidade!F53)</f>
        <v>11</v>
      </c>
      <c r="N333" s="25">
        <f t="shared" si="30"/>
        <v>0</v>
      </c>
      <c r="O333" s="25">
        <f>VLOOKUP(M333,Listas!$D$249:$G$289,4,)</f>
        <v>0</v>
      </c>
      <c r="P333" s="25">
        <f>VLOOKUP(M333,Listas!$D$249:$I$289,6,)</f>
        <v>0</v>
      </c>
      <c r="Q333" s="2416">
        <f>Sanidade!H53</f>
        <v>0</v>
      </c>
      <c r="R333" s="2416">
        <f>Sanidade!I53</f>
        <v>0</v>
      </c>
      <c r="S333" s="2416">
        <f>Sanidade!J53</f>
        <v>0</v>
      </c>
      <c r="T333" s="2416">
        <f>Sanidade!K53</f>
        <v>0</v>
      </c>
      <c r="U333" s="2416">
        <f>Sanidade!L53</f>
        <v>0</v>
      </c>
      <c r="V333" s="2416">
        <f>Sanidade!M53</f>
        <v>0</v>
      </c>
      <c r="W333" s="2416">
        <f>Sanidade!N53</f>
        <v>1</v>
      </c>
      <c r="X333" s="2493">
        <f>Sanidade!O53</f>
        <v>1</v>
      </c>
      <c r="Y333" s="2415">
        <f>Sanidade!P53</f>
        <v>0</v>
      </c>
      <c r="Z333" s="2415">
        <f>Sanidade!Q53</f>
        <v>0</v>
      </c>
    </row>
    <row r="334" spans="1:26" customFormat="1" x14ac:dyDescent="0.2">
      <c r="A334" s="2417"/>
      <c r="B334" s="25" t="s">
        <v>1927</v>
      </c>
      <c r="C334" s="25" t="str">
        <f t="shared" ref="C334:C366" si="33">IF(F334=22,B334&amp;" "&amp;E334,"")</f>
        <v/>
      </c>
      <c r="D334" s="2418"/>
      <c r="E334" s="2417">
        <f t="shared" si="32"/>
        <v>0</v>
      </c>
      <c r="F334" s="2417">
        <f t="shared" si="31"/>
        <v>0</v>
      </c>
      <c r="G334" s="2417"/>
      <c r="H334" s="2416">
        <f t="shared" si="29"/>
        <v>0</v>
      </c>
      <c r="I334" s="2417"/>
      <c r="J334" s="2417"/>
      <c r="K334" s="2417">
        <f>VLOOKUP(M334,Listas!$D$249:$E$289,2,)</f>
        <v>0</v>
      </c>
      <c r="L334" s="2417"/>
      <c r="M334" s="2416">
        <f>VALUE(Sanidade!E54&amp;Sanidade!F54)</f>
        <v>11</v>
      </c>
      <c r="N334" s="25">
        <f t="shared" si="30"/>
        <v>0</v>
      </c>
      <c r="O334" s="25">
        <f>VLOOKUP(M334,Listas!$D$249:$G$289,4,)</f>
        <v>0</v>
      </c>
      <c r="P334" s="25">
        <f>VLOOKUP(M334,Listas!$D$249:$I$289,6,)</f>
        <v>0</v>
      </c>
      <c r="Q334" s="2416">
        <f>Sanidade!H54</f>
        <v>0</v>
      </c>
      <c r="R334" s="2416">
        <f>Sanidade!I54</f>
        <v>0</v>
      </c>
      <c r="S334" s="2416">
        <f>Sanidade!J54</f>
        <v>0</v>
      </c>
      <c r="T334" s="2416">
        <f>Sanidade!K54</f>
        <v>0</v>
      </c>
      <c r="U334" s="2416">
        <f>Sanidade!L54</f>
        <v>0</v>
      </c>
      <c r="V334" s="2416">
        <f>Sanidade!M54</f>
        <v>0</v>
      </c>
      <c r="W334" s="2416">
        <f>Sanidade!N54</f>
        <v>1</v>
      </c>
      <c r="X334" s="2493">
        <f>Sanidade!O54</f>
        <v>1</v>
      </c>
      <c r="Y334" s="2415">
        <f>Sanidade!P54</f>
        <v>0</v>
      </c>
      <c r="Z334" s="2415">
        <f>Sanidade!Q54</f>
        <v>0</v>
      </c>
    </row>
    <row r="335" spans="1:26" customFormat="1" x14ac:dyDescent="0.2">
      <c r="A335" s="2417"/>
      <c r="B335" s="25" t="s">
        <v>1928</v>
      </c>
      <c r="C335" s="25" t="str">
        <f t="shared" si="33"/>
        <v/>
      </c>
      <c r="D335" s="2418"/>
      <c r="E335" s="2417">
        <f t="shared" si="32"/>
        <v>0</v>
      </c>
      <c r="F335" s="2417">
        <f t="shared" si="31"/>
        <v>0</v>
      </c>
      <c r="G335" s="2417"/>
      <c r="H335" s="2416">
        <f t="shared" si="29"/>
        <v>0</v>
      </c>
      <c r="I335" s="2417"/>
      <c r="J335" s="2417"/>
      <c r="K335" s="2417">
        <f>VLOOKUP(M335,Listas!$D$249:$E$289,2,)</f>
        <v>0</v>
      </c>
      <c r="L335" s="2417"/>
      <c r="M335" s="2416">
        <f>VALUE(Sanidade!E55&amp;Sanidade!F55)</f>
        <v>11</v>
      </c>
      <c r="N335" s="25">
        <f t="shared" si="30"/>
        <v>0</v>
      </c>
      <c r="O335" s="25">
        <f>VLOOKUP(M335,Listas!$D$249:$G$289,4,)</f>
        <v>0</v>
      </c>
      <c r="P335" s="25">
        <f>VLOOKUP(M335,Listas!$D$249:$I$289,6,)</f>
        <v>0</v>
      </c>
      <c r="Q335" s="2416">
        <f>Sanidade!H55</f>
        <v>0</v>
      </c>
      <c r="R335" s="2416">
        <f>Sanidade!I55</f>
        <v>0</v>
      </c>
      <c r="S335" s="2416">
        <f>Sanidade!J55</f>
        <v>0</v>
      </c>
      <c r="T335" s="2416">
        <f>Sanidade!K55</f>
        <v>0</v>
      </c>
      <c r="U335" s="2416">
        <f>Sanidade!L55</f>
        <v>0</v>
      </c>
      <c r="V335" s="2416">
        <f>Sanidade!M55</f>
        <v>0</v>
      </c>
      <c r="W335" s="2416">
        <f>Sanidade!N55</f>
        <v>1</v>
      </c>
      <c r="X335" s="2493">
        <f>Sanidade!O55</f>
        <v>1</v>
      </c>
      <c r="Y335" s="2415">
        <f>Sanidade!P55</f>
        <v>0</v>
      </c>
      <c r="Z335" s="2415">
        <f>Sanidade!Q55</f>
        <v>0</v>
      </c>
    </row>
    <row r="336" spans="1:26" customFormat="1" x14ac:dyDescent="0.2">
      <c r="A336" s="2417"/>
      <c r="B336" s="25" t="s">
        <v>1929</v>
      </c>
      <c r="C336" s="25" t="str">
        <f t="shared" si="33"/>
        <v/>
      </c>
      <c r="D336" s="2418"/>
      <c r="E336" s="2417">
        <f t="shared" si="32"/>
        <v>0</v>
      </c>
      <c r="F336" s="2417">
        <f t="shared" si="31"/>
        <v>0</v>
      </c>
      <c r="G336" s="2417"/>
      <c r="H336" s="2416">
        <f t="shared" si="29"/>
        <v>0</v>
      </c>
      <c r="I336" s="2417"/>
      <c r="J336" s="2417"/>
      <c r="K336" s="2417">
        <f>VLOOKUP(M336,Listas!$D$249:$E$289,2,)</f>
        <v>0</v>
      </c>
      <c r="L336" s="2417"/>
      <c r="M336" s="2416">
        <f>VALUE(Sanidade!E56&amp;Sanidade!F56)</f>
        <v>11</v>
      </c>
      <c r="N336" s="25">
        <f t="shared" si="30"/>
        <v>0</v>
      </c>
      <c r="O336" s="25">
        <f>VLOOKUP(M336,Listas!$D$249:$G$289,4,)</f>
        <v>0</v>
      </c>
      <c r="P336" s="25">
        <f>VLOOKUP(M336,Listas!$D$249:$I$289,6,)</f>
        <v>0</v>
      </c>
      <c r="Q336" s="2416">
        <f>Sanidade!H56</f>
        <v>0</v>
      </c>
      <c r="R336" s="2416">
        <f>Sanidade!I56</f>
        <v>0</v>
      </c>
      <c r="S336" s="2416">
        <f>Sanidade!J56</f>
        <v>0</v>
      </c>
      <c r="T336" s="2416">
        <f>Sanidade!K56</f>
        <v>0</v>
      </c>
      <c r="U336" s="2416">
        <f>Sanidade!L56</f>
        <v>0</v>
      </c>
      <c r="V336" s="2416">
        <f>Sanidade!M56</f>
        <v>0</v>
      </c>
      <c r="W336" s="2416">
        <f>Sanidade!N56</f>
        <v>1</v>
      </c>
      <c r="X336" s="2493">
        <f>Sanidade!O56</f>
        <v>1</v>
      </c>
      <c r="Y336" s="2415">
        <f>Sanidade!P56</f>
        <v>0</v>
      </c>
      <c r="Z336" s="2415">
        <f>Sanidade!Q56</f>
        <v>0</v>
      </c>
    </row>
    <row r="337" spans="1:26" customFormat="1" x14ac:dyDescent="0.2">
      <c r="A337" s="2417"/>
      <c r="B337" s="25" t="s">
        <v>1930</v>
      </c>
      <c r="C337" s="25" t="str">
        <f t="shared" si="33"/>
        <v/>
      </c>
      <c r="D337" s="2418"/>
      <c r="E337" s="2417">
        <f t="shared" si="32"/>
        <v>0</v>
      </c>
      <c r="F337" s="2417">
        <f t="shared" si="31"/>
        <v>0</v>
      </c>
      <c r="G337" s="2417"/>
      <c r="H337" s="2416">
        <f t="shared" si="29"/>
        <v>0</v>
      </c>
      <c r="I337" s="2417"/>
      <c r="J337" s="2417"/>
      <c r="K337" s="2417">
        <f>VLOOKUP(M337,Listas!$D$249:$E$289,2,)</f>
        <v>0</v>
      </c>
      <c r="L337" s="2417"/>
      <c r="M337" s="2416">
        <f>VALUE(Sanidade!E61&amp;Sanidade!F61)</f>
        <v>11</v>
      </c>
      <c r="N337" s="25">
        <f t="shared" si="30"/>
        <v>0</v>
      </c>
      <c r="O337" s="25">
        <f>VLOOKUP(M337,Listas!$D$249:$G$289,4,)</f>
        <v>0</v>
      </c>
      <c r="P337" s="25">
        <f>VLOOKUP(M337,Listas!$D$249:$I$289,6,)</f>
        <v>0</v>
      </c>
      <c r="Q337" s="2416">
        <f>Sanidade!H61</f>
        <v>0</v>
      </c>
      <c r="R337" s="2416">
        <f>Sanidade!I61</f>
        <v>0</v>
      </c>
      <c r="S337" s="2416">
        <f>Sanidade!J61</f>
        <v>0</v>
      </c>
      <c r="T337" s="2416">
        <f>Sanidade!K61</f>
        <v>0</v>
      </c>
      <c r="U337" s="2416">
        <f>Sanidade!L61</f>
        <v>0</v>
      </c>
      <c r="V337" s="2416">
        <f>Sanidade!M61</f>
        <v>0</v>
      </c>
      <c r="W337" s="2416">
        <f>Sanidade!N61</f>
        <v>1</v>
      </c>
      <c r="X337" s="2493">
        <f>Sanidade!O61</f>
        <v>1</v>
      </c>
      <c r="Y337" s="2415">
        <f>Sanidade!P61</f>
        <v>0</v>
      </c>
      <c r="Z337" s="2415">
        <f>Sanidade!Q61</f>
        <v>0</v>
      </c>
    </row>
    <row r="338" spans="1:26" customFormat="1" x14ac:dyDescent="0.2">
      <c r="A338" s="2417"/>
      <c r="B338" s="25" t="s">
        <v>1931</v>
      </c>
      <c r="C338" s="25" t="str">
        <f t="shared" si="33"/>
        <v/>
      </c>
      <c r="D338" s="2418"/>
      <c r="E338" s="2417">
        <f t="shared" si="32"/>
        <v>0</v>
      </c>
      <c r="F338" s="2417">
        <f t="shared" si="31"/>
        <v>0</v>
      </c>
      <c r="G338" s="2417"/>
      <c r="H338" s="2416">
        <f t="shared" si="29"/>
        <v>0</v>
      </c>
      <c r="I338" s="2417"/>
      <c r="J338" s="2417"/>
      <c r="K338" s="2417">
        <f>VLOOKUP(M338,Listas!$D$249:$E$289,2,)</f>
        <v>0</v>
      </c>
      <c r="L338" s="2417"/>
      <c r="M338" s="2416">
        <f>VALUE(Sanidade!E62&amp;Sanidade!F62)</f>
        <v>11</v>
      </c>
      <c r="N338" s="25">
        <f t="shared" si="30"/>
        <v>0</v>
      </c>
      <c r="O338" s="25">
        <f>VLOOKUP(M338,Listas!$D$249:$G$289,4,)</f>
        <v>0</v>
      </c>
      <c r="P338" s="25">
        <f>VLOOKUP(M338,Listas!$D$249:$I$289,6,)</f>
        <v>0</v>
      </c>
      <c r="Q338" s="2416">
        <f>Sanidade!H62</f>
        <v>0</v>
      </c>
      <c r="R338" s="2416">
        <f>Sanidade!I62</f>
        <v>0</v>
      </c>
      <c r="S338" s="2416">
        <f>Sanidade!J62</f>
        <v>0</v>
      </c>
      <c r="T338" s="2416">
        <f>Sanidade!K62</f>
        <v>0</v>
      </c>
      <c r="U338" s="2416">
        <f>Sanidade!L62</f>
        <v>0</v>
      </c>
      <c r="V338" s="2416">
        <f>Sanidade!M62</f>
        <v>0</v>
      </c>
      <c r="W338" s="2416">
        <f>Sanidade!N62</f>
        <v>1</v>
      </c>
      <c r="X338" s="2493">
        <f>Sanidade!O62</f>
        <v>1</v>
      </c>
      <c r="Y338" s="2415">
        <f>Sanidade!P62</f>
        <v>0</v>
      </c>
      <c r="Z338" s="2415">
        <f>Sanidade!Q62</f>
        <v>0</v>
      </c>
    </row>
    <row r="339" spans="1:26" customFormat="1" x14ac:dyDescent="0.2">
      <c r="A339" s="2417"/>
      <c r="B339" s="25" t="s">
        <v>1932</v>
      </c>
      <c r="C339" s="25" t="str">
        <f t="shared" si="33"/>
        <v/>
      </c>
      <c r="D339" s="2418"/>
      <c r="E339" s="2417">
        <f t="shared" si="32"/>
        <v>0</v>
      </c>
      <c r="F339" s="2417">
        <f t="shared" si="31"/>
        <v>0</v>
      </c>
      <c r="G339" s="2417"/>
      <c r="H339" s="2416">
        <f t="shared" si="29"/>
        <v>0</v>
      </c>
      <c r="I339" s="2417"/>
      <c r="J339" s="2417"/>
      <c r="K339" s="2417">
        <f>VLOOKUP(M339,Listas!$D$249:$E$289,2,)</f>
        <v>0</v>
      </c>
      <c r="L339" s="2417"/>
      <c r="M339" s="2416">
        <f>VALUE(Sanidade!E63&amp;Sanidade!F63)</f>
        <v>11</v>
      </c>
      <c r="N339" s="25">
        <f t="shared" si="30"/>
        <v>0</v>
      </c>
      <c r="O339" s="25">
        <f>VLOOKUP(M339,Listas!$D$249:$G$289,4,)</f>
        <v>0</v>
      </c>
      <c r="P339" s="25">
        <f>VLOOKUP(M339,Listas!$D$249:$I$289,6,)</f>
        <v>0</v>
      </c>
      <c r="Q339" s="2416">
        <f>Sanidade!H63</f>
        <v>0</v>
      </c>
      <c r="R339" s="2416">
        <f>Sanidade!I63</f>
        <v>0</v>
      </c>
      <c r="S339" s="2416">
        <f>Sanidade!J63</f>
        <v>0</v>
      </c>
      <c r="T339" s="2416">
        <f>Sanidade!K63</f>
        <v>0</v>
      </c>
      <c r="U339" s="2416">
        <f>Sanidade!L63</f>
        <v>0</v>
      </c>
      <c r="V339" s="2416">
        <f>Sanidade!M63</f>
        <v>0</v>
      </c>
      <c r="W339" s="2416">
        <f>Sanidade!N63</f>
        <v>1</v>
      </c>
      <c r="X339" s="2493">
        <f>Sanidade!O63</f>
        <v>1</v>
      </c>
      <c r="Y339" s="2415">
        <f>Sanidade!P63</f>
        <v>0</v>
      </c>
      <c r="Z339" s="2415">
        <f>Sanidade!Q63</f>
        <v>0</v>
      </c>
    </row>
    <row r="340" spans="1:26" customFormat="1" x14ac:dyDescent="0.2">
      <c r="A340" s="2417"/>
      <c r="B340" s="25" t="s">
        <v>1933</v>
      </c>
      <c r="C340" s="25" t="str">
        <f t="shared" si="33"/>
        <v/>
      </c>
      <c r="D340" s="2418"/>
      <c r="E340" s="2417">
        <f t="shared" si="32"/>
        <v>0</v>
      </c>
      <c r="F340" s="2417">
        <f t="shared" si="31"/>
        <v>0</v>
      </c>
      <c r="G340" s="2417"/>
      <c r="H340" s="2416">
        <f t="shared" si="29"/>
        <v>0</v>
      </c>
      <c r="I340" s="2417"/>
      <c r="J340" s="2417"/>
      <c r="K340" s="2417">
        <f>VLOOKUP(M340,Listas!$D$249:$E$289,2,)</f>
        <v>0</v>
      </c>
      <c r="L340" s="2417"/>
      <c r="M340" s="2416">
        <f>VALUE(Sanidade!E64&amp;Sanidade!F64)</f>
        <v>11</v>
      </c>
      <c r="N340" s="25">
        <f t="shared" si="30"/>
        <v>0</v>
      </c>
      <c r="O340" s="25">
        <f>VLOOKUP(M340,Listas!$D$249:$G$289,4,)</f>
        <v>0</v>
      </c>
      <c r="P340" s="25">
        <f>VLOOKUP(M340,Listas!$D$249:$I$289,6,)</f>
        <v>0</v>
      </c>
      <c r="Q340" s="2416">
        <f>Sanidade!H64</f>
        <v>0</v>
      </c>
      <c r="R340" s="2416">
        <f>Sanidade!I64</f>
        <v>0</v>
      </c>
      <c r="S340" s="2416">
        <f>Sanidade!J64</f>
        <v>0</v>
      </c>
      <c r="T340" s="2416">
        <f>Sanidade!K64</f>
        <v>0</v>
      </c>
      <c r="U340" s="2416">
        <f>Sanidade!L64</f>
        <v>0</v>
      </c>
      <c r="V340" s="2416">
        <f>Sanidade!M64</f>
        <v>0</v>
      </c>
      <c r="W340" s="2416">
        <f>Sanidade!N64</f>
        <v>1</v>
      </c>
      <c r="X340" s="2493">
        <f>Sanidade!O64</f>
        <v>1</v>
      </c>
      <c r="Y340" s="2415">
        <f>Sanidade!P64</f>
        <v>0</v>
      </c>
      <c r="Z340" s="2415">
        <f>Sanidade!Q64</f>
        <v>0</v>
      </c>
    </row>
    <row r="341" spans="1:26" customFormat="1" x14ac:dyDescent="0.2">
      <c r="A341" s="2417"/>
      <c r="B341" s="25" t="s">
        <v>1934</v>
      </c>
      <c r="C341" s="25" t="str">
        <f t="shared" si="33"/>
        <v/>
      </c>
      <c r="D341" s="2418"/>
      <c r="E341" s="2417">
        <f t="shared" si="32"/>
        <v>0</v>
      </c>
      <c r="F341" s="2417">
        <f t="shared" si="31"/>
        <v>0</v>
      </c>
      <c r="G341" s="2417"/>
      <c r="H341" s="2416">
        <f t="shared" si="29"/>
        <v>0</v>
      </c>
      <c r="I341" s="2417"/>
      <c r="J341" s="2417"/>
      <c r="K341" s="2417">
        <f>VLOOKUP(M341,Listas!$D$249:$E$289,2,)</f>
        <v>0</v>
      </c>
      <c r="L341" s="2417"/>
      <c r="M341" s="2416">
        <f>VALUE(Sanidade!E65&amp;Sanidade!F65)</f>
        <v>11</v>
      </c>
      <c r="N341" s="25">
        <f t="shared" si="30"/>
        <v>0</v>
      </c>
      <c r="O341" s="25">
        <f>VLOOKUP(M341,Listas!$D$249:$G$289,4,)</f>
        <v>0</v>
      </c>
      <c r="P341" s="25">
        <f>VLOOKUP(M341,Listas!$D$249:$I$289,6,)</f>
        <v>0</v>
      </c>
      <c r="Q341" s="2416">
        <f>Sanidade!H65</f>
        <v>0</v>
      </c>
      <c r="R341" s="2416">
        <f>Sanidade!I65</f>
        <v>0</v>
      </c>
      <c r="S341" s="2416">
        <f>Sanidade!J65</f>
        <v>0</v>
      </c>
      <c r="T341" s="2416">
        <f>Sanidade!K65</f>
        <v>0</v>
      </c>
      <c r="U341" s="2416">
        <f>Sanidade!L65</f>
        <v>0</v>
      </c>
      <c r="V341" s="2416">
        <f>Sanidade!M65</f>
        <v>0</v>
      </c>
      <c r="W341" s="2416">
        <f>Sanidade!N65</f>
        <v>1</v>
      </c>
      <c r="X341" s="2493">
        <f>Sanidade!O65</f>
        <v>1</v>
      </c>
      <c r="Y341" s="2415">
        <f>Sanidade!P65</f>
        <v>0</v>
      </c>
      <c r="Z341" s="2415">
        <f>Sanidade!Q65</f>
        <v>0</v>
      </c>
    </row>
    <row r="342" spans="1:26" customFormat="1" x14ac:dyDescent="0.2">
      <c r="A342" s="2417"/>
      <c r="B342" s="25" t="s">
        <v>1935</v>
      </c>
      <c r="C342" s="25" t="str">
        <f t="shared" si="33"/>
        <v/>
      </c>
      <c r="D342" s="2418"/>
      <c r="E342" s="2417">
        <f t="shared" si="32"/>
        <v>0</v>
      </c>
      <c r="F342" s="2417">
        <f t="shared" si="31"/>
        <v>0</v>
      </c>
      <c r="G342" s="2417"/>
      <c r="H342" s="2416">
        <f t="shared" si="29"/>
        <v>0</v>
      </c>
      <c r="I342" s="2417"/>
      <c r="J342" s="2417"/>
      <c r="K342" s="2417">
        <f>VLOOKUP(M342,Listas!$D$249:$E$289,2,)</f>
        <v>0</v>
      </c>
      <c r="L342" s="2417"/>
      <c r="M342" s="2416">
        <f>VALUE(Sanidade!E70&amp;Sanidade!F70)</f>
        <v>11</v>
      </c>
      <c r="N342" s="25">
        <f t="shared" si="30"/>
        <v>0</v>
      </c>
      <c r="O342" s="25">
        <f>VLOOKUP(M342,Listas!$D$249:$G$289,4,)</f>
        <v>0</v>
      </c>
      <c r="P342" s="25">
        <f>VLOOKUP(M342,Listas!$D$249:$I$289,6,)</f>
        <v>0</v>
      </c>
      <c r="Q342" s="2416">
        <f>Sanidade!H70</f>
        <v>0</v>
      </c>
      <c r="R342" s="2416">
        <f>Sanidade!I70</f>
        <v>0</v>
      </c>
      <c r="S342" s="2416">
        <f>Sanidade!J70</f>
        <v>0</v>
      </c>
      <c r="T342" s="2416">
        <f>Sanidade!K70</f>
        <v>0</v>
      </c>
      <c r="U342" s="2416">
        <f>Sanidade!L70</f>
        <v>0</v>
      </c>
      <c r="V342" s="2416">
        <f>Sanidade!M70</f>
        <v>0</v>
      </c>
      <c r="W342" s="2416">
        <f>Sanidade!N70</f>
        <v>1</v>
      </c>
      <c r="X342" s="2493">
        <f>Sanidade!O70</f>
        <v>1</v>
      </c>
      <c r="Y342" s="2415">
        <f>Sanidade!P70</f>
        <v>0</v>
      </c>
      <c r="Z342" s="2415">
        <f>Sanidade!Q70</f>
        <v>0</v>
      </c>
    </row>
    <row r="343" spans="1:26" customFormat="1" x14ac:dyDescent="0.2">
      <c r="A343" s="2417"/>
      <c r="B343" s="25" t="s">
        <v>1936</v>
      </c>
      <c r="C343" s="25" t="str">
        <f t="shared" si="33"/>
        <v/>
      </c>
      <c r="D343" s="2418"/>
      <c r="E343" s="2417">
        <f t="shared" si="32"/>
        <v>0</v>
      </c>
      <c r="F343" s="2417">
        <f t="shared" si="31"/>
        <v>0</v>
      </c>
      <c r="G343" s="2417"/>
      <c r="H343" s="2416">
        <f t="shared" si="29"/>
        <v>0</v>
      </c>
      <c r="I343" s="2417"/>
      <c r="J343" s="2417"/>
      <c r="K343" s="2417">
        <f>VLOOKUP(M343,Listas!$D$249:$E$289,2,)</f>
        <v>0</v>
      </c>
      <c r="L343" s="2417"/>
      <c r="M343" s="2416">
        <f>VALUE(Sanidade!E71&amp;Sanidade!F71)</f>
        <v>11</v>
      </c>
      <c r="N343" s="25">
        <f t="shared" si="30"/>
        <v>0</v>
      </c>
      <c r="O343" s="25">
        <f>VLOOKUP(M343,Listas!$D$249:$G$289,4,)</f>
        <v>0</v>
      </c>
      <c r="P343" s="25">
        <f>VLOOKUP(M343,Listas!$D$249:$I$289,6,)</f>
        <v>0</v>
      </c>
      <c r="Q343" s="2416">
        <f>Sanidade!H71</f>
        <v>0</v>
      </c>
      <c r="R343" s="2416">
        <f>Sanidade!I71</f>
        <v>0</v>
      </c>
      <c r="S343" s="2416">
        <f>Sanidade!J71</f>
        <v>0</v>
      </c>
      <c r="T343" s="2416">
        <f>Sanidade!K71</f>
        <v>0</v>
      </c>
      <c r="U343" s="2416">
        <f>Sanidade!L71</f>
        <v>0</v>
      </c>
      <c r="V343" s="2416">
        <f>Sanidade!M71</f>
        <v>0</v>
      </c>
      <c r="W343" s="2416">
        <f>Sanidade!N71</f>
        <v>1</v>
      </c>
      <c r="X343" s="2493">
        <f>Sanidade!O71</f>
        <v>1</v>
      </c>
      <c r="Y343" s="2415">
        <f>Sanidade!P71</f>
        <v>0</v>
      </c>
      <c r="Z343" s="2415">
        <f>Sanidade!Q71</f>
        <v>0</v>
      </c>
    </row>
    <row r="344" spans="1:26" customFormat="1" x14ac:dyDescent="0.2">
      <c r="A344" s="2417"/>
      <c r="B344" s="25" t="s">
        <v>1937</v>
      </c>
      <c r="C344" s="25" t="str">
        <f t="shared" si="33"/>
        <v/>
      </c>
      <c r="D344" s="2418"/>
      <c r="E344" s="2417">
        <f t="shared" si="32"/>
        <v>0</v>
      </c>
      <c r="F344" s="2417">
        <f t="shared" si="31"/>
        <v>0</v>
      </c>
      <c r="G344" s="2417"/>
      <c r="H344" s="2416">
        <f t="shared" si="29"/>
        <v>0</v>
      </c>
      <c r="I344" s="2417"/>
      <c r="J344" s="2417"/>
      <c r="K344" s="2417">
        <f>VLOOKUP(M344,Listas!$D$249:$E$289,2,)</f>
        <v>0</v>
      </c>
      <c r="L344" s="2417"/>
      <c r="M344" s="2416">
        <f>VALUE(Sanidade!E72&amp;Sanidade!F72)</f>
        <v>11</v>
      </c>
      <c r="N344" s="25">
        <f t="shared" si="30"/>
        <v>0</v>
      </c>
      <c r="O344" s="25">
        <f>VLOOKUP(M344,Listas!$D$249:$G$289,4,)</f>
        <v>0</v>
      </c>
      <c r="P344" s="25">
        <f>VLOOKUP(M344,Listas!$D$249:$I$289,6,)</f>
        <v>0</v>
      </c>
      <c r="Q344" s="2416">
        <f>Sanidade!H72</f>
        <v>0</v>
      </c>
      <c r="R344" s="2416">
        <f>Sanidade!I72</f>
        <v>0</v>
      </c>
      <c r="S344" s="2416">
        <f>Sanidade!J72</f>
        <v>0</v>
      </c>
      <c r="T344" s="2416">
        <f>Sanidade!K72</f>
        <v>0</v>
      </c>
      <c r="U344" s="2416">
        <f>Sanidade!L72</f>
        <v>0</v>
      </c>
      <c r="V344" s="2416">
        <f>Sanidade!M72</f>
        <v>0</v>
      </c>
      <c r="W344" s="2416">
        <f>Sanidade!N72</f>
        <v>1</v>
      </c>
      <c r="X344" s="2493">
        <f>Sanidade!O72</f>
        <v>1</v>
      </c>
      <c r="Y344" s="2415">
        <f>Sanidade!P72</f>
        <v>0</v>
      </c>
      <c r="Z344" s="2415">
        <f>Sanidade!Q72</f>
        <v>0</v>
      </c>
    </row>
    <row r="345" spans="1:26" customFormat="1" x14ac:dyDescent="0.2">
      <c r="A345" s="2417"/>
      <c r="B345" s="25" t="s">
        <v>1938</v>
      </c>
      <c r="C345" s="25" t="str">
        <f t="shared" si="33"/>
        <v/>
      </c>
      <c r="D345" s="2418"/>
      <c r="E345" s="2417">
        <f t="shared" si="32"/>
        <v>0</v>
      </c>
      <c r="F345" s="2417">
        <f t="shared" si="31"/>
        <v>0</v>
      </c>
      <c r="G345" s="2417"/>
      <c r="H345" s="2416">
        <f t="shared" si="29"/>
        <v>0</v>
      </c>
      <c r="I345" s="2417"/>
      <c r="J345" s="2417"/>
      <c r="K345" s="2417">
        <f>VLOOKUP(M345,Listas!$D$249:$E$289,2,)</f>
        <v>0</v>
      </c>
      <c r="L345" s="2417"/>
      <c r="M345" s="2416">
        <f>VALUE(Sanidade!E73&amp;Sanidade!F73)</f>
        <v>11</v>
      </c>
      <c r="N345" s="25">
        <f t="shared" si="30"/>
        <v>0</v>
      </c>
      <c r="O345" s="25">
        <f>VLOOKUP(M345,Listas!$D$249:$G$289,4,)</f>
        <v>0</v>
      </c>
      <c r="P345" s="25">
        <f>VLOOKUP(M345,Listas!$D$249:$I$289,6,)</f>
        <v>0</v>
      </c>
      <c r="Q345" s="2416">
        <f>Sanidade!H73</f>
        <v>0</v>
      </c>
      <c r="R345" s="2416">
        <f>Sanidade!I73</f>
        <v>0</v>
      </c>
      <c r="S345" s="2416">
        <f>Sanidade!J73</f>
        <v>0</v>
      </c>
      <c r="T345" s="2416">
        <f>Sanidade!K73</f>
        <v>0</v>
      </c>
      <c r="U345" s="2416">
        <f>Sanidade!L73</f>
        <v>0</v>
      </c>
      <c r="V345" s="2416">
        <f>Sanidade!M73</f>
        <v>0</v>
      </c>
      <c r="W345" s="2416">
        <f>Sanidade!N73</f>
        <v>1</v>
      </c>
      <c r="X345" s="2493">
        <f>Sanidade!O73</f>
        <v>1</v>
      </c>
      <c r="Y345" s="2415">
        <f>Sanidade!P73</f>
        <v>0</v>
      </c>
      <c r="Z345" s="2415">
        <f>Sanidade!Q73</f>
        <v>0</v>
      </c>
    </row>
    <row r="346" spans="1:26" customFormat="1" x14ac:dyDescent="0.2">
      <c r="A346" s="2417"/>
      <c r="B346" s="25" t="s">
        <v>1939</v>
      </c>
      <c r="C346" s="25" t="str">
        <f t="shared" si="33"/>
        <v/>
      </c>
      <c r="D346" s="2418"/>
      <c r="E346" s="2417">
        <f t="shared" si="32"/>
        <v>0</v>
      </c>
      <c r="F346" s="2417">
        <f t="shared" si="31"/>
        <v>0</v>
      </c>
      <c r="G346" s="2417"/>
      <c r="H346" s="2416">
        <f t="shared" si="29"/>
        <v>0</v>
      </c>
      <c r="I346" s="2417"/>
      <c r="J346" s="2417"/>
      <c r="K346" s="2417">
        <f>VLOOKUP(M346,Listas!$D$249:$E$289,2,)</f>
        <v>0</v>
      </c>
      <c r="L346" s="2417"/>
      <c r="M346" s="2416">
        <f>VALUE(Sanidade!E74&amp;Sanidade!F74)</f>
        <v>11</v>
      </c>
      <c r="N346" s="25">
        <f t="shared" si="30"/>
        <v>0</v>
      </c>
      <c r="O346" s="25">
        <f>VLOOKUP(M346,Listas!$D$249:$G$289,4,)</f>
        <v>0</v>
      </c>
      <c r="P346" s="25">
        <f>VLOOKUP(M346,Listas!$D$249:$I$289,6,)</f>
        <v>0</v>
      </c>
      <c r="Q346" s="2416">
        <f>Sanidade!H74</f>
        <v>0</v>
      </c>
      <c r="R346" s="2416">
        <f>Sanidade!I74</f>
        <v>0</v>
      </c>
      <c r="S346" s="2416">
        <f>Sanidade!J74</f>
        <v>0</v>
      </c>
      <c r="T346" s="2416">
        <f>Sanidade!K74</f>
        <v>0</v>
      </c>
      <c r="U346" s="2416">
        <f>Sanidade!L74</f>
        <v>0</v>
      </c>
      <c r="V346" s="2416">
        <f>Sanidade!M74</f>
        <v>0</v>
      </c>
      <c r="W346" s="2416">
        <f>Sanidade!N74</f>
        <v>1</v>
      </c>
      <c r="X346" s="2493">
        <f>Sanidade!O74</f>
        <v>1</v>
      </c>
      <c r="Y346" s="2415">
        <f>Sanidade!P74</f>
        <v>0</v>
      </c>
      <c r="Z346" s="2415">
        <f>Sanidade!Q74</f>
        <v>0</v>
      </c>
    </row>
    <row r="347" spans="1:26" customFormat="1" x14ac:dyDescent="0.2">
      <c r="A347" s="2417"/>
      <c r="B347" s="25" t="s">
        <v>1940</v>
      </c>
      <c r="C347" s="25" t="str">
        <f t="shared" si="33"/>
        <v/>
      </c>
      <c r="D347" s="2418"/>
      <c r="E347" s="2417">
        <f t="shared" si="32"/>
        <v>0</v>
      </c>
      <c r="F347" s="2417">
        <f t="shared" si="31"/>
        <v>0</v>
      </c>
      <c r="G347" s="2417"/>
      <c r="H347" s="2416">
        <f t="shared" si="29"/>
        <v>0</v>
      </c>
      <c r="I347" s="2417"/>
      <c r="J347" s="2417"/>
      <c r="K347" s="2417">
        <f>VLOOKUP(M347,Listas!$D$249:$E$289,2,)</f>
        <v>0</v>
      </c>
      <c r="L347" s="2417"/>
      <c r="M347" s="2416">
        <f>VALUE(Sanidade!E79&amp;Sanidade!F79)</f>
        <v>11</v>
      </c>
      <c r="N347" s="25">
        <f t="shared" si="30"/>
        <v>0</v>
      </c>
      <c r="O347" s="25">
        <f>VLOOKUP(M347,Listas!$D$249:$G$289,4,)</f>
        <v>0</v>
      </c>
      <c r="P347" s="25">
        <f>VLOOKUP(M347,Listas!$D$249:$I$289,6,)</f>
        <v>0</v>
      </c>
      <c r="Q347" s="2416">
        <f>Sanidade!H79</f>
        <v>0</v>
      </c>
      <c r="R347" s="2416">
        <f>Sanidade!I79</f>
        <v>0</v>
      </c>
      <c r="S347" s="2416">
        <f>Sanidade!J79</f>
        <v>0</v>
      </c>
      <c r="T347" s="2416">
        <f>Sanidade!K79</f>
        <v>0</v>
      </c>
      <c r="U347" s="2416">
        <f>Sanidade!L79</f>
        <v>0</v>
      </c>
      <c r="V347" s="2416">
        <f>Sanidade!M79</f>
        <v>0</v>
      </c>
      <c r="W347" s="2416">
        <f>Sanidade!N79</f>
        <v>1</v>
      </c>
      <c r="X347" s="2493">
        <f>Sanidade!O79</f>
        <v>1</v>
      </c>
      <c r="Y347" s="2415">
        <f>Sanidade!P79</f>
        <v>0</v>
      </c>
      <c r="Z347" s="2415">
        <f>Sanidade!Q79</f>
        <v>0</v>
      </c>
    </row>
    <row r="348" spans="1:26" customFormat="1" x14ac:dyDescent="0.2">
      <c r="A348" s="2417"/>
      <c r="B348" s="25" t="s">
        <v>1941</v>
      </c>
      <c r="C348" s="25" t="str">
        <f t="shared" si="33"/>
        <v/>
      </c>
      <c r="D348" s="2418"/>
      <c r="E348" s="2417">
        <f t="shared" si="32"/>
        <v>0</v>
      </c>
      <c r="F348" s="2417">
        <f t="shared" si="31"/>
        <v>0</v>
      </c>
      <c r="G348" s="2417"/>
      <c r="H348" s="2416">
        <f t="shared" si="29"/>
        <v>0</v>
      </c>
      <c r="I348" s="2417"/>
      <c r="J348" s="2417"/>
      <c r="K348" s="2417">
        <f>VLOOKUP(M348,Listas!$D$249:$E$289,2,)</f>
        <v>0</v>
      </c>
      <c r="L348" s="2417"/>
      <c r="M348" s="2416">
        <f>VALUE(Sanidade!E80&amp;Sanidade!F80)</f>
        <v>11</v>
      </c>
      <c r="N348" s="25">
        <f t="shared" si="30"/>
        <v>0</v>
      </c>
      <c r="O348" s="25">
        <f>VLOOKUP(M348,Listas!$D$249:$G$289,4,)</f>
        <v>0</v>
      </c>
      <c r="P348" s="25">
        <f>VLOOKUP(M348,Listas!$D$249:$I$289,6,)</f>
        <v>0</v>
      </c>
      <c r="Q348" s="2416">
        <f>Sanidade!H80</f>
        <v>0</v>
      </c>
      <c r="R348" s="2416">
        <f>Sanidade!I80</f>
        <v>0</v>
      </c>
      <c r="S348" s="2416">
        <f>Sanidade!J80</f>
        <v>0</v>
      </c>
      <c r="T348" s="2416">
        <f>Sanidade!K80</f>
        <v>0</v>
      </c>
      <c r="U348" s="2416">
        <f>Sanidade!L80</f>
        <v>0</v>
      </c>
      <c r="V348" s="2416">
        <f>Sanidade!M80</f>
        <v>0</v>
      </c>
      <c r="W348" s="2416">
        <f>Sanidade!N80</f>
        <v>1</v>
      </c>
      <c r="X348" s="2493">
        <f>Sanidade!O80</f>
        <v>1</v>
      </c>
      <c r="Y348" s="2415">
        <f>Sanidade!P80</f>
        <v>0</v>
      </c>
      <c r="Z348" s="2415">
        <f>Sanidade!Q80</f>
        <v>0</v>
      </c>
    </row>
    <row r="349" spans="1:26" customFormat="1" x14ac:dyDescent="0.2">
      <c r="A349" s="2417"/>
      <c r="B349" s="25" t="s">
        <v>1942</v>
      </c>
      <c r="C349" s="25" t="str">
        <f t="shared" si="33"/>
        <v/>
      </c>
      <c r="D349" s="2418"/>
      <c r="E349" s="2417">
        <f t="shared" si="32"/>
        <v>0</v>
      </c>
      <c r="F349" s="2417">
        <f t="shared" si="31"/>
        <v>0</v>
      </c>
      <c r="G349" s="2417"/>
      <c r="H349" s="2416">
        <f t="shared" si="29"/>
        <v>0</v>
      </c>
      <c r="I349" s="2417"/>
      <c r="J349" s="2417"/>
      <c r="K349" s="2417">
        <f>VLOOKUP(M349,Listas!$D$249:$E$289,2,)</f>
        <v>0</v>
      </c>
      <c r="L349" s="2417"/>
      <c r="M349" s="2416">
        <f>VALUE(Sanidade!E81&amp;Sanidade!F81)</f>
        <v>11</v>
      </c>
      <c r="N349" s="25">
        <f t="shared" si="30"/>
        <v>0</v>
      </c>
      <c r="O349" s="25">
        <f>VLOOKUP(M349,Listas!$D$249:$G$289,4,)</f>
        <v>0</v>
      </c>
      <c r="P349" s="25">
        <f>VLOOKUP(M349,Listas!$D$249:$I$289,6,)</f>
        <v>0</v>
      </c>
      <c r="Q349" s="2416">
        <f>Sanidade!H81</f>
        <v>0</v>
      </c>
      <c r="R349" s="2416">
        <f>Sanidade!I81</f>
        <v>0</v>
      </c>
      <c r="S349" s="2416">
        <f>Sanidade!J81</f>
        <v>0</v>
      </c>
      <c r="T349" s="2416">
        <f>Sanidade!K81</f>
        <v>0</v>
      </c>
      <c r="U349" s="2416">
        <f>Sanidade!L81</f>
        <v>0</v>
      </c>
      <c r="V349" s="2416">
        <f>Sanidade!M81</f>
        <v>0</v>
      </c>
      <c r="W349" s="2416">
        <f>Sanidade!N81</f>
        <v>1</v>
      </c>
      <c r="X349" s="2493">
        <f>Sanidade!O81</f>
        <v>1</v>
      </c>
      <c r="Y349" s="2415">
        <f>Sanidade!P81</f>
        <v>0</v>
      </c>
      <c r="Z349" s="2415">
        <f>Sanidade!Q81</f>
        <v>0</v>
      </c>
    </row>
    <row r="350" spans="1:26" customFormat="1" x14ac:dyDescent="0.2">
      <c r="A350" s="2417"/>
      <c r="B350" s="25" t="s">
        <v>1943</v>
      </c>
      <c r="C350" s="25" t="str">
        <f t="shared" si="33"/>
        <v/>
      </c>
      <c r="D350" s="2418"/>
      <c r="E350" s="2417">
        <f t="shared" si="32"/>
        <v>0</v>
      </c>
      <c r="F350" s="2417">
        <f t="shared" si="31"/>
        <v>0</v>
      </c>
      <c r="G350" s="2417"/>
      <c r="H350" s="2416">
        <f t="shared" si="29"/>
        <v>0</v>
      </c>
      <c r="I350" s="2417"/>
      <c r="J350" s="2417"/>
      <c r="K350" s="2417">
        <f>VLOOKUP(M350,Listas!$D$249:$E$289,2,)</f>
        <v>0</v>
      </c>
      <c r="L350" s="2417"/>
      <c r="M350" s="2416">
        <f>VALUE(Sanidade!E82&amp;Sanidade!F82)</f>
        <v>11</v>
      </c>
      <c r="N350" s="25">
        <f t="shared" si="30"/>
        <v>0</v>
      </c>
      <c r="O350" s="25">
        <f>VLOOKUP(M350,Listas!$D$249:$G$289,4,)</f>
        <v>0</v>
      </c>
      <c r="P350" s="25">
        <f>VLOOKUP(M350,Listas!$D$249:$I$289,6,)</f>
        <v>0</v>
      </c>
      <c r="Q350" s="2416">
        <f>Sanidade!H82</f>
        <v>0</v>
      </c>
      <c r="R350" s="2416">
        <f>Sanidade!I82</f>
        <v>0</v>
      </c>
      <c r="S350" s="2416">
        <f>Sanidade!J82</f>
        <v>0</v>
      </c>
      <c r="T350" s="2416">
        <f>Sanidade!K82</f>
        <v>0</v>
      </c>
      <c r="U350" s="2416">
        <f>Sanidade!L82</f>
        <v>0</v>
      </c>
      <c r="V350" s="2416">
        <f>Sanidade!M82</f>
        <v>0</v>
      </c>
      <c r="W350" s="2416">
        <f>Sanidade!N82</f>
        <v>1</v>
      </c>
      <c r="X350" s="2493">
        <f>Sanidade!O82</f>
        <v>1</v>
      </c>
      <c r="Y350" s="2415">
        <f>Sanidade!P82</f>
        <v>0</v>
      </c>
      <c r="Z350" s="2415">
        <f>Sanidade!Q82</f>
        <v>0</v>
      </c>
    </row>
    <row r="351" spans="1:26" customFormat="1" x14ac:dyDescent="0.2">
      <c r="A351" s="2417"/>
      <c r="B351" s="25" t="s">
        <v>1944</v>
      </c>
      <c r="C351" s="25" t="str">
        <f t="shared" si="33"/>
        <v/>
      </c>
      <c r="D351" s="2418"/>
      <c r="E351" s="2417">
        <f t="shared" si="32"/>
        <v>0</v>
      </c>
      <c r="F351" s="2417">
        <f t="shared" si="31"/>
        <v>0</v>
      </c>
      <c r="G351" s="2417"/>
      <c r="H351" s="2416">
        <f t="shared" si="29"/>
        <v>0</v>
      </c>
      <c r="I351" s="2417"/>
      <c r="J351" s="2417"/>
      <c r="K351" s="2417">
        <f>VLOOKUP(M351,Listas!$D$249:$E$289,2,)</f>
        <v>0</v>
      </c>
      <c r="L351" s="2417"/>
      <c r="M351" s="2416">
        <f>VALUE(Sanidade!E83&amp;Sanidade!F83)</f>
        <v>11</v>
      </c>
      <c r="N351" s="25">
        <f t="shared" si="30"/>
        <v>0</v>
      </c>
      <c r="O351" s="25">
        <f>VLOOKUP(M351,Listas!$D$249:$G$289,4,)</f>
        <v>0</v>
      </c>
      <c r="P351" s="25">
        <f>VLOOKUP(M351,Listas!$D$249:$I$289,6,)</f>
        <v>0</v>
      </c>
      <c r="Q351" s="2416">
        <f>Sanidade!H83</f>
        <v>0</v>
      </c>
      <c r="R351" s="2416">
        <f>Sanidade!I83</f>
        <v>0</v>
      </c>
      <c r="S351" s="2416">
        <f>Sanidade!J83</f>
        <v>0</v>
      </c>
      <c r="T351" s="2416">
        <f>Sanidade!K83</f>
        <v>0</v>
      </c>
      <c r="U351" s="2416">
        <f>Sanidade!L83</f>
        <v>0</v>
      </c>
      <c r="V351" s="2416">
        <f>Sanidade!M83</f>
        <v>0</v>
      </c>
      <c r="W351" s="2416">
        <f>Sanidade!N83</f>
        <v>1</v>
      </c>
      <c r="X351" s="2493">
        <f>Sanidade!O83</f>
        <v>1</v>
      </c>
      <c r="Y351" s="2415">
        <f>Sanidade!P83</f>
        <v>0</v>
      </c>
      <c r="Z351" s="2415">
        <f>Sanidade!Q83</f>
        <v>0</v>
      </c>
    </row>
    <row r="352" spans="1:26" customFormat="1" x14ac:dyDescent="0.2">
      <c r="A352" s="2417"/>
      <c r="B352" s="25" t="s">
        <v>1945</v>
      </c>
      <c r="C352" s="25" t="str">
        <f t="shared" si="33"/>
        <v/>
      </c>
      <c r="D352" s="2418"/>
      <c r="E352" s="2417">
        <f t="shared" si="32"/>
        <v>0</v>
      </c>
      <c r="F352" s="2417">
        <f t="shared" si="31"/>
        <v>0</v>
      </c>
      <c r="G352" s="2417"/>
      <c r="H352" s="2416">
        <f t="shared" si="29"/>
        <v>0</v>
      </c>
      <c r="I352" s="2417"/>
      <c r="J352" s="2417"/>
      <c r="K352" s="2417">
        <f>VLOOKUP(M352,Listas!$D$249:$E$289,2,)</f>
        <v>0</v>
      </c>
      <c r="L352" s="2417"/>
      <c r="M352" s="2416">
        <f>VALUE(Sanidade!E88&amp;Sanidade!F88)</f>
        <v>11</v>
      </c>
      <c r="N352" s="25">
        <f t="shared" si="30"/>
        <v>0</v>
      </c>
      <c r="O352" s="25">
        <f>VLOOKUP(M352,Listas!$D$249:$G$289,4,)</f>
        <v>0</v>
      </c>
      <c r="P352" s="25">
        <f>VLOOKUP(M352,Listas!$D$249:$I$289,6,)</f>
        <v>0</v>
      </c>
      <c r="Q352" s="2416">
        <f>Sanidade!H88</f>
        <v>0</v>
      </c>
      <c r="R352" s="2416">
        <f>Sanidade!I88</f>
        <v>0</v>
      </c>
      <c r="S352" s="2416">
        <f>Sanidade!J88</f>
        <v>0</v>
      </c>
      <c r="T352" s="2416">
        <f>Sanidade!K88</f>
        <v>0</v>
      </c>
      <c r="U352" s="2416">
        <f>Sanidade!L88</f>
        <v>0</v>
      </c>
      <c r="V352" s="2416">
        <f>Sanidade!M88</f>
        <v>0</v>
      </c>
      <c r="W352" s="2416">
        <f>Sanidade!N88</f>
        <v>1</v>
      </c>
      <c r="X352" s="2493">
        <f>Sanidade!O88</f>
        <v>1</v>
      </c>
      <c r="Y352" s="2415">
        <f>Sanidade!P88</f>
        <v>0</v>
      </c>
      <c r="Z352" s="2415">
        <f>Sanidade!Q88</f>
        <v>0</v>
      </c>
    </row>
    <row r="353" spans="1:52" x14ac:dyDescent="0.2">
      <c r="A353" s="2417"/>
      <c r="B353" s="25" t="s">
        <v>1946</v>
      </c>
      <c r="C353" s="25" t="str">
        <f t="shared" si="33"/>
        <v/>
      </c>
      <c r="D353" s="2418"/>
      <c r="E353" s="2417">
        <f t="shared" si="32"/>
        <v>0</v>
      </c>
      <c r="F353" s="2417">
        <f t="shared" si="31"/>
        <v>0</v>
      </c>
      <c r="G353" s="2417"/>
      <c r="H353" s="2416">
        <f t="shared" si="29"/>
        <v>0</v>
      </c>
      <c r="I353" s="2417"/>
      <c r="J353" s="2417"/>
      <c r="K353" s="2417">
        <f>VLOOKUP(M353,Listas!$D$249:$E$289,2,)</f>
        <v>0</v>
      </c>
      <c r="L353" s="2417"/>
      <c r="M353" s="2416">
        <f>VALUE(Sanidade!E89&amp;Sanidade!F89)</f>
        <v>11</v>
      </c>
      <c r="N353" s="25">
        <f t="shared" si="30"/>
        <v>0</v>
      </c>
      <c r="O353" s="25">
        <f>VLOOKUP(M353,Listas!$D$249:$G$289,4,)</f>
        <v>0</v>
      </c>
      <c r="P353" s="25">
        <f>VLOOKUP(M353,Listas!$D$249:$I$289,6,)</f>
        <v>0</v>
      </c>
      <c r="Q353" s="2416">
        <f>Sanidade!H89</f>
        <v>0</v>
      </c>
      <c r="R353" s="2416">
        <f>Sanidade!I89</f>
        <v>0</v>
      </c>
      <c r="S353" s="2416">
        <f>Sanidade!J89</f>
        <v>0</v>
      </c>
      <c r="T353" s="2416">
        <f>Sanidade!K89</f>
        <v>0</v>
      </c>
      <c r="U353" s="2416">
        <f>Sanidade!L89</f>
        <v>0</v>
      </c>
      <c r="V353" s="2416">
        <f>Sanidade!M89</f>
        <v>0</v>
      </c>
      <c r="W353" s="2416">
        <f>Sanidade!N89</f>
        <v>1</v>
      </c>
      <c r="X353" s="2493">
        <f>Sanidade!O89</f>
        <v>1</v>
      </c>
      <c r="Y353" s="2415">
        <f>Sanidade!P89</f>
        <v>0</v>
      </c>
      <c r="Z353" s="2415">
        <f>Sanidade!Q89</f>
        <v>0</v>
      </c>
    </row>
    <row r="354" spans="1:52" x14ac:dyDescent="0.2">
      <c r="A354" s="2417"/>
      <c r="B354" s="25" t="s">
        <v>1947</v>
      </c>
      <c r="C354" s="25" t="str">
        <f t="shared" si="33"/>
        <v/>
      </c>
      <c r="D354" s="2418"/>
      <c r="E354" s="2417">
        <f t="shared" si="32"/>
        <v>0</v>
      </c>
      <c r="F354" s="2417">
        <f t="shared" si="31"/>
        <v>0</v>
      </c>
      <c r="G354" s="2417"/>
      <c r="H354" s="2416">
        <f t="shared" si="29"/>
        <v>0</v>
      </c>
      <c r="I354" s="2417"/>
      <c r="J354" s="2417"/>
      <c r="K354" s="2417">
        <f>VLOOKUP(M354,Listas!$D$249:$E$289,2,)</f>
        <v>0</v>
      </c>
      <c r="L354" s="2417"/>
      <c r="M354" s="2416">
        <f>VALUE(Sanidade!E90&amp;Sanidade!F90)</f>
        <v>11</v>
      </c>
      <c r="N354" s="25">
        <f t="shared" si="30"/>
        <v>0</v>
      </c>
      <c r="O354" s="25">
        <f>VLOOKUP(M354,Listas!$D$249:$G$289,4,)</f>
        <v>0</v>
      </c>
      <c r="P354" s="25">
        <f>VLOOKUP(M354,Listas!$D$249:$I$289,6,)</f>
        <v>0</v>
      </c>
      <c r="Q354" s="2416">
        <f>Sanidade!H90</f>
        <v>0</v>
      </c>
      <c r="R354" s="2416">
        <f>Sanidade!I90</f>
        <v>0</v>
      </c>
      <c r="S354" s="2416">
        <f>Sanidade!J90</f>
        <v>0</v>
      </c>
      <c r="T354" s="2416">
        <f>Sanidade!K90</f>
        <v>0</v>
      </c>
      <c r="U354" s="2416">
        <f>Sanidade!L90</f>
        <v>0</v>
      </c>
      <c r="V354" s="2416">
        <f>Sanidade!M90</f>
        <v>0</v>
      </c>
      <c r="W354" s="2416">
        <f>Sanidade!N90</f>
        <v>1</v>
      </c>
      <c r="X354" s="2493">
        <f>Sanidade!O90</f>
        <v>1</v>
      </c>
      <c r="Y354" s="2415">
        <f>Sanidade!P90</f>
        <v>0</v>
      </c>
      <c r="Z354" s="2415">
        <f>Sanidade!Q90</f>
        <v>0</v>
      </c>
    </row>
    <row r="355" spans="1:52" x14ac:dyDescent="0.2">
      <c r="A355" s="2417"/>
      <c r="B355" s="25" t="s">
        <v>1948</v>
      </c>
      <c r="C355" s="25" t="str">
        <f t="shared" si="33"/>
        <v/>
      </c>
      <c r="D355" s="2418"/>
      <c r="E355" s="2417">
        <f t="shared" si="32"/>
        <v>0</v>
      </c>
      <c r="F355" s="2417">
        <f t="shared" si="31"/>
        <v>0</v>
      </c>
      <c r="G355" s="2417"/>
      <c r="H355" s="2416">
        <f t="shared" si="29"/>
        <v>0</v>
      </c>
      <c r="I355" s="2417"/>
      <c r="J355" s="2417"/>
      <c r="K355" s="2417">
        <f>VLOOKUP(M355,Listas!$D$249:$E$289,2,)</f>
        <v>0</v>
      </c>
      <c r="L355" s="2417"/>
      <c r="M355" s="2416">
        <f>VALUE(Sanidade!E91&amp;Sanidade!F91)</f>
        <v>11</v>
      </c>
      <c r="N355" s="25">
        <f t="shared" si="30"/>
        <v>0</v>
      </c>
      <c r="O355" s="25">
        <f>VLOOKUP(M355,Listas!$D$249:$G$289,4,)</f>
        <v>0</v>
      </c>
      <c r="P355" s="25">
        <f>VLOOKUP(M355,Listas!$D$249:$I$289,6,)</f>
        <v>0</v>
      </c>
      <c r="Q355" s="2416">
        <f>Sanidade!H91</f>
        <v>0</v>
      </c>
      <c r="R355" s="2416">
        <f>Sanidade!I91</f>
        <v>0</v>
      </c>
      <c r="S355" s="2416">
        <f>Sanidade!J91</f>
        <v>0</v>
      </c>
      <c r="T355" s="2416">
        <f>Sanidade!K91</f>
        <v>0</v>
      </c>
      <c r="U355" s="2416">
        <f>Sanidade!L91</f>
        <v>0</v>
      </c>
      <c r="V355" s="2416">
        <f>Sanidade!M91</f>
        <v>0</v>
      </c>
      <c r="W355" s="2416">
        <f>Sanidade!N91</f>
        <v>1</v>
      </c>
      <c r="X355" s="2493">
        <f>Sanidade!O91</f>
        <v>1</v>
      </c>
      <c r="Y355" s="2415">
        <f>Sanidade!P91</f>
        <v>0</v>
      </c>
      <c r="Z355" s="2415">
        <f>Sanidade!Q91</f>
        <v>0</v>
      </c>
    </row>
    <row r="356" spans="1:52" x14ac:dyDescent="0.2">
      <c r="A356" s="2417"/>
      <c r="B356" s="25" t="s">
        <v>1949</v>
      </c>
      <c r="C356" s="25" t="str">
        <f t="shared" si="33"/>
        <v/>
      </c>
      <c r="D356" s="2418"/>
      <c r="E356" s="2417">
        <f t="shared" si="32"/>
        <v>0</v>
      </c>
      <c r="F356" s="2417">
        <f t="shared" si="31"/>
        <v>0</v>
      </c>
      <c r="G356" s="2417"/>
      <c r="H356" s="2416">
        <f t="shared" si="29"/>
        <v>0</v>
      </c>
      <c r="I356" s="2417"/>
      <c r="J356" s="2417"/>
      <c r="K356" s="2417">
        <f>VLOOKUP(M356,Listas!$D$249:$E$289,2,)</f>
        <v>0</v>
      </c>
      <c r="L356" s="2417"/>
      <c r="M356" s="2416">
        <f>VALUE(Sanidade!E92&amp;Sanidade!F92)</f>
        <v>11</v>
      </c>
      <c r="N356" s="25">
        <f t="shared" si="30"/>
        <v>0</v>
      </c>
      <c r="O356" s="25">
        <f>VLOOKUP(M356,Listas!$D$249:$G$289,4,)</f>
        <v>0</v>
      </c>
      <c r="P356" s="25">
        <f>VLOOKUP(M356,Listas!$D$249:$I$289,6,)</f>
        <v>0</v>
      </c>
      <c r="Q356" s="2416">
        <f>Sanidade!H92</f>
        <v>0</v>
      </c>
      <c r="R356" s="2416">
        <f>Sanidade!I92</f>
        <v>0</v>
      </c>
      <c r="S356" s="2416">
        <f>Sanidade!J92</f>
        <v>0</v>
      </c>
      <c r="T356" s="2416">
        <f>Sanidade!K92</f>
        <v>0</v>
      </c>
      <c r="U356" s="2416">
        <f>Sanidade!L92</f>
        <v>0</v>
      </c>
      <c r="V356" s="2416">
        <f>Sanidade!M92</f>
        <v>0</v>
      </c>
      <c r="W356" s="2416">
        <f>Sanidade!N92</f>
        <v>1</v>
      </c>
      <c r="X356" s="2493">
        <f>Sanidade!O92</f>
        <v>1</v>
      </c>
      <c r="Y356" s="2415">
        <f>Sanidade!P92</f>
        <v>0</v>
      </c>
      <c r="Z356" s="2415">
        <f>Sanidade!Q92</f>
        <v>0</v>
      </c>
    </row>
    <row r="357" spans="1:52" x14ac:dyDescent="0.2">
      <c r="A357" s="2417"/>
      <c r="B357" s="25" t="s">
        <v>1950</v>
      </c>
      <c r="C357" s="25" t="str">
        <f t="shared" si="33"/>
        <v/>
      </c>
      <c r="D357" s="2418"/>
      <c r="E357" s="2417">
        <f t="shared" si="32"/>
        <v>0</v>
      </c>
      <c r="F357" s="2417">
        <f t="shared" si="31"/>
        <v>0</v>
      </c>
      <c r="G357" s="2417"/>
      <c r="H357" s="2416">
        <f t="shared" si="29"/>
        <v>0</v>
      </c>
      <c r="I357" s="2417"/>
      <c r="J357" s="2417"/>
      <c r="K357" s="2417">
        <f>VLOOKUP(M357,Listas!$D$249:$E$289,2,)</f>
        <v>0</v>
      </c>
      <c r="L357" s="2417"/>
      <c r="M357" s="2416">
        <f>VALUE(Sanidade!E97&amp;Sanidade!F97)</f>
        <v>11</v>
      </c>
      <c r="N357" s="25">
        <f t="shared" si="30"/>
        <v>0</v>
      </c>
      <c r="O357" s="25">
        <f>VLOOKUP(M357,Listas!$D$249:$G$289,4,)</f>
        <v>0</v>
      </c>
      <c r="P357" s="25">
        <f>VLOOKUP(M357,Listas!$D$249:$I$289,6,)</f>
        <v>0</v>
      </c>
      <c r="Q357" s="2416">
        <f>Sanidade!H97</f>
        <v>0</v>
      </c>
      <c r="R357" s="2416">
        <f>Sanidade!I97</f>
        <v>0</v>
      </c>
      <c r="S357" s="2416">
        <f>Sanidade!J97</f>
        <v>0</v>
      </c>
      <c r="T357" s="2416">
        <f>Sanidade!K97</f>
        <v>0</v>
      </c>
      <c r="U357" s="2416">
        <f>Sanidade!L97</f>
        <v>0</v>
      </c>
      <c r="V357" s="2416">
        <f>Sanidade!M97</f>
        <v>0</v>
      </c>
      <c r="W357" s="2416">
        <f>Sanidade!N97</f>
        <v>1</v>
      </c>
      <c r="X357" s="2493">
        <f>Sanidade!O97</f>
        <v>1</v>
      </c>
      <c r="Y357" s="2415">
        <f>Sanidade!P97</f>
        <v>0</v>
      </c>
      <c r="Z357" s="2415">
        <f>Sanidade!Q97</f>
        <v>0</v>
      </c>
    </row>
    <row r="358" spans="1:52" x14ac:dyDescent="0.2">
      <c r="A358" s="2417"/>
      <c r="B358" s="25" t="s">
        <v>1951</v>
      </c>
      <c r="C358" s="25" t="str">
        <f t="shared" si="33"/>
        <v/>
      </c>
      <c r="D358" s="2418"/>
      <c r="E358" s="2417">
        <f t="shared" si="32"/>
        <v>0</v>
      </c>
      <c r="F358" s="2417">
        <f t="shared" si="31"/>
        <v>0</v>
      </c>
      <c r="G358" s="2417"/>
      <c r="H358" s="2416">
        <f t="shared" si="29"/>
        <v>0</v>
      </c>
      <c r="I358" s="2417"/>
      <c r="J358" s="2417"/>
      <c r="K358" s="2417">
        <f>VLOOKUP(M358,Listas!$D$249:$E$289,2,)</f>
        <v>0</v>
      </c>
      <c r="L358" s="2417"/>
      <c r="M358" s="2416">
        <f>VALUE(Sanidade!E98&amp;Sanidade!F98)</f>
        <v>11</v>
      </c>
      <c r="N358" s="25">
        <f t="shared" si="30"/>
        <v>0</v>
      </c>
      <c r="O358" s="25">
        <f>VLOOKUP(M358,Listas!$D$249:$G$289,4,)</f>
        <v>0</v>
      </c>
      <c r="P358" s="25">
        <f>VLOOKUP(M358,Listas!$D$249:$I$289,6,)</f>
        <v>0</v>
      </c>
      <c r="Q358" s="2416">
        <f>Sanidade!H98</f>
        <v>0</v>
      </c>
      <c r="R358" s="2416">
        <f>Sanidade!I98</f>
        <v>0</v>
      </c>
      <c r="S358" s="2416">
        <f>Sanidade!J98</f>
        <v>0</v>
      </c>
      <c r="T358" s="2416">
        <f>Sanidade!K98</f>
        <v>0</v>
      </c>
      <c r="U358" s="2416">
        <f>Sanidade!L98</f>
        <v>0</v>
      </c>
      <c r="V358" s="2416">
        <f>Sanidade!M98</f>
        <v>0</v>
      </c>
      <c r="W358" s="2416">
        <f>Sanidade!N98</f>
        <v>1</v>
      </c>
      <c r="X358" s="2493">
        <f>Sanidade!O98</f>
        <v>1</v>
      </c>
      <c r="Y358" s="2415">
        <f>Sanidade!P98</f>
        <v>0</v>
      </c>
      <c r="Z358" s="2415">
        <f>Sanidade!Q98</f>
        <v>0</v>
      </c>
    </row>
    <row r="359" spans="1:52" x14ac:dyDescent="0.2">
      <c r="A359" s="2417"/>
      <c r="B359" s="25" t="s">
        <v>1952</v>
      </c>
      <c r="C359" s="25" t="str">
        <f t="shared" si="33"/>
        <v/>
      </c>
      <c r="D359" s="2418"/>
      <c r="E359" s="2417">
        <f t="shared" si="32"/>
        <v>0</v>
      </c>
      <c r="F359" s="2417">
        <f t="shared" si="31"/>
        <v>0</v>
      </c>
      <c r="G359" s="2417"/>
      <c r="H359" s="2416">
        <f t="shared" si="29"/>
        <v>0</v>
      </c>
      <c r="I359" s="2417"/>
      <c r="J359" s="2417"/>
      <c r="K359" s="2417">
        <f>VLOOKUP(M359,Listas!$D$249:$E$289,2,)</f>
        <v>0</v>
      </c>
      <c r="L359" s="2417"/>
      <c r="M359" s="2416">
        <f>VALUE(Sanidade!E99&amp;Sanidade!F99)</f>
        <v>11</v>
      </c>
      <c r="N359" s="25">
        <f t="shared" si="30"/>
        <v>0</v>
      </c>
      <c r="O359" s="25">
        <f>VLOOKUP(M359,Listas!$D$249:$G$289,4,)</f>
        <v>0</v>
      </c>
      <c r="P359" s="25">
        <f>VLOOKUP(M359,Listas!$D$249:$I$289,6,)</f>
        <v>0</v>
      </c>
      <c r="Q359" s="2416">
        <f>Sanidade!H99</f>
        <v>0</v>
      </c>
      <c r="R359" s="2416">
        <f>Sanidade!I99</f>
        <v>0</v>
      </c>
      <c r="S359" s="2416">
        <f>Sanidade!J99</f>
        <v>0</v>
      </c>
      <c r="T359" s="2416">
        <f>Sanidade!K99</f>
        <v>0</v>
      </c>
      <c r="U359" s="2416">
        <f>Sanidade!L99</f>
        <v>0</v>
      </c>
      <c r="V359" s="2416">
        <f>Sanidade!M99</f>
        <v>0</v>
      </c>
      <c r="W359" s="2416">
        <f>Sanidade!N99</f>
        <v>1</v>
      </c>
      <c r="X359" s="2493">
        <f>Sanidade!O99</f>
        <v>1</v>
      </c>
      <c r="Y359" s="2415">
        <f>Sanidade!P99</f>
        <v>0</v>
      </c>
      <c r="Z359" s="2415">
        <f>Sanidade!Q99</f>
        <v>0</v>
      </c>
    </row>
    <row r="360" spans="1:52" x14ac:dyDescent="0.2">
      <c r="A360" s="2417"/>
      <c r="B360" s="25" t="s">
        <v>1953</v>
      </c>
      <c r="C360" s="25" t="str">
        <f t="shared" si="33"/>
        <v/>
      </c>
      <c r="D360" s="2418"/>
      <c r="E360" s="2417">
        <f t="shared" si="32"/>
        <v>0</v>
      </c>
      <c r="F360" s="2417">
        <f t="shared" si="31"/>
        <v>0</v>
      </c>
      <c r="G360" s="2417"/>
      <c r="H360" s="2416">
        <f t="shared" si="29"/>
        <v>0</v>
      </c>
      <c r="I360" s="2417"/>
      <c r="J360" s="2417"/>
      <c r="K360" s="2417">
        <f>VLOOKUP(M360,Listas!$D$249:$E$289,2,)</f>
        <v>0</v>
      </c>
      <c r="L360" s="2417"/>
      <c r="M360" s="2416">
        <f>VALUE(Sanidade!E100&amp;Sanidade!F100)</f>
        <v>11</v>
      </c>
      <c r="N360" s="25">
        <f t="shared" si="30"/>
        <v>0</v>
      </c>
      <c r="O360" s="25">
        <f>VLOOKUP(M360,Listas!$D$249:$G$289,4,)</f>
        <v>0</v>
      </c>
      <c r="P360" s="25">
        <f>VLOOKUP(M360,Listas!$D$249:$I$289,6,)</f>
        <v>0</v>
      </c>
      <c r="Q360" s="2416">
        <f>Sanidade!H100</f>
        <v>0</v>
      </c>
      <c r="R360" s="2416">
        <f>Sanidade!I100</f>
        <v>0</v>
      </c>
      <c r="S360" s="2416">
        <f>Sanidade!J100</f>
        <v>0</v>
      </c>
      <c r="T360" s="2416">
        <f>Sanidade!K100</f>
        <v>0</v>
      </c>
      <c r="U360" s="2416">
        <f>Sanidade!L100</f>
        <v>0</v>
      </c>
      <c r="V360" s="2416">
        <f>Sanidade!M100</f>
        <v>0</v>
      </c>
      <c r="W360" s="2416">
        <f>Sanidade!N100</f>
        <v>1</v>
      </c>
      <c r="X360" s="2493">
        <f>Sanidade!O100</f>
        <v>1</v>
      </c>
      <c r="Y360" s="2415">
        <f>Sanidade!P100</f>
        <v>0</v>
      </c>
      <c r="Z360" s="2415">
        <f>Sanidade!Q100</f>
        <v>0</v>
      </c>
    </row>
    <row r="361" spans="1:52" x14ac:dyDescent="0.2">
      <c r="A361" s="2417"/>
      <c r="B361" s="25" t="s">
        <v>1954</v>
      </c>
      <c r="C361" s="25" t="str">
        <f t="shared" si="33"/>
        <v/>
      </c>
      <c r="D361" s="2418"/>
      <c r="E361" s="2417">
        <f t="shared" si="32"/>
        <v>0</v>
      </c>
      <c r="F361" s="2417">
        <f t="shared" si="31"/>
        <v>0</v>
      </c>
      <c r="G361" s="2417"/>
      <c r="H361" s="2416">
        <f t="shared" si="29"/>
        <v>0</v>
      </c>
      <c r="I361" s="2417"/>
      <c r="J361" s="2417"/>
      <c r="K361" s="2417">
        <f>VLOOKUP(M361,Listas!$D$249:$E$289,2,)</f>
        <v>0</v>
      </c>
      <c r="L361" s="2417"/>
      <c r="M361" s="2416">
        <f>VALUE(Sanidade!E101&amp;Sanidade!F101)</f>
        <v>11</v>
      </c>
      <c r="N361" s="25">
        <f t="shared" si="30"/>
        <v>0</v>
      </c>
      <c r="O361" s="25">
        <f>VLOOKUP(M361,Listas!$D$249:$G$289,4,)</f>
        <v>0</v>
      </c>
      <c r="P361" s="25">
        <f>VLOOKUP(M361,Listas!$D$249:$I$289,6,)</f>
        <v>0</v>
      </c>
      <c r="Q361" s="2416">
        <f>Sanidade!H101</f>
        <v>0</v>
      </c>
      <c r="R361" s="2416">
        <f>Sanidade!I101</f>
        <v>0</v>
      </c>
      <c r="S361" s="2416">
        <f>Sanidade!J101</f>
        <v>0</v>
      </c>
      <c r="T361" s="2416">
        <f>Sanidade!K101</f>
        <v>0</v>
      </c>
      <c r="U361" s="2416">
        <f>Sanidade!L101</f>
        <v>0</v>
      </c>
      <c r="V361" s="2416">
        <f>Sanidade!M101</f>
        <v>0</v>
      </c>
      <c r="W361" s="2416">
        <f>Sanidade!N101</f>
        <v>1</v>
      </c>
      <c r="X361" s="2493">
        <f>Sanidade!O101</f>
        <v>1</v>
      </c>
      <c r="Y361" s="2415">
        <f>Sanidade!P101</f>
        <v>0</v>
      </c>
      <c r="Z361" s="2415">
        <f>Sanidade!Q101</f>
        <v>0</v>
      </c>
    </row>
    <row r="362" spans="1:52" x14ac:dyDescent="0.2">
      <c r="A362" s="2417"/>
      <c r="B362" s="25" t="s">
        <v>1955</v>
      </c>
      <c r="C362" s="25" t="str">
        <f t="shared" si="33"/>
        <v/>
      </c>
      <c r="D362" s="2418"/>
      <c r="E362" s="2417">
        <f t="shared" si="32"/>
        <v>0</v>
      </c>
      <c r="F362" s="2417">
        <f t="shared" si="31"/>
        <v>0</v>
      </c>
      <c r="G362" s="2417"/>
      <c r="H362" s="2416">
        <f t="shared" si="29"/>
        <v>0</v>
      </c>
      <c r="I362" s="2417"/>
      <c r="J362" s="2417"/>
      <c r="K362" s="2417">
        <f>VLOOKUP(M362,Listas!$D$249:$E$289,2,)</f>
        <v>0</v>
      </c>
      <c r="L362" s="2417"/>
      <c r="M362" s="2416">
        <f>VALUE(Sanidade!E106&amp;Sanidade!F106)</f>
        <v>11</v>
      </c>
      <c r="N362" s="25">
        <f t="shared" si="30"/>
        <v>0</v>
      </c>
      <c r="O362" s="25">
        <f>VLOOKUP(M362,Listas!$D$249:$G$289,4,)</f>
        <v>0</v>
      </c>
      <c r="P362" s="25">
        <f>VLOOKUP(M362,Listas!$D$249:$I$289,6,)</f>
        <v>0</v>
      </c>
      <c r="Q362" s="2416">
        <f>Sanidade!H106</f>
        <v>0</v>
      </c>
      <c r="R362" s="2416">
        <f>Sanidade!I106</f>
        <v>0</v>
      </c>
      <c r="S362" s="2416">
        <f>Sanidade!J106</f>
        <v>0</v>
      </c>
      <c r="T362" s="2416">
        <f>Sanidade!K106</f>
        <v>0</v>
      </c>
      <c r="U362" s="2416">
        <f>Sanidade!L106</f>
        <v>0</v>
      </c>
      <c r="V362" s="2416">
        <f>Sanidade!M106</f>
        <v>0</v>
      </c>
      <c r="W362" s="2416">
        <f>Sanidade!N106</f>
        <v>1</v>
      </c>
      <c r="X362" s="2493">
        <f>Sanidade!O106</f>
        <v>1</v>
      </c>
      <c r="Y362" s="2415">
        <f>Sanidade!P106</f>
        <v>0</v>
      </c>
      <c r="Z362" s="2415">
        <f>Sanidade!Q106</f>
        <v>0</v>
      </c>
    </row>
    <row r="363" spans="1:52" x14ac:dyDescent="0.2">
      <c r="A363" s="2417"/>
      <c r="B363" s="25" t="s">
        <v>1956</v>
      </c>
      <c r="C363" s="25" t="str">
        <f t="shared" si="33"/>
        <v/>
      </c>
      <c r="D363" s="2418"/>
      <c r="E363" s="2417">
        <f t="shared" si="32"/>
        <v>0</v>
      </c>
      <c r="F363" s="2417">
        <f t="shared" si="31"/>
        <v>0</v>
      </c>
      <c r="G363" s="2417"/>
      <c r="H363" s="2416">
        <f t="shared" si="29"/>
        <v>0</v>
      </c>
      <c r="I363" s="2417"/>
      <c r="J363" s="2417"/>
      <c r="K363" s="2417">
        <f>VLOOKUP(M363,Listas!$D$249:$E$289,2,)</f>
        <v>0</v>
      </c>
      <c r="L363" s="2417"/>
      <c r="M363" s="2416">
        <f>VALUE(Sanidade!E107&amp;Sanidade!F107)</f>
        <v>11</v>
      </c>
      <c r="N363" s="25">
        <f t="shared" si="30"/>
        <v>0</v>
      </c>
      <c r="O363" s="25">
        <f>VLOOKUP(M363,Listas!$D$249:$G$289,4,)</f>
        <v>0</v>
      </c>
      <c r="P363" s="25">
        <f>VLOOKUP(M363,Listas!$D$249:$I$289,6,)</f>
        <v>0</v>
      </c>
      <c r="Q363" s="2416">
        <f>Sanidade!H107</f>
        <v>0</v>
      </c>
      <c r="R363" s="2416">
        <f>Sanidade!I107</f>
        <v>0</v>
      </c>
      <c r="S363" s="2416">
        <f>Sanidade!J107</f>
        <v>0</v>
      </c>
      <c r="T363" s="2416">
        <f>Sanidade!K107</f>
        <v>0</v>
      </c>
      <c r="U363" s="2416">
        <f>Sanidade!L107</f>
        <v>0</v>
      </c>
      <c r="V363" s="2416">
        <f>Sanidade!M107</f>
        <v>0</v>
      </c>
      <c r="W363" s="2416">
        <f>Sanidade!N107</f>
        <v>1</v>
      </c>
      <c r="X363" s="2493">
        <f>Sanidade!O107</f>
        <v>1</v>
      </c>
      <c r="Y363" s="2415">
        <f>Sanidade!P107</f>
        <v>0</v>
      </c>
      <c r="Z363" s="2415">
        <f>Sanidade!Q107</f>
        <v>0</v>
      </c>
    </row>
    <row r="364" spans="1:52" x14ac:dyDescent="0.2">
      <c r="A364" s="2417"/>
      <c r="B364" s="25" t="s">
        <v>1957</v>
      </c>
      <c r="C364" s="25" t="str">
        <f t="shared" si="33"/>
        <v/>
      </c>
      <c r="D364" s="2418"/>
      <c r="E364" s="2417">
        <f t="shared" si="32"/>
        <v>0</v>
      </c>
      <c r="F364" s="2417">
        <f t="shared" si="31"/>
        <v>0</v>
      </c>
      <c r="G364" s="2417"/>
      <c r="H364" s="2416">
        <f t="shared" si="29"/>
        <v>0</v>
      </c>
      <c r="I364" s="2417"/>
      <c r="J364" s="2417"/>
      <c r="K364" s="2417">
        <f>VLOOKUP(M364,Listas!$D$249:$E$289,2,)</f>
        <v>0</v>
      </c>
      <c r="L364" s="2417"/>
      <c r="M364" s="2416">
        <f>VALUE(Sanidade!E108&amp;Sanidade!F108)</f>
        <v>11</v>
      </c>
      <c r="N364" s="25">
        <f t="shared" si="30"/>
        <v>0</v>
      </c>
      <c r="O364" s="25">
        <f>VLOOKUP(M364,Listas!$D$249:$G$289,4,)</f>
        <v>0</v>
      </c>
      <c r="P364" s="25">
        <f>VLOOKUP(M364,Listas!$D$249:$I$289,6,)</f>
        <v>0</v>
      </c>
      <c r="Q364" s="2416">
        <f>Sanidade!H108</f>
        <v>0</v>
      </c>
      <c r="R364" s="2416">
        <f>Sanidade!I108</f>
        <v>0</v>
      </c>
      <c r="S364" s="2416">
        <f>Sanidade!J108</f>
        <v>0</v>
      </c>
      <c r="T364" s="2416">
        <f>Sanidade!K108</f>
        <v>0</v>
      </c>
      <c r="U364" s="2416">
        <f>Sanidade!L108</f>
        <v>0</v>
      </c>
      <c r="V364" s="2416">
        <f>Sanidade!M108</f>
        <v>0</v>
      </c>
      <c r="W364" s="2416">
        <f>Sanidade!N108</f>
        <v>1</v>
      </c>
      <c r="X364" s="2493">
        <f>Sanidade!O108</f>
        <v>1</v>
      </c>
      <c r="Y364" s="2415">
        <f>Sanidade!P108</f>
        <v>0</v>
      </c>
      <c r="Z364" s="2415">
        <f>Sanidade!Q108</f>
        <v>0</v>
      </c>
    </row>
    <row r="365" spans="1:52" x14ac:dyDescent="0.2">
      <c r="A365" s="2417"/>
      <c r="B365" s="25" t="s">
        <v>1958</v>
      </c>
      <c r="C365" s="25" t="str">
        <f t="shared" si="33"/>
        <v/>
      </c>
      <c r="D365" s="2418"/>
      <c r="E365" s="2417">
        <f t="shared" si="32"/>
        <v>0</v>
      </c>
      <c r="F365" s="2417">
        <f t="shared" si="31"/>
        <v>0</v>
      </c>
      <c r="G365" s="2417"/>
      <c r="H365" s="2416">
        <f t="shared" si="29"/>
        <v>0</v>
      </c>
      <c r="I365" s="2417"/>
      <c r="J365" s="2417"/>
      <c r="K365" s="2417">
        <f>VLOOKUP(M365,Listas!$D$249:$E$289,2,)</f>
        <v>0</v>
      </c>
      <c r="L365" s="2417"/>
      <c r="M365" s="2416">
        <f>VALUE(Sanidade!E109&amp;Sanidade!F109)</f>
        <v>11</v>
      </c>
      <c r="N365" s="25">
        <f t="shared" si="30"/>
        <v>0</v>
      </c>
      <c r="O365" s="25">
        <f>VLOOKUP(M365,Listas!$D$249:$G$289,4,)</f>
        <v>0</v>
      </c>
      <c r="P365" s="25">
        <f>VLOOKUP(M365,Listas!$D$249:$I$289,6,)</f>
        <v>0</v>
      </c>
      <c r="Q365" s="2416">
        <f>Sanidade!H109</f>
        <v>0</v>
      </c>
      <c r="R365" s="2416">
        <f>Sanidade!I109</f>
        <v>0</v>
      </c>
      <c r="S365" s="2416">
        <f>Sanidade!J109</f>
        <v>0</v>
      </c>
      <c r="T365" s="2416">
        <f>Sanidade!K109</f>
        <v>0</v>
      </c>
      <c r="U365" s="2416">
        <f>Sanidade!L109</f>
        <v>0</v>
      </c>
      <c r="V365" s="2416">
        <f>Sanidade!M109</f>
        <v>0</v>
      </c>
      <c r="W365" s="2416">
        <f>Sanidade!N109</f>
        <v>1</v>
      </c>
      <c r="X365" s="2493">
        <f>Sanidade!O109</f>
        <v>1</v>
      </c>
      <c r="Y365" s="2415">
        <f>Sanidade!P109</f>
        <v>0</v>
      </c>
      <c r="Z365" s="2415">
        <f>Sanidade!Q109</f>
        <v>0</v>
      </c>
    </row>
    <row r="366" spans="1:52" x14ac:dyDescent="0.2">
      <c r="A366" s="2417"/>
      <c r="B366" s="25" t="s">
        <v>1959</v>
      </c>
      <c r="C366" s="25" t="str">
        <f t="shared" si="33"/>
        <v/>
      </c>
      <c r="D366" s="2418"/>
      <c r="E366" s="2417">
        <f t="shared" si="32"/>
        <v>0</v>
      </c>
      <c r="F366" s="2417">
        <f t="shared" si="31"/>
        <v>0</v>
      </c>
      <c r="G366" s="2417"/>
      <c r="H366" s="2416">
        <f t="shared" si="29"/>
        <v>0</v>
      </c>
      <c r="I366" s="2417"/>
      <c r="J366" s="2417"/>
      <c r="K366" s="2417">
        <f>VLOOKUP(M366,Listas!$D$249:$E$289,2,)</f>
        <v>0</v>
      </c>
      <c r="L366" s="2417"/>
      <c r="M366" s="2416">
        <f>VALUE(Sanidade!E110&amp;Sanidade!F110)</f>
        <v>11</v>
      </c>
      <c r="N366" s="25">
        <f t="shared" si="30"/>
        <v>0</v>
      </c>
      <c r="O366" s="25">
        <f>VLOOKUP(M366,Listas!$D$249:$G$289,4,)</f>
        <v>0</v>
      </c>
      <c r="P366" s="25">
        <f>VLOOKUP(M366,Listas!$D$249:$I$289,6,)</f>
        <v>0</v>
      </c>
      <c r="Q366" s="2416">
        <f>Sanidade!H110</f>
        <v>0</v>
      </c>
      <c r="R366" s="2416">
        <f>Sanidade!I110</f>
        <v>0</v>
      </c>
      <c r="S366" s="2416">
        <f>Sanidade!J110</f>
        <v>0</v>
      </c>
      <c r="T366" s="2416">
        <f>Sanidade!K110</f>
        <v>0</v>
      </c>
      <c r="U366" s="2416">
        <f>Sanidade!L110</f>
        <v>0</v>
      </c>
      <c r="V366" s="2416">
        <f>Sanidade!M110</f>
        <v>0</v>
      </c>
      <c r="W366" s="2416">
        <f>Sanidade!N110</f>
        <v>1</v>
      </c>
      <c r="X366" s="2493">
        <f>Sanidade!O110</f>
        <v>1</v>
      </c>
      <c r="Y366" s="2415">
        <f>Sanidade!P110</f>
        <v>0</v>
      </c>
      <c r="Z366" s="2415">
        <f>Sanidade!Q110</f>
        <v>0</v>
      </c>
    </row>
    <row r="367" spans="1:52" x14ac:dyDescent="0.2">
      <c r="A367" s="189"/>
      <c r="B367" s="189"/>
      <c r="C367" s="189" t="s">
        <v>1960</v>
      </c>
      <c r="D367" s="189"/>
      <c r="E367" s="189"/>
      <c r="F367" s="189"/>
      <c r="G367" s="189"/>
      <c r="H367" s="189"/>
      <c r="I367" s="189"/>
      <c r="J367" s="189"/>
      <c r="K367" s="2448"/>
      <c r="L367" s="2448"/>
      <c r="M367" s="2448"/>
      <c r="N367" s="2448"/>
      <c r="Q367" s="2448"/>
      <c r="R367" s="2448"/>
      <c r="S367" s="2448"/>
      <c r="T367" s="2448"/>
      <c r="U367" s="2448"/>
      <c r="V367" s="189"/>
      <c r="W367" s="189"/>
      <c r="X367" s="189" t="b">
        <f t="shared" ref="X367:X368" si="34">IF(O367=1,1,IF(O367=2,R367,IF(O367=3,R367*P367/W367)))</f>
        <v>0</v>
      </c>
      <c r="Y367" s="189"/>
      <c r="Z367" s="189"/>
      <c r="AA367" s="189"/>
      <c r="AB367" s="189"/>
      <c r="AC367" s="189"/>
      <c r="AD367" s="189"/>
      <c r="AE367" s="189"/>
      <c r="AF367" s="189"/>
      <c r="AG367" s="189"/>
      <c r="AH367" s="189"/>
      <c r="AI367" s="189"/>
      <c r="AJ367" s="189"/>
      <c r="AK367" s="189"/>
      <c r="AL367" s="189"/>
      <c r="AM367" s="189"/>
      <c r="AN367" s="189"/>
      <c r="AO367" s="189"/>
      <c r="AP367" s="189"/>
      <c r="AQ367" s="189"/>
      <c r="AR367" s="189"/>
      <c r="AS367" s="189"/>
      <c r="AT367" s="189"/>
      <c r="AU367" s="189"/>
      <c r="AV367" s="189"/>
      <c r="AW367" s="189"/>
      <c r="AX367" s="189"/>
      <c r="AY367" s="189"/>
      <c r="AZ367" s="189"/>
    </row>
    <row r="368" spans="1:52" x14ac:dyDescent="0.2">
      <c r="C368" s="25"/>
      <c r="E368" s="2414" t="s">
        <v>1466</v>
      </c>
      <c r="F368" s="2414" t="s">
        <v>1454</v>
      </c>
      <c r="G368" s="2414" t="s">
        <v>1455</v>
      </c>
      <c r="H368" s="2414" t="s">
        <v>1474</v>
      </c>
      <c r="I368" s="2414" t="s">
        <v>1465</v>
      </c>
      <c r="J368" s="2414" t="s">
        <v>1473</v>
      </c>
      <c r="K368" s="2414" t="s">
        <v>0</v>
      </c>
      <c r="L368" s="2414" t="s">
        <v>1035</v>
      </c>
      <c r="M368" s="2414" t="s">
        <v>1464</v>
      </c>
      <c r="N368" s="2414" t="s">
        <v>1472</v>
      </c>
      <c r="P368" s="2405" t="s">
        <v>1471</v>
      </c>
      <c r="Q368" s="2405"/>
      <c r="R368" s="2405"/>
      <c r="S368" s="2405"/>
      <c r="T368" s="2405"/>
      <c r="U368" s="2405"/>
      <c r="V368" s="2405"/>
      <c r="X368" s="25" t="b">
        <f t="shared" si="34"/>
        <v>0</v>
      </c>
    </row>
    <row r="369" spans="2:22" customFormat="1" x14ac:dyDescent="0.2">
      <c r="B369" s="2405" t="s">
        <v>1470</v>
      </c>
      <c r="C369" s="2405" t="s">
        <v>1795</v>
      </c>
      <c r="D369" s="2405" t="s">
        <v>1796</v>
      </c>
      <c r="E369" s="2405"/>
      <c r="F369" s="2405"/>
      <c r="G369" s="2405"/>
      <c r="H369" s="2405"/>
      <c r="I369" s="25"/>
      <c r="J369" s="25"/>
      <c r="K369" s="25"/>
      <c r="L369" s="25"/>
      <c r="M369" s="2405"/>
      <c r="N369" s="2405"/>
      <c r="O369" s="2405"/>
      <c r="P369" s="2405"/>
      <c r="Q369" s="2405"/>
      <c r="R369" s="2405"/>
      <c r="S369" s="2405"/>
      <c r="T369" s="2405"/>
      <c r="U369" s="2405"/>
      <c r="V369" s="2405"/>
    </row>
    <row r="370" spans="2:22" customFormat="1" x14ac:dyDescent="0.2">
      <c r="B370" s="25">
        <v>2</v>
      </c>
      <c r="C370" s="2405" t="str">
        <f t="shared" ref="C370:C399" si="35">VLOOKUP(B370,$A$177:$C$195,3,)</f>
        <v>1 58</v>
      </c>
      <c r="D370" s="2405" t="str">
        <f t="shared" ref="D370:D399" si="36">"REBAQUI"&amp;H370</f>
        <v>REBAQUI1 58</v>
      </c>
      <c r="E370" s="2405"/>
      <c r="F370" s="25">
        <f t="shared" ref="F370:F399" si="37">IF(G370=22,$E$1,0)</f>
        <v>0</v>
      </c>
      <c r="G370" s="2405">
        <f t="shared" ref="G370:G399" si="38">IF(K370=0,0,22)</f>
        <v>0</v>
      </c>
      <c r="H370" s="2405" t="str">
        <f t="shared" ref="H370:H400" si="39">C370</f>
        <v>1 58</v>
      </c>
      <c r="I370" s="25">
        <v>1</v>
      </c>
      <c r="J370" s="25" t="s">
        <v>1469</v>
      </c>
      <c r="K370" s="2413">
        <f>ROUND(Rebanho!E49,0)</f>
        <v>0</v>
      </c>
      <c r="L370" s="2412">
        <f t="shared" ref="L370:L388" si="40">L177</f>
        <v>396.75</v>
      </c>
      <c r="M370" s="2405"/>
      <c r="N370" s="2405"/>
      <c r="O370" s="2405"/>
      <c r="P370" s="2405"/>
      <c r="Q370" s="2405"/>
      <c r="R370" s="2405"/>
      <c r="S370" s="2405"/>
      <c r="T370" s="2405"/>
      <c r="U370" s="2405"/>
      <c r="V370" s="2405"/>
    </row>
    <row r="371" spans="2:22" customFormat="1" x14ac:dyDescent="0.2">
      <c r="B371" s="25">
        <v>3</v>
      </c>
      <c r="C371" s="2405" t="str">
        <f t="shared" si="35"/>
        <v>2 58</v>
      </c>
      <c r="D371" s="2405" t="str">
        <f t="shared" si="36"/>
        <v>REBAQUI2 58</v>
      </c>
      <c r="E371" s="2405"/>
      <c r="F371" s="25">
        <f t="shared" si="37"/>
        <v>58</v>
      </c>
      <c r="G371" s="2405">
        <f t="shared" si="38"/>
        <v>22</v>
      </c>
      <c r="H371" s="2405" t="str">
        <f t="shared" si="39"/>
        <v>2 58</v>
      </c>
      <c r="I371" s="25">
        <v>1</v>
      </c>
      <c r="J371" s="25" t="s">
        <v>1469</v>
      </c>
      <c r="K371" s="2413">
        <f>ROUND(Rebanho!E50,0)</f>
        <v>793</v>
      </c>
      <c r="L371" s="2412">
        <f t="shared" si="40"/>
        <v>824.16666666666663</v>
      </c>
      <c r="M371" s="2405"/>
      <c r="N371" s="2405"/>
      <c r="O371" s="2405"/>
      <c r="P371" s="2405"/>
      <c r="Q371" s="2405"/>
      <c r="R371" s="2405"/>
      <c r="S371" s="2405"/>
      <c r="T371" s="2405"/>
      <c r="U371" s="2405"/>
      <c r="V371" s="2405"/>
    </row>
    <row r="372" spans="2:22" customFormat="1" x14ac:dyDescent="0.2">
      <c r="B372" s="25">
        <v>4</v>
      </c>
      <c r="C372" s="2405" t="str">
        <f t="shared" si="35"/>
        <v>3 58</v>
      </c>
      <c r="D372" s="2405" t="str">
        <f t="shared" si="36"/>
        <v>REBAQUI3 58</v>
      </c>
      <c r="E372" s="2405"/>
      <c r="F372" s="25">
        <f t="shared" si="37"/>
        <v>58</v>
      </c>
      <c r="G372" s="2405">
        <f t="shared" si="38"/>
        <v>22</v>
      </c>
      <c r="H372" s="2405" t="str">
        <f t="shared" si="39"/>
        <v>3 58</v>
      </c>
      <c r="I372" s="25">
        <v>1</v>
      </c>
      <c r="J372" s="25" t="s">
        <v>1469</v>
      </c>
      <c r="K372" s="2413">
        <f>ROUND(Rebanho!E51,0)</f>
        <v>783</v>
      </c>
      <c r="L372" s="2412">
        <f t="shared" si="40"/>
        <v>1188.3333333333333</v>
      </c>
      <c r="M372" s="2405"/>
      <c r="N372" s="2405"/>
      <c r="O372" s="2405"/>
      <c r="P372" s="2405"/>
      <c r="Q372" s="2405"/>
      <c r="R372" s="2405"/>
      <c r="S372" s="2405"/>
      <c r="T372" s="2405"/>
      <c r="U372" s="2405"/>
      <c r="V372" s="2405"/>
    </row>
    <row r="373" spans="2:22" customFormat="1" x14ac:dyDescent="0.2">
      <c r="B373" s="25">
        <v>5</v>
      </c>
      <c r="C373" s="2405" t="str">
        <f t="shared" si="35"/>
        <v>4 58</v>
      </c>
      <c r="D373" s="2405" t="str">
        <f t="shared" si="36"/>
        <v>REBAQUI4 58</v>
      </c>
      <c r="E373" s="2405"/>
      <c r="F373" s="25">
        <f t="shared" si="37"/>
        <v>58</v>
      </c>
      <c r="G373" s="2405">
        <f t="shared" si="38"/>
        <v>22</v>
      </c>
      <c r="H373" s="2405" t="str">
        <f t="shared" si="39"/>
        <v>4 58</v>
      </c>
      <c r="I373" s="25">
        <v>1</v>
      </c>
      <c r="J373" s="25" t="s">
        <v>1469</v>
      </c>
      <c r="K373" s="2413">
        <f>ROUND(Rebanho!E52,0)</f>
        <v>772</v>
      </c>
      <c r="L373" s="2412">
        <f t="shared" si="40"/>
        <v>1623.4166666666667</v>
      </c>
      <c r="M373" s="2405"/>
      <c r="N373" s="2405"/>
      <c r="O373" s="2405"/>
      <c r="P373" s="2405"/>
      <c r="Q373" s="2405"/>
      <c r="R373" s="2405"/>
      <c r="S373" s="2405"/>
      <c r="T373" s="2405"/>
      <c r="U373" s="2405"/>
      <c r="V373" s="2405"/>
    </row>
    <row r="374" spans="2:22" customFormat="1" x14ac:dyDescent="0.2">
      <c r="B374" s="25">
        <v>6</v>
      </c>
      <c r="C374" s="2405" t="str">
        <f t="shared" si="35"/>
        <v>5 58</v>
      </c>
      <c r="D374" s="2405" t="str">
        <f t="shared" si="36"/>
        <v>REBAQUI5 58</v>
      </c>
      <c r="E374" s="2405"/>
      <c r="F374" s="25">
        <f t="shared" si="37"/>
        <v>58</v>
      </c>
      <c r="G374" s="2405">
        <f t="shared" si="38"/>
        <v>22</v>
      </c>
      <c r="H374" s="2405" t="str">
        <f t="shared" si="39"/>
        <v>5 58</v>
      </c>
      <c r="I374" s="25">
        <v>1</v>
      </c>
      <c r="J374" s="25" t="s">
        <v>1469</v>
      </c>
      <c r="K374" s="2413">
        <f>ROUND(Rebanho!E53,0)</f>
        <v>768</v>
      </c>
      <c r="L374" s="2412">
        <f t="shared" si="40"/>
        <v>115</v>
      </c>
      <c r="M374" s="2405"/>
      <c r="N374" s="2405"/>
      <c r="O374" s="2405"/>
      <c r="P374" s="2405"/>
      <c r="Q374" s="2405"/>
      <c r="R374" s="2405"/>
      <c r="S374" s="2405"/>
      <c r="T374" s="2405"/>
      <c r="U374" s="2405"/>
      <c r="V374" s="2405"/>
    </row>
    <row r="375" spans="2:22" customFormat="1" x14ac:dyDescent="0.2">
      <c r="B375" s="25">
        <v>7</v>
      </c>
      <c r="C375" s="2405" t="str">
        <f t="shared" si="35"/>
        <v/>
      </c>
      <c r="D375" s="2405" t="str">
        <f t="shared" si="36"/>
        <v>REBAQUI</v>
      </c>
      <c r="E375" s="2405"/>
      <c r="F375" s="25">
        <f t="shared" si="37"/>
        <v>0</v>
      </c>
      <c r="G375" s="2405">
        <f t="shared" si="38"/>
        <v>0</v>
      </c>
      <c r="H375" s="2405" t="str">
        <f t="shared" si="39"/>
        <v/>
      </c>
      <c r="I375" s="25">
        <v>1</v>
      </c>
      <c r="J375" s="25" t="s">
        <v>1469</v>
      </c>
      <c r="K375" s="2413">
        <f>ROUND(Rebanho!E54,0)</f>
        <v>0</v>
      </c>
      <c r="L375" s="2412">
        <f t="shared" si="40"/>
        <v>0</v>
      </c>
      <c r="M375" s="2405"/>
      <c r="N375" s="2405"/>
      <c r="O375" s="2405"/>
      <c r="P375" s="2405"/>
      <c r="Q375" s="2405"/>
      <c r="R375" s="2405"/>
      <c r="S375" s="2405"/>
      <c r="T375" s="2405"/>
      <c r="U375" s="2405"/>
      <c r="V375" s="2405"/>
    </row>
    <row r="376" spans="2:22" customFormat="1" x14ac:dyDescent="0.2">
      <c r="B376" s="25">
        <v>8</v>
      </c>
      <c r="C376" s="2405" t="str">
        <f t="shared" si="35"/>
        <v/>
      </c>
      <c r="D376" s="2405" t="str">
        <f t="shared" si="36"/>
        <v>REBAQUI</v>
      </c>
      <c r="E376" s="2405"/>
      <c r="F376" s="25">
        <f t="shared" si="37"/>
        <v>0</v>
      </c>
      <c r="G376" s="2405">
        <f t="shared" si="38"/>
        <v>0</v>
      </c>
      <c r="H376" s="2405" t="str">
        <f t="shared" si="39"/>
        <v/>
      </c>
      <c r="I376" s="25">
        <v>1</v>
      </c>
      <c r="J376" s="25" t="s">
        <v>1469</v>
      </c>
      <c r="K376" s="2413">
        <f>ROUND(Rebanho!E55,0)</f>
        <v>0</v>
      </c>
      <c r="L376" s="2412">
        <f t="shared" si="40"/>
        <v>0</v>
      </c>
      <c r="M376" s="2405"/>
      <c r="N376" s="2405"/>
      <c r="O376" s="2405"/>
      <c r="P376" s="2405"/>
      <c r="Q376" s="2405"/>
      <c r="R376" s="2405"/>
      <c r="S376" s="2405"/>
      <c r="T376" s="2405"/>
      <c r="U376" s="2405"/>
      <c r="V376" s="2405"/>
    </row>
    <row r="377" spans="2:22" customFormat="1" x14ac:dyDescent="0.2">
      <c r="B377" s="25">
        <v>9</v>
      </c>
      <c r="C377" s="2405" t="str">
        <f t="shared" si="35"/>
        <v/>
      </c>
      <c r="D377" s="2405" t="str">
        <f t="shared" si="36"/>
        <v>REBAQUI</v>
      </c>
      <c r="E377" s="2405"/>
      <c r="F377" s="25">
        <f t="shared" si="37"/>
        <v>0</v>
      </c>
      <c r="G377" s="2405">
        <f t="shared" si="38"/>
        <v>0</v>
      </c>
      <c r="H377" s="2405" t="str">
        <f t="shared" si="39"/>
        <v/>
      </c>
      <c r="I377" s="25">
        <v>1</v>
      </c>
      <c r="J377" s="25" t="s">
        <v>1469</v>
      </c>
      <c r="K377" s="2413">
        <f>ROUND(Rebanho!E56,0)</f>
        <v>0</v>
      </c>
      <c r="L377" s="2412">
        <f t="shared" si="40"/>
        <v>0</v>
      </c>
      <c r="M377" s="2405"/>
      <c r="N377" s="2405"/>
      <c r="O377" s="2405"/>
      <c r="P377" s="2405"/>
      <c r="Q377" s="2405"/>
      <c r="R377" s="2405"/>
      <c r="S377" s="2405"/>
      <c r="T377" s="2405"/>
      <c r="U377" s="2405"/>
      <c r="V377" s="2405"/>
    </row>
    <row r="378" spans="2:22" customFormat="1" x14ac:dyDescent="0.2">
      <c r="B378" s="25">
        <v>10</v>
      </c>
      <c r="C378" s="2405" t="str">
        <f t="shared" si="35"/>
        <v>9 58</v>
      </c>
      <c r="D378" s="2405" t="str">
        <f t="shared" si="36"/>
        <v>REBAQUI9 58</v>
      </c>
      <c r="E378" s="2405"/>
      <c r="F378" s="25">
        <f t="shared" si="37"/>
        <v>0</v>
      </c>
      <c r="G378" s="2405">
        <f t="shared" si="38"/>
        <v>0</v>
      </c>
      <c r="H378" s="2405" t="str">
        <f t="shared" si="39"/>
        <v>9 58</v>
      </c>
      <c r="I378" s="25">
        <v>1</v>
      </c>
      <c r="J378" s="25" t="s">
        <v>1469</v>
      </c>
      <c r="K378" s="2413">
        <f>ROUND(Rebanho!E57,0)</f>
        <v>0</v>
      </c>
      <c r="L378" s="2412">
        <f t="shared" si="40"/>
        <v>0</v>
      </c>
      <c r="M378" s="2405"/>
      <c r="N378" s="2405"/>
      <c r="O378" s="2405"/>
      <c r="P378" s="2405"/>
      <c r="Q378" s="2405"/>
      <c r="R378" s="2405"/>
      <c r="S378" s="2405"/>
      <c r="T378" s="2405"/>
      <c r="U378" s="2405"/>
      <c r="V378" s="2405"/>
    </row>
    <row r="379" spans="2:22" customFormat="1" x14ac:dyDescent="0.2">
      <c r="B379" s="25">
        <v>11</v>
      </c>
      <c r="C379" s="2405" t="str">
        <f t="shared" si="35"/>
        <v>10 58</v>
      </c>
      <c r="D379" s="2405" t="str">
        <f t="shared" si="36"/>
        <v>REBAQUI10 58</v>
      </c>
      <c r="E379" s="2405"/>
      <c r="F379" s="25">
        <f t="shared" si="37"/>
        <v>0</v>
      </c>
      <c r="G379" s="2405">
        <f t="shared" si="38"/>
        <v>0</v>
      </c>
      <c r="H379" s="2405" t="str">
        <f t="shared" si="39"/>
        <v>10 58</v>
      </c>
      <c r="I379" s="25">
        <v>1</v>
      </c>
      <c r="J379" s="25" t="s">
        <v>1469</v>
      </c>
      <c r="K379" s="2413">
        <f>ROUND(Rebanho!E58,0)</f>
        <v>0</v>
      </c>
      <c r="L379" s="2412">
        <f t="shared" si="40"/>
        <v>0</v>
      </c>
      <c r="M379" s="2405"/>
      <c r="N379" s="2405"/>
      <c r="O379" s="2405"/>
      <c r="P379" s="2405"/>
      <c r="Q379" s="2405"/>
      <c r="R379" s="2405"/>
      <c r="S379" s="2405"/>
      <c r="T379" s="2405"/>
      <c r="U379" s="2405"/>
      <c r="V379" s="2405"/>
    </row>
    <row r="380" spans="2:22" customFormat="1" x14ac:dyDescent="0.2">
      <c r="B380" s="25">
        <v>12</v>
      </c>
      <c r="C380" s="2405" t="str">
        <f t="shared" si="35"/>
        <v/>
      </c>
      <c r="D380" s="2405" t="str">
        <f t="shared" si="36"/>
        <v>REBAQUI</v>
      </c>
      <c r="E380" s="2405"/>
      <c r="F380" s="25">
        <f t="shared" si="37"/>
        <v>0</v>
      </c>
      <c r="G380" s="2405">
        <f t="shared" si="38"/>
        <v>0</v>
      </c>
      <c r="H380" s="2405" t="str">
        <f t="shared" si="39"/>
        <v/>
      </c>
      <c r="I380" s="25">
        <v>1</v>
      </c>
      <c r="J380" s="25" t="s">
        <v>1469</v>
      </c>
      <c r="K380" s="2413">
        <f>ROUND(Rebanho!E59,0)</f>
        <v>0</v>
      </c>
      <c r="L380" s="2412">
        <f t="shared" si="40"/>
        <v>0</v>
      </c>
      <c r="M380" s="2405"/>
      <c r="N380" s="2405"/>
      <c r="O380" s="2405"/>
      <c r="P380" s="2405"/>
      <c r="Q380" s="2405"/>
      <c r="R380" s="2405"/>
      <c r="S380" s="2405"/>
      <c r="T380" s="2405"/>
      <c r="U380" s="2405"/>
      <c r="V380" s="2405"/>
    </row>
    <row r="381" spans="2:22" customFormat="1" x14ac:dyDescent="0.2">
      <c r="B381" s="25">
        <v>13</v>
      </c>
      <c r="C381" s="2405" t="str">
        <f t="shared" si="35"/>
        <v/>
      </c>
      <c r="D381" s="2405" t="str">
        <f t="shared" si="36"/>
        <v>REBAQUI</v>
      </c>
      <c r="E381" s="2405"/>
      <c r="F381" s="25">
        <f t="shared" si="37"/>
        <v>0</v>
      </c>
      <c r="G381" s="2405">
        <f t="shared" si="38"/>
        <v>0</v>
      </c>
      <c r="H381" s="2405" t="str">
        <f t="shared" si="39"/>
        <v/>
      </c>
      <c r="I381" s="25">
        <v>1</v>
      </c>
      <c r="J381" s="25" t="s">
        <v>1469</v>
      </c>
      <c r="K381" s="2413">
        <f>ROUND(Rebanho!E60,0)</f>
        <v>0</v>
      </c>
      <c r="L381" s="2412">
        <f t="shared" si="40"/>
        <v>0</v>
      </c>
      <c r="M381" s="2405"/>
      <c r="N381" s="2405"/>
      <c r="O381" s="2405"/>
      <c r="P381" s="2405"/>
      <c r="Q381" s="2405"/>
      <c r="R381" s="2405"/>
      <c r="S381" s="2405"/>
      <c r="T381" s="2405"/>
      <c r="U381" s="2405"/>
      <c r="V381" s="2405"/>
    </row>
    <row r="382" spans="2:22" customFormat="1" x14ac:dyDescent="0.2">
      <c r="B382" s="25">
        <v>14</v>
      </c>
      <c r="C382" s="2405" t="str">
        <f t="shared" si="35"/>
        <v/>
      </c>
      <c r="D382" s="2405" t="str">
        <f t="shared" si="36"/>
        <v>REBAQUI</v>
      </c>
      <c r="E382" s="2405"/>
      <c r="F382" s="25">
        <f t="shared" si="37"/>
        <v>0</v>
      </c>
      <c r="G382" s="2405">
        <f t="shared" si="38"/>
        <v>0</v>
      </c>
      <c r="H382" s="2405" t="str">
        <f t="shared" si="39"/>
        <v/>
      </c>
      <c r="I382" s="25">
        <v>1</v>
      </c>
      <c r="J382" s="25" t="s">
        <v>1469</v>
      </c>
      <c r="K382" s="2413">
        <f>ROUND(Rebanho!E61,0)</f>
        <v>0</v>
      </c>
      <c r="L382" s="2412">
        <f t="shared" si="40"/>
        <v>0</v>
      </c>
      <c r="M382" s="2405"/>
      <c r="N382" s="2405"/>
      <c r="O382" s="2405"/>
      <c r="P382" s="2405"/>
      <c r="Q382" s="2405"/>
      <c r="R382" s="2405"/>
      <c r="S382" s="2405"/>
      <c r="T382" s="2405"/>
      <c r="U382" s="2405"/>
      <c r="V382" s="2405"/>
    </row>
    <row r="383" spans="2:22" customFormat="1" x14ac:dyDescent="0.2">
      <c r="B383" s="25">
        <v>15</v>
      </c>
      <c r="C383" s="2405" t="str">
        <f t="shared" si="35"/>
        <v/>
      </c>
      <c r="D383" s="2405" t="str">
        <f t="shared" si="36"/>
        <v>REBAQUI</v>
      </c>
      <c r="E383" s="2405"/>
      <c r="F383" s="25">
        <f t="shared" si="37"/>
        <v>0</v>
      </c>
      <c r="G383" s="2405">
        <f t="shared" si="38"/>
        <v>0</v>
      </c>
      <c r="H383" s="2405" t="str">
        <f t="shared" si="39"/>
        <v/>
      </c>
      <c r="I383" s="25">
        <v>1</v>
      </c>
      <c r="J383" s="25" t="s">
        <v>1469</v>
      </c>
      <c r="K383" s="2413">
        <f>ROUND(Rebanho!E62,0)</f>
        <v>0</v>
      </c>
      <c r="L383" s="2412">
        <f t="shared" si="40"/>
        <v>0</v>
      </c>
      <c r="M383" s="2405"/>
      <c r="N383" s="2405"/>
      <c r="O383" s="2405"/>
      <c r="P383" s="2405"/>
      <c r="Q383" s="2405"/>
      <c r="R383" s="2405"/>
      <c r="S383" s="2405"/>
      <c r="T383" s="2405"/>
      <c r="U383" s="2405"/>
      <c r="V383" s="2405"/>
    </row>
    <row r="384" spans="2:22" customFormat="1" x14ac:dyDescent="0.2">
      <c r="B384" s="25">
        <v>16</v>
      </c>
      <c r="C384" s="2405" t="str">
        <f t="shared" si="35"/>
        <v/>
      </c>
      <c r="D384" s="2405" t="str">
        <f t="shared" si="36"/>
        <v>REBAQUI</v>
      </c>
      <c r="E384" s="2405"/>
      <c r="F384" s="25">
        <f t="shared" si="37"/>
        <v>0</v>
      </c>
      <c r="G384" s="2405">
        <f t="shared" si="38"/>
        <v>0</v>
      </c>
      <c r="H384" s="2405" t="str">
        <f t="shared" si="39"/>
        <v/>
      </c>
      <c r="I384" s="25">
        <v>1</v>
      </c>
      <c r="J384" s="25" t="s">
        <v>1469</v>
      </c>
      <c r="K384" s="2413">
        <f>ROUND(Rebanho!E63,0)</f>
        <v>0</v>
      </c>
      <c r="L384" s="2412">
        <f t="shared" si="40"/>
        <v>0</v>
      </c>
      <c r="M384" s="2405"/>
      <c r="N384" s="2405"/>
      <c r="O384" s="2405"/>
      <c r="P384" s="2405"/>
      <c r="Q384" s="2405"/>
      <c r="R384" s="2405"/>
      <c r="S384" s="2405"/>
      <c r="T384" s="2405"/>
      <c r="U384" s="2405"/>
      <c r="V384" s="2405"/>
    </row>
    <row r="385" spans="1:24" customFormat="1" x14ac:dyDescent="0.2">
      <c r="A385" s="25"/>
      <c r="B385" s="25">
        <v>17</v>
      </c>
      <c r="C385" s="2405" t="str">
        <f t="shared" si="35"/>
        <v/>
      </c>
      <c r="D385" s="2405" t="str">
        <f t="shared" si="36"/>
        <v>REBAQUI</v>
      </c>
      <c r="E385" s="2405"/>
      <c r="F385" s="25">
        <f t="shared" si="37"/>
        <v>0</v>
      </c>
      <c r="G385" s="2405">
        <f t="shared" si="38"/>
        <v>0</v>
      </c>
      <c r="H385" s="2405" t="str">
        <f t="shared" si="39"/>
        <v/>
      </c>
      <c r="I385" s="25">
        <v>1</v>
      </c>
      <c r="J385" s="25" t="s">
        <v>1469</v>
      </c>
      <c r="K385" s="2413">
        <f>ROUND(Rebanho!E64,0)</f>
        <v>0</v>
      </c>
      <c r="L385" s="2412">
        <f t="shared" si="40"/>
        <v>0</v>
      </c>
      <c r="M385" s="2405"/>
      <c r="N385" s="2405"/>
      <c r="O385" s="2405"/>
      <c r="P385" s="2405"/>
      <c r="Q385" s="2405"/>
      <c r="R385" s="2405"/>
      <c r="S385" s="2405"/>
      <c r="T385" s="2405"/>
      <c r="U385" s="2405"/>
      <c r="V385" s="2405"/>
      <c r="W385" s="25"/>
      <c r="X385" s="25"/>
    </row>
    <row r="386" spans="1:24" customFormat="1" x14ac:dyDescent="0.2">
      <c r="A386" s="25"/>
      <c r="B386" s="25">
        <v>18</v>
      </c>
      <c r="C386" s="2405" t="str">
        <f t="shared" si="35"/>
        <v/>
      </c>
      <c r="D386" s="2405" t="str">
        <f t="shared" si="36"/>
        <v>REBAQUI</v>
      </c>
      <c r="E386" s="2405"/>
      <c r="F386" s="25">
        <f t="shared" si="37"/>
        <v>0</v>
      </c>
      <c r="G386" s="2405">
        <f t="shared" si="38"/>
        <v>0</v>
      </c>
      <c r="H386" s="2405" t="str">
        <f t="shared" si="39"/>
        <v/>
      </c>
      <c r="I386" s="25">
        <v>1</v>
      </c>
      <c r="J386" s="25" t="s">
        <v>1469</v>
      </c>
      <c r="K386" s="2413">
        <f>ROUND(Rebanho!E65,0)</f>
        <v>0</v>
      </c>
      <c r="L386" s="2412">
        <f t="shared" si="40"/>
        <v>0</v>
      </c>
      <c r="M386" s="2405"/>
      <c r="N386" s="2405"/>
      <c r="O386" s="2405"/>
      <c r="P386" s="2405"/>
      <c r="Q386" s="2405"/>
      <c r="R386" s="2405"/>
      <c r="S386" s="2405"/>
      <c r="T386" s="2405"/>
      <c r="U386" s="2405"/>
      <c r="V386" s="2405"/>
      <c r="W386" s="25"/>
      <c r="X386" s="25"/>
    </row>
    <row r="387" spans="1:24" customFormat="1" x14ac:dyDescent="0.2">
      <c r="A387" s="25"/>
      <c r="B387" s="25">
        <v>19</v>
      </c>
      <c r="C387" s="2405" t="str">
        <f t="shared" si="35"/>
        <v>18 58</v>
      </c>
      <c r="D387" s="2405" t="str">
        <f t="shared" si="36"/>
        <v>REBAQUI18 58</v>
      </c>
      <c r="E387" s="2405"/>
      <c r="F387" s="25">
        <f t="shared" si="37"/>
        <v>58</v>
      </c>
      <c r="G387" s="2405">
        <f t="shared" si="38"/>
        <v>22</v>
      </c>
      <c r="H387" s="2405" t="str">
        <f t="shared" si="39"/>
        <v>18 58</v>
      </c>
      <c r="I387" s="25">
        <v>1</v>
      </c>
      <c r="J387" s="25" t="s">
        <v>1469</v>
      </c>
      <c r="K387" s="2413">
        <f>ROUND(Rebanho!E70,0)</f>
        <v>8</v>
      </c>
      <c r="L387" s="2412">
        <f t="shared" si="40"/>
        <v>3000</v>
      </c>
      <c r="M387" s="2405"/>
      <c r="N387" s="2405"/>
      <c r="O387" s="2405"/>
      <c r="P387" s="2405"/>
      <c r="Q387" s="2405"/>
      <c r="R387" s="2405"/>
      <c r="S387" s="2405"/>
      <c r="T387" s="2405"/>
      <c r="U387" s="2405"/>
      <c r="V387" s="2405"/>
      <c r="W387" s="25"/>
      <c r="X387" s="25"/>
    </row>
    <row r="388" spans="1:24" customFormat="1" x14ac:dyDescent="0.2">
      <c r="A388" s="25"/>
      <c r="B388" s="25">
        <v>20</v>
      </c>
      <c r="C388" s="2405" t="str">
        <f t="shared" si="35"/>
        <v/>
      </c>
      <c r="D388" s="2405" t="str">
        <f t="shared" si="36"/>
        <v>REBAQUI</v>
      </c>
      <c r="E388" s="2405"/>
      <c r="F388" s="25">
        <f t="shared" si="37"/>
        <v>0</v>
      </c>
      <c r="G388" s="2405">
        <f t="shared" si="38"/>
        <v>0</v>
      </c>
      <c r="H388" s="2405" t="str">
        <f t="shared" si="39"/>
        <v/>
      </c>
      <c r="I388" s="25">
        <v>1</v>
      </c>
      <c r="J388" s="25" t="s">
        <v>1469</v>
      </c>
      <c r="K388" s="2413">
        <f>ROUND(Rebanho!E71,0)</f>
        <v>0</v>
      </c>
      <c r="L388" s="2412">
        <f t="shared" si="40"/>
        <v>0</v>
      </c>
      <c r="M388" s="2405"/>
      <c r="N388" s="2405"/>
      <c r="O388" s="2405"/>
      <c r="P388" s="2405"/>
      <c r="Q388" s="25"/>
      <c r="R388" s="2410" t="str">
        <f>Rebanho!C122</f>
        <v>Categoria</v>
      </c>
      <c r="S388" s="2494" t="str">
        <f>Rebanho!D122</f>
        <v>Unidade</v>
      </c>
      <c r="T388" s="2494" t="str">
        <f>Rebanho!E122</f>
        <v>Valor/unidade</v>
      </c>
      <c r="U388" s="2494" t="str">
        <f>Rebanho!F122</f>
        <v>Categoria</v>
      </c>
      <c r="V388" s="2410" t="s">
        <v>1443</v>
      </c>
      <c r="W388" s="2410" t="str">
        <f>Rebanho!G122</f>
        <v>Valor Total</v>
      </c>
      <c r="X388" s="25"/>
    </row>
    <row r="389" spans="1:24" customFormat="1" x14ac:dyDescent="0.2">
      <c r="A389" s="25">
        <v>2</v>
      </c>
      <c r="B389" s="2409">
        <f>Rebanho!C109</f>
        <v>3</v>
      </c>
      <c r="C389" s="2405" t="str">
        <f t="shared" si="35"/>
        <v>2 58</v>
      </c>
      <c r="D389" s="2405" t="str">
        <f t="shared" si="36"/>
        <v>REBAQUI2 58</v>
      </c>
      <c r="E389" s="2405"/>
      <c r="F389" s="25">
        <f t="shared" si="37"/>
        <v>58</v>
      </c>
      <c r="G389" s="2405">
        <f t="shared" si="38"/>
        <v>22</v>
      </c>
      <c r="H389" s="2405" t="str">
        <f t="shared" si="39"/>
        <v>2 58</v>
      </c>
      <c r="I389" s="25">
        <v>2</v>
      </c>
      <c r="J389" s="25" t="s">
        <v>1468</v>
      </c>
      <c r="K389" s="2413">
        <f>ROUND(Rebanho!D109,0)</f>
        <v>800</v>
      </c>
      <c r="L389" s="2412">
        <f>Rebanho!F109</f>
        <v>1100</v>
      </c>
      <c r="M389" s="2405"/>
      <c r="N389" s="2405" t="e">
        <f>ROUND(IF(OR(Q389=3,Q389=5),VLOOKUP(B389,$V$394:$W$397,2,FALSE),""),0)</f>
        <v>#VALUE!</v>
      </c>
      <c r="O389" s="2405"/>
      <c r="P389" s="2410" t="str">
        <f t="shared" ref="P389:P397" si="41">IFERROR(VLOOKUP(B389,$V$389:$X$392,3,),"")</f>
        <v/>
      </c>
      <c r="Q389" s="2410" t="str">
        <f t="shared" ref="Q389:Q397" si="42">IFERROR(VLOOKUP(B389,$V$394:$X$397,3,),"")</f>
        <v/>
      </c>
      <c r="R389" s="2410">
        <f>IF(OR(Rebanho!C123=2,Rebanho!C123=4),Rebanho!C123,0)</f>
        <v>0</v>
      </c>
      <c r="S389" s="2410">
        <f>IF(R389=0,0,Rebanho!D123)</f>
        <v>0</v>
      </c>
      <c r="T389" s="2410">
        <f>IF(S389=0,0,Rebanho!E123)</f>
        <v>0</v>
      </c>
      <c r="U389" s="2410">
        <f>IF(T389=0,0,Rebanho!F123)</f>
        <v>0</v>
      </c>
      <c r="V389" s="25" t="e">
        <f>VLOOKUP(U389,$A$389:$B$397,2,)</f>
        <v>#N/A</v>
      </c>
      <c r="W389" s="2410">
        <f>ROUND(IF(U389=0,0,Rebanho!G123),0)</f>
        <v>0</v>
      </c>
      <c r="X389" s="25">
        <f>R389</f>
        <v>0</v>
      </c>
    </row>
    <row r="390" spans="1:24" customFormat="1" x14ac:dyDescent="0.2">
      <c r="A390" s="25">
        <v>3</v>
      </c>
      <c r="B390" s="2409">
        <f>Rebanho!C110</f>
        <v>1</v>
      </c>
      <c r="C390" s="2405" t="e">
        <f t="shared" si="35"/>
        <v>#N/A</v>
      </c>
      <c r="D390" s="2405" t="e">
        <f t="shared" si="36"/>
        <v>#N/A</v>
      </c>
      <c r="E390" s="2405"/>
      <c r="F390" s="25">
        <f t="shared" si="37"/>
        <v>0</v>
      </c>
      <c r="G390" s="2405">
        <f t="shared" si="38"/>
        <v>0</v>
      </c>
      <c r="H390" s="2405" t="e">
        <f t="shared" si="39"/>
        <v>#N/A</v>
      </c>
      <c r="I390" s="25">
        <v>2</v>
      </c>
      <c r="J390" s="25" t="s">
        <v>1468</v>
      </c>
      <c r="K390" s="2413">
        <f>ROUND(Rebanho!D110,0)</f>
        <v>0</v>
      </c>
      <c r="L390" s="2412">
        <f>Rebanho!F110</f>
        <v>0</v>
      </c>
      <c r="M390" s="2405"/>
      <c r="N390" s="2405" t="str">
        <f t="shared" ref="N390:N397" si="43">IF(OR(Q390=3,Q390=5),VLOOKUP(B390,$V$394:$W$397,2,FALSE),"")</f>
        <v/>
      </c>
      <c r="O390" s="2405"/>
      <c r="P390" s="2410" t="str">
        <f t="shared" si="41"/>
        <v/>
      </c>
      <c r="Q390" s="2410" t="str">
        <f t="shared" si="42"/>
        <v/>
      </c>
      <c r="R390" s="2410">
        <f>IF(OR(Rebanho!C124=2,Rebanho!C124=4),Rebanho!C124,0)</f>
        <v>0</v>
      </c>
      <c r="S390" s="2410">
        <f>IF(R390=0,0,Rebanho!D124)</f>
        <v>0</v>
      </c>
      <c r="T390" s="2410">
        <f>IF(S390=0,0,Rebanho!E124)</f>
        <v>0</v>
      </c>
      <c r="U390" s="2410">
        <f>IF(T390=0,0,Rebanho!F124)</f>
        <v>0</v>
      </c>
      <c r="V390" s="25" t="e">
        <f>VLOOKUP(U390,$A$389:$B$397,2,)</f>
        <v>#N/A</v>
      </c>
      <c r="W390" s="2410">
        <f>ROUND(IF(U390=0,0,Rebanho!G124),0)</f>
        <v>0</v>
      </c>
      <c r="X390" s="25">
        <f>R390</f>
        <v>0</v>
      </c>
    </row>
    <row r="391" spans="1:24" customFormat="1" x14ac:dyDescent="0.2">
      <c r="A391" s="25">
        <v>4</v>
      </c>
      <c r="B391" s="2409">
        <f>Rebanho!C111</f>
        <v>1</v>
      </c>
      <c r="C391" s="2405" t="e">
        <f t="shared" si="35"/>
        <v>#N/A</v>
      </c>
      <c r="D391" s="2405" t="e">
        <f t="shared" si="36"/>
        <v>#N/A</v>
      </c>
      <c r="E391" s="2405"/>
      <c r="F391" s="25">
        <f t="shared" si="37"/>
        <v>0</v>
      </c>
      <c r="G391" s="2405">
        <f t="shared" si="38"/>
        <v>0</v>
      </c>
      <c r="H391" s="2405" t="e">
        <f t="shared" si="39"/>
        <v>#N/A</v>
      </c>
      <c r="I391" s="25">
        <v>2</v>
      </c>
      <c r="J391" s="25" t="s">
        <v>1468</v>
      </c>
      <c r="K391" s="2413">
        <f>ROUND(Rebanho!D111,0)</f>
        <v>0</v>
      </c>
      <c r="L391" s="2412">
        <f>Rebanho!F111</f>
        <v>0</v>
      </c>
      <c r="M391" s="2405"/>
      <c r="N391" s="2405" t="str">
        <f t="shared" si="43"/>
        <v/>
      </c>
      <c r="O391" s="2405"/>
      <c r="P391" s="2410" t="str">
        <f t="shared" si="41"/>
        <v/>
      </c>
      <c r="Q391" s="2410" t="str">
        <f t="shared" si="42"/>
        <v/>
      </c>
      <c r="R391" s="2410">
        <f>IF(OR(Rebanho!C125=2,Rebanho!C125=4),Rebanho!C125,0)</f>
        <v>0</v>
      </c>
      <c r="S391" s="2410">
        <f>IF(R391=0,0,Rebanho!D125)</f>
        <v>0</v>
      </c>
      <c r="T391" s="2410">
        <f>IF(S391=0,0,Rebanho!E125)</f>
        <v>0</v>
      </c>
      <c r="U391" s="2410">
        <f>IF(T391=0,0,Rebanho!F125)</f>
        <v>0</v>
      </c>
      <c r="V391" s="25" t="e">
        <f>VLOOKUP(U391,$A$389:$B$397,2,)</f>
        <v>#N/A</v>
      </c>
      <c r="W391" s="2410">
        <f>ROUND(IF(U391=0,0,Rebanho!G125),0)</f>
        <v>0</v>
      </c>
      <c r="X391" s="25">
        <f>R391</f>
        <v>0</v>
      </c>
    </row>
    <row r="392" spans="1:24" customFormat="1" x14ac:dyDescent="0.2">
      <c r="A392" s="25">
        <v>5</v>
      </c>
      <c r="B392" s="2409">
        <f>Rebanho!C112</f>
        <v>1</v>
      </c>
      <c r="C392" s="2405" t="e">
        <f t="shared" si="35"/>
        <v>#N/A</v>
      </c>
      <c r="D392" s="2405" t="e">
        <f t="shared" si="36"/>
        <v>#N/A</v>
      </c>
      <c r="E392" s="2405"/>
      <c r="F392" s="25">
        <f t="shared" si="37"/>
        <v>0</v>
      </c>
      <c r="G392" s="2405">
        <f t="shared" si="38"/>
        <v>0</v>
      </c>
      <c r="H392" s="2405" t="e">
        <f t="shared" si="39"/>
        <v>#N/A</v>
      </c>
      <c r="I392" s="25">
        <v>2</v>
      </c>
      <c r="J392" s="25" t="s">
        <v>1468</v>
      </c>
      <c r="K392" s="2413">
        <f>ROUND(Rebanho!D112,0)</f>
        <v>0</v>
      </c>
      <c r="L392" s="2412">
        <f>Rebanho!F112</f>
        <v>0</v>
      </c>
      <c r="M392" s="2405"/>
      <c r="N392" s="2405" t="str">
        <f t="shared" si="43"/>
        <v/>
      </c>
      <c r="O392" s="2405"/>
      <c r="P392" s="2410" t="str">
        <f t="shared" si="41"/>
        <v/>
      </c>
      <c r="Q392" s="2410" t="str">
        <f t="shared" si="42"/>
        <v/>
      </c>
      <c r="R392" s="2410">
        <f>IF(OR(Rebanho!C126=2,Rebanho!C126=4),Rebanho!C126,0)</f>
        <v>0</v>
      </c>
      <c r="S392" s="2410">
        <f>IF(R392=0,0,Rebanho!D126)</f>
        <v>0</v>
      </c>
      <c r="T392" s="2410">
        <f>IF(S392=0,0,Rebanho!E126)</f>
        <v>0</v>
      </c>
      <c r="U392" s="2410">
        <f>IF(T392=0,0,Rebanho!F126)</f>
        <v>0</v>
      </c>
      <c r="V392" s="25" t="e">
        <f>VLOOKUP(U392,$A$389:$B$397,2,)</f>
        <v>#N/A</v>
      </c>
      <c r="W392" s="2410">
        <f>ROUND(IF(U392=0,0,Rebanho!G126),0)</f>
        <v>0</v>
      </c>
      <c r="X392" s="25">
        <f>R392</f>
        <v>0</v>
      </c>
    </row>
    <row r="393" spans="1:24" customFormat="1" x14ac:dyDescent="0.2">
      <c r="A393" s="25">
        <v>6</v>
      </c>
      <c r="B393" s="2409">
        <f>Rebanho!C113</f>
        <v>1</v>
      </c>
      <c r="C393" s="2405" t="e">
        <f t="shared" si="35"/>
        <v>#N/A</v>
      </c>
      <c r="D393" s="2405" t="e">
        <f t="shared" si="36"/>
        <v>#N/A</v>
      </c>
      <c r="E393" s="2405"/>
      <c r="F393" s="25">
        <f t="shared" si="37"/>
        <v>0</v>
      </c>
      <c r="G393" s="2405">
        <f t="shared" si="38"/>
        <v>0</v>
      </c>
      <c r="H393" s="2405" t="e">
        <f t="shared" si="39"/>
        <v>#N/A</v>
      </c>
      <c r="I393" s="25">
        <v>2</v>
      </c>
      <c r="J393" s="25" t="s">
        <v>1468</v>
      </c>
      <c r="K393" s="2413">
        <f>ROUND(Rebanho!D113,0)</f>
        <v>0</v>
      </c>
      <c r="L393" s="2412">
        <f>Rebanho!F113</f>
        <v>0</v>
      </c>
      <c r="M393" s="2405"/>
      <c r="N393" s="2405" t="str">
        <f t="shared" si="43"/>
        <v/>
      </c>
      <c r="O393" s="2405"/>
      <c r="P393" s="2410" t="str">
        <f t="shared" si="41"/>
        <v/>
      </c>
      <c r="Q393" s="2410" t="str">
        <f t="shared" si="42"/>
        <v/>
      </c>
      <c r="R393" s="2410"/>
      <c r="S393" s="2410"/>
      <c r="T393" s="2410"/>
      <c r="U393" s="25"/>
      <c r="V393" s="25"/>
      <c r="W393" s="25"/>
      <c r="X393" s="25"/>
    </row>
    <row r="394" spans="1:24" customFormat="1" x14ac:dyDescent="0.2">
      <c r="A394" s="25">
        <v>7</v>
      </c>
      <c r="B394" s="2409">
        <f>Rebanho!C114</f>
        <v>1</v>
      </c>
      <c r="C394" s="2405" t="e">
        <f t="shared" si="35"/>
        <v>#N/A</v>
      </c>
      <c r="D394" s="2405" t="e">
        <f t="shared" si="36"/>
        <v>#N/A</v>
      </c>
      <c r="E394" s="2405"/>
      <c r="F394" s="25">
        <f t="shared" si="37"/>
        <v>0</v>
      </c>
      <c r="G394" s="2405">
        <f t="shared" si="38"/>
        <v>0</v>
      </c>
      <c r="H394" s="2405" t="e">
        <f t="shared" si="39"/>
        <v>#N/A</v>
      </c>
      <c r="I394" s="25">
        <v>2</v>
      </c>
      <c r="J394" s="25" t="s">
        <v>1468</v>
      </c>
      <c r="K394" s="2413">
        <f>ROUND(Rebanho!D114,0)</f>
        <v>0</v>
      </c>
      <c r="L394" s="2412">
        <f>Rebanho!F114</f>
        <v>0</v>
      </c>
      <c r="M394" s="2405"/>
      <c r="N394" s="2405" t="str">
        <f t="shared" si="43"/>
        <v/>
      </c>
      <c r="O394" s="2405"/>
      <c r="P394" s="2410" t="str">
        <f t="shared" si="41"/>
        <v/>
      </c>
      <c r="Q394" s="2410" t="str">
        <f t="shared" si="42"/>
        <v/>
      </c>
      <c r="R394" s="2410">
        <f>IF(OR(Rebanho!C123=3,Rebanho!C123=5),Rebanho!C123,0)</f>
        <v>0</v>
      </c>
      <c r="S394" s="2410">
        <f>IF(R394=0,0,Rebanho!D123)</f>
        <v>0</v>
      </c>
      <c r="T394" s="2410">
        <f>IF(S394=0,0,Rebanho!E123)</f>
        <v>0</v>
      </c>
      <c r="U394" s="2410">
        <f>IF(T394=0,0,Rebanho!F123)</f>
        <v>0</v>
      </c>
      <c r="V394" s="25" t="e">
        <f>VLOOKUP(U394,$A$389:$B$397,2,)</f>
        <v>#N/A</v>
      </c>
      <c r="W394" s="2410">
        <f>ROUND(IF(U394=0,0,Rebanho!G123),0)</f>
        <v>0</v>
      </c>
      <c r="X394" s="25">
        <f>R394</f>
        <v>0</v>
      </c>
    </row>
    <row r="395" spans="1:24" customFormat="1" x14ac:dyDescent="0.2">
      <c r="A395" s="25">
        <v>8</v>
      </c>
      <c r="B395" s="2409">
        <f>Rebanho!C115</f>
        <v>1</v>
      </c>
      <c r="C395" s="2405" t="e">
        <f t="shared" si="35"/>
        <v>#N/A</v>
      </c>
      <c r="D395" s="2405" t="e">
        <f t="shared" si="36"/>
        <v>#N/A</v>
      </c>
      <c r="E395" s="2405"/>
      <c r="F395" s="25">
        <f t="shared" si="37"/>
        <v>0</v>
      </c>
      <c r="G395" s="2405">
        <f t="shared" si="38"/>
        <v>0</v>
      </c>
      <c r="H395" s="2405" t="e">
        <f t="shared" si="39"/>
        <v>#N/A</v>
      </c>
      <c r="I395" s="25">
        <v>2</v>
      </c>
      <c r="J395" s="25" t="s">
        <v>1468</v>
      </c>
      <c r="K395" s="2413">
        <f>ROUND(Rebanho!D115,0)</f>
        <v>0</v>
      </c>
      <c r="L395" s="2412">
        <f>Rebanho!F115</f>
        <v>0</v>
      </c>
      <c r="M395" s="2405"/>
      <c r="N395" s="2405" t="str">
        <f t="shared" si="43"/>
        <v/>
      </c>
      <c r="O395" s="2405"/>
      <c r="P395" s="2410" t="str">
        <f t="shared" si="41"/>
        <v/>
      </c>
      <c r="Q395" s="2410" t="str">
        <f t="shared" si="42"/>
        <v/>
      </c>
      <c r="R395" s="2410">
        <f>IF(OR(Rebanho!C124=3,Rebanho!C124=5),Rebanho!C124,0)</f>
        <v>0</v>
      </c>
      <c r="S395" s="2410">
        <f>IF(R395=0,0,Rebanho!D124)</f>
        <v>0</v>
      </c>
      <c r="T395" s="2410">
        <f>IF(S395=0,0,Rebanho!E124)</f>
        <v>0</v>
      </c>
      <c r="U395" s="2410">
        <f>IF(T395=0,0,Rebanho!F124)</f>
        <v>0</v>
      </c>
      <c r="V395" s="25" t="e">
        <f>VLOOKUP(U395,$A$389:$B$397,2,)</f>
        <v>#N/A</v>
      </c>
      <c r="W395" s="2410">
        <f>ROUND(IF(U395=0,0,Rebanho!G124),0)</f>
        <v>0</v>
      </c>
      <c r="X395" s="25">
        <f>R395</f>
        <v>0</v>
      </c>
    </row>
    <row r="396" spans="1:24" customFormat="1" x14ac:dyDescent="0.2">
      <c r="A396" s="25">
        <v>9</v>
      </c>
      <c r="B396" s="2409">
        <f>Rebanho!C116</f>
        <v>1</v>
      </c>
      <c r="C396" s="2405" t="e">
        <f t="shared" si="35"/>
        <v>#N/A</v>
      </c>
      <c r="D396" s="2405" t="e">
        <f t="shared" si="36"/>
        <v>#N/A</v>
      </c>
      <c r="E396" s="2405"/>
      <c r="F396" s="25">
        <f t="shared" si="37"/>
        <v>0</v>
      </c>
      <c r="G396" s="2405">
        <f t="shared" si="38"/>
        <v>0</v>
      </c>
      <c r="H396" s="2405" t="e">
        <f t="shared" si="39"/>
        <v>#N/A</v>
      </c>
      <c r="I396" s="25">
        <v>2</v>
      </c>
      <c r="J396" s="25" t="s">
        <v>1468</v>
      </c>
      <c r="K396" s="2413">
        <f>ROUND(Rebanho!D116,0)</f>
        <v>0</v>
      </c>
      <c r="L396" s="2412">
        <f>Rebanho!F116</f>
        <v>0</v>
      </c>
      <c r="M396" s="2405"/>
      <c r="N396" s="2405" t="str">
        <f t="shared" si="43"/>
        <v/>
      </c>
      <c r="O396" s="2405"/>
      <c r="P396" s="2410" t="str">
        <f t="shared" si="41"/>
        <v/>
      </c>
      <c r="Q396" s="2410" t="str">
        <f t="shared" si="42"/>
        <v/>
      </c>
      <c r="R396" s="2410">
        <f>IF(OR(Rebanho!C125=3,Rebanho!C125=5),Rebanho!C125,0)</f>
        <v>0</v>
      </c>
      <c r="S396" s="2410">
        <f>IF(R396=0,0,Rebanho!D125)</f>
        <v>0</v>
      </c>
      <c r="T396" s="2410">
        <f>IF(S396=0,0,Rebanho!E125)</f>
        <v>0</v>
      </c>
      <c r="U396" s="2410">
        <f>IF(T396=0,0,Rebanho!F125)</f>
        <v>0</v>
      </c>
      <c r="V396" s="25" t="e">
        <f>VLOOKUP(U396,$A$389:$B$397,2,)</f>
        <v>#N/A</v>
      </c>
      <c r="W396" s="2410">
        <f>ROUND(IF(U396=0,0,Rebanho!G125),0)</f>
        <v>0</v>
      </c>
      <c r="X396" s="25">
        <f>R396</f>
        <v>0</v>
      </c>
    </row>
    <row r="397" spans="1:24" customFormat="1" x14ac:dyDescent="0.2">
      <c r="A397" s="25">
        <v>10</v>
      </c>
      <c r="B397" s="2409">
        <f>Rebanho!C117</f>
        <v>1</v>
      </c>
      <c r="C397" s="2405" t="e">
        <f t="shared" si="35"/>
        <v>#N/A</v>
      </c>
      <c r="D397" s="2405" t="e">
        <f t="shared" si="36"/>
        <v>#N/A</v>
      </c>
      <c r="E397" s="2405"/>
      <c r="F397" s="25">
        <f t="shared" si="37"/>
        <v>0</v>
      </c>
      <c r="G397" s="2405">
        <f t="shared" si="38"/>
        <v>0</v>
      </c>
      <c r="H397" s="2405" t="e">
        <f t="shared" si="39"/>
        <v>#N/A</v>
      </c>
      <c r="I397" s="25">
        <v>2</v>
      </c>
      <c r="J397" s="25" t="s">
        <v>1468</v>
      </c>
      <c r="K397" s="2413">
        <f>ROUND(Rebanho!D117,0)</f>
        <v>0</v>
      </c>
      <c r="L397" s="2412">
        <f>Rebanho!F117</f>
        <v>0</v>
      </c>
      <c r="M397" s="2405"/>
      <c r="N397" s="2405" t="str">
        <f t="shared" si="43"/>
        <v/>
      </c>
      <c r="O397" s="2405"/>
      <c r="P397" s="2410" t="str">
        <f t="shared" si="41"/>
        <v/>
      </c>
      <c r="Q397" s="2410" t="str">
        <f t="shared" si="42"/>
        <v/>
      </c>
      <c r="R397" s="2410">
        <f>IF(OR(Rebanho!C126=3,Rebanho!C126=5),Rebanho!C126,0)</f>
        <v>0</v>
      </c>
      <c r="S397" s="2410">
        <f>IF(R397=0,0,Rebanho!D126)</f>
        <v>0</v>
      </c>
      <c r="T397" s="2410">
        <f>IF(S397=0,0,Rebanho!E126)</f>
        <v>0</v>
      </c>
      <c r="U397" s="2410">
        <f>IF(T397=0,0,Rebanho!F126)</f>
        <v>0</v>
      </c>
      <c r="V397" s="25" t="e">
        <f>VLOOKUP(U397,$A$389:$B$397,2,)</f>
        <v>#N/A</v>
      </c>
      <c r="W397" s="2410">
        <f>ROUND(IF(U397=0,0,Rebanho!G126),0)</f>
        <v>0</v>
      </c>
      <c r="X397" s="25">
        <f>R397</f>
        <v>0</v>
      </c>
    </row>
    <row r="398" spans="1:24" customFormat="1" x14ac:dyDescent="0.2">
      <c r="A398" s="25">
        <v>11</v>
      </c>
      <c r="B398" s="25">
        <v>19</v>
      </c>
      <c r="C398" s="2405" t="str">
        <f t="shared" si="35"/>
        <v>18 58</v>
      </c>
      <c r="D398" s="2405" t="str">
        <f t="shared" si="36"/>
        <v>REBAQUI18 58</v>
      </c>
      <c r="E398" s="2405"/>
      <c r="F398" s="25">
        <f t="shared" si="37"/>
        <v>58</v>
      </c>
      <c r="G398" s="2405">
        <f t="shared" si="38"/>
        <v>22</v>
      </c>
      <c r="H398" s="2405" t="str">
        <f t="shared" si="39"/>
        <v>18 58</v>
      </c>
      <c r="I398" s="25">
        <v>0</v>
      </c>
      <c r="J398" s="25" t="s">
        <v>1468</v>
      </c>
      <c r="K398" s="25">
        <f>ROUND(Rebanho!E70/Rebanho!I70,2)</f>
        <v>0.67</v>
      </c>
      <c r="L398" s="25"/>
      <c r="M398" s="2405"/>
      <c r="N398" s="2405"/>
      <c r="O398" s="2405"/>
      <c r="P398" s="2410"/>
      <c r="Q398" s="2410"/>
      <c r="R398" s="2410"/>
      <c r="S398" s="2410"/>
      <c r="T398" s="2410"/>
      <c r="U398" s="2410"/>
      <c r="V398" s="2410"/>
      <c r="W398" s="2410"/>
      <c r="X398" s="25"/>
    </row>
    <row r="399" spans="1:24" customFormat="1" x14ac:dyDescent="0.2">
      <c r="A399" s="25">
        <v>12</v>
      </c>
      <c r="B399" s="25">
        <v>20</v>
      </c>
      <c r="C399" s="2405" t="str">
        <f t="shared" si="35"/>
        <v/>
      </c>
      <c r="D399" s="2405" t="str">
        <f t="shared" si="36"/>
        <v>REBAQUI</v>
      </c>
      <c r="E399" s="2405"/>
      <c r="F399" s="25" t="e">
        <f t="shared" si="37"/>
        <v>#DIV/0!</v>
      </c>
      <c r="G399" s="2405" t="e">
        <f t="shared" si="38"/>
        <v>#DIV/0!</v>
      </c>
      <c r="H399" s="2405" t="str">
        <f t="shared" si="39"/>
        <v/>
      </c>
      <c r="I399" s="25">
        <v>0</v>
      </c>
      <c r="J399" s="25" t="s">
        <v>1468</v>
      </c>
      <c r="K399" s="25" t="e">
        <f>ROUND(Rebanho!E71/Rebanho!I71,2)</f>
        <v>#DIV/0!</v>
      </c>
      <c r="L399" s="25"/>
      <c r="M399" s="2405"/>
      <c r="N399" s="2405"/>
      <c r="O399" s="2405"/>
      <c r="P399" s="2410"/>
      <c r="Q399" s="2410"/>
      <c r="R399" s="2410"/>
      <c r="S399" s="2410"/>
      <c r="T399" s="2410"/>
      <c r="U399" s="2410"/>
      <c r="V399" s="2410"/>
      <c r="W399" s="2410"/>
      <c r="X399" s="25"/>
    </row>
    <row r="400" spans="1:24" customFormat="1" x14ac:dyDescent="0.2">
      <c r="A400" s="25"/>
      <c r="B400" s="25"/>
      <c r="C400" s="2405"/>
      <c r="D400" s="2405"/>
      <c r="E400" s="2405"/>
      <c r="F400" s="25"/>
      <c r="G400" s="2405"/>
      <c r="H400" s="2405">
        <f t="shared" si="39"/>
        <v>0</v>
      </c>
      <c r="I400" s="25"/>
      <c r="J400" s="25"/>
      <c r="K400" s="25"/>
      <c r="L400" s="2405">
        <v>7</v>
      </c>
      <c r="M400" s="25"/>
      <c r="N400" s="2405"/>
      <c r="O400" s="2405"/>
      <c r="P400" s="2410"/>
      <c r="Q400" s="2410"/>
      <c r="R400" s="2410"/>
      <c r="S400" s="2410"/>
      <c r="T400" s="2410"/>
      <c r="U400" s="2410"/>
      <c r="V400" s="2410"/>
      <c r="W400" s="2410"/>
      <c r="X400" s="25"/>
    </row>
    <row r="401" spans="1:29" customFormat="1" x14ac:dyDescent="0.2">
      <c r="A401" s="2409"/>
      <c r="B401" s="25"/>
      <c r="C401" s="2405"/>
      <c r="D401" s="2405"/>
      <c r="E401" s="2405"/>
      <c r="F401" s="2405"/>
      <c r="G401" s="2405">
        <f>C401</f>
        <v>0</v>
      </c>
      <c r="H401" s="25"/>
      <c r="I401" s="25"/>
      <c r="J401" s="25"/>
      <c r="K401" s="25"/>
      <c r="L401" s="2405">
        <v>2</v>
      </c>
      <c r="M401" s="2405">
        <v>9</v>
      </c>
      <c r="N401" s="2405"/>
      <c r="O401" s="2410"/>
      <c r="P401" s="2410">
        <v>3</v>
      </c>
      <c r="Q401" s="2410">
        <v>4</v>
      </c>
      <c r="R401" s="2410"/>
      <c r="S401" s="2410"/>
      <c r="T401" s="2410"/>
      <c r="U401" s="2410"/>
      <c r="V401" s="25"/>
      <c r="W401" s="25"/>
      <c r="X401" s="25"/>
      <c r="Y401" s="25"/>
      <c r="Z401" s="2406"/>
      <c r="AA401" s="25"/>
      <c r="AB401" s="25"/>
      <c r="AC401" s="25"/>
    </row>
    <row r="402" spans="1:29" customFormat="1" x14ac:dyDescent="0.2">
      <c r="A402" s="2409"/>
      <c r="B402" s="25"/>
      <c r="C402" s="2405"/>
      <c r="D402" s="2411" t="s">
        <v>1467</v>
      </c>
      <c r="E402" s="2411" t="s">
        <v>1454</v>
      </c>
      <c r="F402" s="2411" t="s">
        <v>1455</v>
      </c>
      <c r="G402" s="2411" t="s">
        <v>1466</v>
      </c>
      <c r="H402" s="2411" t="s">
        <v>1465</v>
      </c>
      <c r="I402" s="2411" t="s">
        <v>1035</v>
      </c>
      <c r="J402" s="2411" t="s">
        <v>1464</v>
      </c>
      <c r="K402" s="2411" t="s">
        <v>1463</v>
      </c>
      <c r="L402" s="2411" t="s">
        <v>1462</v>
      </c>
      <c r="M402" s="2411" t="s">
        <v>1461</v>
      </c>
      <c r="N402" s="2411" t="s">
        <v>1460</v>
      </c>
      <c r="O402" s="2411"/>
      <c r="P402" s="2411" t="s">
        <v>1459</v>
      </c>
      <c r="Q402" s="2411" t="s">
        <v>1458</v>
      </c>
      <c r="R402" s="2405" t="s">
        <v>1457</v>
      </c>
      <c r="S402" s="25"/>
      <c r="T402" s="25"/>
      <c r="U402" s="25"/>
      <c r="V402" s="25"/>
      <c r="W402" s="2406" t="str">
        <f>Rebanho!C94</f>
        <v>Imposto</v>
      </c>
      <c r="X402" s="2406" t="str">
        <f>Rebanho!D94</f>
        <v>Unidade</v>
      </c>
      <c r="Y402" s="2406" t="str">
        <f>Rebanho!E94</f>
        <v>Valor/unidade</v>
      </c>
      <c r="Z402" s="2406" t="str">
        <f>Rebanho!F94</f>
        <v>Categoria</v>
      </c>
      <c r="AA402" s="2406" t="str">
        <f>Rebanho!G94</f>
        <v>Valor total</v>
      </c>
      <c r="AB402" s="2406" t="s">
        <v>15</v>
      </c>
      <c r="AC402" s="25" t="s">
        <v>1443</v>
      </c>
    </row>
    <row r="403" spans="1:29" customFormat="1" x14ac:dyDescent="0.2">
      <c r="A403" s="2409">
        <v>2</v>
      </c>
      <c r="B403" s="2409">
        <f>Rebanho!C79</f>
        <v>6</v>
      </c>
      <c r="C403" s="2405" t="str">
        <f t="shared" ref="C403:C413" si="44">VLOOKUP(B403,$B$370:$D$388,3,)</f>
        <v>REBAQUI5 58</v>
      </c>
      <c r="D403" s="2405"/>
      <c r="E403" s="25">
        <f t="shared" ref="E403:E413" si="45">IF(F403=22,$E$1,0)</f>
        <v>58</v>
      </c>
      <c r="F403" s="2405">
        <f t="shared" ref="F403:F413" si="46">IF(I403=0,0,22)</f>
        <v>22</v>
      </c>
      <c r="G403" s="2405"/>
      <c r="H403" s="25">
        <v>12</v>
      </c>
      <c r="I403" s="25">
        <f>Rebanho!F79*(Rebanho!E79*Rebanho!H79/15)</f>
        <v>2272.4</v>
      </c>
      <c r="J403" s="25"/>
      <c r="K403" s="25"/>
      <c r="L403" s="2406">
        <f t="shared" ref="L403:L413" si="47">SUMIFS($AA$403:$AA$411,$AC$403:$AC$411,B403,$W$403:$W$411,$L$400)+SUMIFS($AA$403:$AA$411,$AC$403:$AC$411,B403,$W$403:$W$411,$L$401)</f>
        <v>0</v>
      </c>
      <c r="M403" s="2405">
        <f t="shared" ref="M403:M413" si="48">SUMIFS($AA$403:$AA$411,$AC$403:$AC$411,$B403,$W$403:$W$411,M$401)</f>
        <v>0</v>
      </c>
      <c r="N403" s="2405">
        <f>ROUND(Rebanho!D79,0)</f>
        <v>768</v>
      </c>
      <c r="O403" s="2410"/>
      <c r="P403" s="2405">
        <f t="shared" ref="P403:Q413" si="49">SUMIFS($AA$403:$AA$411,$AC$403:$AC$411,$B403,$W$403:$W$411,P$401)</f>
        <v>25359.09</v>
      </c>
      <c r="Q403" s="2405">
        <f t="shared" si="49"/>
        <v>0</v>
      </c>
      <c r="R403" s="2405"/>
      <c r="S403" s="25"/>
      <c r="T403" s="25"/>
      <c r="U403" s="25"/>
      <c r="V403" s="2409"/>
      <c r="W403" s="2406">
        <f>Rebanho!C95</f>
        <v>3</v>
      </c>
      <c r="X403" s="2406" t="str">
        <f>Rebanho!D95</f>
        <v>por cab.</v>
      </c>
      <c r="Y403" s="2406">
        <f>Rebanho!E95</f>
        <v>33</v>
      </c>
      <c r="Z403" s="2406">
        <f>Rebanho!F95</f>
        <v>2</v>
      </c>
      <c r="AA403" s="2406">
        <f>ROUND(Rebanho!G95,2)</f>
        <v>25359.09</v>
      </c>
      <c r="AB403" s="2409">
        <f t="shared" ref="AB403:AB411" si="50">AA403</f>
        <v>25359.09</v>
      </c>
      <c r="AC403" s="2406">
        <f t="shared" ref="AC403:AC411" si="51">VLOOKUP(Z403,$A$403:$B$413,2,)</f>
        <v>6</v>
      </c>
    </row>
    <row r="404" spans="1:29" customFormat="1" x14ac:dyDescent="0.2">
      <c r="A404" s="2409">
        <v>3</v>
      </c>
      <c r="B404" s="2409">
        <f>Rebanho!C80</f>
        <v>1</v>
      </c>
      <c r="C404" s="2405" t="e">
        <f t="shared" si="44"/>
        <v>#N/A</v>
      </c>
      <c r="D404" s="2405"/>
      <c r="E404" s="25">
        <f t="shared" si="45"/>
        <v>0</v>
      </c>
      <c r="F404" s="2405">
        <f t="shared" si="46"/>
        <v>0</v>
      </c>
      <c r="G404" s="2405"/>
      <c r="H404" s="25">
        <v>12</v>
      </c>
      <c r="I404" s="25">
        <f>Rebanho!F80*(Rebanho!E80*Rebanho!H80/15)</f>
        <v>0</v>
      </c>
      <c r="J404" s="25"/>
      <c r="K404" s="25"/>
      <c r="L404" s="2406">
        <f t="shared" si="47"/>
        <v>0</v>
      </c>
      <c r="M404" s="2405">
        <f t="shared" si="48"/>
        <v>0</v>
      </c>
      <c r="N404" s="2405">
        <f>ROUND(Rebanho!D80,0)</f>
        <v>0</v>
      </c>
      <c r="O404" s="2405"/>
      <c r="P404" s="2405">
        <f t="shared" si="49"/>
        <v>0</v>
      </c>
      <c r="Q404" s="2405">
        <f t="shared" si="49"/>
        <v>0</v>
      </c>
      <c r="R404" s="2405"/>
      <c r="S404" s="25"/>
      <c r="T404" s="25"/>
      <c r="U404" s="25"/>
      <c r="V404" s="2409"/>
      <c r="W404" s="2406">
        <f>Rebanho!C96</f>
        <v>1</v>
      </c>
      <c r="X404" s="2406">
        <f>Rebanho!D96</f>
        <v>0</v>
      </c>
      <c r="Y404" s="2406">
        <f>Rebanho!E96</f>
        <v>0</v>
      </c>
      <c r="Z404" s="2406">
        <f>Rebanho!F96</f>
        <v>1</v>
      </c>
      <c r="AA404" s="2406">
        <f>ROUND(Rebanho!G96,2)</f>
        <v>0</v>
      </c>
      <c r="AB404" s="2409">
        <f t="shared" si="50"/>
        <v>0</v>
      </c>
      <c r="AC404" s="2406" t="e">
        <f t="shared" si="51"/>
        <v>#N/A</v>
      </c>
    </row>
    <row r="405" spans="1:29" customFormat="1" x14ac:dyDescent="0.2">
      <c r="A405" s="25">
        <v>4</v>
      </c>
      <c r="B405" s="2409">
        <f>Rebanho!C81</f>
        <v>1</v>
      </c>
      <c r="C405" s="2405" t="e">
        <f t="shared" si="44"/>
        <v>#N/A</v>
      </c>
      <c r="D405" s="2405"/>
      <c r="E405" s="25">
        <f t="shared" si="45"/>
        <v>0</v>
      </c>
      <c r="F405" s="2405">
        <f t="shared" si="46"/>
        <v>0</v>
      </c>
      <c r="G405" s="2405"/>
      <c r="H405" s="25">
        <v>12</v>
      </c>
      <c r="I405" s="25">
        <f>Rebanho!F81*(Rebanho!E81*Rebanho!H81/15)</f>
        <v>0</v>
      </c>
      <c r="J405" s="25"/>
      <c r="K405" s="25"/>
      <c r="L405" s="2406">
        <f t="shared" si="47"/>
        <v>0</v>
      </c>
      <c r="M405" s="2405">
        <f t="shared" si="48"/>
        <v>0</v>
      </c>
      <c r="N405" s="2405">
        <f>ROUND(Rebanho!D81,0)</f>
        <v>0</v>
      </c>
      <c r="O405" s="2405"/>
      <c r="P405" s="2405">
        <f t="shared" si="49"/>
        <v>0</v>
      </c>
      <c r="Q405" s="2405">
        <f t="shared" si="49"/>
        <v>0</v>
      </c>
      <c r="R405" s="2405"/>
      <c r="S405" s="25"/>
      <c r="T405" s="25"/>
      <c r="U405" s="25"/>
      <c r="V405" s="2409"/>
      <c r="W405" s="2406">
        <f>Rebanho!C97</f>
        <v>1</v>
      </c>
      <c r="X405" s="2406">
        <f>Rebanho!D97</f>
        <v>0</v>
      </c>
      <c r="Y405" s="2406">
        <f>Rebanho!E97</f>
        <v>0</v>
      </c>
      <c r="Z405" s="2406">
        <f>Rebanho!F97</f>
        <v>1</v>
      </c>
      <c r="AA405" s="2406">
        <f>ROUND(Rebanho!G97,2)</f>
        <v>0</v>
      </c>
      <c r="AB405" s="2409">
        <f t="shared" si="50"/>
        <v>0</v>
      </c>
      <c r="AC405" s="2406" t="e">
        <f t="shared" si="51"/>
        <v>#N/A</v>
      </c>
    </row>
    <row r="406" spans="1:29" customFormat="1" x14ac:dyDescent="0.2">
      <c r="A406" s="25">
        <v>5</v>
      </c>
      <c r="B406" s="2409">
        <f>Rebanho!C82</f>
        <v>1</v>
      </c>
      <c r="C406" s="2405" t="e">
        <f t="shared" si="44"/>
        <v>#N/A</v>
      </c>
      <c r="D406" s="2405"/>
      <c r="E406" s="25">
        <f t="shared" si="45"/>
        <v>0</v>
      </c>
      <c r="F406" s="2405">
        <f t="shared" si="46"/>
        <v>0</v>
      </c>
      <c r="G406" s="2405"/>
      <c r="H406" s="25">
        <v>12</v>
      </c>
      <c r="I406" s="25">
        <f>Rebanho!F82*(Rebanho!E82*Rebanho!H82/15)</f>
        <v>0</v>
      </c>
      <c r="J406" s="25"/>
      <c r="K406" s="25"/>
      <c r="L406" s="2406">
        <f t="shared" si="47"/>
        <v>0</v>
      </c>
      <c r="M406" s="2405">
        <f t="shared" si="48"/>
        <v>0</v>
      </c>
      <c r="N406" s="2405">
        <f>ROUND(Rebanho!D82,0)</f>
        <v>0</v>
      </c>
      <c r="O406" s="2405"/>
      <c r="P406" s="2405">
        <f t="shared" si="49"/>
        <v>0</v>
      </c>
      <c r="Q406" s="2405">
        <f t="shared" si="49"/>
        <v>0</v>
      </c>
      <c r="R406" s="2405"/>
      <c r="S406" s="25"/>
      <c r="T406" s="25"/>
      <c r="U406" s="25"/>
      <c r="V406" s="2409"/>
      <c r="W406" s="2406">
        <f>Rebanho!C98</f>
        <v>1</v>
      </c>
      <c r="X406" s="2406">
        <f>Rebanho!D98</f>
        <v>0</v>
      </c>
      <c r="Y406" s="2406">
        <f>Rebanho!E98</f>
        <v>0</v>
      </c>
      <c r="Z406" s="2406">
        <f>Rebanho!F98</f>
        <v>1</v>
      </c>
      <c r="AA406" s="2406">
        <f>ROUND(Rebanho!G98,2)</f>
        <v>0</v>
      </c>
      <c r="AB406" s="2409">
        <f t="shared" si="50"/>
        <v>0</v>
      </c>
      <c r="AC406" s="2406" t="e">
        <f t="shared" si="51"/>
        <v>#N/A</v>
      </c>
    </row>
    <row r="407" spans="1:29" customFormat="1" x14ac:dyDescent="0.2">
      <c r="A407" s="25">
        <v>6</v>
      </c>
      <c r="B407" s="2409">
        <f>Rebanho!C83</f>
        <v>1</v>
      </c>
      <c r="C407" s="2405" t="e">
        <f t="shared" si="44"/>
        <v>#N/A</v>
      </c>
      <c r="D407" s="2405"/>
      <c r="E407" s="25">
        <f t="shared" si="45"/>
        <v>0</v>
      </c>
      <c r="F407" s="2405">
        <f t="shared" si="46"/>
        <v>0</v>
      </c>
      <c r="G407" s="2405"/>
      <c r="H407" s="25">
        <v>12</v>
      </c>
      <c r="I407" s="25">
        <f>Rebanho!F83*(Rebanho!E83*Rebanho!H83/15)</f>
        <v>0</v>
      </c>
      <c r="J407" s="25"/>
      <c r="K407" s="25"/>
      <c r="L407" s="2406">
        <f t="shared" si="47"/>
        <v>0</v>
      </c>
      <c r="M407" s="2405">
        <f t="shared" si="48"/>
        <v>0</v>
      </c>
      <c r="N407" s="2405">
        <f>ROUND(Rebanho!D83,0)</f>
        <v>0</v>
      </c>
      <c r="O407" s="2405"/>
      <c r="P407" s="2405">
        <f t="shared" si="49"/>
        <v>0</v>
      </c>
      <c r="Q407" s="2405">
        <f t="shared" si="49"/>
        <v>0</v>
      </c>
      <c r="R407" s="2405"/>
      <c r="S407" s="25"/>
      <c r="T407" s="25"/>
      <c r="U407" s="25"/>
      <c r="V407" s="2409"/>
      <c r="W407" s="2406">
        <f>Rebanho!C99</f>
        <v>1</v>
      </c>
      <c r="X407" s="2406">
        <f>Rebanho!D99</f>
        <v>0</v>
      </c>
      <c r="Y407" s="2406">
        <f>Rebanho!E99</f>
        <v>0</v>
      </c>
      <c r="Z407" s="2406">
        <f>Rebanho!F99</f>
        <v>0</v>
      </c>
      <c r="AA407" s="2406">
        <f>ROUND(Rebanho!G99,2)</f>
        <v>0</v>
      </c>
      <c r="AB407" s="2409">
        <f t="shared" si="50"/>
        <v>0</v>
      </c>
      <c r="AC407" s="2406" t="e">
        <f t="shared" si="51"/>
        <v>#N/A</v>
      </c>
    </row>
    <row r="408" spans="1:29" customFormat="1" x14ac:dyDescent="0.2">
      <c r="A408" s="25">
        <v>7</v>
      </c>
      <c r="B408" s="2409">
        <f>Rebanho!C84</f>
        <v>1</v>
      </c>
      <c r="C408" s="2405" t="e">
        <f t="shared" si="44"/>
        <v>#N/A</v>
      </c>
      <c r="D408" s="2405"/>
      <c r="E408" s="25">
        <f>IF(F408=22,$E$1,0)</f>
        <v>0</v>
      </c>
      <c r="F408" s="2405">
        <f t="shared" si="46"/>
        <v>0</v>
      </c>
      <c r="G408" s="2405"/>
      <c r="H408" s="25">
        <v>12</v>
      </c>
      <c r="I408" s="25">
        <f>Rebanho!F84*(Rebanho!E84*Rebanho!H84/15)</f>
        <v>0</v>
      </c>
      <c r="J408" s="25"/>
      <c r="K408" s="25"/>
      <c r="L408" s="2406">
        <f t="shared" si="47"/>
        <v>0</v>
      </c>
      <c r="M408" s="2405">
        <f t="shared" si="48"/>
        <v>0</v>
      </c>
      <c r="N408" s="2405">
        <f>ROUND(Rebanho!D84,0)</f>
        <v>0</v>
      </c>
      <c r="O408" s="2405"/>
      <c r="P408" s="2405">
        <f t="shared" si="49"/>
        <v>0</v>
      </c>
      <c r="Q408" s="2405">
        <f t="shared" si="49"/>
        <v>0</v>
      </c>
      <c r="R408" s="2405"/>
      <c r="S408" s="25"/>
      <c r="T408" s="25"/>
      <c r="U408" s="25"/>
      <c r="V408" s="2409"/>
      <c r="W408" s="2406">
        <f>Rebanho!C100</f>
        <v>1</v>
      </c>
      <c r="X408" s="2406">
        <f>Rebanho!D100</f>
        <v>0</v>
      </c>
      <c r="Y408" s="2406">
        <f>Rebanho!E100</f>
        <v>0</v>
      </c>
      <c r="Z408" s="2406">
        <f>Rebanho!F100</f>
        <v>0</v>
      </c>
      <c r="AA408" s="2406">
        <f>ROUND(Rebanho!G100,2)</f>
        <v>0</v>
      </c>
      <c r="AB408" s="2409">
        <f t="shared" si="50"/>
        <v>0</v>
      </c>
      <c r="AC408" s="2406" t="e">
        <f t="shared" si="51"/>
        <v>#N/A</v>
      </c>
    </row>
    <row r="409" spans="1:29" customFormat="1" x14ac:dyDescent="0.2">
      <c r="A409" s="25">
        <v>8</v>
      </c>
      <c r="B409" s="2409">
        <f>Rebanho!C85</f>
        <v>1</v>
      </c>
      <c r="C409" s="2405" t="e">
        <f t="shared" si="44"/>
        <v>#N/A</v>
      </c>
      <c r="D409" s="2405"/>
      <c r="E409" s="25">
        <f t="shared" si="45"/>
        <v>0</v>
      </c>
      <c r="F409" s="2405">
        <f t="shared" si="46"/>
        <v>0</v>
      </c>
      <c r="G409" s="2405"/>
      <c r="H409" s="25">
        <v>12</v>
      </c>
      <c r="I409" s="25">
        <f>Rebanho!F85*(Rebanho!E85*Rebanho!H85/15)</f>
        <v>0</v>
      </c>
      <c r="J409" s="25"/>
      <c r="K409" s="25"/>
      <c r="L409" s="2406">
        <f t="shared" si="47"/>
        <v>0</v>
      </c>
      <c r="M409" s="2405">
        <f t="shared" si="48"/>
        <v>0</v>
      </c>
      <c r="N409" s="2405">
        <f>ROUND(Rebanho!D85,0)</f>
        <v>0</v>
      </c>
      <c r="O409" s="2405"/>
      <c r="P409" s="2405">
        <f t="shared" si="49"/>
        <v>0</v>
      </c>
      <c r="Q409" s="2405">
        <f t="shared" si="49"/>
        <v>0</v>
      </c>
      <c r="R409" s="2405"/>
      <c r="S409" s="25"/>
      <c r="T409" s="25"/>
      <c r="U409" s="25"/>
      <c r="V409" s="2409"/>
      <c r="W409" s="2406">
        <f>Rebanho!C101</f>
        <v>1</v>
      </c>
      <c r="X409" s="2406">
        <f>Rebanho!D101</f>
        <v>0</v>
      </c>
      <c r="Y409" s="2406">
        <f>Rebanho!E101</f>
        <v>0</v>
      </c>
      <c r="Z409" s="2406">
        <f>Rebanho!F101</f>
        <v>0</v>
      </c>
      <c r="AA409" s="2406">
        <f>ROUND(Rebanho!G101,2)</f>
        <v>0</v>
      </c>
      <c r="AB409" s="2409">
        <f t="shared" si="50"/>
        <v>0</v>
      </c>
      <c r="AC409" s="2406" t="e">
        <f t="shared" si="51"/>
        <v>#N/A</v>
      </c>
    </row>
    <row r="410" spans="1:29" customFormat="1" x14ac:dyDescent="0.2">
      <c r="A410" s="25">
        <v>9</v>
      </c>
      <c r="B410" s="2409">
        <f>Rebanho!C86</f>
        <v>1</v>
      </c>
      <c r="C410" s="2405" t="e">
        <f t="shared" si="44"/>
        <v>#N/A</v>
      </c>
      <c r="D410" s="2405"/>
      <c r="E410" s="25">
        <f t="shared" si="45"/>
        <v>0</v>
      </c>
      <c r="F410" s="2405">
        <f t="shared" si="46"/>
        <v>0</v>
      </c>
      <c r="G410" s="2405"/>
      <c r="H410" s="25">
        <v>12</v>
      </c>
      <c r="I410" s="25">
        <f>Rebanho!F86*(Rebanho!E86*Rebanho!H86/15)</f>
        <v>0</v>
      </c>
      <c r="J410" s="25"/>
      <c r="K410" s="25"/>
      <c r="L410" s="2406">
        <f t="shared" si="47"/>
        <v>0</v>
      </c>
      <c r="M410" s="2405">
        <f t="shared" si="48"/>
        <v>0</v>
      </c>
      <c r="N410" s="2405">
        <f>ROUND(Rebanho!D86,0)</f>
        <v>0</v>
      </c>
      <c r="O410" s="2405"/>
      <c r="P410" s="2405">
        <f t="shared" si="49"/>
        <v>0</v>
      </c>
      <c r="Q410" s="2405">
        <f t="shared" si="49"/>
        <v>0</v>
      </c>
      <c r="R410" s="2405"/>
      <c r="S410" s="25"/>
      <c r="T410" s="25"/>
      <c r="U410" s="25"/>
      <c r="V410" s="2409"/>
      <c r="W410" s="2406">
        <f>Rebanho!C102</f>
        <v>1</v>
      </c>
      <c r="X410" s="2406">
        <f>Rebanho!D102</f>
        <v>0</v>
      </c>
      <c r="Y410" s="2406">
        <f>Rebanho!E102</f>
        <v>0</v>
      </c>
      <c r="Z410" s="2406">
        <f>Rebanho!F102</f>
        <v>0</v>
      </c>
      <c r="AA410" s="2406">
        <f>ROUND(Rebanho!G102,2)</f>
        <v>0</v>
      </c>
      <c r="AB410" s="2409">
        <f t="shared" si="50"/>
        <v>0</v>
      </c>
      <c r="AC410" s="2406" t="e">
        <f t="shared" si="51"/>
        <v>#N/A</v>
      </c>
    </row>
    <row r="411" spans="1:29" customFormat="1" x14ac:dyDescent="0.2">
      <c r="A411" s="25">
        <v>10</v>
      </c>
      <c r="B411" s="2409">
        <f>Rebanho!C87</f>
        <v>1</v>
      </c>
      <c r="C411" s="2405" t="e">
        <f t="shared" si="44"/>
        <v>#N/A</v>
      </c>
      <c r="D411" s="2405"/>
      <c r="E411" s="25">
        <f t="shared" si="45"/>
        <v>0</v>
      </c>
      <c r="F411" s="2405">
        <f t="shared" si="46"/>
        <v>0</v>
      </c>
      <c r="G411" s="2405"/>
      <c r="H411" s="25">
        <v>12</v>
      </c>
      <c r="I411" s="25">
        <f>Rebanho!F87*(Rebanho!E87*Rebanho!H87/15)</f>
        <v>0</v>
      </c>
      <c r="J411" s="25"/>
      <c r="K411" s="25"/>
      <c r="L411" s="2406">
        <f t="shared" si="47"/>
        <v>0</v>
      </c>
      <c r="M411" s="2405">
        <f t="shared" si="48"/>
        <v>0</v>
      </c>
      <c r="N411" s="2405">
        <f>ROUND(Rebanho!D87,0)</f>
        <v>0</v>
      </c>
      <c r="O411" s="2405"/>
      <c r="P411" s="2405">
        <f t="shared" si="49"/>
        <v>0</v>
      </c>
      <c r="Q411" s="2405">
        <f t="shared" si="49"/>
        <v>0</v>
      </c>
      <c r="R411" s="2405"/>
      <c r="S411" s="25"/>
      <c r="T411" s="25"/>
      <c r="U411" s="25"/>
      <c r="V411" s="2409"/>
      <c r="W411" s="2406">
        <f>Rebanho!C103</f>
        <v>1</v>
      </c>
      <c r="X411" s="2406">
        <f>Rebanho!D103</f>
        <v>0</v>
      </c>
      <c r="Y411" s="2406">
        <f>Rebanho!E103</f>
        <v>0</v>
      </c>
      <c r="Z411" s="2406">
        <f>Rebanho!F103</f>
        <v>0</v>
      </c>
      <c r="AA411" s="2406">
        <f>ROUND(Rebanho!G103,2)</f>
        <v>0</v>
      </c>
      <c r="AB411" s="2409">
        <f t="shared" si="50"/>
        <v>0</v>
      </c>
      <c r="AC411" s="2406" t="e">
        <f t="shared" si="51"/>
        <v>#N/A</v>
      </c>
    </row>
    <row r="412" spans="1:29" customFormat="1" x14ac:dyDescent="0.2">
      <c r="A412" s="25">
        <v>11</v>
      </c>
      <c r="B412" s="2409">
        <f>Rebanho!C88</f>
        <v>7</v>
      </c>
      <c r="C412" s="2405" t="str">
        <f t="shared" si="44"/>
        <v>REBAQUI</v>
      </c>
      <c r="D412" s="2405"/>
      <c r="E412" s="25">
        <f t="shared" si="45"/>
        <v>0</v>
      </c>
      <c r="F412" s="2405">
        <f t="shared" si="46"/>
        <v>0</v>
      </c>
      <c r="G412" s="2405"/>
      <c r="H412" s="25">
        <v>12</v>
      </c>
      <c r="I412" s="25">
        <f>Rebanho!F88*(Rebanho!E88*Rebanho!H88/15)</f>
        <v>0</v>
      </c>
      <c r="J412" s="25"/>
      <c r="K412" s="25"/>
      <c r="L412" s="2406">
        <f t="shared" si="47"/>
        <v>0</v>
      </c>
      <c r="M412" s="2405">
        <f t="shared" si="48"/>
        <v>0</v>
      </c>
      <c r="N412" s="2405">
        <f>ROUND(Rebanho!D88,0)</f>
        <v>0</v>
      </c>
      <c r="O412" s="2405"/>
      <c r="P412" s="2405">
        <f t="shared" si="49"/>
        <v>0</v>
      </c>
      <c r="Q412" s="2405">
        <f t="shared" si="49"/>
        <v>0</v>
      </c>
      <c r="R412" s="2405"/>
      <c r="S412" s="2406"/>
      <c r="T412" s="2405"/>
      <c r="U412" s="2405"/>
      <c r="V412" s="25"/>
      <c r="W412" s="25"/>
      <c r="X412" s="2406"/>
      <c r="Y412" s="25"/>
      <c r="Z412" s="2406"/>
      <c r="AA412" s="25"/>
      <c r="AB412" s="25"/>
      <c r="AC412" s="25"/>
    </row>
    <row r="413" spans="1:29" customFormat="1" x14ac:dyDescent="0.2">
      <c r="A413" s="25">
        <v>12</v>
      </c>
      <c r="B413" s="2409">
        <f>Rebanho!C89</f>
        <v>14</v>
      </c>
      <c r="C413" s="2405" t="str">
        <f t="shared" si="44"/>
        <v>REBAQUI</v>
      </c>
      <c r="D413" s="2405"/>
      <c r="E413" s="25">
        <f t="shared" si="45"/>
        <v>0</v>
      </c>
      <c r="F413" s="2405">
        <f t="shared" si="46"/>
        <v>0</v>
      </c>
      <c r="G413" s="2405"/>
      <c r="H413" s="25">
        <v>12</v>
      </c>
      <c r="I413" s="25">
        <f>Rebanho!F89*(Rebanho!E89*Rebanho!H89/15)</f>
        <v>0</v>
      </c>
      <c r="J413" s="25"/>
      <c r="K413" s="25"/>
      <c r="L413" s="2406">
        <f t="shared" si="47"/>
        <v>0</v>
      </c>
      <c r="M413" s="2405">
        <f t="shared" si="48"/>
        <v>0</v>
      </c>
      <c r="N413" s="2405">
        <f>ROUND(Rebanho!D89,0)</f>
        <v>0</v>
      </c>
      <c r="O413" s="2405"/>
      <c r="P413" s="2405">
        <f t="shared" si="49"/>
        <v>0</v>
      </c>
      <c r="Q413" s="2405">
        <f t="shared" si="49"/>
        <v>0</v>
      </c>
      <c r="R413" s="2405"/>
      <c r="S413" s="2406"/>
      <c r="T413" s="2405"/>
      <c r="U413" s="2405"/>
      <c r="V413" s="25"/>
      <c r="W413" s="25"/>
      <c r="X413" s="2406"/>
      <c r="Y413" s="25"/>
      <c r="Z413" s="2406"/>
      <c r="AA413" s="25"/>
      <c r="AB413" s="25"/>
      <c r="AC413" s="25"/>
    </row>
    <row r="414" spans="1:29" customFormat="1" x14ac:dyDescent="0.2">
      <c r="A414" s="25"/>
      <c r="B414" s="2409"/>
      <c r="C414" s="2405"/>
      <c r="D414" s="2405"/>
      <c r="E414" s="2405"/>
      <c r="F414" s="2405"/>
      <c r="G414" s="2405"/>
      <c r="H414" s="25"/>
      <c r="I414" s="25"/>
      <c r="J414" s="25"/>
      <c r="K414" s="25"/>
      <c r="L414" s="2405"/>
      <c r="M414" s="2405"/>
      <c r="N414" s="2405"/>
      <c r="O414" s="2405"/>
      <c r="P414" s="2405"/>
      <c r="Q414" s="2405"/>
      <c r="R414" s="2405"/>
      <c r="S414" s="2406"/>
      <c r="T414" s="2405"/>
      <c r="U414" s="2405"/>
      <c r="V414" s="25"/>
      <c r="W414" s="25"/>
      <c r="X414" s="25"/>
      <c r="Y414" s="25"/>
      <c r="Z414" s="2406"/>
      <c r="AA414" s="25"/>
      <c r="AB414" s="25"/>
      <c r="AC414" s="25"/>
    </row>
    <row r="415" spans="1:29" customFormat="1" x14ac:dyDescent="0.2">
      <c r="A415" s="25"/>
      <c r="B415" s="25"/>
      <c r="C415" s="2405"/>
      <c r="D415" s="2408" t="s">
        <v>1456</v>
      </c>
      <c r="E415" s="2408" t="s">
        <v>1455</v>
      </c>
      <c r="F415" s="2408" t="s">
        <v>1454</v>
      </c>
      <c r="G415" s="2408" t="s">
        <v>1453</v>
      </c>
      <c r="H415" s="2408" t="s">
        <v>1452</v>
      </c>
      <c r="I415" s="2408" t="s">
        <v>1451</v>
      </c>
      <c r="J415" s="2408" t="s">
        <v>1450</v>
      </c>
      <c r="K415" s="2407" t="s">
        <v>692</v>
      </c>
      <c r="L415" s="2407" t="s">
        <v>504</v>
      </c>
      <c r="M415" s="2405" t="s">
        <v>1449</v>
      </c>
      <c r="N415" s="2405" t="s">
        <v>692</v>
      </c>
      <c r="O415" s="2405"/>
      <c r="P415" s="2405"/>
      <c r="Q415" s="2405"/>
      <c r="R415" s="2405"/>
      <c r="S415" s="2406"/>
      <c r="T415" s="2405"/>
      <c r="U415" s="2405"/>
      <c r="V415" s="25"/>
      <c r="W415" s="25"/>
      <c r="X415" s="25"/>
      <c r="Y415" s="25"/>
      <c r="Z415" s="2406"/>
      <c r="AA415" s="25"/>
      <c r="AB415" s="25"/>
      <c r="AC415" s="25"/>
    </row>
    <row r="416" spans="1:29" customFormat="1" x14ac:dyDescent="0.2">
      <c r="A416" s="25"/>
      <c r="B416" s="25"/>
      <c r="C416" s="2448"/>
      <c r="D416" s="2405"/>
      <c r="E416" s="2405">
        <f t="shared" ref="E416:E479" si="52">IF(H416="",0,22)</f>
        <v>0</v>
      </c>
      <c r="F416" s="25">
        <f>IF(E416=22,$E$1,0)</f>
        <v>0</v>
      </c>
      <c r="G416" s="2405"/>
      <c r="H416" s="2835" t="str">
        <f t="shared" ref="H416:H479" si="53">C253</f>
        <v/>
      </c>
      <c r="I416" s="25">
        <f>P253</f>
        <v>16</v>
      </c>
      <c r="J416" s="25" t="e">
        <f>N253</f>
        <v>#DIV/0!</v>
      </c>
      <c r="K416" s="25">
        <f>O253</f>
        <v>24</v>
      </c>
      <c r="L416" s="2405"/>
      <c r="M416" s="2405"/>
      <c r="N416" s="2405"/>
      <c r="O416" s="2405"/>
      <c r="P416" s="2405"/>
      <c r="Q416" s="2405"/>
      <c r="R416" s="2405"/>
      <c r="S416" s="2405"/>
      <c r="T416" s="2405"/>
      <c r="U416" s="2405"/>
      <c r="V416" s="25"/>
      <c r="W416" s="25"/>
      <c r="X416" s="25"/>
      <c r="Y416" s="25"/>
      <c r="Z416" s="2406"/>
      <c r="AA416" s="25"/>
      <c r="AB416" s="25"/>
      <c r="AC416" s="25"/>
    </row>
    <row r="417" spans="5:21" customFormat="1" x14ac:dyDescent="0.2">
      <c r="E417" s="2405">
        <f t="shared" si="52"/>
        <v>22</v>
      </c>
      <c r="F417" s="25">
        <f t="shared" ref="F417:F480" si="54">IF(E417=22,$E$1,0)</f>
        <v>58</v>
      </c>
      <c r="G417" s="2405"/>
      <c r="H417" s="2835" t="str">
        <f t="shared" si="53"/>
        <v>ins.52 58</v>
      </c>
      <c r="I417" s="25">
        <f t="shared" ref="I417:I480" si="55">P254</f>
        <v>16</v>
      </c>
      <c r="J417" s="25" t="e">
        <f t="shared" ref="J417:K480" si="56">N254</f>
        <v>#DIV/0!</v>
      </c>
      <c r="K417" s="25">
        <f t="shared" si="56"/>
        <v>24</v>
      </c>
      <c r="L417" s="2405"/>
      <c r="M417" s="2405"/>
      <c r="N417" s="2405"/>
      <c r="O417" s="2405"/>
      <c r="P417" s="2405"/>
      <c r="Q417" s="2405"/>
      <c r="R417" s="2405"/>
      <c r="S417" s="2405"/>
      <c r="T417" s="2405"/>
      <c r="U417" s="2405"/>
    </row>
    <row r="418" spans="5:21" customFormat="1" x14ac:dyDescent="0.2">
      <c r="E418" s="2405">
        <f t="shared" si="52"/>
        <v>0</v>
      </c>
      <c r="F418" s="25">
        <f t="shared" si="54"/>
        <v>0</v>
      </c>
      <c r="G418" s="2405"/>
      <c r="H418" s="2835" t="str">
        <f t="shared" si="53"/>
        <v/>
      </c>
      <c r="I418" s="25">
        <f t="shared" si="55"/>
        <v>16</v>
      </c>
      <c r="J418" s="25">
        <f t="shared" si="56"/>
        <v>6.8888888888888888E-2</v>
      </c>
      <c r="K418" s="25">
        <f t="shared" si="56"/>
        <v>24</v>
      </c>
      <c r="L418" s="2405"/>
      <c r="M418" s="2405"/>
      <c r="N418" s="2405"/>
      <c r="O418" s="2405"/>
      <c r="P418" s="2405"/>
      <c r="Q418" s="2405"/>
      <c r="R418" s="2405"/>
      <c r="S418" s="2405"/>
      <c r="T418" s="2405"/>
      <c r="U418" s="2405"/>
    </row>
    <row r="419" spans="5:21" customFormat="1" x14ac:dyDescent="0.2">
      <c r="E419" s="2405">
        <f t="shared" si="52"/>
        <v>0</v>
      </c>
      <c r="F419" s="25">
        <f t="shared" si="54"/>
        <v>0</v>
      </c>
      <c r="G419" s="2405"/>
      <c r="H419" s="2835" t="str">
        <f t="shared" si="53"/>
        <v/>
      </c>
      <c r="I419" s="25">
        <f t="shared" si="55"/>
        <v>16</v>
      </c>
      <c r="J419" s="25">
        <f t="shared" si="56"/>
        <v>9.4111111111111118E-2</v>
      </c>
      <c r="K419" s="25">
        <f t="shared" si="56"/>
        <v>24</v>
      </c>
      <c r="L419" s="2405"/>
      <c r="M419" s="2405"/>
      <c r="N419" s="2405"/>
      <c r="O419" s="2405"/>
      <c r="P419" s="2405"/>
      <c r="Q419" s="2405"/>
      <c r="R419" s="2405"/>
      <c r="S419" s="2405"/>
      <c r="T419" s="2405"/>
      <c r="U419" s="2405"/>
    </row>
    <row r="420" spans="5:21" customFormat="1" x14ac:dyDescent="0.2">
      <c r="E420" s="2405">
        <f t="shared" si="52"/>
        <v>0</v>
      </c>
      <c r="F420" s="25">
        <f t="shared" si="54"/>
        <v>0</v>
      </c>
      <c r="G420" s="2405"/>
      <c r="H420" s="2835" t="str">
        <f t="shared" si="53"/>
        <v/>
      </c>
      <c r="I420" s="25">
        <f t="shared" si="55"/>
        <v>16</v>
      </c>
      <c r="J420" s="25">
        <f t="shared" si="56"/>
        <v>0</v>
      </c>
      <c r="K420" s="25">
        <f t="shared" si="56"/>
        <v>24</v>
      </c>
      <c r="L420" s="2405"/>
      <c r="M420" s="2405"/>
      <c r="N420" s="2405"/>
      <c r="O420" s="2405"/>
      <c r="P420" s="2405"/>
      <c r="Q420" s="2405"/>
      <c r="R420" s="2405"/>
      <c r="S420" s="2405"/>
      <c r="T420" s="2405"/>
      <c r="U420" s="2405"/>
    </row>
    <row r="421" spans="5:21" customFormat="1" x14ac:dyDescent="0.2">
      <c r="E421" s="2405">
        <f t="shared" si="52"/>
        <v>22</v>
      </c>
      <c r="F421" s="25">
        <f t="shared" si="54"/>
        <v>58</v>
      </c>
      <c r="G421" s="2405"/>
      <c r="H421" s="2835" t="str">
        <f t="shared" si="53"/>
        <v>ins.56 58</v>
      </c>
      <c r="I421" s="25">
        <f t="shared" si="55"/>
        <v>16</v>
      </c>
      <c r="J421" s="25">
        <f t="shared" si="56"/>
        <v>0.16722222222222222</v>
      </c>
      <c r="K421" s="25">
        <f t="shared" si="56"/>
        <v>24</v>
      </c>
      <c r="L421" s="2405"/>
      <c r="M421" s="2405"/>
      <c r="N421" s="2405"/>
      <c r="O421" s="2405"/>
      <c r="P421" s="2405"/>
      <c r="Q421" s="2405"/>
      <c r="R421" s="2405"/>
      <c r="S421" s="2405"/>
      <c r="T421" s="2405"/>
      <c r="U421" s="2405"/>
    </row>
    <row r="422" spans="5:21" customFormat="1" x14ac:dyDescent="0.2">
      <c r="E422" s="2405">
        <f t="shared" si="52"/>
        <v>0</v>
      </c>
      <c r="F422" s="25">
        <f t="shared" si="54"/>
        <v>0</v>
      </c>
      <c r="G422" s="2405"/>
      <c r="H422" s="2835" t="str">
        <f t="shared" si="53"/>
        <v/>
      </c>
      <c r="I422" s="25">
        <f t="shared" si="55"/>
        <v>16</v>
      </c>
      <c r="J422" s="25">
        <f t="shared" si="56"/>
        <v>0.24111111111111108</v>
      </c>
      <c r="K422" s="25">
        <f t="shared" si="56"/>
        <v>24</v>
      </c>
      <c r="L422" s="2405"/>
      <c r="M422" s="2405"/>
      <c r="N422" s="2405"/>
      <c r="O422" s="2405"/>
      <c r="P422" s="2405"/>
      <c r="Q422" s="2405"/>
      <c r="R422" s="2405"/>
      <c r="S422" s="2405"/>
      <c r="T422" s="2405"/>
      <c r="U422" s="2405"/>
    </row>
    <row r="423" spans="5:21" customFormat="1" x14ac:dyDescent="0.2">
      <c r="E423" s="2405">
        <f t="shared" si="52"/>
        <v>0</v>
      </c>
      <c r="F423" s="25">
        <f t="shared" si="54"/>
        <v>0</v>
      </c>
      <c r="G423" s="2405"/>
      <c r="H423" s="2835" t="str">
        <f t="shared" si="53"/>
        <v/>
      </c>
      <c r="I423" s="25">
        <f t="shared" si="55"/>
        <v>16</v>
      </c>
      <c r="J423" s="25">
        <f t="shared" si="56"/>
        <v>0.3293888888888889</v>
      </c>
      <c r="K423" s="25">
        <f t="shared" si="56"/>
        <v>24</v>
      </c>
      <c r="L423" s="2405"/>
      <c r="M423" s="2405"/>
      <c r="N423" s="2405"/>
      <c r="O423" s="2405"/>
      <c r="P423" s="2405"/>
      <c r="Q423" s="2405"/>
      <c r="R423" s="2405"/>
      <c r="S423" s="2405"/>
      <c r="T423" s="2405"/>
      <c r="U423" s="2405"/>
    </row>
    <row r="424" spans="5:21" customFormat="1" x14ac:dyDescent="0.2">
      <c r="E424" s="2405">
        <f t="shared" si="52"/>
        <v>0</v>
      </c>
      <c r="F424" s="25">
        <f t="shared" si="54"/>
        <v>0</v>
      </c>
      <c r="G424" s="2405"/>
      <c r="H424" s="2835" t="str">
        <f t="shared" si="53"/>
        <v/>
      </c>
      <c r="I424" s="25">
        <f t="shared" si="55"/>
        <v>16</v>
      </c>
      <c r="J424" s="25">
        <f t="shared" si="56"/>
        <v>0</v>
      </c>
      <c r="K424" s="25">
        <f t="shared" si="56"/>
        <v>24</v>
      </c>
      <c r="L424" s="2405"/>
      <c r="M424" s="2405"/>
      <c r="N424" s="2405"/>
      <c r="O424" s="2405"/>
      <c r="P424" s="2405"/>
      <c r="Q424" s="2405"/>
      <c r="R424" s="2405"/>
      <c r="S424" s="2405"/>
      <c r="T424" s="2405"/>
      <c r="U424" s="2405"/>
    </row>
    <row r="425" spans="5:21" customFormat="1" x14ac:dyDescent="0.2">
      <c r="E425" s="2405">
        <f t="shared" si="52"/>
        <v>0</v>
      </c>
      <c r="F425" s="25">
        <f t="shared" si="54"/>
        <v>0</v>
      </c>
      <c r="G425" s="2405"/>
      <c r="H425" s="2835" t="str">
        <f t="shared" si="53"/>
        <v/>
      </c>
      <c r="I425" s="25">
        <f t="shared" si="55"/>
        <v>16</v>
      </c>
      <c r="J425" s="25">
        <f t="shared" si="56"/>
        <v>0</v>
      </c>
      <c r="K425" s="25">
        <f t="shared" si="56"/>
        <v>24</v>
      </c>
      <c r="L425" s="2405"/>
      <c r="M425" s="2405"/>
      <c r="N425" s="2405"/>
      <c r="O425" s="2405"/>
      <c r="P425" s="2405"/>
      <c r="Q425" s="2405"/>
      <c r="R425" s="2405"/>
      <c r="S425" s="2405"/>
      <c r="T425" s="2405"/>
      <c r="U425" s="2405"/>
    </row>
    <row r="426" spans="5:21" customFormat="1" x14ac:dyDescent="0.2">
      <c r="E426" s="2405">
        <f t="shared" si="52"/>
        <v>0</v>
      </c>
      <c r="F426" s="25">
        <f t="shared" si="54"/>
        <v>0</v>
      </c>
      <c r="G426" s="2405"/>
      <c r="H426" s="2835" t="str">
        <f t="shared" si="53"/>
        <v/>
      </c>
      <c r="I426" s="25">
        <f t="shared" si="55"/>
        <v>16</v>
      </c>
      <c r="J426" s="25">
        <f t="shared" si="56"/>
        <v>0</v>
      </c>
      <c r="K426" s="25">
        <f t="shared" si="56"/>
        <v>24</v>
      </c>
      <c r="L426" s="2405"/>
      <c r="M426" s="2405"/>
      <c r="N426" s="2405"/>
      <c r="O426" s="2405"/>
      <c r="P426" s="2405"/>
      <c r="Q426" s="2405"/>
      <c r="R426" s="2405"/>
      <c r="S426" s="2405"/>
      <c r="T426" s="2405"/>
      <c r="U426" s="2405"/>
    </row>
    <row r="427" spans="5:21" customFormat="1" x14ac:dyDescent="0.2">
      <c r="E427" s="2405">
        <f t="shared" si="52"/>
        <v>0</v>
      </c>
      <c r="F427" s="25">
        <f t="shared" si="54"/>
        <v>0</v>
      </c>
      <c r="G427" s="2405"/>
      <c r="H427" s="2835" t="str">
        <f t="shared" si="53"/>
        <v/>
      </c>
      <c r="I427" s="25">
        <f t="shared" si="55"/>
        <v>16</v>
      </c>
      <c r="J427" s="25">
        <f t="shared" si="56"/>
        <v>0</v>
      </c>
      <c r="K427" s="25">
        <f t="shared" si="56"/>
        <v>24</v>
      </c>
      <c r="L427" s="2405"/>
      <c r="M427" s="2405"/>
      <c r="N427" s="2405"/>
      <c r="O427" s="2405"/>
      <c r="P427" s="2405"/>
      <c r="Q427" s="2405"/>
      <c r="R427" s="2405"/>
      <c r="S427" s="2405"/>
      <c r="T427" s="2405"/>
      <c r="U427" s="2405"/>
    </row>
    <row r="428" spans="5:21" customFormat="1" x14ac:dyDescent="0.2">
      <c r="E428" s="2405">
        <f t="shared" si="52"/>
        <v>0</v>
      </c>
      <c r="F428" s="25">
        <f t="shared" si="54"/>
        <v>0</v>
      </c>
      <c r="G428" s="2405"/>
      <c r="H428" s="2835" t="str">
        <f t="shared" si="53"/>
        <v/>
      </c>
      <c r="I428" s="25">
        <f t="shared" si="55"/>
        <v>16</v>
      </c>
      <c r="J428" s="25">
        <f t="shared" si="56"/>
        <v>0</v>
      </c>
      <c r="K428" s="25">
        <f t="shared" si="56"/>
        <v>24</v>
      </c>
      <c r="L428" s="2405"/>
      <c r="M428" s="2405"/>
      <c r="N428" s="2405"/>
      <c r="O428" s="2405"/>
      <c r="P428" s="2405"/>
      <c r="Q428" s="2405"/>
      <c r="R428" s="2405"/>
      <c r="S428" s="2405"/>
      <c r="T428" s="2405"/>
      <c r="U428" s="2405"/>
    </row>
    <row r="429" spans="5:21" customFormat="1" x14ac:dyDescent="0.2">
      <c r="E429" s="2405">
        <f t="shared" si="52"/>
        <v>0</v>
      </c>
      <c r="F429" s="25">
        <f t="shared" si="54"/>
        <v>0</v>
      </c>
      <c r="G429" s="2405"/>
      <c r="H429" s="2835" t="str">
        <f t="shared" si="53"/>
        <v/>
      </c>
      <c r="I429" s="25">
        <f t="shared" si="55"/>
        <v>16</v>
      </c>
      <c r="J429" s="25">
        <f t="shared" si="56"/>
        <v>0</v>
      </c>
      <c r="K429" s="25">
        <f t="shared" si="56"/>
        <v>24</v>
      </c>
      <c r="L429" s="2405"/>
      <c r="M429" s="2405"/>
      <c r="N429" s="2405"/>
      <c r="O429" s="2405"/>
      <c r="P429" s="2405"/>
      <c r="Q429" s="2405"/>
      <c r="R429" s="2405"/>
      <c r="S429" s="2405"/>
      <c r="T429" s="2405"/>
      <c r="U429" s="2405"/>
    </row>
    <row r="430" spans="5:21" customFormat="1" x14ac:dyDescent="0.2">
      <c r="E430" s="2405">
        <f t="shared" si="52"/>
        <v>0</v>
      </c>
      <c r="F430" s="25">
        <f t="shared" si="54"/>
        <v>0</v>
      </c>
      <c r="G430" s="2405"/>
      <c r="H430" s="2835" t="str">
        <f t="shared" si="53"/>
        <v/>
      </c>
      <c r="I430" s="25">
        <f t="shared" si="55"/>
        <v>16</v>
      </c>
      <c r="J430" s="25">
        <f t="shared" si="56"/>
        <v>0</v>
      </c>
      <c r="K430" s="25">
        <f t="shared" si="56"/>
        <v>24</v>
      </c>
      <c r="L430" s="2405"/>
      <c r="M430" s="2405"/>
      <c r="N430" s="2405"/>
      <c r="O430" s="2405"/>
      <c r="P430" s="2405"/>
      <c r="Q430" s="2405"/>
      <c r="R430" s="2405"/>
      <c r="S430" s="2405"/>
      <c r="T430" s="2405"/>
      <c r="U430" s="2405"/>
    </row>
    <row r="431" spans="5:21" customFormat="1" x14ac:dyDescent="0.2">
      <c r="E431" s="2405">
        <f t="shared" si="52"/>
        <v>0</v>
      </c>
      <c r="F431" s="25">
        <f t="shared" si="54"/>
        <v>0</v>
      </c>
      <c r="G431" s="2405"/>
      <c r="H431" s="2835" t="str">
        <f t="shared" si="53"/>
        <v/>
      </c>
      <c r="I431" s="25">
        <f t="shared" si="55"/>
        <v>16</v>
      </c>
      <c r="J431" s="25">
        <f t="shared" si="56"/>
        <v>0</v>
      </c>
      <c r="K431" s="25">
        <f t="shared" si="56"/>
        <v>24</v>
      </c>
      <c r="L431" s="2405"/>
      <c r="M431" s="2405"/>
      <c r="N431" s="2405"/>
      <c r="O431" s="2405"/>
      <c r="P431" s="2405"/>
      <c r="Q431" s="2405"/>
      <c r="R431" s="2405"/>
      <c r="S431" s="2405"/>
      <c r="T431" s="2405"/>
      <c r="U431" s="2405"/>
    </row>
    <row r="432" spans="5:21" customFormat="1" x14ac:dyDescent="0.2">
      <c r="E432" s="2405">
        <f t="shared" si="52"/>
        <v>0</v>
      </c>
      <c r="F432" s="25">
        <f t="shared" si="54"/>
        <v>0</v>
      </c>
      <c r="G432" s="2405"/>
      <c r="H432" s="2835" t="str">
        <f t="shared" si="53"/>
        <v/>
      </c>
      <c r="I432" s="25">
        <f t="shared" si="55"/>
        <v>16</v>
      </c>
      <c r="J432" s="25">
        <f t="shared" si="56"/>
        <v>0</v>
      </c>
      <c r="K432" s="25">
        <f t="shared" si="56"/>
        <v>24</v>
      </c>
      <c r="L432" s="25"/>
      <c r="M432" s="25"/>
      <c r="N432" s="25"/>
      <c r="O432" s="25"/>
      <c r="P432" s="25"/>
      <c r="Q432" s="25"/>
      <c r="R432" s="25"/>
      <c r="S432" s="25"/>
      <c r="T432" s="25"/>
      <c r="U432" s="25"/>
    </row>
    <row r="433" spans="5:11" customFormat="1" x14ac:dyDescent="0.2">
      <c r="E433" s="2405">
        <f t="shared" si="52"/>
        <v>0</v>
      </c>
      <c r="F433" s="25">
        <f t="shared" si="54"/>
        <v>0</v>
      </c>
      <c r="G433" s="2405"/>
      <c r="H433" s="2835" t="str">
        <f t="shared" si="53"/>
        <v/>
      </c>
      <c r="I433" s="25">
        <f t="shared" si="55"/>
        <v>16</v>
      </c>
      <c r="J433" s="25">
        <f t="shared" si="56"/>
        <v>0</v>
      </c>
      <c r="K433" s="25">
        <f t="shared" si="56"/>
        <v>24</v>
      </c>
    </row>
    <row r="434" spans="5:11" customFormat="1" x14ac:dyDescent="0.2">
      <c r="E434" s="2405">
        <f t="shared" si="52"/>
        <v>0</v>
      </c>
      <c r="F434" s="25">
        <f t="shared" si="54"/>
        <v>0</v>
      </c>
      <c r="G434" s="2405"/>
      <c r="H434" s="2835" t="str">
        <f t="shared" si="53"/>
        <v/>
      </c>
      <c r="I434" s="25">
        <f t="shared" si="55"/>
        <v>16</v>
      </c>
      <c r="J434" s="25">
        <f t="shared" si="56"/>
        <v>0</v>
      </c>
      <c r="K434" s="25">
        <f t="shared" si="56"/>
        <v>24</v>
      </c>
    </row>
    <row r="435" spans="5:11" customFormat="1" x14ac:dyDescent="0.2">
      <c r="E435" s="2405">
        <f t="shared" si="52"/>
        <v>0</v>
      </c>
      <c r="F435" s="25">
        <f t="shared" si="54"/>
        <v>0</v>
      </c>
      <c r="G435" s="2405"/>
      <c r="H435" s="2835" t="str">
        <f t="shared" si="53"/>
        <v/>
      </c>
      <c r="I435" s="25">
        <f t="shared" si="55"/>
        <v>16</v>
      </c>
      <c r="J435" s="25">
        <f t="shared" si="56"/>
        <v>0</v>
      </c>
      <c r="K435" s="25">
        <f t="shared" si="56"/>
        <v>24</v>
      </c>
    </row>
    <row r="436" spans="5:11" customFormat="1" x14ac:dyDescent="0.2">
      <c r="E436" s="2405">
        <f t="shared" si="52"/>
        <v>0</v>
      </c>
      <c r="F436" s="25">
        <f t="shared" si="54"/>
        <v>0</v>
      </c>
      <c r="G436" s="2405"/>
      <c r="H436" s="2835" t="str">
        <f t="shared" si="53"/>
        <v/>
      </c>
      <c r="I436" s="25">
        <f t="shared" si="55"/>
        <v>16</v>
      </c>
      <c r="J436" s="25">
        <f t="shared" si="56"/>
        <v>0</v>
      </c>
      <c r="K436" s="25">
        <f t="shared" si="56"/>
        <v>24</v>
      </c>
    </row>
    <row r="437" spans="5:11" customFormat="1" x14ac:dyDescent="0.2">
      <c r="E437" s="2405">
        <f t="shared" si="52"/>
        <v>0</v>
      </c>
      <c r="F437" s="25">
        <f t="shared" si="54"/>
        <v>0</v>
      </c>
      <c r="G437" s="2405"/>
      <c r="H437" s="2835" t="str">
        <f t="shared" si="53"/>
        <v/>
      </c>
      <c r="I437" s="25">
        <f t="shared" si="55"/>
        <v>16</v>
      </c>
      <c r="J437" s="25">
        <f t="shared" si="56"/>
        <v>0</v>
      </c>
      <c r="K437" s="25">
        <f t="shared" si="56"/>
        <v>24</v>
      </c>
    </row>
    <row r="438" spans="5:11" customFormat="1" x14ac:dyDescent="0.2">
      <c r="E438" s="2405">
        <f t="shared" si="52"/>
        <v>0</v>
      </c>
      <c r="F438" s="25">
        <f t="shared" si="54"/>
        <v>0</v>
      </c>
      <c r="G438" s="2405"/>
      <c r="H438" s="2835" t="str">
        <f t="shared" si="53"/>
        <v/>
      </c>
      <c r="I438" s="25">
        <f t="shared" si="55"/>
        <v>16</v>
      </c>
      <c r="J438" s="25">
        <f t="shared" si="56"/>
        <v>0</v>
      </c>
      <c r="K438" s="25">
        <f t="shared" si="56"/>
        <v>24</v>
      </c>
    </row>
    <row r="439" spans="5:11" customFormat="1" x14ac:dyDescent="0.2">
      <c r="E439" s="2405">
        <f t="shared" si="52"/>
        <v>0</v>
      </c>
      <c r="F439" s="25">
        <f t="shared" si="54"/>
        <v>0</v>
      </c>
      <c r="G439" s="2405"/>
      <c r="H439" s="2835" t="str">
        <f t="shared" si="53"/>
        <v/>
      </c>
      <c r="I439" s="25">
        <f t="shared" si="55"/>
        <v>16</v>
      </c>
      <c r="J439" s="25">
        <f t="shared" si="56"/>
        <v>0</v>
      </c>
      <c r="K439" s="25">
        <f t="shared" si="56"/>
        <v>24</v>
      </c>
    </row>
    <row r="440" spans="5:11" customFormat="1" x14ac:dyDescent="0.2">
      <c r="E440" s="2405">
        <f t="shared" si="52"/>
        <v>0</v>
      </c>
      <c r="F440" s="25">
        <f t="shared" si="54"/>
        <v>0</v>
      </c>
      <c r="G440" s="2405"/>
      <c r="H440" s="2835" t="str">
        <f t="shared" si="53"/>
        <v/>
      </c>
      <c r="I440" s="25">
        <f t="shared" si="55"/>
        <v>16</v>
      </c>
      <c r="J440" s="25">
        <f t="shared" si="56"/>
        <v>0</v>
      </c>
      <c r="K440" s="25">
        <f t="shared" si="56"/>
        <v>24</v>
      </c>
    </row>
    <row r="441" spans="5:11" customFormat="1" x14ac:dyDescent="0.2">
      <c r="E441" s="2405">
        <f t="shared" si="52"/>
        <v>0</v>
      </c>
      <c r="F441" s="25">
        <f t="shared" si="54"/>
        <v>0</v>
      </c>
      <c r="G441" s="2405"/>
      <c r="H441" s="2835" t="str">
        <f t="shared" si="53"/>
        <v/>
      </c>
      <c r="I441" s="25">
        <f t="shared" si="55"/>
        <v>16</v>
      </c>
      <c r="J441" s="25">
        <f t="shared" si="56"/>
        <v>0</v>
      </c>
      <c r="K441" s="25">
        <f t="shared" si="56"/>
        <v>24</v>
      </c>
    </row>
    <row r="442" spans="5:11" customFormat="1" x14ac:dyDescent="0.2">
      <c r="E442" s="2405">
        <f t="shared" si="52"/>
        <v>0</v>
      </c>
      <c r="F442" s="25">
        <f t="shared" si="54"/>
        <v>0</v>
      </c>
      <c r="G442" s="2405"/>
      <c r="H442" s="2835" t="str">
        <f t="shared" si="53"/>
        <v/>
      </c>
      <c r="I442" s="25">
        <f t="shared" si="55"/>
        <v>16</v>
      </c>
      <c r="J442" s="25">
        <f t="shared" si="56"/>
        <v>0</v>
      </c>
      <c r="K442" s="25">
        <f t="shared" si="56"/>
        <v>24</v>
      </c>
    </row>
    <row r="443" spans="5:11" customFormat="1" x14ac:dyDescent="0.2">
      <c r="E443" s="2405">
        <f t="shared" si="52"/>
        <v>0</v>
      </c>
      <c r="F443" s="25">
        <f t="shared" si="54"/>
        <v>0</v>
      </c>
      <c r="G443" s="2405"/>
      <c r="H443" s="2835" t="str">
        <f t="shared" si="53"/>
        <v/>
      </c>
      <c r="I443" s="25">
        <f t="shared" si="55"/>
        <v>16</v>
      </c>
      <c r="J443" s="25">
        <f t="shared" si="56"/>
        <v>0</v>
      </c>
      <c r="K443" s="25">
        <f t="shared" si="56"/>
        <v>24</v>
      </c>
    </row>
    <row r="444" spans="5:11" customFormat="1" x14ac:dyDescent="0.2">
      <c r="E444" s="2405">
        <f t="shared" si="52"/>
        <v>0</v>
      </c>
      <c r="F444" s="25">
        <f t="shared" si="54"/>
        <v>0</v>
      </c>
      <c r="G444" s="2405"/>
      <c r="H444" s="2835" t="str">
        <f t="shared" si="53"/>
        <v/>
      </c>
      <c r="I444" s="25">
        <f t="shared" si="55"/>
        <v>16</v>
      </c>
      <c r="J444" s="25">
        <f t="shared" si="56"/>
        <v>0</v>
      </c>
      <c r="K444" s="25">
        <f t="shared" si="56"/>
        <v>24</v>
      </c>
    </row>
    <row r="445" spans="5:11" customFormat="1" x14ac:dyDescent="0.2">
      <c r="E445" s="2405">
        <f t="shared" si="52"/>
        <v>0</v>
      </c>
      <c r="F445" s="25">
        <f t="shared" si="54"/>
        <v>0</v>
      </c>
      <c r="G445" s="2405"/>
      <c r="H445" s="2835" t="str">
        <f t="shared" si="53"/>
        <v/>
      </c>
      <c r="I445" s="25">
        <f t="shared" si="55"/>
        <v>16</v>
      </c>
      <c r="J445" s="25">
        <f t="shared" si="56"/>
        <v>0</v>
      </c>
      <c r="K445" s="25">
        <f t="shared" si="56"/>
        <v>24</v>
      </c>
    </row>
    <row r="446" spans="5:11" customFormat="1" x14ac:dyDescent="0.2">
      <c r="E446" s="2405">
        <f t="shared" si="52"/>
        <v>0</v>
      </c>
      <c r="F446" s="25">
        <f t="shared" si="54"/>
        <v>0</v>
      </c>
      <c r="G446" s="2405"/>
      <c r="H446" s="2835" t="str">
        <f t="shared" si="53"/>
        <v/>
      </c>
      <c r="I446" s="25">
        <f t="shared" si="55"/>
        <v>16</v>
      </c>
      <c r="J446" s="25">
        <f t="shared" si="56"/>
        <v>0</v>
      </c>
      <c r="K446" s="25">
        <f t="shared" si="56"/>
        <v>24</v>
      </c>
    </row>
    <row r="447" spans="5:11" customFormat="1" x14ac:dyDescent="0.2">
      <c r="E447" s="2405">
        <f t="shared" si="52"/>
        <v>0</v>
      </c>
      <c r="F447" s="25">
        <f t="shared" si="54"/>
        <v>0</v>
      </c>
      <c r="G447" s="2405"/>
      <c r="H447" s="2835" t="str">
        <f t="shared" si="53"/>
        <v/>
      </c>
      <c r="I447" s="25">
        <f t="shared" si="55"/>
        <v>16</v>
      </c>
      <c r="J447" s="25">
        <f t="shared" si="56"/>
        <v>0</v>
      </c>
      <c r="K447" s="25">
        <f t="shared" si="56"/>
        <v>24</v>
      </c>
    </row>
    <row r="448" spans="5:11" customFormat="1" x14ac:dyDescent="0.2">
      <c r="E448" s="2405">
        <f t="shared" si="52"/>
        <v>0</v>
      </c>
      <c r="F448" s="25">
        <f t="shared" si="54"/>
        <v>0</v>
      </c>
      <c r="G448" s="2405"/>
      <c r="H448" s="2835" t="str">
        <f t="shared" si="53"/>
        <v/>
      </c>
      <c r="I448" s="25">
        <f t="shared" si="55"/>
        <v>16</v>
      </c>
      <c r="J448" s="25">
        <f t="shared" si="56"/>
        <v>0</v>
      </c>
      <c r="K448" s="25">
        <f t="shared" si="56"/>
        <v>24</v>
      </c>
    </row>
    <row r="449" spans="5:11" customFormat="1" x14ac:dyDescent="0.2">
      <c r="E449" s="2405">
        <f t="shared" si="52"/>
        <v>0</v>
      </c>
      <c r="F449" s="25">
        <f t="shared" si="54"/>
        <v>0</v>
      </c>
      <c r="G449" s="2405"/>
      <c r="H449" s="2835" t="str">
        <f t="shared" si="53"/>
        <v/>
      </c>
      <c r="I449" s="25">
        <f t="shared" si="55"/>
        <v>16</v>
      </c>
      <c r="J449" s="25">
        <f t="shared" si="56"/>
        <v>0</v>
      </c>
      <c r="K449" s="25">
        <f t="shared" si="56"/>
        <v>24</v>
      </c>
    </row>
    <row r="450" spans="5:11" customFormat="1" x14ac:dyDescent="0.2">
      <c r="E450" s="2405">
        <f t="shared" si="52"/>
        <v>22</v>
      </c>
      <c r="F450" s="25">
        <f t="shared" si="54"/>
        <v>58</v>
      </c>
      <c r="G450" s="2405"/>
      <c r="H450" s="2835">
        <f t="shared" si="53"/>
        <v>0</v>
      </c>
      <c r="I450" s="25">
        <f t="shared" si="55"/>
        <v>0</v>
      </c>
      <c r="J450" s="25">
        <f t="shared" si="56"/>
        <v>0</v>
      </c>
      <c r="K450" s="25">
        <f t="shared" si="56"/>
        <v>0</v>
      </c>
    </row>
    <row r="451" spans="5:11" customFormat="1" x14ac:dyDescent="0.2">
      <c r="E451" s="2405">
        <f t="shared" si="52"/>
        <v>22</v>
      </c>
      <c r="F451" s="25">
        <f t="shared" si="54"/>
        <v>58</v>
      </c>
      <c r="G451" s="2405"/>
      <c r="H451" s="2835" t="str">
        <f t="shared" si="53"/>
        <v>ins.85 58</v>
      </c>
      <c r="I451" s="25">
        <f t="shared" si="55"/>
        <v>16</v>
      </c>
      <c r="J451" s="25">
        <f t="shared" si="56"/>
        <v>4.7115</v>
      </c>
      <c r="K451" s="25">
        <f t="shared" si="56"/>
        <v>69</v>
      </c>
    </row>
    <row r="452" spans="5:11" customFormat="1" x14ac:dyDescent="0.2">
      <c r="E452" s="2405">
        <f t="shared" si="52"/>
        <v>0</v>
      </c>
      <c r="F452" s="25">
        <f t="shared" si="54"/>
        <v>0</v>
      </c>
      <c r="G452" s="2405"/>
      <c r="H452" s="2835" t="str">
        <f t="shared" si="53"/>
        <v/>
      </c>
      <c r="I452" s="25">
        <f t="shared" si="55"/>
        <v>16</v>
      </c>
      <c r="J452" s="25">
        <f t="shared" si="56"/>
        <v>0</v>
      </c>
      <c r="K452" s="25">
        <f t="shared" si="56"/>
        <v>69</v>
      </c>
    </row>
    <row r="453" spans="5:11" customFormat="1" x14ac:dyDescent="0.2">
      <c r="E453" s="2405">
        <f t="shared" si="52"/>
        <v>0</v>
      </c>
      <c r="F453" s="25">
        <f t="shared" si="54"/>
        <v>0</v>
      </c>
      <c r="G453" s="2405"/>
      <c r="H453" s="2835" t="str">
        <f t="shared" si="53"/>
        <v/>
      </c>
      <c r="I453" s="25">
        <f t="shared" si="55"/>
        <v>16</v>
      </c>
      <c r="J453" s="25">
        <f t="shared" si="56"/>
        <v>0</v>
      </c>
      <c r="K453" s="25">
        <f t="shared" si="56"/>
        <v>69</v>
      </c>
    </row>
    <row r="454" spans="5:11" customFormat="1" x14ac:dyDescent="0.2">
      <c r="E454" s="2405">
        <f t="shared" si="52"/>
        <v>0</v>
      </c>
      <c r="F454" s="25">
        <f t="shared" si="54"/>
        <v>0</v>
      </c>
      <c r="G454" s="2405"/>
      <c r="H454" s="2835" t="str">
        <f t="shared" si="53"/>
        <v/>
      </c>
      <c r="I454" s="25">
        <f t="shared" si="55"/>
        <v>16</v>
      </c>
      <c r="J454" s="25">
        <f t="shared" si="56"/>
        <v>0</v>
      </c>
      <c r="K454" s="25">
        <f t="shared" si="56"/>
        <v>69</v>
      </c>
    </row>
    <row r="455" spans="5:11" customFormat="1" x14ac:dyDescent="0.2">
      <c r="E455" s="2405">
        <f t="shared" si="52"/>
        <v>0</v>
      </c>
      <c r="F455" s="25">
        <f t="shared" si="54"/>
        <v>0</v>
      </c>
      <c r="G455" s="2405"/>
      <c r="H455" s="2835" t="str">
        <f t="shared" si="53"/>
        <v/>
      </c>
      <c r="I455" s="25">
        <f t="shared" si="55"/>
        <v>16</v>
      </c>
      <c r="J455" s="25">
        <f t="shared" si="56"/>
        <v>0</v>
      </c>
      <c r="K455" s="25">
        <f t="shared" si="56"/>
        <v>69</v>
      </c>
    </row>
    <row r="456" spans="5:11" customFormat="1" x14ac:dyDescent="0.2">
      <c r="E456" s="2405">
        <f t="shared" si="52"/>
        <v>0</v>
      </c>
      <c r="F456" s="25">
        <f t="shared" si="54"/>
        <v>0</v>
      </c>
      <c r="G456" s="2405"/>
      <c r="H456" s="2835" t="str">
        <f t="shared" si="53"/>
        <v/>
      </c>
      <c r="I456" s="25">
        <f t="shared" si="55"/>
        <v>16</v>
      </c>
      <c r="J456" s="25">
        <f t="shared" si="56"/>
        <v>0</v>
      </c>
      <c r="K456" s="25">
        <f t="shared" si="56"/>
        <v>69</v>
      </c>
    </row>
    <row r="457" spans="5:11" customFormat="1" x14ac:dyDescent="0.2">
      <c r="E457" s="2405">
        <f t="shared" si="52"/>
        <v>0</v>
      </c>
      <c r="F457" s="25">
        <f t="shared" si="54"/>
        <v>0</v>
      </c>
      <c r="G457" s="2405"/>
      <c r="H457" s="2835" t="str">
        <f t="shared" si="53"/>
        <v/>
      </c>
      <c r="I457" s="25">
        <f t="shared" si="55"/>
        <v>16</v>
      </c>
      <c r="J457" s="25">
        <f t="shared" si="56"/>
        <v>0</v>
      </c>
      <c r="K457" s="25">
        <f t="shared" si="56"/>
        <v>69</v>
      </c>
    </row>
    <row r="458" spans="5:11" customFormat="1" x14ac:dyDescent="0.2">
      <c r="E458" s="2405">
        <f t="shared" si="52"/>
        <v>0</v>
      </c>
      <c r="F458" s="25">
        <f t="shared" si="54"/>
        <v>0</v>
      </c>
      <c r="G458" s="2405"/>
      <c r="H458" s="2835" t="str">
        <f t="shared" si="53"/>
        <v/>
      </c>
      <c r="I458" s="25">
        <f t="shared" si="55"/>
        <v>16</v>
      </c>
      <c r="J458" s="25">
        <f t="shared" si="56"/>
        <v>0</v>
      </c>
      <c r="K458" s="25">
        <f t="shared" si="56"/>
        <v>69</v>
      </c>
    </row>
    <row r="459" spans="5:11" customFormat="1" x14ac:dyDescent="0.2">
      <c r="E459" s="2405">
        <f t="shared" si="52"/>
        <v>0</v>
      </c>
      <c r="F459" s="25">
        <f t="shared" si="54"/>
        <v>0</v>
      </c>
      <c r="G459" s="2405"/>
      <c r="H459" s="2835" t="str">
        <f t="shared" si="53"/>
        <v/>
      </c>
      <c r="I459" s="25">
        <f t="shared" si="55"/>
        <v>16</v>
      </c>
      <c r="J459" s="25">
        <f t="shared" si="56"/>
        <v>0</v>
      </c>
      <c r="K459" s="25">
        <f t="shared" si="56"/>
        <v>69</v>
      </c>
    </row>
    <row r="460" spans="5:11" customFormat="1" x14ac:dyDescent="0.2">
      <c r="E460" s="2405">
        <f t="shared" si="52"/>
        <v>0</v>
      </c>
      <c r="F460" s="25">
        <f t="shared" si="54"/>
        <v>0</v>
      </c>
      <c r="G460" s="2405"/>
      <c r="H460" s="2835" t="str">
        <f t="shared" si="53"/>
        <v/>
      </c>
      <c r="I460" s="25">
        <f t="shared" si="55"/>
        <v>16</v>
      </c>
      <c r="J460" s="25">
        <f t="shared" si="56"/>
        <v>0</v>
      </c>
      <c r="K460" s="25">
        <f t="shared" si="56"/>
        <v>69</v>
      </c>
    </row>
    <row r="461" spans="5:11" customFormat="1" x14ac:dyDescent="0.2">
      <c r="E461" s="2405">
        <f t="shared" si="52"/>
        <v>0</v>
      </c>
      <c r="F461" s="25">
        <f t="shared" si="54"/>
        <v>0</v>
      </c>
      <c r="G461" s="2405"/>
      <c r="H461" s="2835" t="str">
        <f t="shared" si="53"/>
        <v/>
      </c>
      <c r="I461" s="25">
        <f t="shared" si="55"/>
        <v>16</v>
      </c>
      <c r="J461" s="25">
        <f t="shared" si="56"/>
        <v>0</v>
      </c>
      <c r="K461" s="25">
        <f t="shared" si="56"/>
        <v>69</v>
      </c>
    </row>
    <row r="462" spans="5:11" customFormat="1" x14ac:dyDescent="0.2">
      <c r="E462" s="2405">
        <f t="shared" si="52"/>
        <v>0</v>
      </c>
      <c r="F462" s="25">
        <f t="shared" si="54"/>
        <v>0</v>
      </c>
      <c r="G462" s="2405"/>
      <c r="H462" s="2835" t="str">
        <f t="shared" si="53"/>
        <v/>
      </c>
      <c r="I462" s="25">
        <f t="shared" si="55"/>
        <v>16</v>
      </c>
      <c r="J462" s="25">
        <f t="shared" si="56"/>
        <v>0</v>
      </c>
      <c r="K462" s="25">
        <f t="shared" si="56"/>
        <v>69</v>
      </c>
    </row>
    <row r="463" spans="5:11" customFormat="1" x14ac:dyDescent="0.2">
      <c r="E463" s="2405">
        <f t="shared" si="52"/>
        <v>0</v>
      </c>
      <c r="F463" s="25">
        <f t="shared" si="54"/>
        <v>0</v>
      </c>
      <c r="G463" s="2405"/>
      <c r="H463" s="2835" t="str">
        <f t="shared" si="53"/>
        <v/>
      </c>
      <c r="I463" s="25">
        <f t="shared" si="55"/>
        <v>16</v>
      </c>
      <c r="J463" s="25">
        <f t="shared" si="56"/>
        <v>0</v>
      </c>
      <c r="K463" s="25">
        <f t="shared" si="56"/>
        <v>69</v>
      </c>
    </row>
    <row r="464" spans="5:11" customFormat="1" x14ac:dyDescent="0.2">
      <c r="E464" s="2405">
        <f t="shared" si="52"/>
        <v>0</v>
      </c>
      <c r="F464" s="25">
        <f t="shared" si="54"/>
        <v>0</v>
      </c>
      <c r="G464" s="2405"/>
      <c r="H464" s="2835" t="str">
        <f t="shared" si="53"/>
        <v/>
      </c>
      <c r="I464" s="25">
        <f t="shared" si="55"/>
        <v>16</v>
      </c>
      <c r="J464" s="25">
        <f t="shared" si="56"/>
        <v>0</v>
      </c>
      <c r="K464" s="25">
        <f t="shared" si="56"/>
        <v>69</v>
      </c>
    </row>
    <row r="465" spans="5:11" customFormat="1" x14ac:dyDescent="0.2">
      <c r="E465" s="2405">
        <f t="shared" si="52"/>
        <v>0</v>
      </c>
      <c r="F465" s="25">
        <f t="shared" si="54"/>
        <v>0</v>
      </c>
      <c r="G465" s="2405"/>
      <c r="H465" s="2835" t="str">
        <f t="shared" si="53"/>
        <v/>
      </c>
      <c r="I465" s="25">
        <f t="shared" si="55"/>
        <v>16</v>
      </c>
      <c r="J465" s="25">
        <f t="shared" si="56"/>
        <v>0</v>
      </c>
      <c r="K465" s="25">
        <f t="shared" si="56"/>
        <v>69</v>
      </c>
    </row>
    <row r="466" spans="5:11" customFormat="1" x14ac:dyDescent="0.2">
      <c r="E466" s="2405">
        <f t="shared" si="52"/>
        <v>0</v>
      </c>
      <c r="F466" s="25">
        <f t="shared" si="54"/>
        <v>0</v>
      </c>
      <c r="G466" s="2405"/>
      <c r="H466" s="2835" t="str">
        <f t="shared" si="53"/>
        <v/>
      </c>
      <c r="I466" s="25">
        <f t="shared" si="55"/>
        <v>16</v>
      </c>
      <c r="J466" s="25">
        <f t="shared" si="56"/>
        <v>0</v>
      </c>
      <c r="K466" s="25">
        <f t="shared" si="56"/>
        <v>69</v>
      </c>
    </row>
    <row r="467" spans="5:11" customFormat="1" x14ac:dyDescent="0.2">
      <c r="E467" s="2405">
        <f t="shared" si="52"/>
        <v>0</v>
      </c>
      <c r="F467" s="25">
        <f t="shared" si="54"/>
        <v>0</v>
      </c>
      <c r="G467" s="2405"/>
      <c r="H467" s="2835" t="str">
        <f t="shared" si="53"/>
        <v/>
      </c>
      <c r="I467" s="25">
        <f t="shared" si="55"/>
        <v>16</v>
      </c>
      <c r="J467" s="25">
        <f t="shared" si="56"/>
        <v>0</v>
      </c>
      <c r="K467" s="25">
        <f t="shared" si="56"/>
        <v>69</v>
      </c>
    </row>
    <row r="468" spans="5:11" customFormat="1" x14ac:dyDescent="0.2">
      <c r="E468" s="2405">
        <f t="shared" si="52"/>
        <v>0</v>
      </c>
      <c r="F468" s="25">
        <f t="shared" si="54"/>
        <v>0</v>
      </c>
      <c r="G468" s="2405"/>
      <c r="H468" s="2835" t="str">
        <f t="shared" si="53"/>
        <v/>
      </c>
      <c r="I468" s="25">
        <f t="shared" si="55"/>
        <v>16</v>
      </c>
      <c r="J468" s="25">
        <f t="shared" si="56"/>
        <v>0</v>
      </c>
      <c r="K468" s="25">
        <f t="shared" si="56"/>
        <v>69</v>
      </c>
    </row>
    <row r="469" spans="5:11" customFormat="1" x14ac:dyDescent="0.2">
      <c r="E469" s="2405">
        <f t="shared" si="52"/>
        <v>22</v>
      </c>
      <c r="F469" s="25">
        <f t="shared" si="54"/>
        <v>58</v>
      </c>
      <c r="G469" s="2405"/>
      <c r="H469" s="2835">
        <f t="shared" si="53"/>
        <v>0</v>
      </c>
      <c r="I469" s="25">
        <f t="shared" si="55"/>
        <v>0</v>
      </c>
      <c r="J469" s="25">
        <f t="shared" si="56"/>
        <v>0</v>
      </c>
      <c r="K469" s="25">
        <f t="shared" si="56"/>
        <v>0</v>
      </c>
    </row>
    <row r="470" spans="5:11" customFormat="1" x14ac:dyDescent="0.2">
      <c r="E470" s="2405">
        <f t="shared" si="52"/>
        <v>22</v>
      </c>
      <c r="F470" s="25">
        <f t="shared" si="54"/>
        <v>58</v>
      </c>
      <c r="G470" s="2405"/>
      <c r="H470" s="2835" t="str">
        <f t="shared" si="53"/>
        <v>ins.103 58</v>
      </c>
      <c r="I470" s="25">
        <f t="shared" si="55"/>
        <v>0</v>
      </c>
      <c r="J470" s="25">
        <f t="shared" si="56"/>
        <v>1</v>
      </c>
      <c r="K470" s="25">
        <f t="shared" si="56"/>
        <v>0</v>
      </c>
    </row>
    <row r="471" spans="5:11" customFormat="1" x14ac:dyDescent="0.2">
      <c r="E471" s="2405">
        <f t="shared" si="52"/>
        <v>0</v>
      </c>
      <c r="F471" s="25">
        <f t="shared" si="54"/>
        <v>0</v>
      </c>
      <c r="G471" s="2405"/>
      <c r="H471" s="2835" t="str">
        <f t="shared" si="53"/>
        <v/>
      </c>
      <c r="I471" s="25">
        <f t="shared" si="55"/>
        <v>0</v>
      </c>
      <c r="J471" s="25">
        <f t="shared" si="56"/>
        <v>1</v>
      </c>
      <c r="K471" s="25">
        <f t="shared" si="56"/>
        <v>0</v>
      </c>
    </row>
    <row r="472" spans="5:11" customFormat="1" x14ac:dyDescent="0.2">
      <c r="E472" s="2405">
        <f t="shared" si="52"/>
        <v>0</v>
      </c>
      <c r="F472" s="25">
        <f t="shared" si="54"/>
        <v>0</v>
      </c>
      <c r="G472" s="2405"/>
      <c r="H472" s="2835" t="str">
        <f t="shared" si="53"/>
        <v/>
      </c>
      <c r="I472" s="25">
        <f t="shared" si="55"/>
        <v>0</v>
      </c>
      <c r="J472" s="25">
        <f t="shared" si="56"/>
        <v>1</v>
      </c>
      <c r="K472" s="25">
        <f t="shared" si="56"/>
        <v>0</v>
      </c>
    </row>
    <row r="473" spans="5:11" customFormat="1" x14ac:dyDescent="0.2">
      <c r="E473" s="2405">
        <f t="shared" si="52"/>
        <v>22</v>
      </c>
      <c r="F473" s="25">
        <f t="shared" si="54"/>
        <v>58</v>
      </c>
      <c r="G473" s="2405"/>
      <c r="H473" s="2835" t="str">
        <f t="shared" si="53"/>
        <v>ins.106 58</v>
      </c>
      <c r="I473" s="25">
        <f t="shared" si="55"/>
        <v>0</v>
      </c>
      <c r="J473" s="25">
        <f t="shared" si="56"/>
        <v>1</v>
      </c>
      <c r="K473" s="25">
        <f t="shared" si="56"/>
        <v>0</v>
      </c>
    </row>
    <row r="474" spans="5:11" customFormat="1" x14ac:dyDescent="0.2">
      <c r="E474" s="2405">
        <f t="shared" si="52"/>
        <v>0</v>
      </c>
      <c r="F474" s="25">
        <f t="shared" si="54"/>
        <v>0</v>
      </c>
      <c r="G474" s="2405"/>
      <c r="H474" s="2835" t="str">
        <f t="shared" si="53"/>
        <v/>
      </c>
      <c r="I474" s="25">
        <f t="shared" si="55"/>
        <v>0</v>
      </c>
      <c r="J474" s="25">
        <f t="shared" si="56"/>
        <v>1</v>
      </c>
      <c r="K474" s="25">
        <f t="shared" si="56"/>
        <v>0</v>
      </c>
    </row>
    <row r="475" spans="5:11" customFormat="1" x14ac:dyDescent="0.2">
      <c r="E475" s="2405">
        <f t="shared" si="52"/>
        <v>22</v>
      </c>
      <c r="F475" s="25">
        <f t="shared" si="54"/>
        <v>58</v>
      </c>
      <c r="G475" s="2405"/>
      <c r="H475" s="2835" t="str">
        <f t="shared" si="53"/>
        <v>ins.108 58</v>
      </c>
      <c r="I475" s="25">
        <f t="shared" si="55"/>
        <v>0</v>
      </c>
      <c r="J475" s="25">
        <f t="shared" si="56"/>
        <v>0.02</v>
      </c>
      <c r="K475" s="25">
        <f t="shared" si="56"/>
        <v>0</v>
      </c>
    </row>
    <row r="476" spans="5:11" customFormat="1" x14ac:dyDescent="0.2">
      <c r="E476" s="2405">
        <f t="shared" si="52"/>
        <v>22</v>
      </c>
      <c r="F476" s="25">
        <f t="shared" si="54"/>
        <v>58</v>
      </c>
      <c r="G476" s="2405"/>
      <c r="H476" s="2835" t="str">
        <f t="shared" si="53"/>
        <v>ins.109 58</v>
      </c>
      <c r="I476" s="25">
        <f t="shared" si="55"/>
        <v>0</v>
      </c>
      <c r="J476" s="25">
        <f t="shared" si="56"/>
        <v>5.3E-3</v>
      </c>
      <c r="K476" s="25">
        <f t="shared" si="56"/>
        <v>0</v>
      </c>
    </row>
    <row r="477" spans="5:11" customFormat="1" x14ac:dyDescent="0.2">
      <c r="E477" s="2405">
        <f t="shared" si="52"/>
        <v>22</v>
      </c>
      <c r="F477" s="25">
        <f t="shared" si="54"/>
        <v>58</v>
      </c>
      <c r="G477" s="2405"/>
      <c r="H477" s="2835" t="str">
        <f t="shared" si="53"/>
        <v>ins.110 58</v>
      </c>
      <c r="I477" s="25">
        <f t="shared" si="55"/>
        <v>0</v>
      </c>
      <c r="J477" s="25">
        <f t="shared" si="56"/>
        <v>1.4E-2</v>
      </c>
      <c r="K477" s="25">
        <f t="shared" si="56"/>
        <v>0</v>
      </c>
    </row>
    <row r="478" spans="5:11" customFormat="1" x14ac:dyDescent="0.2">
      <c r="E478" s="2405">
        <f t="shared" si="52"/>
        <v>22</v>
      </c>
      <c r="F478" s="25">
        <f t="shared" si="54"/>
        <v>58</v>
      </c>
      <c r="G478" s="2405"/>
      <c r="H478" s="2835" t="str">
        <f t="shared" si="53"/>
        <v>ins.111 58</v>
      </c>
      <c r="I478" s="25">
        <f t="shared" si="55"/>
        <v>0</v>
      </c>
      <c r="J478" s="25">
        <f t="shared" si="56"/>
        <v>1</v>
      </c>
      <c r="K478" s="25">
        <f t="shared" si="56"/>
        <v>0</v>
      </c>
    </row>
    <row r="479" spans="5:11" customFormat="1" x14ac:dyDescent="0.2">
      <c r="E479" s="2405">
        <f t="shared" si="52"/>
        <v>0</v>
      </c>
      <c r="F479" s="25">
        <f t="shared" si="54"/>
        <v>0</v>
      </c>
      <c r="G479" s="2405"/>
      <c r="H479" s="2835" t="str">
        <f t="shared" si="53"/>
        <v/>
      </c>
      <c r="I479" s="25">
        <f t="shared" si="55"/>
        <v>0</v>
      </c>
      <c r="J479" s="25">
        <f t="shared" si="56"/>
        <v>0</v>
      </c>
      <c r="K479" s="25">
        <f t="shared" si="56"/>
        <v>0</v>
      </c>
    </row>
    <row r="480" spans="5:11" customFormat="1" x14ac:dyDescent="0.2">
      <c r="E480" s="2405">
        <f t="shared" ref="E480:E529" si="57">IF(H480="",0,22)</f>
        <v>22</v>
      </c>
      <c r="F480" s="25">
        <f t="shared" si="54"/>
        <v>58</v>
      </c>
      <c r="G480" s="2405"/>
      <c r="H480" s="2835" t="str">
        <f t="shared" ref="H480:H529" si="58">C317</f>
        <v>ins.113 58</v>
      </c>
      <c r="I480" s="25">
        <f t="shared" si="55"/>
        <v>0</v>
      </c>
      <c r="J480" s="25">
        <f t="shared" si="56"/>
        <v>2.2000000000000001E-3</v>
      </c>
      <c r="K480" s="25">
        <f t="shared" si="56"/>
        <v>0</v>
      </c>
    </row>
    <row r="481" spans="5:11" customFormat="1" x14ac:dyDescent="0.2">
      <c r="E481" s="2405" t="e">
        <f t="shared" si="57"/>
        <v>#N/A</v>
      </c>
      <c r="F481" s="25" t="e">
        <f t="shared" ref="F481:F529" si="59">IF(E481=22,$E$1,0)</f>
        <v>#N/A</v>
      </c>
      <c r="G481" s="2405"/>
      <c r="H481" s="2835" t="e">
        <f t="shared" si="58"/>
        <v>#N/A</v>
      </c>
      <c r="I481" s="25" t="e">
        <f t="shared" ref="I481:I529" si="60">P318</f>
        <v>#N/A</v>
      </c>
      <c r="J481" s="25">
        <f t="shared" ref="J481:K529" si="61">N318</f>
        <v>1.0500000000000001E-2</v>
      </c>
      <c r="K481" s="25" t="e">
        <f t="shared" si="61"/>
        <v>#N/A</v>
      </c>
    </row>
    <row r="482" spans="5:11" customFormat="1" x14ac:dyDescent="0.2">
      <c r="E482" s="2405" t="e">
        <f t="shared" si="57"/>
        <v>#N/A</v>
      </c>
      <c r="F482" s="25" t="e">
        <f t="shared" si="59"/>
        <v>#N/A</v>
      </c>
      <c r="G482" s="2405"/>
      <c r="H482" s="2835" t="e">
        <f t="shared" si="58"/>
        <v>#N/A</v>
      </c>
      <c r="I482" s="25">
        <f t="shared" si="60"/>
        <v>0</v>
      </c>
      <c r="J482" s="25">
        <f t="shared" si="61"/>
        <v>0</v>
      </c>
      <c r="K482" s="25">
        <f t="shared" si="61"/>
        <v>0</v>
      </c>
    </row>
    <row r="483" spans="5:11" customFormat="1" x14ac:dyDescent="0.2">
      <c r="E483" s="2405">
        <f t="shared" si="57"/>
        <v>0</v>
      </c>
      <c r="F483" s="25">
        <f t="shared" si="59"/>
        <v>0</v>
      </c>
      <c r="G483" s="2405"/>
      <c r="H483" s="2835" t="str">
        <f t="shared" si="58"/>
        <v/>
      </c>
      <c r="I483" s="25">
        <f t="shared" si="60"/>
        <v>0</v>
      </c>
      <c r="J483" s="25">
        <f t="shared" si="61"/>
        <v>0</v>
      </c>
      <c r="K483" s="25">
        <f t="shared" si="61"/>
        <v>0</v>
      </c>
    </row>
    <row r="484" spans="5:11" customFormat="1" x14ac:dyDescent="0.2">
      <c r="E484" s="2405">
        <f t="shared" si="57"/>
        <v>0</v>
      </c>
      <c r="F484" s="25">
        <f t="shared" si="59"/>
        <v>0</v>
      </c>
      <c r="G484" s="2405"/>
      <c r="H484" s="2835" t="str">
        <f t="shared" si="58"/>
        <v/>
      </c>
      <c r="I484" s="25">
        <f t="shared" si="60"/>
        <v>0</v>
      </c>
      <c r="J484" s="25">
        <f t="shared" si="61"/>
        <v>0</v>
      </c>
      <c r="K484" s="25">
        <f t="shared" si="61"/>
        <v>0</v>
      </c>
    </row>
    <row r="485" spans="5:11" customFormat="1" x14ac:dyDescent="0.2">
      <c r="E485" s="2405">
        <f t="shared" si="57"/>
        <v>22</v>
      </c>
      <c r="F485" s="25">
        <f t="shared" si="59"/>
        <v>58</v>
      </c>
      <c r="G485" s="2405"/>
      <c r="H485" s="2835" t="str">
        <f t="shared" si="58"/>
        <v>ins.118 58</v>
      </c>
      <c r="I485" s="25">
        <f t="shared" si="60"/>
        <v>0</v>
      </c>
      <c r="J485" s="25">
        <f t="shared" si="61"/>
        <v>0</v>
      </c>
      <c r="K485" s="25">
        <f t="shared" si="61"/>
        <v>0</v>
      </c>
    </row>
    <row r="486" spans="5:11" customFormat="1" x14ac:dyDescent="0.2">
      <c r="E486" s="2405">
        <f t="shared" si="57"/>
        <v>0</v>
      </c>
      <c r="F486" s="25">
        <f t="shared" si="59"/>
        <v>0</v>
      </c>
      <c r="G486" s="2405"/>
      <c r="H486" s="2835" t="str">
        <f t="shared" si="58"/>
        <v/>
      </c>
      <c r="I486" s="25">
        <f t="shared" si="60"/>
        <v>0</v>
      </c>
      <c r="J486" s="25">
        <f t="shared" si="61"/>
        <v>0</v>
      </c>
      <c r="K486" s="25">
        <f t="shared" si="61"/>
        <v>0</v>
      </c>
    </row>
    <row r="487" spans="5:11" customFormat="1" x14ac:dyDescent="0.2">
      <c r="E487" s="2405">
        <f t="shared" si="57"/>
        <v>0</v>
      </c>
      <c r="F487" s="25">
        <f t="shared" si="59"/>
        <v>0</v>
      </c>
      <c r="G487" s="2405"/>
      <c r="H487" s="2835" t="str">
        <f t="shared" si="58"/>
        <v/>
      </c>
      <c r="I487" s="25">
        <f t="shared" si="60"/>
        <v>0</v>
      </c>
      <c r="J487" s="25">
        <f t="shared" si="61"/>
        <v>0</v>
      </c>
      <c r="K487" s="25">
        <f t="shared" si="61"/>
        <v>0</v>
      </c>
    </row>
    <row r="488" spans="5:11" customFormat="1" x14ac:dyDescent="0.2">
      <c r="E488" s="2405">
        <f t="shared" si="57"/>
        <v>0</v>
      </c>
      <c r="F488" s="25">
        <f t="shared" si="59"/>
        <v>0</v>
      </c>
      <c r="G488" s="2405"/>
      <c r="H488" s="2835" t="str">
        <f t="shared" si="58"/>
        <v/>
      </c>
      <c r="I488" s="25">
        <f t="shared" si="60"/>
        <v>0</v>
      </c>
      <c r="J488" s="25">
        <f t="shared" si="61"/>
        <v>0</v>
      </c>
      <c r="K488" s="25">
        <f t="shared" si="61"/>
        <v>0</v>
      </c>
    </row>
    <row r="489" spans="5:11" customFormat="1" x14ac:dyDescent="0.2">
      <c r="E489" s="2405">
        <f t="shared" si="57"/>
        <v>0</v>
      </c>
      <c r="F489" s="25">
        <f t="shared" si="59"/>
        <v>0</v>
      </c>
      <c r="G489" s="2405"/>
      <c r="H489" s="2835" t="str">
        <f t="shared" si="58"/>
        <v/>
      </c>
      <c r="I489" s="25">
        <f t="shared" si="60"/>
        <v>0</v>
      </c>
      <c r="J489" s="25">
        <f t="shared" si="61"/>
        <v>0</v>
      </c>
      <c r="K489" s="25">
        <f t="shared" si="61"/>
        <v>0</v>
      </c>
    </row>
    <row r="490" spans="5:11" customFormat="1" x14ac:dyDescent="0.2">
      <c r="E490" s="2405">
        <f t="shared" si="57"/>
        <v>0</v>
      </c>
      <c r="F490" s="25">
        <f t="shared" si="59"/>
        <v>0</v>
      </c>
      <c r="G490" s="2405"/>
      <c r="H490" s="2835" t="str">
        <f t="shared" si="58"/>
        <v/>
      </c>
      <c r="I490" s="25">
        <f t="shared" si="60"/>
        <v>0</v>
      </c>
      <c r="J490" s="25">
        <f t="shared" si="61"/>
        <v>0</v>
      </c>
      <c r="K490" s="25">
        <f t="shared" si="61"/>
        <v>0</v>
      </c>
    </row>
    <row r="491" spans="5:11" customFormat="1" x14ac:dyDescent="0.2">
      <c r="E491" s="2405">
        <f t="shared" si="57"/>
        <v>0</v>
      </c>
      <c r="F491" s="25">
        <f t="shared" si="59"/>
        <v>0</v>
      </c>
      <c r="G491" s="2405"/>
      <c r="H491" s="2835" t="str">
        <f t="shared" si="58"/>
        <v/>
      </c>
      <c r="I491" s="25">
        <f t="shared" si="60"/>
        <v>0</v>
      </c>
      <c r="J491" s="25">
        <f t="shared" si="61"/>
        <v>0</v>
      </c>
      <c r="K491" s="25">
        <f t="shared" si="61"/>
        <v>0</v>
      </c>
    </row>
    <row r="492" spans="5:11" customFormat="1" x14ac:dyDescent="0.2">
      <c r="E492" s="2405">
        <f t="shared" si="57"/>
        <v>0</v>
      </c>
      <c r="F492" s="25">
        <f t="shared" si="59"/>
        <v>0</v>
      </c>
      <c r="G492" s="2405"/>
      <c r="H492" s="2835" t="str">
        <f t="shared" si="58"/>
        <v/>
      </c>
      <c r="I492" s="25">
        <f t="shared" si="60"/>
        <v>0</v>
      </c>
      <c r="J492" s="25">
        <f t="shared" si="61"/>
        <v>0</v>
      </c>
      <c r="K492" s="25">
        <f t="shared" si="61"/>
        <v>0</v>
      </c>
    </row>
    <row r="493" spans="5:11" customFormat="1" x14ac:dyDescent="0.2">
      <c r="E493" s="2405">
        <f t="shared" si="57"/>
        <v>0</v>
      </c>
      <c r="F493" s="25">
        <f t="shared" si="59"/>
        <v>0</v>
      </c>
      <c r="G493" s="2405"/>
      <c r="H493" s="2835" t="str">
        <f t="shared" si="58"/>
        <v/>
      </c>
      <c r="I493" s="25">
        <f t="shared" si="60"/>
        <v>0</v>
      </c>
      <c r="J493" s="25">
        <f t="shared" si="61"/>
        <v>0</v>
      </c>
      <c r="K493" s="25">
        <f t="shared" si="61"/>
        <v>0</v>
      </c>
    </row>
    <row r="494" spans="5:11" customFormat="1" x14ac:dyDescent="0.2">
      <c r="E494" s="2405">
        <f t="shared" si="57"/>
        <v>0</v>
      </c>
      <c r="F494" s="25">
        <f t="shared" si="59"/>
        <v>0</v>
      </c>
      <c r="G494" s="2405"/>
      <c r="H494" s="2835" t="str">
        <f t="shared" si="58"/>
        <v/>
      </c>
      <c r="I494" s="25">
        <f t="shared" si="60"/>
        <v>0</v>
      </c>
      <c r="J494" s="25">
        <f t="shared" si="61"/>
        <v>0</v>
      </c>
      <c r="K494" s="25">
        <f t="shared" si="61"/>
        <v>0</v>
      </c>
    </row>
    <row r="495" spans="5:11" customFormat="1" x14ac:dyDescent="0.2">
      <c r="E495" s="2405">
        <f t="shared" si="57"/>
        <v>0</v>
      </c>
      <c r="F495" s="25">
        <f t="shared" si="59"/>
        <v>0</v>
      </c>
      <c r="G495" s="2405"/>
      <c r="H495" s="2835" t="str">
        <f t="shared" si="58"/>
        <v/>
      </c>
      <c r="I495" s="25">
        <f t="shared" si="60"/>
        <v>0</v>
      </c>
      <c r="J495" s="25">
        <f t="shared" si="61"/>
        <v>0</v>
      </c>
      <c r="K495" s="25">
        <f t="shared" si="61"/>
        <v>0</v>
      </c>
    </row>
    <row r="496" spans="5:11" customFormat="1" x14ac:dyDescent="0.2">
      <c r="E496" s="2405">
        <f t="shared" si="57"/>
        <v>0</v>
      </c>
      <c r="F496" s="25">
        <f t="shared" si="59"/>
        <v>0</v>
      </c>
      <c r="G496" s="2405"/>
      <c r="H496" s="2835" t="str">
        <f t="shared" si="58"/>
        <v/>
      </c>
      <c r="I496" s="25">
        <f t="shared" si="60"/>
        <v>0</v>
      </c>
      <c r="J496" s="25">
        <f t="shared" si="61"/>
        <v>0</v>
      </c>
      <c r="K496" s="25">
        <f t="shared" si="61"/>
        <v>0</v>
      </c>
    </row>
    <row r="497" spans="5:11" customFormat="1" x14ac:dyDescent="0.2">
      <c r="E497" s="2405">
        <f t="shared" si="57"/>
        <v>0</v>
      </c>
      <c r="F497" s="25">
        <f t="shared" si="59"/>
        <v>0</v>
      </c>
      <c r="G497" s="2405"/>
      <c r="H497" s="2835" t="str">
        <f t="shared" si="58"/>
        <v/>
      </c>
      <c r="I497" s="25">
        <f t="shared" si="60"/>
        <v>0</v>
      </c>
      <c r="J497" s="25">
        <f t="shared" si="61"/>
        <v>0</v>
      </c>
      <c r="K497" s="25">
        <f t="shared" si="61"/>
        <v>0</v>
      </c>
    </row>
    <row r="498" spans="5:11" customFormat="1" x14ac:dyDescent="0.2">
      <c r="E498" s="2405">
        <f t="shared" si="57"/>
        <v>0</v>
      </c>
      <c r="F498" s="25">
        <f t="shared" si="59"/>
        <v>0</v>
      </c>
      <c r="G498" s="2405"/>
      <c r="H498" s="2835" t="str">
        <f t="shared" si="58"/>
        <v/>
      </c>
      <c r="I498" s="25">
        <f t="shared" si="60"/>
        <v>0</v>
      </c>
      <c r="J498" s="25">
        <f t="shared" si="61"/>
        <v>0</v>
      </c>
      <c r="K498" s="25">
        <f t="shared" si="61"/>
        <v>0</v>
      </c>
    </row>
    <row r="499" spans="5:11" customFormat="1" x14ac:dyDescent="0.2">
      <c r="E499" s="2405">
        <f t="shared" si="57"/>
        <v>0</v>
      </c>
      <c r="F499" s="25">
        <f t="shared" si="59"/>
        <v>0</v>
      </c>
      <c r="G499" s="2405"/>
      <c r="H499" s="2835" t="str">
        <f t="shared" si="58"/>
        <v/>
      </c>
      <c r="I499" s="25">
        <f t="shared" si="60"/>
        <v>0</v>
      </c>
      <c r="J499" s="25">
        <f t="shared" si="61"/>
        <v>0</v>
      </c>
      <c r="K499" s="25">
        <f t="shared" si="61"/>
        <v>0</v>
      </c>
    </row>
    <row r="500" spans="5:11" customFormat="1" x14ac:dyDescent="0.2">
      <c r="E500" s="2405">
        <f t="shared" si="57"/>
        <v>0</v>
      </c>
      <c r="F500" s="25">
        <f t="shared" si="59"/>
        <v>0</v>
      </c>
      <c r="G500" s="2405"/>
      <c r="H500" s="2835" t="str">
        <f t="shared" si="58"/>
        <v/>
      </c>
      <c r="I500" s="25">
        <f t="shared" si="60"/>
        <v>0</v>
      </c>
      <c r="J500" s="25">
        <f t="shared" si="61"/>
        <v>0</v>
      </c>
      <c r="K500" s="25">
        <f t="shared" si="61"/>
        <v>0</v>
      </c>
    </row>
    <row r="501" spans="5:11" customFormat="1" x14ac:dyDescent="0.2">
      <c r="E501" s="2405">
        <f t="shared" si="57"/>
        <v>0</v>
      </c>
      <c r="F501" s="25">
        <f t="shared" si="59"/>
        <v>0</v>
      </c>
      <c r="G501" s="2405"/>
      <c r="H501" s="2835" t="str">
        <f t="shared" si="58"/>
        <v/>
      </c>
      <c r="I501" s="25">
        <f t="shared" si="60"/>
        <v>0</v>
      </c>
      <c r="J501" s="25">
        <f t="shared" si="61"/>
        <v>0</v>
      </c>
      <c r="K501" s="25">
        <f t="shared" si="61"/>
        <v>0</v>
      </c>
    </row>
    <row r="502" spans="5:11" customFormat="1" x14ac:dyDescent="0.2">
      <c r="E502" s="2405">
        <f t="shared" si="57"/>
        <v>0</v>
      </c>
      <c r="F502" s="25">
        <f t="shared" si="59"/>
        <v>0</v>
      </c>
      <c r="G502" s="2405"/>
      <c r="H502" s="2835" t="str">
        <f t="shared" si="58"/>
        <v/>
      </c>
      <c r="I502" s="25">
        <f t="shared" si="60"/>
        <v>0</v>
      </c>
      <c r="J502" s="25">
        <f t="shared" si="61"/>
        <v>0</v>
      </c>
      <c r="K502" s="25">
        <f t="shared" si="61"/>
        <v>0</v>
      </c>
    </row>
    <row r="503" spans="5:11" customFormat="1" x14ac:dyDescent="0.2">
      <c r="E503" s="2405">
        <f t="shared" si="57"/>
        <v>0</v>
      </c>
      <c r="F503" s="25">
        <f t="shared" si="59"/>
        <v>0</v>
      </c>
      <c r="G503" s="2405"/>
      <c r="H503" s="2835" t="str">
        <f t="shared" si="58"/>
        <v/>
      </c>
      <c r="I503" s="25">
        <f t="shared" si="60"/>
        <v>0</v>
      </c>
      <c r="J503" s="25">
        <f t="shared" si="61"/>
        <v>0</v>
      </c>
      <c r="K503" s="25">
        <f t="shared" si="61"/>
        <v>0</v>
      </c>
    </row>
    <row r="504" spans="5:11" customFormat="1" x14ac:dyDescent="0.2">
      <c r="E504" s="2405">
        <f t="shared" si="57"/>
        <v>0</v>
      </c>
      <c r="F504" s="25">
        <f t="shared" si="59"/>
        <v>0</v>
      </c>
      <c r="G504" s="2405"/>
      <c r="H504" s="2835" t="str">
        <f t="shared" si="58"/>
        <v/>
      </c>
      <c r="I504" s="25">
        <f t="shared" si="60"/>
        <v>0</v>
      </c>
      <c r="J504" s="25">
        <f t="shared" si="61"/>
        <v>0</v>
      </c>
      <c r="K504" s="25">
        <f t="shared" si="61"/>
        <v>0</v>
      </c>
    </row>
    <row r="505" spans="5:11" customFormat="1" x14ac:dyDescent="0.2">
      <c r="E505" s="2405">
        <f t="shared" si="57"/>
        <v>0</v>
      </c>
      <c r="F505" s="25">
        <f t="shared" si="59"/>
        <v>0</v>
      </c>
      <c r="G505" s="2405"/>
      <c r="H505" s="2835" t="str">
        <f t="shared" si="58"/>
        <v/>
      </c>
      <c r="I505" s="25">
        <f t="shared" si="60"/>
        <v>0</v>
      </c>
      <c r="J505" s="25">
        <f t="shared" si="61"/>
        <v>0</v>
      </c>
      <c r="K505" s="25">
        <f t="shared" si="61"/>
        <v>0</v>
      </c>
    </row>
    <row r="506" spans="5:11" customFormat="1" x14ac:dyDescent="0.2">
      <c r="E506" s="2405">
        <f t="shared" si="57"/>
        <v>0</v>
      </c>
      <c r="F506" s="25">
        <f t="shared" si="59"/>
        <v>0</v>
      </c>
      <c r="G506" s="2405"/>
      <c r="H506" s="2835" t="str">
        <f t="shared" si="58"/>
        <v/>
      </c>
      <c r="I506" s="25">
        <f t="shared" si="60"/>
        <v>0</v>
      </c>
      <c r="J506" s="25">
        <f t="shared" si="61"/>
        <v>0</v>
      </c>
      <c r="K506" s="25">
        <f t="shared" si="61"/>
        <v>0</v>
      </c>
    </row>
    <row r="507" spans="5:11" customFormat="1" x14ac:dyDescent="0.2">
      <c r="E507" s="2405">
        <f t="shared" si="57"/>
        <v>0</v>
      </c>
      <c r="F507" s="25">
        <f t="shared" si="59"/>
        <v>0</v>
      </c>
      <c r="G507" s="2405"/>
      <c r="H507" s="2835" t="str">
        <f t="shared" si="58"/>
        <v/>
      </c>
      <c r="I507" s="25">
        <f t="shared" si="60"/>
        <v>0</v>
      </c>
      <c r="J507" s="25">
        <f t="shared" si="61"/>
        <v>0</v>
      </c>
      <c r="K507" s="25">
        <f t="shared" si="61"/>
        <v>0</v>
      </c>
    </row>
    <row r="508" spans="5:11" customFormat="1" x14ac:dyDescent="0.2">
      <c r="E508" s="2405">
        <f t="shared" si="57"/>
        <v>0</v>
      </c>
      <c r="F508" s="25">
        <f t="shared" si="59"/>
        <v>0</v>
      </c>
      <c r="G508" s="2405"/>
      <c r="H508" s="2835" t="str">
        <f t="shared" si="58"/>
        <v/>
      </c>
      <c r="I508" s="25">
        <f t="shared" si="60"/>
        <v>0</v>
      </c>
      <c r="J508" s="25">
        <f t="shared" si="61"/>
        <v>0</v>
      </c>
      <c r="K508" s="25">
        <f t="shared" si="61"/>
        <v>0</v>
      </c>
    </row>
    <row r="509" spans="5:11" customFormat="1" x14ac:dyDescent="0.2">
      <c r="E509" s="2405">
        <f t="shared" si="57"/>
        <v>0</v>
      </c>
      <c r="F509" s="25">
        <f t="shared" si="59"/>
        <v>0</v>
      </c>
      <c r="G509" s="2405"/>
      <c r="H509" s="2835" t="str">
        <f t="shared" si="58"/>
        <v/>
      </c>
      <c r="I509" s="25">
        <f t="shared" si="60"/>
        <v>0</v>
      </c>
      <c r="J509" s="25">
        <f t="shared" si="61"/>
        <v>0</v>
      </c>
      <c r="K509" s="25">
        <f t="shared" si="61"/>
        <v>0</v>
      </c>
    </row>
    <row r="510" spans="5:11" customFormat="1" x14ac:dyDescent="0.2">
      <c r="E510" s="2405">
        <f t="shared" si="57"/>
        <v>0</v>
      </c>
      <c r="F510" s="25">
        <f t="shared" si="59"/>
        <v>0</v>
      </c>
      <c r="G510" s="2405"/>
      <c r="H510" s="2835" t="str">
        <f t="shared" si="58"/>
        <v/>
      </c>
      <c r="I510" s="25">
        <f t="shared" si="60"/>
        <v>0</v>
      </c>
      <c r="J510" s="25">
        <f t="shared" si="61"/>
        <v>0</v>
      </c>
      <c r="K510" s="25">
        <f t="shared" si="61"/>
        <v>0</v>
      </c>
    </row>
    <row r="511" spans="5:11" customFormat="1" x14ac:dyDescent="0.2">
      <c r="E511" s="2405">
        <f t="shared" si="57"/>
        <v>0</v>
      </c>
      <c r="F511" s="25">
        <f t="shared" si="59"/>
        <v>0</v>
      </c>
      <c r="G511" s="2405"/>
      <c r="H511" s="2835" t="str">
        <f t="shared" si="58"/>
        <v/>
      </c>
      <c r="I511" s="25">
        <f t="shared" si="60"/>
        <v>0</v>
      </c>
      <c r="J511" s="25">
        <f t="shared" si="61"/>
        <v>0</v>
      </c>
      <c r="K511" s="25">
        <f t="shared" si="61"/>
        <v>0</v>
      </c>
    </row>
    <row r="512" spans="5:11" customFormat="1" x14ac:dyDescent="0.2">
      <c r="E512" s="2405">
        <f t="shared" si="57"/>
        <v>0</v>
      </c>
      <c r="F512" s="25">
        <f t="shared" si="59"/>
        <v>0</v>
      </c>
      <c r="G512" s="2405"/>
      <c r="H512" s="2835" t="str">
        <f t="shared" si="58"/>
        <v/>
      </c>
      <c r="I512" s="25">
        <f t="shared" si="60"/>
        <v>0</v>
      </c>
      <c r="J512" s="25">
        <f t="shared" si="61"/>
        <v>0</v>
      </c>
      <c r="K512" s="25">
        <f t="shared" si="61"/>
        <v>0</v>
      </c>
    </row>
    <row r="513" spans="5:11" customFormat="1" x14ac:dyDescent="0.2">
      <c r="E513" s="2405">
        <f t="shared" si="57"/>
        <v>0</v>
      </c>
      <c r="F513" s="25">
        <f t="shared" si="59"/>
        <v>0</v>
      </c>
      <c r="G513" s="2405"/>
      <c r="H513" s="2835" t="str">
        <f t="shared" si="58"/>
        <v/>
      </c>
      <c r="I513" s="25">
        <f t="shared" si="60"/>
        <v>0</v>
      </c>
      <c r="J513" s="25">
        <f t="shared" si="61"/>
        <v>0</v>
      </c>
      <c r="K513" s="25">
        <f t="shared" si="61"/>
        <v>0</v>
      </c>
    </row>
    <row r="514" spans="5:11" customFormat="1" x14ac:dyDescent="0.2">
      <c r="E514" s="2405">
        <f t="shared" si="57"/>
        <v>0</v>
      </c>
      <c r="F514" s="25">
        <f t="shared" si="59"/>
        <v>0</v>
      </c>
      <c r="G514" s="2405"/>
      <c r="H514" s="2835" t="str">
        <f t="shared" si="58"/>
        <v/>
      </c>
      <c r="I514" s="25">
        <f t="shared" si="60"/>
        <v>0</v>
      </c>
      <c r="J514" s="25">
        <f t="shared" si="61"/>
        <v>0</v>
      </c>
      <c r="K514" s="25">
        <f t="shared" si="61"/>
        <v>0</v>
      </c>
    </row>
    <row r="515" spans="5:11" customFormat="1" x14ac:dyDescent="0.2">
      <c r="E515" s="2405">
        <f t="shared" si="57"/>
        <v>0</v>
      </c>
      <c r="F515" s="25">
        <f t="shared" si="59"/>
        <v>0</v>
      </c>
      <c r="G515" s="2405"/>
      <c r="H515" s="2835" t="str">
        <f t="shared" si="58"/>
        <v/>
      </c>
      <c r="I515" s="25">
        <f t="shared" si="60"/>
        <v>0</v>
      </c>
      <c r="J515" s="25">
        <f t="shared" si="61"/>
        <v>0</v>
      </c>
      <c r="K515" s="25">
        <f t="shared" si="61"/>
        <v>0</v>
      </c>
    </row>
    <row r="516" spans="5:11" customFormat="1" x14ac:dyDescent="0.2">
      <c r="E516" s="2405">
        <f t="shared" si="57"/>
        <v>0</v>
      </c>
      <c r="F516" s="25">
        <f t="shared" si="59"/>
        <v>0</v>
      </c>
      <c r="G516" s="2405"/>
      <c r="H516" s="2835" t="str">
        <f t="shared" si="58"/>
        <v/>
      </c>
      <c r="I516" s="25">
        <f t="shared" si="60"/>
        <v>0</v>
      </c>
      <c r="J516" s="25">
        <f t="shared" si="61"/>
        <v>0</v>
      </c>
      <c r="K516" s="25">
        <f t="shared" si="61"/>
        <v>0</v>
      </c>
    </row>
    <row r="517" spans="5:11" customFormat="1" x14ac:dyDescent="0.2">
      <c r="E517" s="2405">
        <f t="shared" si="57"/>
        <v>0</v>
      </c>
      <c r="F517" s="25">
        <f t="shared" si="59"/>
        <v>0</v>
      </c>
      <c r="G517" s="2405"/>
      <c r="H517" s="2835" t="str">
        <f t="shared" si="58"/>
        <v/>
      </c>
      <c r="I517" s="25">
        <f t="shared" si="60"/>
        <v>0</v>
      </c>
      <c r="J517" s="25">
        <f t="shared" si="61"/>
        <v>0</v>
      </c>
      <c r="K517" s="25">
        <f t="shared" si="61"/>
        <v>0</v>
      </c>
    </row>
    <row r="518" spans="5:11" customFormat="1" x14ac:dyDescent="0.2">
      <c r="E518" s="2405">
        <f t="shared" si="57"/>
        <v>0</v>
      </c>
      <c r="F518" s="25">
        <f t="shared" si="59"/>
        <v>0</v>
      </c>
      <c r="G518" s="2405"/>
      <c r="H518" s="2835" t="str">
        <f t="shared" si="58"/>
        <v/>
      </c>
      <c r="I518" s="25">
        <f t="shared" si="60"/>
        <v>0</v>
      </c>
      <c r="J518" s="25">
        <f t="shared" si="61"/>
        <v>0</v>
      </c>
      <c r="K518" s="25">
        <f t="shared" si="61"/>
        <v>0</v>
      </c>
    </row>
    <row r="519" spans="5:11" customFormat="1" x14ac:dyDescent="0.2">
      <c r="E519" s="2405">
        <f t="shared" si="57"/>
        <v>0</v>
      </c>
      <c r="F519" s="25">
        <f t="shared" si="59"/>
        <v>0</v>
      </c>
      <c r="G519" s="2405"/>
      <c r="H519" s="2835" t="str">
        <f t="shared" si="58"/>
        <v/>
      </c>
      <c r="I519" s="25">
        <f t="shared" si="60"/>
        <v>0</v>
      </c>
      <c r="J519" s="25">
        <f t="shared" si="61"/>
        <v>0</v>
      </c>
      <c r="K519" s="25">
        <f t="shared" si="61"/>
        <v>0</v>
      </c>
    </row>
    <row r="520" spans="5:11" customFormat="1" x14ac:dyDescent="0.2">
      <c r="E520" s="2405">
        <f t="shared" si="57"/>
        <v>0</v>
      </c>
      <c r="F520" s="25">
        <f t="shared" si="59"/>
        <v>0</v>
      </c>
      <c r="G520" s="2405"/>
      <c r="H520" s="2835" t="str">
        <f t="shared" si="58"/>
        <v/>
      </c>
      <c r="I520" s="25">
        <f t="shared" si="60"/>
        <v>0</v>
      </c>
      <c r="J520" s="25">
        <f t="shared" si="61"/>
        <v>0</v>
      </c>
      <c r="K520" s="25">
        <f t="shared" si="61"/>
        <v>0</v>
      </c>
    </row>
    <row r="521" spans="5:11" customFormat="1" x14ac:dyDescent="0.2">
      <c r="E521" s="2405">
        <f t="shared" si="57"/>
        <v>0</v>
      </c>
      <c r="F521" s="25">
        <f t="shared" si="59"/>
        <v>0</v>
      </c>
      <c r="G521" s="2405"/>
      <c r="H521" s="2835" t="str">
        <f t="shared" si="58"/>
        <v/>
      </c>
      <c r="I521" s="25">
        <f t="shared" si="60"/>
        <v>0</v>
      </c>
      <c r="J521" s="25">
        <f t="shared" si="61"/>
        <v>0</v>
      </c>
      <c r="K521" s="25">
        <f t="shared" si="61"/>
        <v>0</v>
      </c>
    </row>
    <row r="522" spans="5:11" customFormat="1" x14ac:dyDescent="0.2">
      <c r="E522" s="2405">
        <f t="shared" si="57"/>
        <v>0</v>
      </c>
      <c r="F522" s="25">
        <f t="shared" si="59"/>
        <v>0</v>
      </c>
      <c r="G522" s="2405"/>
      <c r="H522" s="2835" t="str">
        <f t="shared" si="58"/>
        <v/>
      </c>
      <c r="I522" s="25">
        <f t="shared" si="60"/>
        <v>0</v>
      </c>
      <c r="J522" s="25">
        <f t="shared" si="61"/>
        <v>0</v>
      </c>
      <c r="K522" s="25">
        <f t="shared" si="61"/>
        <v>0</v>
      </c>
    </row>
    <row r="523" spans="5:11" customFormat="1" x14ac:dyDescent="0.2">
      <c r="E523" s="2405">
        <f t="shared" si="57"/>
        <v>0</v>
      </c>
      <c r="F523" s="25">
        <f t="shared" si="59"/>
        <v>0</v>
      </c>
      <c r="G523" s="2405"/>
      <c r="H523" s="2835" t="str">
        <f t="shared" si="58"/>
        <v/>
      </c>
      <c r="I523" s="25">
        <f t="shared" si="60"/>
        <v>0</v>
      </c>
      <c r="J523" s="25">
        <f t="shared" si="61"/>
        <v>0</v>
      </c>
      <c r="K523" s="25">
        <f t="shared" si="61"/>
        <v>0</v>
      </c>
    </row>
    <row r="524" spans="5:11" customFormat="1" x14ac:dyDescent="0.2">
      <c r="E524" s="2405">
        <f t="shared" si="57"/>
        <v>0</v>
      </c>
      <c r="F524" s="25">
        <f t="shared" si="59"/>
        <v>0</v>
      </c>
      <c r="G524" s="2405"/>
      <c r="H524" s="2835" t="str">
        <f t="shared" si="58"/>
        <v/>
      </c>
      <c r="I524" s="25">
        <f t="shared" si="60"/>
        <v>0</v>
      </c>
      <c r="J524" s="25">
        <f t="shared" si="61"/>
        <v>0</v>
      </c>
      <c r="K524" s="25">
        <f t="shared" si="61"/>
        <v>0</v>
      </c>
    </row>
    <row r="525" spans="5:11" customFormat="1" x14ac:dyDescent="0.2">
      <c r="E525" s="2405">
        <f t="shared" si="57"/>
        <v>0</v>
      </c>
      <c r="F525" s="25">
        <f t="shared" si="59"/>
        <v>0</v>
      </c>
      <c r="G525" s="2405"/>
      <c r="H525" s="2835" t="str">
        <f t="shared" si="58"/>
        <v/>
      </c>
      <c r="I525" s="25">
        <f t="shared" si="60"/>
        <v>0</v>
      </c>
      <c r="J525" s="25">
        <f t="shared" si="61"/>
        <v>0</v>
      </c>
      <c r="K525" s="25">
        <f t="shared" si="61"/>
        <v>0</v>
      </c>
    </row>
    <row r="526" spans="5:11" customFormat="1" x14ac:dyDescent="0.2">
      <c r="E526" s="2405">
        <f t="shared" si="57"/>
        <v>0</v>
      </c>
      <c r="F526" s="25">
        <f t="shared" si="59"/>
        <v>0</v>
      </c>
      <c r="G526" s="2405"/>
      <c r="H526" s="2835" t="str">
        <f t="shared" si="58"/>
        <v/>
      </c>
      <c r="I526" s="25">
        <f t="shared" si="60"/>
        <v>0</v>
      </c>
      <c r="J526" s="25">
        <f t="shared" si="61"/>
        <v>0</v>
      </c>
      <c r="K526" s="25">
        <f t="shared" si="61"/>
        <v>0</v>
      </c>
    </row>
    <row r="527" spans="5:11" customFormat="1" x14ac:dyDescent="0.2">
      <c r="E527" s="2405">
        <f t="shared" si="57"/>
        <v>0</v>
      </c>
      <c r="F527" s="25">
        <f t="shared" si="59"/>
        <v>0</v>
      </c>
      <c r="G527" s="2405"/>
      <c r="H527" s="2835" t="str">
        <f t="shared" si="58"/>
        <v/>
      </c>
      <c r="I527" s="25">
        <f t="shared" si="60"/>
        <v>0</v>
      </c>
      <c r="J527" s="25">
        <f t="shared" si="61"/>
        <v>0</v>
      </c>
      <c r="K527" s="25">
        <f t="shared" si="61"/>
        <v>0</v>
      </c>
    </row>
    <row r="528" spans="5:11" customFormat="1" x14ac:dyDescent="0.2">
      <c r="E528" s="2405">
        <f t="shared" si="57"/>
        <v>0</v>
      </c>
      <c r="F528" s="25">
        <f t="shared" si="59"/>
        <v>0</v>
      </c>
      <c r="G528" s="2405"/>
      <c r="H528" s="2835" t="str">
        <f t="shared" si="58"/>
        <v/>
      </c>
      <c r="I528" s="25">
        <f t="shared" si="60"/>
        <v>0</v>
      </c>
      <c r="J528" s="25">
        <f t="shared" si="61"/>
        <v>0</v>
      </c>
      <c r="K528" s="25">
        <f t="shared" si="61"/>
        <v>0</v>
      </c>
    </row>
    <row r="529" spans="4:13" customFormat="1" x14ac:dyDescent="0.2">
      <c r="D529" s="2405"/>
      <c r="E529" s="2405">
        <f t="shared" si="57"/>
        <v>0</v>
      </c>
      <c r="F529" s="25">
        <f t="shared" si="59"/>
        <v>0</v>
      </c>
      <c r="G529" s="2405"/>
      <c r="H529" s="2835" t="str">
        <f t="shared" si="58"/>
        <v/>
      </c>
      <c r="I529" s="25">
        <f t="shared" si="60"/>
        <v>0</v>
      </c>
      <c r="J529" s="25">
        <f t="shared" si="61"/>
        <v>0</v>
      </c>
      <c r="K529" s="25">
        <f t="shared" si="61"/>
        <v>0</v>
      </c>
      <c r="L529" s="25"/>
      <c r="M529" s="25"/>
    </row>
    <row r="530" spans="4:13" customFormat="1" x14ac:dyDescent="0.2">
      <c r="D530" s="2448"/>
      <c r="E530" s="2448"/>
      <c r="F530" s="189"/>
      <c r="G530" s="2448"/>
      <c r="H530" s="189"/>
      <c r="I530" s="189"/>
      <c r="J530" s="189"/>
      <c r="K530" s="189"/>
      <c r="L530" s="25"/>
      <c r="M530" s="25"/>
    </row>
    <row r="531" spans="4:13" customFormat="1" x14ac:dyDescent="0.2">
      <c r="D531" s="2848" t="s">
        <v>1455</v>
      </c>
      <c r="E531" s="2848" t="s">
        <v>1454</v>
      </c>
      <c r="F531" s="2848" t="s">
        <v>1961</v>
      </c>
      <c r="G531" s="2848" t="s">
        <v>1553</v>
      </c>
      <c r="H531" s="2848" t="s">
        <v>1453</v>
      </c>
      <c r="I531" s="2848" t="s">
        <v>1962</v>
      </c>
      <c r="J531" s="2848" t="s">
        <v>1963</v>
      </c>
      <c r="K531" s="2848" t="s">
        <v>1964</v>
      </c>
      <c r="L531" s="2848" t="s">
        <v>1965</v>
      </c>
      <c r="M531" s="2848" t="s">
        <v>1966</v>
      </c>
    </row>
    <row r="532" spans="4:13" customFormat="1" x14ac:dyDescent="0.2">
      <c r="D532" s="2448"/>
      <c r="E532" s="2448"/>
      <c r="F532" s="189"/>
      <c r="G532" s="2448"/>
      <c r="H532" s="189"/>
      <c r="I532" s="189"/>
      <c r="J532" s="189"/>
      <c r="K532" s="189"/>
      <c r="L532" s="25"/>
      <c r="M532" s="25"/>
    </row>
    <row r="533" spans="4:13" customFormat="1" x14ac:dyDescent="0.2">
      <c r="D533" s="2448"/>
      <c r="E533" s="2448"/>
      <c r="F533" s="189"/>
      <c r="G533" s="2448"/>
      <c r="H533" s="189"/>
      <c r="I533" s="189"/>
      <c r="J533" s="189"/>
      <c r="K533" s="189"/>
      <c r="L533" s="25"/>
      <c r="M533" s="25"/>
    </row>
    <row r="534" spans="4:13" customFormat="1" x14ac:dyDescent="0.2">
      <c r="D534" s="2448"/>
      <c r="E534" s="2448"/>
      <c r="F534" s="189"/>
      <c r="G534" s="2448"/>
      <c r="H534" s="189"/>
      <c r="I534" s="189"/>
      <c r="J534" s="189"/>
      <c r="K534" s="189"/>
      <c r="L534" s="25"/>
      <c r="M534" s="25"/>
    </row>
    <row r="535" spans="4:13" customFormat="1" x14ac:dyDescent="0.2">
      <c r="D535" s="2448"/>
      <c r="E535" s="2448"/>
      <c r="F535" s="189"/>
      <c r="G535" s="2448"/>
      <c r="H535" s="189"/>
      <c r="I535" s="189"/>
      <c r="J535" s="189"/>
      <c r="K535" s="189"/>
      <c r="L535" s="25"/>
      <c r="M535" s="25"/>
    </row>
    <row r="536" spans="4:13" customFormat="1" x14ac:dyDescent="0.2">
      <c r="D536" s="2448"/>
      <c r="E536" s="2448"/>
      <c r="F536" s="189"/>
      <c r="G536" s="2448"/>
      <c r="H536" s="189"/>
      <c r="I536" s="189"/>
      <c r="J536" s="189"/>
      <c r="K536" s="189"/>
      <c r="L536" s="25"/>
      <c r="M536" s="25"/>
    </row>
    <row r="537" spans="4:13" customFormat="1" x14ac:dyDescent="0.2">
      <c r="D537" s="2448"/>
      <c r="E537" s="2448"/>
      <c r="F537" s="189"/>
      <c r="G537" s="2448"/>
      <c r="H537" s="189"/>
      <c r="I537" s="189"/>
      <c r="J537" s="189"/>
      <c r="K537" s="189"/>
      <c r="L537" s="25"/>
      <c r="M537" s="25"/>
    </row>
    <row r="538" spans="4:13" customFormat="1" x14ac:dyDescent="0.2">
      <c r="D538" s="2448"/>
      <c r="E538" s="2448"/>
      <c r="F538" s="189"/>
      <c r="G538" s="2448"/>
      <c r="H538" s="189"/>
      <c r="I538" s="189"/>
      <c r="J538" s="189"/>
      <c r="K538" s="189"/>
      <c r="L538" s="25"/>
      <c r="M538" s="25"/>
    </row>
    <row r="539" spans="4:13" customFormat="1" x14ac:dyDescent="0.2">
      <c r="D539" s="2448"/>
      <c r="E539" s="2448"/>
      <c r="F539" s="189"/>
      <c r="G539" s="2448"/>
      <c r="H539" s="189"/>
      <c r="I539" s="189"/>
      <c r="J539" s="189"/>
      <c r="K539" s="189"/>
      <c r="L539" s="25"/>
      <c r="M539" s="25"/>
    </row>
    <row r="540" spans="4:13" customFormat="1" x14ac:dyDescent="0.2">
      <c r="D540" s="2448"/>
      <c r="E540" s="2448"/>
      <c r="F540" s="189"/>
      <c r="G540" s="2448"/>
      <c r="H540" s="189"/>
      <c r="I540" s="189"/>
      <c r="J540" s="189"/>
      <c r="K540" s="189"/>
      <c r="L540" s="25"/>
      <c r="M540" s="25"/>
    </row>
    <row r="541" spans="4:13" customFormat="1" x14ac:dyDescent="0.2">
      <c r="D541" s="2448"/>
      <c r="E541" s="2448"/>
      <c r="F541" s="189"/>
      <c r="G541" s="2448"/>
      <c r="H541" s="189"/>
      <c r="I541" s="189"/>
      <c r="J541" s="189"/>
      <c r="K541" s="189"/>
      <c r="L541" s="25"/>
      <c r="M541" s="25"/>
    </row>
    <row r="542" spans="4:13" customFormat="1" x14ac:dyDescent="0.2">
      <c r="D542" s="2448"/>
      <c r="E542" s="2448"/>
      <c r="F542" s="189"/>
      <c r="G542" s="2448"/>
      <c r="H542" s="189"/>
      <c r="I542" s="189"/>
      <c r="J542" s="189"/>
      <c r="K542" s="189"/>
      <c r="L542" s="25"/>
      <c r="M542" s="25"/>
    </row>
    <row r="543" spans="4:13" customFormat="1" x14ac:dyDescent="0.2">
      <c r="D543" s="2448"/>
      <c r="E543" s="2448"/>
      <c r="F543" s="189"/>
      <c r="G543" s="2448"/>
      <c r="H543" s="189"/>
      <c r="I543" s="189"/>
      <c r="J543" s="189"/>
      <c r="K543" s="189"/>
      <c r="L543" s="25"/>
      <c r="M543" s="25"/>
    </row>
    <row r="544" spans="4:13" customFormat="1" x14ac:dyDescent="0.2">
      <c r="D544" s="2448"/>
      <c r="E544" s="2448"/>
      <c r="F544" s="189"/>
      <c r="G544" s="2448"/>
      <c r="H544" s="189"/>
      <c r="I544" s="189"/>
      <c r="J544" s="189"/>
      <c r="K544" s="189"/>
      <c r="L544" s="25"/>
      <c r="M544" s="25"/>
    </row>
    <row r="545" spans="4:11" customFormat="1" x14ac:dyDescent="0.2">
      <c r="D545" s="2448"/>
      <c r="E545" s="2448"/>
      <c r="F545" s="189"/>
      <c r="G545" s="2448"/>
      <c r="H545" s="189"/>
      <c r="I545" s="189"/>
      <c r="J545" s="189"/>
      <c r="K545" s="189"/>
    </row>
    <row r="546" spans="4:11" customFormat="1" x14ac:dyDescent="0.2">
      <c r="D546" s="2448"/>
      <c r="E546" s="2448"/>
      <c r="F546" s="189"/>
      <c r="G546" s="2448"/>
      <c r="H546" s="189"/>
      <c r="I546" s="189"/>
      <c r="J546" s="189"/>
      <c r="K546" s="189"/>
    </row>
    <row r="547" spans="4:11" customFormat="1" x14ac:dyDescent="0.2">
      <c r="D547" s="2448"/>
      <c r="E547" s="2448"/>
      <c r="F547" s="189"/>
      <c r="G547" s="2448"/>
      <c r="H547" s="189"/>
      <c r="I547" s="189"/>
      <c r="J547" s="189"/>
      <c r="K547" s="189"/>
    </row>
    <row r="548" spans="4:11" customFormat="1" x14ac:dyDescent="0.2">
      <c r="D548" s="2448"/>
      <c r="E548" s="2448"/>
      <c r="F548" s="189"/>
      <c r="G548" s="2448"/>
      <c r="H548" s="189"/>
      <c r="I548" s="189"/>
      <c r="J548" s="189"/>
      <c r="K548" s="189"/>
    </row>
    <row r="549" spans="4:11" customFormat="1" x14ac:dyDescent="0.2">
      <c r="D549" s="2448"/>
      <c r="E549" s="2448"/>
      <c r="F549" s="189"/>
      <c r="G549" s="2448"/>
      <c r="H549" s="189"/>
      <c r="I549" s="189"/>
      <c r="J549" s="189"/>
      <c r="K549" s="189"/>
    </row>
    <row r="550" spans="4:11" customFormat="1" x14ac:dyDescent="0.2">
      <c r="D550" s="2448"/>
      <c r="E550" s="2448"/>
      <c r="F550" s="189"/>
      <c r="G550" s="2448"/>
      <c r="H550" s="189"/>
      <c r="I550" s="189"/>
      <c r="J550" s="189"/>
      <c r="K550" s="189"/>
    </row>
    <row r="551" spans="4:11" customFormat="1" x14ac:dyDescent="0.2">
      <c r="D551" s="2448"/>
      <c r="E551" s="2448"/>
      <c r="F551" s="189"/>
      <c r="G551" s="2448"/>
      <c r="H551" s="189"/>
      <c r="I551" s="189"/>
      <c r="J551" s="189"/>
      <c r="K551" s="189"/>
    </row>
    <row r="552" spans="4:11" customFormat="1" x14ac:dyDescent="0.2">
      <c r="D552" s="2448"/>
      <c r="E552" s="2448"/>
      <c r="F552" s="189"/>
      <c r="G552" s="2448"/>
      <c r="H552" s="189"/>
      <c r="I552" s="189"/>
      <c r="J552" s="189"/>
      <c r="K552" s="189"/>
    </row>
    <row r="553" spans="4:11" customFormat="1" x14ac:dyDescent="0.2">
      <c r="D553" s="2448"/>
      <c r="E553" s="2448"/>
      <c r="F553" s="189"/>
      <c r="G553" s="2448"/>
      <c r="H553" s="189"/>
      <c r="I553" s="189"/>
      <c r="J553" s="189"/>
      <c r="K553" s="189"/>
    </row>
    <row r="554" spans="4:11" customFormat="1" x14ac:dyDescent="0.2">
      <c r="D554" s="2448"/>
      <c r="E554" s="2448"/>
      <c r="F554" s="189"/>
      <c r="G554" s="2448"/>
      <c r="H554" s="189"/>
      <c r="I554" s="189"/>
      <c r="J554" s="189"/>
      <c r="K554" s="189"/>
    </row>
    <row r="555" spans="4:11" customFormat="1" x14ac:dyDescent="0.2">
      <c r="D555" s="2448"/>
      <c r="E555" s="2448"/>
      <c r="F555" s="189"/>
      <c r="G555" s="2448"/>
      <c r="H555" s="189"/>
      <c r="I555" s="189"/>
      <c r="J555" s="189"/>
      <c r="K555" s="189"/>
    </row>
    <row r="556" spans="4:11" customFormat="1" x14ac:dyDescent="0.2">
      <c r="D556" s="2448"/>
      <c r="E556" s="2448"/>
      <c r="F556" s="189"/>
      <c r="G556" s="2448"/>
      <c r="H556" s="189"/>
      <c r="I556" s="189"/>
      <c r="J556" s="189"/>
      <c r="K556" s="189"/>
    </row>
    <row r="557" spans="4:11" customFormat="1" x14ac:dyDescent="0.2">
      <c r="D557" s="2448"/>
      <c r="E557" s="2448"/>
      <c r="F557" s="189"/>
      <c r="G557" s="2448"/>
      <c r="H557" s="189"/>
      <c r="I557" s="189"/>
      <c r="J557" s="189"/>
      <c r="K557" s="189"/>
    </row>
    <row r="558" spans="4:11" customFormat="1" x14ac:dyDescent="0.2">
      <c r="D558" s="2448"/>
      <c r="E558" s="2448"/>
      <c r="F558" s="189"/>
      <c r="G558" s="2448"/>
      <c r="H558" s="189"/>
      <c r="I558" s="189"/>
      <c r="J558" s="189"/>
      <c r="K558" s="189"/>
    </row>
    <row r="559" spans="4:11" customFormat="1" x14ac:dyDescent="0.2">
      <c r="D559" s="2448"/>
      <c r="E559" s="2448"/>
      <c r="F559" s="189"/>
      <c r="G559" s="2448"/>
      <c r="H559" s="189"/>
      <c r="I559" s="189"/>
      <c r="J559" s="189"/>
      <c r="K559" s="189"/>
    </row>
    <row r="560" spans="4:11" customFormat="1" x14ac:dyDescent="0.2">
      <c r="D560" s="2448"/>
      <c r="E560" s="2448"/>
      <c r="F560" s="189"/>
      <c r="G560" s="2448"/>
      <c r="H560" s="189"/>
      <c r="I560" s="189"/>
      <c r="J560" s="189"/>
      <c r="K560" s="189"/>
    </row>
    <row r="561" spans="4:11" customFormat="1" x14ac:dyDescent="0.2">
      <c r="D561" s="2448"/>
      <c r="E561" s="2448"/>
      <c r="F561" s="189"/>
      <c r="G561" s="2448"/>
      <c r="H561" s="189"/>
      <c r="I561" s="189"/>
      <c r="J561" s="189"/>
      <c r="K561" s="189"/>
    </row>
    <row r="562" spans="4:11" customFormat="1" x14ac:dyDescent="0.2">
      <c r="D562" s="2448"/>
      <c r="E562" s="2448"/>
      <c r="F562" s="189"/>
      <c r="G562" s="2448"/>
      <c r="H562" s="189"/>
      <c r="I562" s="189"/>
      <c r="J562" s="189"/>
      <c r="K562" s="189"/>
    </row>
    <row r="563" spans="4:11" customFormat="1" x14ac:dyDescent="0.2">
      <c r="D563" s="2448"/>
      <c r="E563" s="2448"/>
      <c r="F563" s="189"/>
      <c r="G563" s="2448"/>
      <c r="H563" s="189"/>
      <c r="I563" s="189"/>
      <c r="J563" s="189"/>
      <c r="K563" s="189"/>
    </row>
    <row r="564" spans="4:11" customFormat="1" x14ac:dyDescent="0.2">
      <c r="D564" s="2448"/>
      <c r="E564" s="2448"/>
      <c r="F564" s="189"/>
      <c r="G564" s="2448"/>
      <c r="H564" s="189"/>
      <c r="I564" s="189"/>
      <c r="J564" s="189"/>
      <c r="K564" s="189"/>
    </row>
    <row r="565" spans="4:11" customFormat="1" x14ac:dyDescent="0.2">
      <c r="D565" s="2448"/>
      <c r="E565" s="2448"/>
      <c r="F565" s="189"/>
      <c r="G565" s="2448"/>
      <c r="H565" s="189"/>
      <c r="I565" s="189"/>
      <c r="J565" s="189"/>
      <c r="K565" s="189"/>
    </row>
    <row r="566" spans="4:11" customFormat="1" x14ac:dyDescent="0.2">
      <c r="D566" s="2448"/>
      <c r="E566" s="2448"/>
      <c r="F566" s="189"/>
      <c r="G566" s="2448"/>
      <c r="H566" s="189"/>
      <c r="I566" s="189"/>
      <c r="J566" s="189"/>
      <c r="K566" s="189"/>
    </row>
    <row r="567" spans="4:11" customFormat="1" x14ac:dyDescent="0.2">
      <c r="D567" s="2448"/>
      <c r="E567" s="2448"/>
      <c r="F567" s="189"/>
      <c r="G567" s="2448"/>
      <c r="H567" s="189"/>
      <c r="I567" s="189"/>
      <c r="J567" s="189"/>
      <c r="K567" s="189"/>
    </row>
    <row r="568" spans="4:11" customFormat="1" x14ac:dyDescent="0.2">
      <c r="D568" s="2448"/>
      <c r="E568" s="2448"/>
      <c r="F568" s="189"/>
      <c r="G568" s="2448"/>
      <c r="H568" s="189"/>
      <c r="I568" s="189"/>
      <c r="J568" s="189"/>
      <c r="K568" s="189"/>
    </row>
    <row r="569" spans="4:11" customFormat="1" x14ac:dyDescent="0.2">
      <c r="D569" s="2448"/>
      <c r="E569" s="2448"/>
      <c r="F569" s="189"/>
      <c r="G569" s="2448"/>
      <c r="H569" s="189"/>
      <c r="I569" s="189"/>
      <c r="J569" s="189"/>
      <c r="K569" s="189"/>
    </row>
    <row r="570" spans="4:11" customFormat="1" x14ac:dyDescent="0.2">
      <c r="D570" s="2448"/>
      <c r="E570" s="2448"/>
      <c r="F570" s="189"/>
      <c r="G570" s="2448"/>
      <c r="H570" s="189"/>
      <c r="I570" s="189"/>
      <c r="J570" s="189"/>
      <c r="K570" s="189"/>
    </row>
    <row r="571" spans="4:11" customFormat="1" x14ac:dyDescent="0.2">
      <c r="D571" s="2448"/>
      <c r="E571" s="2448"/>
      <c r="F571" s="189"/>
      <c r="G571" s="2448"/>
      <c r="H571" s="189"/>
      <c r="I571" s="189"/>
      <c r="J571" s="189"/>
      <c r="K571" s="189"/>
    </row>
    <row r="572" spans="4:11" customFormat="1" x14ac:dyDescent="0.2">
      <c r="D572" s="2448"/>
      <c r="E572" s="2448"/>
      <c r="F572" s="189"/>
      <c r="G572" s="2448"/>
      <c r="H572" s="189"/>
      <c r="I572" s="189"/>
      <c r="J572" s="189"/>
      <c r="K572" s="189"/>
    </row>
    <row r="573" spans="4:11" customFormat="1" x14ac:dyDescent="0.2">
      <c r="D573" s="2448"/>
      <c r="E573" s="2448"/>
      <c r="F573" s="189"/>
      <c r="G573" s="2448"/>
      <c r="H573" s="189"/>
      <c r="I573" s="189"/>
      <c r="J573" s="189"/>
      <c r="K573" s="189"/>
    </row>
    <row r="574" spans="4:11" customFormat="1" x14ac:dyDescent="0.2">
      <c r="D574" s="2448"/>
      <c r="E574" s="2448"/>
      <c r="F574" s="189"/>
      <c r="G574" s="2448"/>
      <c r="H574" s="189"/>
      <c r="I574" s="189"/>
      <c r="J574" s="189"/>
      <c r="K574" s="189"/>
    </row>
    <row r="575" spans="4:11" customFormat="1" x14ac:dyDescent="0.2">
      <c r="D575" s="2448"/>
      <c r="E575" s="2448"/>
      <c r="F575" s="189"/>
      <c r="G575" s="2448"/>
      <c r="H575" s="189"/>
      <c r="I575" s="189"/>
      <c r="J575" s="189"/>
      <c r="K575" s="189"/>
    </row>
    <row r="576" spans="4:11" customFormat="1" x14ac:dyDescent="0.2">
      <c r="D576" s="2448"/>
      <c r="E576" s="2448"/>
      <c r="F576" s="189"/>
      <c r="G576" s="2448"/>
      <c r="H576" s="189"/>
      <c r="I576" s="189"/>
      <c r="J576" s="189"/>
      <c r="K576" s="189"/>
    </row>
    <row r="577" spans="4:11" customFormat="1" x14ac:dyDescent="0.2">
      <c r="D577" s="2448"/>
      <c r="E577" s="2448"/>
      <c r="F577" s="189"/>
      <c r="G577" s="2448"/>
      <c r="H577" s="189"/>
      <c r="I577" s="189"/>
      <c r="J577" s="189"/>
      <c r="K577" s="189"/>
    </row>
    <row r="578" spans="4:11" customFormat="1" x14ac:dyDescent="0.2">
      <c r="D578" s="2448"/>
      <c r="E578" s="2448"/>
      <c r="F578" s="189"/>
      <c r="G578" s="2448"/>
      <c r="H578" s="189"/>
      <c r="I578" s="189"/>
      <c r="J578" s="189"/>
      <c r="K578" s="189"/>
    </row>
    <row r="579" spans="4:11" customFormat="1" x14ac:dyDescent="0.2">
      <c r="D579" s="2448"/>
      <c r="E579" s="2448"/>
      <c r="F579" s="189"/>
      <c r="G579" s="2448"/>
      <c r="H579" s="189"/>
      <c r="I579" s="189"/>
      <c r="J579" s="189"/>
      <c r="K579" s="189"/>
    </row>
    <row r="580" spans="4:11" customFormat="1" x14ac:dyDescent="0.2">
      <c r="D580" s="2448"/>
      <c r="E580" s="2448"/>
      <c r="F580" s="189"/>
      <c r="G580" s="2448"/>
      <c r="H580" s="189"/>
      <c r="I580" s="189"/>
      <c r="J580" s="189"/>
      <c r="K580" s="189"/>
    </row>
    <row r="581" spans="4:11" customFormat="1" x14ac:dyDescent="0.2">
      <c r="D581" s="2448"/>
      <c r="E581" s="2448"/>
      <c r="F581" s="189"/>
      <c r="G581" s="2448"/>
      <c r="H581" s="189"/>
      <c r="I581" s="189"/>
      <c r="J581" s="189"/>
      <c r="K581" s="189"/>
    </row>
    <row r="582" spans="4:11" customFormat="1" x14ac:dyDescent="0.2">
      <c r="D582" s="2448"/>
      <c r="E582" s="2448"/>
      <c r="F582" s="189"/>
      <c r="G582" s="2448"/>
      <c r="H582" s="189"/>
      <c r="I582" s="189"/>
      <c r="J582" s="189"/>
      <c r="K582" s="189"/>
    </row>
    <row r="583" spans="4:11" customFormat="1" x14ac:dyDescent="0.2">
      <c r="D583" s="2448"/>
      <c r="E583" s="2448"/>
      <c r="F583" s="189"/>
      <c r="G583" s="2448"/>
      <c r="H583" s="189"/>
      <c r="I583" s="189"/>
      <c r="J583" s="189"/>
      <c r="K583" s="189"/>
    </row>
    <row r="584" spans="4:11" customFormat="1" x14ac:dyDescent="0.2">
      <c r="D584" s="2448"/>
      <c r="E584" s="2448"/>
      <c r="F584" s="189"/>
      <c r="G584" s="2448"/>
      <c r="H584" s="189"/>
      <c r="I584" s="189"/>
      <c r="J584" s="189"/>
      <c r="K584" s="189"/>
    </row>
    <row r="585" spans="4:11" customFormat="1" x14ac:dyDescent="0.2">
      <c r="D585" s="2448"/>
      <c r="E585" s="2448"/>
      <c r="F585" s="189"/>
      <c r="G585" s="2448"/>
      <c r="H585" s="189"/>
      <c r="I585" s="189"/>
      <c r="J585" s="189"/>
      <c r="K585" s="189"/>
    </row>
    <row r="586" spans="4:11" customFormat="1" x14ac:dyDescent="0.2">
      <c r="D586" s="2448"/>
      <c r="E586" s="2448"/>
      <c r="F586" s="189"/>
      <c r="G586" s="2448"/>
      <c r="H586" s="189"/>
      <c r="I586" s="189"/>
      <c r="J586" s="189"/>
      <c r="K586" s="189"/>
    </row>
    <row r="587" spans="4:11" customFormat="1" x14ac:dyDescent="0.2">
      <c r="D587" s="2448"/>
      <c r="E587" s="2448"/>
      <c r="F587" s="189"/>
      <c r="G587" s="2448"/>
      <c r="H587" s="189"/>
      <c r="I587" s="189"/>
      <c r="J587" s="189"/>
      <c r="K587" s="189"/>
    </row>
    <row r="588" spans="4:11" customFormat="1" x14ac:dyDescent="0.2">
      <c r="D588" s="2448"/>
      <c r="E588" s="2448"/>
      <c r="F588" s="189"/>
      <c r="G588" s="2448"/>
      <c r="H588" s="189"/>
      <c r="I588" s="189"/>
      <c r="J588" s="189"/>
      <c r="K588" s="189"/>
    </row>
    <row r="589" spans="4:11" customFormat="1" x14ac:dyDescent="0.2">
      <c r="D589" s="2448"/>
      <c r="E589" s="2448"/>
      <c r="F589" s="189"/>
      <c r="G589" s="2448"/>
      <c r="H589" s="189"/>
      <c r="I589" s="189"/>
      <c r="J589" s="189"/>
      <c r="K589" s="189"/>
    </row>
    <row r="590" spans="4:11" customFormat="1" x14ac:dyDescent="0.2">
      <c r="D590" s="2448"/>
      <c r="E590" s="2448"/>
      <c r="F590" s="189"/>
      <c r="G590" s="2448"/>
      <c r="H590" s="189"/>
      <c r="I590" s="189"/>
      <c r="J590" s="189"/>
      <c r="K590" s="189"/>
    </row>
    <row r="591" spans="4:11" customFormat="1" x14ac:dyDescent="0.2">
      <c r="D591" s="2448"/>
      <c r="E591" s="2448"/>
      <c r="F591" s="189"/>
      <c r="G591" s="2448"/>
      <c r="H591" s="189"/>
      <c r="I591" s="189"/>
      <c r="J591" s="189"/>
      <c r="K591" s="189"/>
    </row>
    <row r="592" spans="4:11" customFormat="1" x14ac:dyDescent="0.2">
      <c r="D592" s="2448"/>
      <c r="E592" s="2448"/>
      <c r="F592" s="189"/>
      <c r="G592" s="2448"/>
      <c r="H592" s="189"/>
      <c r="I592" s="189"/>
      <c r="J592" s="189"/>
      <c r="K592" s="189"/>
    </row>
    <row r="593" spans="4:11" customFormat="1" x14ac:dyDescent="0.2">
      <c r="D593" s="2448"/>
      <c r="E593" s="2448"/>
      <c r="F593" s="189"/>
      <c r="G593" s="2448"/>
      <c r="H593" s="189"/>
      <c r="I593" s="189"/>
      <c r="J593" s="189"/>
      <c r="K593" s="189"/>
    </row>
    <row r="594" spans="4:11" customFormat="1" x14ac:dyDescent="0.2">
      <c r="D594" s="2448"/>
      <c r="E594" s="2448"/>
      <c r="F594" s="189"/>
      <c r="G594" s="2448"/>
      <c r="H594" s="189"/>
      <c r="I594" s="189"/>
      <c r="J594" s="189"/>
      <c r="K594" s="189"/>
    </row>
    <row r="595" spans="4:11" customFormat="1" x14ac:dyDescent="0.2">
      <c r="D595" s="2448"/>
      <c r="E595" s="2448"/>
      <c r="F595" s="189"/>
      <c r="G595" s="2448"/>
      <c r="H595" s="189"/>
      <c r="I595" s="189"/>
      <c r="J595" s="189"/>
      <c r="K595" s="189"/>
    </row>
    <row r="596" spans="4:11" customFormat="1" x14ac:dyDescent="0.2">
      <c r="D596" s="2448"/>
      <c r="E596" s="2448"/>
      <c r="F596" s="189"/>
      <c r="G596" s="2448"/>
      <c r="H596" s="189"/>
      <c r="I596" s="189"/>
      <c r="J596" s="189"/>
      <c r="K596" s="189"/>
    </row>
    <row r="597" spans="4:11" customFormat="1" x14ac:dyDescent="0.2">
      <c r="D597" s="2448"/>
      <c r="E597" s="2448"/>
      <c r="F597" s="189"/>
      <c r="G597" s="2448"/>
      <c r="H597" s="189"/>
      <c r="I597" s="189"/>
      <c r="J597" s="189"/>
      <c r="K597" s="189"/>
    </row>
    <row r="598" spans="4:11" customFormat="1" x14ac:dyDescent="0.2">
      <c r="D598" s="2448"/>
      <c r="E598" s="2448"/>
      <c r="F598" s="189"/>
      <c r="G598" s="2448"/>
      <c r="H598" s="189"/>
      <c r="I598" s="189"/>
      <c r="J598" s="189"/>
      <c r="K598" s="189"/>
    </row>
    <row r="599" spans="4:11" customFormat="1" x14ac:dyDescent="0.2">
      <c r="D599" s="2448"/>
      <c r="E599" s="2448"/>
      <c r="F599" s="189"/>
      <c r="G599" s="2448"/>
      <c r="H599" s="189"/>
      <c r="I599" s="189"/>
      <c r="J599" s="189"/>
      <c r="K599" s="189"/>
    </row>
    <row r="600" spans="4:11" customFormat="1" x14ac:dyDescent="0.2">
      <c r="D600" s="2448"/>
      <c r="E600" s="2448"/>
      <c r="F600" s="189"/>
      <c r="G600" s="2448"/>
      <c r="H600" s="189"/>
      <c r="I600" s="189"/>
      <c r="J600" s="189"/>
      <c r="K600" s="189"/>
    </row>
    <row r="601" spans="4:11" customFormat="1" x14ac:dyDescent="0.2">
      <c r="D601" s="2448"/>
      <c r="E601" s="2448"/>
      <c r="F601" s="189"/>
      <c r="G601" s="2448"/>
      <c r="H601" s="189"/>
      <c r="I601" s="189"/>
      <c r="J601" s="189"/>
      <c r="K601" s="189"/>
    </row>
    <row r="602" spans="4:11" customFormat="1" x14ac:dyDescent="0.2">
      <c r="D602" s="2448"/>
      <c r="E602" s="2448"/>
      <c r="F602" s="189"/>
      <c r="G602" s="2448"/>
      <c r="H602" s="189"/>
      <c r="I602" s="189"/>
      <c r="J602" s="189"/>
      <c r="K602" s="189"/>
    </row>
    <row r="603" spans="4:11" customFormat="1" x14ac:dyDescent="0.2">
      <c r="D603" s="2448"/>
      <c r="E603" s="2448"/>
      <c r="F603" s="189"/>
      <c r="G603" s="2448"/>
      <c r="H603" s="189"/>
      <c r="I603" s="189"/>
      <c r="J603" s="189"/>
      <c r="K603" s="189"/>
    </row>
    <row r="604" spans="4:11" customFormat="1" x14ac:dyDescent="0.2">
      <c r="D604" s="2448"/>
      <c r="E604" s="2448"/>
      <c r="F604" s="189"/>
      <c r="G604" s="2448"/>
      <c r="H604" s="189"/>
      <c r="I604" s="189"/>
      <c r="J604" s="189"/>
      <c r="K604" s="189"/>
    </row>
    <row r="605" spans="4:11" customFormat="1" x14ac:dyDescent="0.2">
      <c r="D605" s="2448"/>
      <c r="E605" s="2448"/>
      <c r="F605" s="189"/>
      <c r="G605" s="2448"/>
      <c r="H605" s="189"/>
      <c r="I605" s="189"/>
      <c r="J605" s="189"/>
      <c r="K605" s="189"/>
    </row>
    <row r="606" spans="4:11" customFormat="1" x14ac:dyDescent="0.2">
      <c r="D606" s="2448"/>
      <c r="E606" s="2448"/>
      <c r="F606" s="189"/>
      <c r="G606" s="2448"/>
      <c r="H606" s="189"/>
      <c r="I606" s="189"/>
      <c r="J606" s="189"/>
      <c r="K606" s="189"/>
    </row>
    <row r="607" spans="4:11" customFormat="1" x14ac:dyDescent="0.2">
      <c r="D607" s="2448"/>
      <c r="E607" s="2448"/>
      <c r="F607" s="189"/>
      <c r="G607" s="2448"/>
      <c r="H607" s="189"/>
      <c r="I607" s="189"/>
      <c r="J607" s="189"/>
      <c r="K607" s="189"/>
    </row>
    <row r="608" spans="4:11" customFormat="1" x14ac:dyDescent="0.2">
      <c r="D608" s="2448"/>
      <c r="E608" s="2448"/>
      <c r="F608" s="189"/>
      <c r="G608" s="2448"/>
      <c r="H608" s="189"/>
      <c r="I608" s="189"/>
      <c r="J608" s="189"/>
      <c r="K608" s="189"/>
    </row>
    <row r="609" spans="4:11" customFormat="1" x14ac:dyDescent="0.2">
      <c r="D609" s="2448"/>
      <c r="E609" s="2448"/>
      <c r="F609" s="189"/>
      <c r="G609" s="2448"/>
      <c r="H609" s="189"/>
      <c r="I609" s="189"/>
      <c r="J609" s="189"/>
      <c r="K609" s="189"/>
    </row>
    <row r="610" spans="4:11" customFormat="1" x14ac:dyDescent="0.2">
      <c r="D610" s="2448"/>
      <c r="E610" s="2448"/>
      <c r="F610" s="189"/>
      <c r="G610" s="2448"/>
      <c r="H610" s="189"/>
      <c r="I610" s="189"/>
      <c r="J610" s="189"/>
      <c r="K610" s="189"/>
    </row>
    <row r="611" spans="4:11" customFormat="1" x14ac:dyDescent="0.2">
      <c r="D611" s="2448"/>
      <c r="E611" s="2448"/>
      <c r="F611" s="189"/>
      <c r="G611" s="2448"/>
      <c r="H611" s="189"/>
      <c r="I611" s="189"/>
      <c r="J611" s="189"/>
      <c r="K611" s="189"/>
    </row>
    <row r="612" spans="4:11" customFormat="1" x14ac:dyDescent="0.2">
      <c r="D612" s="2448"/>
      <c r="E612" s="2448"/>
      <c r="F612" s="189"/>
      <c r="G612" s="2448"/>
      <c r="H612" s="189"/>
      <c r="I612" s="189"/>
      <c r="J612" s="189"/>
      <c r="K612" s="189"/>
    </row>
    <row r="613" spans="4:11" customFormat="1" x14ac:dyDescent="0.2">
      <c r="D613" s="2448"/>
      <c r="E613" s="2448"/>
      <c r="F613" s="189"/>
      <c r="G613" s="2448"/>
      <c r="H613" s="189"/>
      <c r="I613" s="189"/>
      <c r="J613" s="189"/>
      <c r="K613" s="189"/>
    </row>
    <row r="614" spans="4:11" customFormat="1" x14ac:dyDescent="0.2">
      <c r="D614" s="2448"/>
      <c r="E614" s="2448"/>
      <c r="F614" s="189"/>
      <c r="G614" s="2448"/>
      <c r="H614" s="189"/>
      <c r="I614" s="189"/>
      <c r="J614" s="189"/>
      <c r="K614" s="189"/>
    </row>
    <row r="615" spans="4:11" customFormat="1" x14ac:dyDescent="0.2">
      <c r="D615" s="2448"/>
      <c r="E615" s="2448"/>
      <c r="F615" s="189"/>
      <c r="G615" s="2448"/>
      <c r="H615" s="189"/>
      <c r="I615" s="189"/>
      <c r="J615" s="189"/>
      <c r="K615" s="189"/>
    </row>
    <row r="616" spans="4:11" customFormat="1" x14ac:dyDescent="0.2">
      <c r="D616" s="2448"/>
      <c r="E616" s="2448"/>
      <c r="F616" s="189"/>
      <c r="G616" s="2448"/>
      <c r="H616" s="189"/>
      <c r="I616" s="189"/>
      <c r="J616" s="189"/>
      <c r="K616" s="189"/>
    </row>
    <row r="617" spans="4:11" customFormat="1" x14ac:dyDescent="0.2">
      <c r="D617" s="2448"/>
      <c r="E617" s="2448"/>
      <c r="F617" s="189"/>
      <c r="G617" s="2448"/>
      <c r="H617" s="189"/>
      <c r="I617" s="189"/>
      <c r="J617" s="189"/>
      <c r="K617" s="189"/>
    </row>
    <row r="618" spans="4:11" customFormat="1" x14ac:dyDescent="0.2">
      <c r="D618" s="2448"/>
      <c r="E618" s="2448"/>
      <c r="F618" s="189"/>
      <c r="G618" s="2448"/>
      <c r="H618" s="189"/>
      <c r="I618" s="189"/>
      <c r="J618" s="189"/>
      <c r="K618" s="189"/>
    </row>
    <row r="619" spans="4:11" customFormat="1" x14ac:dyDescent="0.2">
      <c r="D619" s="2448"/>
      <c r="E619" s="2448"/>
      <c r="F619" s="189"/>
      <c r="G619" s="2448"/>
      <c r="H619" s="189"/>
      <c r="I619" s="189"/>
      <c r="J619" s="189"/>
      <c r="K619" s="189"/>
    </row>
    <row r="620" spans="4:11" customFormat="1" x14ac:dyDescent="0.2">
      <c r="D620" s="2448"/>
      <c r="E620" s="2448"/>
      <c r="F620" s="189"/>
      <c r="G620" s="2448"/>
      <c r="H620" s="189"/>
      <c r="I620" s="189"/>
      <c r="J620" s="189"/>
      <c r="K620" s="189"/>
    </row>
    <row r="621" spans="4:11" customFormat="1" x14ac:dyDescent="0.2">
      <c r="D621" s="2448"/>
      <c r="E621" s="2448"/>
      <c r="F621" s="189"/>
      <c r="G621" s="2448"/>
      <c r="H621" s="189"/>
      <c r="I621" s="189"/>
      <c r="J621" s="189"/>
      <c r="K621" s="189"/>
    </row>
    <row r="622" spans="4:11" customFormat="1" x14ac:dyDescent="0.2">
      <c r="D622" s="2448"/>
      <c r="E622" s="2448"/>
      <c r="F622" s="189"/>
      <c r="G622" s="2448"/>
      <c r="H622" s="189"/>
      <c r="I622" s="189"/>
      <c r="J622" s="189"/>
      <c r="K622" s="189"/>
    </row>
    <row r="623" spans="4:11" customFormat="1" x14ac:dyDescent="0.2">
      <c r="D623" s="2448"/>
      <c r="E623" s="2448"/>
      <c r="F623" s="189"/>
      <c r="G623" s="2448"/>
      <c r="H623" s="189"/>
      <c r="I623" s="189"/>
      <c r="J623" s="189"/>
      <c r="K623" s="189"/>
    </row>
    <row r="624" spans="4:11" customFormat="1" x14ac:dyDescent="0.2">
      <c r="D624" s="2448"/>
      <c r="E624" s="2448"/>
      <c r="F624" s="189"/>
      <c r="G624" s="2448"/>
      <c r="H624" s="189"/>
      <c r="I624" s="189"/>
      <c r="J624" s="189"/>
      <c r="K624" s="189"/>
    </row>
    <row r="625" spans="4:11" customFormat="1" x14ac:dyDescent="0.2">
      <c r="D625" s="2448"/>
      <c r="E625" s="2448"/>
      <c r="F625" s="189"/>
      <c r="G625" s="2448"/>
      <c r="H625" s="189"/>
      <c r="I625" s="189"/>
      <c r="J625" s="189"/>
      <c r="K625" s="189"/>
    </row>
    <row r="626" spans="4:11" customFormat="1" x14ac:dyDescent="0.2">
      <c r="D626" s="2448"/>
      <c r="E626" s="2448"/>
      <c r="F626" s="189"/>
      <c r="G626" s="2448"/>
      <c r="H626" s="189"/>
      <c r="I626" s="189"/>
      <c r="J626" s="189"/>
      <c r="K626" s="189"/>
    </row>
    <row r="627" spans="4:11" customFormat="1" x14ac:dyDescent="0.2">
      <c r="D627" s="2448"/>
      <c r="E627" s="2448"/>
      <c r="F627" s="189"/>
      <c r="G627" s="2448"/>
      <c r="H627" s="189"/>
      <c r="I627" s="189"/>
      <c r="J627" s="189"/>
      <c r="K627" s="189"/>
    </row>
    <row r="628" spans="4:11" customFormat="1" x14ac:dyDescent="0.2">
      <c r="D628" s="2448"/>
      <c r="E628" s="2448"/>
      <c r="F628" s="189"/>
      <c r="G628" s="2448"/>
      <c r="H628" s="189"/>
      <c r="I628" s="189"/>
      <c r="J628" s="189"/>
      <c r="K628" s="189"/>
    </row>
    <row r="629" spans="4:11" customFormat="1" x14ac:dyDescent="0.2">
      <c r="D629" s="2448"/>
      <c r="E629" s="2448"/>
      <c r="F629" s="189"/>
      <c r="G629" s="2448"/>
      <c r="H629" s="189"/>
      <c r="I629" s="189"/>
      <c r="J629" s="189"/>
      <c r="K629" s="189"/>
    </row>
    <row r="630" spans="4:11" customFormat="1" x14ac:dyDescent="0.2">
      <c r="D630" s="2448"/>
      <c r="E630" s="2448"/>
      <c r="F630" s="189"/>
      <c r="G630" s="2448"/>
      <c r="H630" s="189"/>
      <c r="I630" s="189"/>
      <c r="J630" s="189"/>
      <c r="K630" s="189"/>
    </row>
    <row r="631" spans="4:11" customFormat="1" x14ac:dyDescent="0.2">
      <c r="D631" s="2448"/>
      <c r="E631" s="2448"/>
      <c r="F631" s="189"/>
      <c r="G631" s="2448"/>
      <c r="H631" s="189"/>
      <c r="I631" s="189"/>
      <c r="J631" s="189"/>
      <c r="K631" s="189"/>
    </row>
    <row r="632" spans="4:11" customFormat="1" x14ac:dyDescent="0.2">
      <c r="D632" s="2448"/>
      <c r="E632" s="2448"/>
      <c r="F632" s="189"/>
      <c r="G632" s="2448"/>
      <c r="H632" s="189"/>
      <c r="I632" s="189"/>
      <c r="J632" s="189"/>
      <c r="K632" s="189"/>
    </row>
    <row r="633" spans="4:11" customFormat="1" x14ac:dyDescent="0.2">
      <c r="D633" s="2448"/>
      <c r="E633" s="2448"/>
      <c r="F633" s="189"/>
      <c r="G633" s="2448"/>
      <c r="H633" s="189"/>
      <c r="I633" s="189"/>
      <c r="J633" s="189"/>
      <c r="K633" s="189"/>
    </row>
    <row r="634" spans="4:11" customFormat="1" x14ac:dyDescent="0.2">
      <c r="D634" s="2448"/>
      <c r="E634" s="2448"/>
      <c r="F634" s="189"/>
      <c r="G634" s="2448"/>
      <c r="H634" s="189"/>
      <c r="I634" s="189"/>
      <c r="J634" s="189"/>
      <c r="K634" s="189"/>
    </row>
    <row r="635" spans="4:11" customFormat="1" x14ac:dyDescent="0.2">
      <c r="D635" s="2448"/>
      <c r="E635" s="2448"/>
      <c r="F635" s="189"/>
      <c r="G635" s="2448"/>
      <c r="H635" s="189"/>
      <c r="I635" s="189"/>
      <c r="J635" s="189"/>
      <c r="K635" s="189"/>
    </row>
    <row r="636" spans="4:11" customFormat="1" x14ac:dyDescent="0.2">
      <c r="D636" s="2448"/>
      <c r="E636" s="2448"/>
      <c r="F636" s="189"/>
      <c r="G636" s="2448"/>
      <c r="H636" s="189"/>
      <c r="I636" s="189"/>
      <c r="J636" s="189"/>
      <c r="K636" s="189"/>
    </row>
    <row r="637" spans="4:11" customFormat="1" x14ac:dyDescent="0.2">
      <c r="D637" s="2448"/>
      <c r="E637" s="2448"/>
      <c r="F637" s="189"/>
      <c r="G637" s="2448"/>
      <c r="H637" s="189"/>
      <c r="I637" s="189"/>
      <c r="J637" s="189"/>
      <c r="K637" s="189"/>
    </row>
    <row r="638" spans="4:11" customFormat="1" x14ac:dyDescent="0.2">
      <c r="D638" s="2448"/>
      <c r="E638" s="2448"/>
      <c r="F638" s="189"/>
      <c r="G638" s="2448"/>
      <c r="H638" s="189"/>
      <c r="I638" s="189"/>
      <c r="J638" s="189"/>
      <c r="K638" s="189"/>
    </row>
    <row r="639" spans="4:11" customFormat="1" x14ac:dyDescent="0.2">
      <c r="D639" s="2448"/>
      <c r="E639" s="2448"/>
      <c r="F639" s="189"/>
      <c r="G639" s="2448"/>
      <c r="H639" s="189"/>
      <c r="I639" s="189"/>
      <c r="J639" s="189"/>
      <c r="K639" s="189"/>
    </row>
    <row r="640" spans="4:11" customFormat="1" x14ac:dyDescent="0.2">
      <c r="D640" s="2448"/>
      <c r="E640" s="2448"/>
      <c r="F640" s="189"/>
      <c r="G640" s="2448"/>
      <c r="H640" s="189"/>
      <c r="I640" s="189"/>
      <c r="J640" s="189"/>
      <c r="K640" s="189"/>
    </row>
    <row r="641" spans="4:11" customFormat="1" x14ac:dyDescent="0.2">
      <c r="D641" s="2448"/>
      <c r="E641" s="2448"/>
      <c r="F641" s="189"/>
      <c r="G641" s="2448"/>
      <c r="H641" s="189"/>
      <c r="I641" s="189"/>
      <c r="J641" s="189"/>
      <c r="K641" s="189"/>
    </row>
    <row r="642" spans="4:11" customFormat="1" x14ac:dyDescent="0.2">
      <c r="D642" s="2448"/>
      <c r="E642" s="2448"/>
      <c r="F642" s="189"/>
      <c r="G642" s="2448"/>
      <c r="H642" s="189"/>
      <c r="I642" s="189"/>
      <c r="J642" s="189"/>
      <c r="K642" s="189"/>
    </row>
    <row r="643" spans="4:11" customFormat="1" x14ac:dyDescent="0.2">
      <c r="D643" s="2448"/>
      <c r="E643" s="2448"/>
      <c r="F643" s="189"/>
      <c r="G643" s="2448"/>
      <c r="H643" s="189"/>
      <c r="I643" s="189"/>
      <c r="J643" s="189"/>
      <c r="K643" s="189"/>
    </row>
    <row r="644" spans="4:11" customFormat="1" x14ac:dyDescent="0.2">
      <c r="D644" s="2448"/>
      <c r="E644" s="2448"/>
      <c r="F644" s="189"/>
      <c r="G644" s="2448"/>
      <c r="H644" s="189"/>
      <c r="I644" s="189"/>
      <c r="J644" s="189"/>
      <c r="K644" s="189"/>
    </row>
    <row r="645" spans="4:11" customFormat="1" x14ac:dyDescent="0.2">
      <c r="D645" s="2448"/>
      <c r="E645" s="2448"/>
      <c r="F645" s="189"/>
      <c r="G645" s="2448"/>
      <c r="H645" s="189"/>
      <c r="I645" s="189"/>
      <c r="J645" s="189"/>
      <c r="K645" s="189"/>
    </row>
    <row r="646" spans="4:11" customFormat="1" x14ac:dyDescent="0.2">
      <c r="D646" s="2448"/>
      <c r="E646" s="2448"/>
      <c r="F646" s="189"/>
      <c r="G646" s="2448"/>
      <c r="H646" s="189"/>
      <c r="I646" s="189"/>
      <c r="J646" s="189"/>
      <c r="K646" s="189"/>
    </row>
    <row r="647" spans="4:11" customFormat="1" x14ac:dyDescent="0.2">
      <c r="D647" s="2448"/>
      <c r="E647" s="2448"/>
      <c r="F647" s="189"/>
      <c r="G647" s="2448"/>
      <c r="H647" s="189"/>
      <c r="I647" s="189"/>
      <c r="J647" s="189"/>
      <c r="K647" s="189"/>
    </row>
    <row r="648" spans="4:11" customFormat="1" x14ac:dyDescent="0.2">
      <c r="D648" s="2448"/>
      <c r="E648" s="2448"/>
      <c r="F648" s="189"/>
      <c r="G648" s="2448"/>
      <c r="H648" s="189"/>
      <c r="I648" s="189"/>
      <c r="J648" s="189"/>
      <c r="K648" s="189"/>
    </row>
    <row r="649" spans="4:11" customFormat="1" x14ac:dyDescent="0.2">
      <c r="D649" s="2448"/>
      <c r="E649" s="2448"/>
      <c r="F649" s="189"/>
      <c r="G649" s="2448"/>
      <c r="H649" s="189"/>
      <c r="I649" s="189"/>
      <c r="J649" s="189"/>
      <c r="K649" s="189"/>
    </row>
    <row r="650" spans="4:11" customFormat="1" x14ac:dyDescent="0.2">
      <c r="D650" s="2448"/>
      <c r="E650" s="2448"/>
      <c r="F650" s="189"/>
      <c r="G650" s="2448"/>
      <c r="H650" s="189"/>
      <c r="I650" s="189"/>
      <c r="J650" s="189"/>
      <c r="K650" s="189"/>
    </row>
    <row r="651" spans="4:11" customFormat="1" x14ac:dyDescent="0.2">
      <c r="D651" s="2448"/>
      <c r="E651" s="2448"/>
      <c r="F651" s="189"/>
      <c r="G651" s="2448"/>
      <c r="H651" s="189"/>
      <c r="I651" s="189"/>
      <c r="J651" s="189"/>
      <c r="K651" s="189"/>
    </row>
    <row r="652" spans="4:11" customFormat="1" x14ac:dyDescent="0.2">
      <c r="D652" s="2448"/>
      <c r="E652" s="2448"/>
      <c r="F652" s="189"/>
      <c r="G652" s="2448"/>
      <c r="H652" s="189"/>
      <c r="I652" s="189"/>
      <c r="J652" s="189"/>
      <c r="K652" s="189"/>
    </row>
    <row r="653" spans="4:11" customFormat="1" x14ac:dyDescent="0.2">
      <c r="D653" s="2448"/>
      <c r="E653" s="2448"/>
      <c r="F653" s="189"/>
      <c r="G653" s="2448"/>
      <c r="H653" s="189"/>
      <c r="I653" s="189"/>
      <c r="J653" s="189"/>
      <c r="K653" s="189"/>
    </row>
    <row r="654" spans="4:11" customFormat="1" x14ac:dyDescent="0.2">
      <c r="D654" s="2448"/>
      <c r="E654" s="2448"/>
      <c r="F654" s="189"/>
      <c r="G654" s="2448"/>
      <c r="H654" s="189"/>
      <c r="I654" s="189"/>
      <c r="J654" s="189"/>
      <c r="K654" s="189"/>
    </row>
    <row r="655" spans="4:11" customFormat="1" x14ac:dyDescent="0.2">
      <c r="D655" s="2448"/>
      <c r="E655" s="2448"/>
      <c r="F655" s="189"/>
      <c r="G655" s="2448"/>
      <c r="H655" s="189"/>
      <c r="I655" s="189"/>
      <c r="J655" s="189"/>
      <c r="K655" s="189"/>
    </row>
    <row r="656" spans="4:11" customFormat="1" x14ac:dyDescent="0.2">
      <c r="D656" s="2448"/>
      <c r="E656" s="2448"/>
      <c r="F656" s="189"/>
      <c r="G656" s="2448"/>
      <c r="H656" s="189"/>
      <c r="I656" s="189"/>
      <c r="J656" s="189"/>
      <c r="K656" s="189"/>
    </row>
    <row r="657" spans="4:11" customFormat="1" x14ac:dyDescent="0.2">
      <c r="D657" s="2448"/>
      <c r="E657" s="2448"/>
      <c r="F657" s="189"/>
      <c r="G657" s="2448"/>
      <c r="H657" s="189"/>
      <c r="I657" s="189"/>
      <c r="J657" s="189"/>
      <c r="K657" s="189"/>
    </row>
    <row r="658" spans="4:11" customFormat="1" x14ac:dyDescent="0.2">
      <c r="D658" s="2448"/>
      <c r="E658" s="2448"/>
      <c r="F658" s="189"/>
      <c r="G658" s="2448"/>
      <c r="H658" s="189"/>
      <c r="I658" s="189"/>
      <c r="J658" s="189"/>
      <c r="K658" s="189"/>
    </row>
    <row r="659" spans="4:11" customFormat="1" x14ac:dyDescent="0.2">
      <c r="D659" s="2448"/>
      <c r="E659" s="2448"/>
      <c r="F659" s="189"/>
      <c r="G659" s="2448"/>
      <c r="H659" s="189"/>
      <c r="I659" s="189"/>
      <c r="J659" s="189"/>
      <c r="K659" s="189"/>
    </row>
    <row r="660" spans="4:11" customFormat="1" x14ac:dyDescent="0.2">
      <c r="D660" s="2448"/>
      <c r="E660" s="2448"/>
      <c r="F660" s="189"/>
      <c r="G660" s="2448"/>
      <c r="H660" s="189"/>
      <c r="I660" s="189"/>
      <c r="J660" s="189"/>
      <c r="K660" s="189"/>
    </row>
    <row r="661" spans="4:11" customFormat="1" x14ac:dyDescent="0.2">
      <c r="D661" s="2448"/>
      <c r="E661" s="2448"/>
      <c r="F661" s="189"/>
      <c r="G661" s="2448"/>
      <c r="H661" s="189"/>
      <c r="I661" s="189"/>
      <c r="J661" s="189"/>
      <c r="K661" s="189"/>
    </row>
    <row r="662" spans="4:11" customFormat="1" x14ac:dyDescent="0.2">
      <c r="D662" s="2448"/>
      <c r="E662" s="2448"/>
      <c r="F662" s="189"/>
      <c r="G662" s="2448"/>
      <c r="H662" s="189"/>
      <c r="I662" s="189"/>
      <c r="J662" s="189"/>
      <c r="K662" s="189"/>
    </row>
    <row r="663" spans="4:11" customFormat="1" x14ac:dyDescent="0.2">
      <c r="D663" s="2448"/>
      <c r="E663" s="2448"/>
      <c r="F663" s="189"/>
      <c r="G663" s="2448"/>
      <c r="H663" s="189"/>
      <c r="I663" s="189"/>
      <c r="J663" s="189"/>
      <c r="K663" s="189"/>
    </row>
    <row r="664" spans="4:11" customFormat="1" x14ac:dyDescent="0.2">
      <c r="D664" s="2448"/>
      <c r="E664" s="2448"/>
      <c r="F664" s="189"/>
      <c r="G664" s="2448"/>
      <c r="H664" s="189"/>
      <c r="I664" s="189"/>
      <c r="J664" s="189"/>
      <c r="K664" s="189"/>
    </row>
    <row r="665" spans="4:11" customFormat="1" x14ac:dyDescent="0.2">
      <c r="D665" s="2448"/>
      <c r="E665" s="2448"/>
      <c r="F665" s="189"/>
      <c r="G665" s="2448"/>
      <c r="H665" s="189"/>
      <c r="I665" s="189"/>
      <c r="J665" s="189"/>
      <c r="K665" s="189"/>
    </row>
    <row r="666" spans="4:11" customFormat="1" x14ac:dyDescent="0.2">
      <c r="D666" s="2448"/>
      <c r="E666" s="2448"/>
      <c r="F666" s="189"/>
      <c r="G666" s="2448"/>
      <c r="H666" s="189"/>
      <c r="I666" s="189"/>
      <c r="J666" s="189"/>
      <c r="K666" s="189"/>
    </row>
    <row r="667" spans="4:11" customFormat="1" x14ac:dyDescent="0.2">
      <c r="D667" s="2448"/>
      <c r="E667" s="2448"/>
      <c r="F667" s="189"/>
      <c r="G667" s="2448"/>
      <c r="H667" s="189"/>
      <c r="I667" s="189"/>
      <c r="J667" s="189"/>
      <c r="K667" s="189"/>
    </row>
    <row r="668" spans="4:11" customFormat="1" x14ac:dyDescent="0.2">
      <c r="D668" s="2448"/>
      <c r="E668" s="2448"/>
      <c r="F668" s="189"/>
      <c r="G668" s="2448"/>
      <c r="H668" s="189"/>
      <c r="I668" s="189"/>
      <c r="J668" s="189"/>
      <c r="K668" s="189"/>
    </row>
    <row r="669" spans="4:11" customFormat="1" x14ac:dyDescent="0.2">
      <c r="D669" s="2448"/>
      <c r="E669" s="2448"/>
      <c r="F669" s="189"/>
      <c r="G669" s="2448"/>
      <c r="H669" s="189"/>
      <c r="I669" s="189"/>
      <c r="J669" s="189"/>
      <c r="K669" s="189"/>
    </row>
    <row r="670" spans="4:11" customFormat="1" x14ac:dyDescent="0.2">
      <c r="D670" s="2448"/>
      <c r="E670" s="2448"/>
      <c r="F670" s="189"/>
      <c r="G670" s="2448"/>
      <c r="H670" s="189"/>
      <c r="I670" s="189"/>
      <c r="J670" s="189"/>
      <c r="K670" s="189"/>
    </row>
    <row r="671" spans="4:11" customFormat="1" x14ac:dyDescent="0.2">
      <c r="D671" s="2448"/>
      <c r="E671" s="2448"/>
      <c r="F671" s="189"/>
      <c r="G671" s="2448"/>
      <c r="H671" s="189"/>
      <c r="I671" s="189"/>
      <c r="J671" s="189"/>
      <c r="K671" s="189"/>
    </row>
    <row r="672" spans="4:11" customFormat="1" x14ac:dyDescent="0.2">
      <c r="D672" s="2448"/>
      <c r="E672" s="2448"/>
      <c r="F672" s="189"/>
      <c r="G672" s="2448"/>
      <c r="H672" s="189"/>
      <c r="I672" s="189"/>
      <c r="J672" s="189"/>
      <c r="K672" s="189"/>
    </row>
    <row r="673" spans="4:11" customFormat="1" x14ac:dyDescent="0.2">
      <c r="D673" s="2448"/>
      <c r="E673" s="2448"/>
      <c r="F673" s="189"/>
      <c r="G673" s="2448"/>
      <c r="H673" s="189"/>
      <c r="I673" s="189"/>
      <c r="J673" s="189"/>
      <c r="K673" s="189"/>
    </row>
    <row r="674" spans="4:11" customFormat="1" x14ac:dyDescent="0.2">
      <c r="D674" s="2448"/>
      <c r="E674" s="2448"/>
      <c r="F674" s="189"/>
      <c r="G674" s="2448"/>
      <c r="H674" s="189"/>
      <c r="I674" s="189"/>
      <c r="J674" s="189"/>
      <c r="K674" s="189"/>
    </row>
    <row r="675" spans="4:11" customFormat="1" x14ac:dyDescent="0.2">
      <c r="D675" s="2448"/>
      <c r="E675" s="2448"/>
      <c r="F675" s="189"/>
      <c r="G675" s="2448"/>
      <c r="H675" s="189"/>
      <c r="I675" s="189"/>
      <c r="J675" s="189"/>
      <c r="K675" s="189"/>
    </row>
    <row r="676" spans="4:11" customFormat="1" x14ac:dyDescent="0.2">
      <c r="D676" s="2448"/>
      <c r="E676" s="2448"/>
      <c r="F676" s="189"/>
      <c r="G676" s="2448"/>
      <c r="H676" s="189"/>
      <c r="I676" s="189"/>
      <c r="J676" s="189"/>
      <c r="K676" s="189"/>
    </row>
    <row r="677" spans="4:11" customFormat="1" x14ac:dyDescent="0.2">
      <c r="D677" s="2448"/>
      <c r="E677" s="2448"/>
      <c r="F677" s="189"/>
      <c r="G677" s="2448"/>
      <c r="H677" s="189"/>
      <c r="I677" s="189"/>
      <c r="J677" s="189"/>
      <c r="K677" s="189"/>
    </row>
    <row r="678" spans="4:11" customFormat="1" x14ac:dyDescent="0.2">
      <c r="D678" s="2448"/>
      <c r="E678" s="2448"/>
      <c r="F678" s="189"/>
      <c r="G678" s="2448"/>
      <c r="H678" s="189"/>
      <c r="I678" s="189"/>
      <c r="J678" s="189"/>
      <c r="K678" s="189"/>
    </row>
    <row r="679" spans="4:11" customFormat="1" x14ac:dyDescent="0.2">
      <c r="D679" s="2448"/>
      <c r="E679" s="2448"/>
      <c r="F679" s="189"/>
      <c r="G679" s="2448"/>
      <c r="H679" s="189"/>
      <c r="I679" s="189"/>
      <c r="J679" s="189"/>
      <c r="K679" s="189"/>
    </row>
    <row r="680" spans="4:11" customFormat="1" x14ac:dyDescent="0.2">
      <c r="D680" s="2448"/>
      <c r="E680" s="2448"/>
      <c r="F680" s="189"/>
      <c r="G680" s="2448"/>
      <c r="H680" s="189"/>
      <c r="I680" s="189"/>
      <c r="J680" s="189"/>
      <c r="K680" s="189"/>
    </row>
    <row r="681" spans="4:11" customFormat="1" x14ac:dyDescent="0.2">
      <c r="D681" s="2448"/>
      <c r="E681" s="2448"/>
      <c r="F681" s="189"/>
      <c r="G681" s="2448"/>
      <c r="H681" s="189"/>
      <c r="I681" s="189"/>
      <c r="J681" s="189"/>
      <c r="K681" s="189"/>
    </row>
    <row r="682" spans="4:11" customFormat="1" x14ac:dyDescent="0.2">
      <c r="D682" s="2448"/>
      <c r="E682" s="2448"/>
      <c r="F682" s="189"/>
      <c r="G682" s="2448"/>
      <c r="H682" s="189"/>
      <c r="I682" s="189"/>
      <c r="J682" s="189"/>
      <c r="K682" s="189"/>
    </row>
    <row r="683" spans="4:11" customFormat="1" x14ac:dyDescent="0.2">
      <c r="D683" s="2448"/>
      <c r="E683" s="2448"/>
      <c r="F683" s="189"/>
      <c r="G683" s="2448"/>
      <c r="H683" s="189"/>
      <c r="I683" s="189"/>
      <c r="J683" s="189"/>
      <c r="K683" s="189"/>
    </row>
    <row r="684" spans="4:11" customFormat="1" x14ac:dyDescent="0.2">
      <c r="D684" s="2448"/>
      <c r="E684" s="2448"/>
      <c r="F684" s="189"/>
      <c r="G684" s="2448"/>
      <c r="H684" s="189"/>
      <c r="I684" s="189"/>
      <c r="J684" s="189"/>
      <c r="K684" s="189"/>
    </row>
    <row r="685" spans="4:11" customFormat="1" x14ac:dyDescent="0.2">
      <c r="D685" s="2448"/>
      <c r="E685" s="2448"/>
      <c r="F685" s="189"/>
      <c r="G685" s="2448"/>
      <c r="H685" s="189"/>
      <c r="I685" s="189"/>
      <c r="J685" s="189"/>
      <c r="K685" s="189"/>
    </row>
    <row r="686" spans="4:11" customFormat="1" x14ac:dyDescent="0.2">
      <c r="D686" s="2448"/>
      <c r="E686" s="2448"/>
      <c r="F686" s="189"/>
      <c r="G686" s="2448"/>
      <c r="H686" s="189"/>
      <c r="I686" s="189"/>
      <c r="J686" s="189"/>
      <c r="K686" s="189"/>
    </row>
    <row r="687" spans="4:11" customFormat="1" x14ac:dyDescent="0.2">
      <c r="D687" s="2448"/>
      <c r="E687" s="2448"/>
      <c r="F687" s="189"/>
      <c r="G687" s="2448"/>
      <c r="H687" s="189"/>
      <c r="I687" s="189"/>
      <c r="J687" s="189"/>
      <c r="K687" s="189"/>
    </row>
    <row r="688" spans="4:11" customFormat="1" x14ac:dyDescent="0.2">
      <c r="D688" s="2448"/>
      <c r="E688" s="2448"/>
      <c r="F688" s="189"/>
      <c r="G688" s="2448"/>
      <c r="H688" s="189"/>
      <c r="I688" s="189"/>
      <c r="J688" s="189"/>
      <c r="K688" s="189"/>
    </row>
    <row r="689" spans="4:11" customFormat="1" x14ac:dyDescent="0.2">
      <c r="D689" s="2448"/>
      <c r="E689" s="2448"/>
      <c r="F689" s="189"/>
      <c r="G689" s="2448"/>
      <c r="H689" s="189"/>
      <c r="I689" s="189"/>
      <c r="J689" s="189"/>
      <c r="K689" s="189"/>
    </row>
    <row r="690" spans="4:11" customFormat="1" x14ac:dyDescent="0.2">
      <c r="D690" s="2448"/>
      <c r="E690" s="2448"/>
      <c r="F690" s="189"/>
      <c r="G690" s="2448"/>
      <c r="H690" s="189"/>
      <c r="I690" s="189"/>
      <c r="J690" s="189"/>
      <c r="K690" s="189"/>
    </row>
    <row r="691" spans="4:11" customFormat="1" x14ac:dyDescent="0.2">
      <c r="D691" s="2448"/>
      <c r="E691" s="2448"/>
      <c r="F691" s="189"/>
      <c r="G691" s="2448"/>
      <c r="H691" s="189"/>
      <c r="I691" s="189"/>
      <c r="J691" s="189"/>
      <c r="K691" s="189"/>
    </row>
    <row r="692" spans="4:11" customFormat="1" x14ac:dyDescent="0.2">
      <c r="D692" s="2448"/>
      <c r="E692" s="2448"/>
      <c r="F692" s="189"/>
      <c r="G692" s="2448"/>
      <c r="H692" s="189"/>
      <c r="I692" s="189"/>
      <c r="J692" s="189"/>
      <c r="K692" s="189"/>
    </row>
    <row r="693" spans="4:11" customFormat="1" x14ac:dyDescent="0.2">
      <c r="D693" s="2448"/>
      <c r="E693" s="2448"/>
      <c r="F693" s="189"/>
      <c r="G693" s="2448"/>
      <c r="H693" s="189"/>
      <c r="I693" s="189"/>
      <c r="J693" s="189"/>
      <c r="K693" s="189"/>
    </row>
    <row r="694" spans="4:11" customFormat="1" x14ac:dyDescent="0.2">
      <c r="D694" s="2448"/>
      <c r="E694" s="2448"/>
      <c r="F694" s="189"/>
      <c r="G694" s="2448"/>
      <c r="H694" s="189"/>
      <c r="I694" s="189"/>
      <c r="J694" s="189"/>
      <c r="K694" s="189"/>
    </row>
    <row r="695" spans="4:11" customFormat="1" x14ac:dyDescent="0.2">
      <c r="D695" s="2448"/>
      <c r="E695" s="2448"/>
      <c r="F695" s="189"/>
      <c r="G695" s="2448"/>
      <c r="H695" s="189"/>
      <c r="I695" s="189"/>
      <c r="J695" s="189"/>
      <c r="K695" s="189"/>
    </row>
    <row r="696" spans="4:11" customFormat="1" x14ac:dyDescent="0.2">
      <c r="D696" s="2448"/>
      <c r="E696" s="2448"/>
      <c r="F696" s="189"/>
      <c r="G696" s="2448"/>
      <c r="H696" s="189"/>
      <c r="I696" s="189"/>
      <c r="J696" s="189"/>
      <c r="K696" s="189"/>
    </row>
    <row r="697" spans="4:11" customFormat="1" x14ac:dyDescent="0.2">
      <c r="D697" s="2448"/>
      <c r="E697" s="2448"/>
      <c r="F697" s="189"/>
      <c r="G697" s="2448"/>
      <c r="H697" s="189"/>
      <c r="I697" s="189"/>
      <c r="J697" s="189"/>
      <c r="K697" s="189"/>
    </row>
    <row r="698" spans="4:11" customFormat="1" x14ac:dyDescent="0.2">
      <c r="D698" s="2448"/>
      <c r="E698" s="2448"/>
      <c r="F698" s="189"/>
      <c r="G698" s="2448"/>
      <c r="H698" s="189"/>
      <c r="I698" s="189"/>
      <c r="J698" s="189"/>
      <c r="K698" s="189"/>
    </row>
    <row r="699" spans="4:11" customFormat="1" x14ac:dyDescent="0.2">
      <c r="D699" s="2448"/>
      <c r="E699" s="2448"/>
      <c r="F699" s="189"/>
      <c r="G699" s="2448"/>
      <c r="H699" s="189"/>
      <c r="I699" s="189"/>
      <c r="J699" s="189"/>
      <c r="K699" s="189"/>
    </row>
    <row r="700" spans="4:11" customFormat="1" x14ac:dyDescent="0.2">
      <c r="D700" s="2448"/>
      <c r="E700" s="2448"/>
      <c r="F700" s="189"/>
      <c r="G700" s="2448"/>
      <c r="H700" s="189"/>
      <c r="I700" s="189"/>
      <c r="J700" s="189"/>
      <c r="K700" s="189"/>
    </row>
    <row r="701" spans="4:11" customFormat="1" x14ac:dyDescent="0.2">
      <c r="D701" s="2448"/>
      <c r="E701" s="2448"/>
      <c r="F701" s="189"/>
      <c r="G701" s="2448"/>
      <c r="H701" s="189"/>
      <c r="I701" s="189"/>
      <c r="J701" s="189"/>
      <c r="K701" s="189"/>
    </row>
    <row r="702" spans="4:11" customFormat="1" x14ac:dyDescent="0.2">
      <c r="D702" s="2448"/>
      <c r="E702" s="2448"/>
      <c r="F702" s="189"/>
      <c r="G702" s="2448"/>
      <c r="H702" s="189"/>
      <c r="I702" s="189"/>
      <c r="J702" s="189"/>
      <c r="K702" s="189"/>
    </row>
    <row r="703" spans="4:11" customFormat="1" x14ac:dyDescent="0.2">
      <c r="D703" s="2448"/>
      <c r="E703" s="2448"/>
      <c r="F703" s="189"/>
      <c r="G703" s="2448"/>
      <c r="H703" s="189"/>
      <c r="I703" s="189"/>
      <c r="J703" s="189"/>
      <c r="K703" s="189"/>
    </row>
    <row r="704" spans="4:11" customFormat="1" x14ac:dyDescent="0.2">
      <c r="D704" s="2448"/>
      <c r="E704" s="2448"/>
      <c r="F704" s="189"/>
      <c r="G704" s="2448"/>
      <c r="H704" s="189"/>
      <c r="I704" s="189"/>
      <c r="J704" s="189"/>
      <c r="K704" s="189"/>
    </row>
    <row r="705" spans="4:11" customFormat="1" x14ac:dyDescent="0.2">
      <c r="D705" s="2448"/>
      <c r="E705" s="2448"/>
      <c r="F705" s="189"/>
      <c r="G705" s="2448"/>
      <c r="H705" s="189"/>
      <c r="I705" s="189"/>
      <c r="J705" s="189"/>
      <c r="K705" s="189"/>
    </row>
    <row r="706" spans="4:11" customFormat="1" x14ac:dyDescent="0.2">
      <c r="D706" s="2448"/>
      <c r="E706" s="2448"/>
      <c r="F706" s="189"/>
      <c r="G706" s="2448"/>
      <c r="H706" s="189"/>
      <c r="I706" s="189"/>
      <c r="J706" s="189"/>
      <c r="K706" s="189"/>
    </row>
    <row r="707" spans="4:11" customFormat="1" x14ac:dyDescent="0.2">
      <c r="D707" s="2448"/>
      <c r="E707" s="2448"/>
      <c r="F707" s="189"/>
      <c r="G707" s="2448"/>
      <c r="H707" s="189"/>
      <c r="I707" s="189"/>
      <c r="J707" s="189"/>
      <c r="K707" s="189"/>
    </row>
    <row r="708" spans="4:11" customFormat="1" x14ac:dyDescent="0.2">
      <c r="D708" s="2448"/>
      <c r="E708" s="2448"/>
      <c r="F708" s="189"/>
      <c r="G708" s="2448"/>
      <c r="H708" s="189"/>
      <c r="I708" s="189"/>
      <c r="J708" s="189"/>
      <c r="K708" s="189"/>
    </row>
    <row r="709" spans="4:11" customFormat="1" x14ac:dyDescent="0.2">
      <c r="D709" s="2448"/>
      <c r="E709" s="2448"/>
      <c r="F709" s="189"/>
      <c r="G709" s="2448"/>
      <c r="H709" s="189"/>
      <c r="I709" s="189"/>
      <c r="J709" s="189"/>
      <c r="K709" s="189"/>
    </row>
    <row r="710" spans="4:11" customFormat="1" x14ac:dyDescent="0.2">
      <c r="D710" s="2448"/>
      <c r="E710" s="2448"/>
      <c r="F710" s="189"/>
      <c r="G710" s="2448"/>
      <c r="H710" s="189"/>
      <c r="I710" s="189"/>
      <c r="J710" s="189"/>
      <c r="K710" s="189"/>
    </row>
    <row r="711" spans="4:11" customFormat="1" x14ac:dyDescent="0.2">
      <c r="D711" s="2448"/>
      <c r="E711" s="2448"/>
      <c r="F711" s="189"/>
      <c r="G711" s="2448"/>
      <c r="H711" s="189"/>
      <c r="I711" s="189"/>
      <c r="J711" s="189"/>
      <c r="K711" s="189"/>
    </row>
    <row r="712" spans="4:11" customFormat="1" x14ac:dyDescent="0.2">
      <c r="D712" s="2448"/>
      <c r="E712" s="2448"/>
      <c r="F712" s="189"/>
      <c r="G712" s="2448"/>
      <c r="H712" s="189"/>
      <c r="I712" s="189"/>
      <c r="J712" s="189"/>
      <c r="K712" s="189"/>
    </row>
    <row r="713" spans="4:11" customFormat="1" x14ac:dyDescent="0.2">
      <c r="D713" s="2448"/>
      <c r="E713" s="2448"/>
      <c r="F713" s="189"/>
      <c r="G713" s="2448"/>
      <c r="H713" s="189"/>
      <c r="I713" s="189"/>
      <c r="J713" s="189"/>
      <c r="K713" s="189"/>
    </row>
    <row r="714" spans="4:11" customFormat="1" x14ac:dyDescent="0.2">
      <c r="D714" s="2448"/>
      <c r="E714" s="2448"/>
      <c r="F714" s="189"/>
      <c r="G714" s="2448"/>
      <c r="H714" s="189"/>
      <c r="I714" s="189"/>
      <c r="J714" s="189"/>
      <c r="K714" s="189"/>
    </row>
    <row r="715" spans="4:11" customFormat="1" x14ac:dyDescent="0.2">
      <c r="D715" s="2448"/>
      <c r="E715" s="2448"/>
      <c r="F715" s="189"/>
      <c r="G715" s="2448"/>
      <c r="H715" s="189"/>
      <c r="I715" s="189"/>
      <c r="J715" s="189"/>
      <c r="K715" s="189"/>
    </row>
    <row r="716" spans="4:11" customFormat="1" x14ac:dyDescent="0.2">
      <c r="D716" s="2448"/>
      <c r="E716" s="2448"/>
      <c r="F716" s="189"/>
      <c r="G716" s="2448"/>
      <c r="H716" s="189"/>
      <c r="I716" s="189"/>
      <c r="J716" s="189"/>
      <c r="K716" s="189"/>
    </row>
    <row r="717" spans="4:11" customFormat="1" x14ac:dyDescent="0.2">
      <c r="D717" s="2448"/>
      <c r="E717" s="2448"/>
      <c r="F717" s="189"/>
      <c r="G717" s="2448"/>
      <c r="H717" s="189"/>
      <c r="I717" s="189"/>
      <c r="J717" s="189"/>
      <c r="K717" s="189"/>
    </row>
    <row r="718" spans="4:11" customFormat="1" x14ac:dyDescent="0.2">
      <c r="D718" s="2448"/>
      <c r="E718" s="2448"/>
      <c r="F718" s="189"/>
      <c r="G718" s="2448"/>
      <c r="H718" s="189"/>
      <c r="I718" s="189"/>
      <c r="J718" s="189"/>
      <c r="K718" s="189"/>
    </row>
    <row r="719" spans="4:11" customFormat="1" x14ac:dyDescent="0.2">
      <c r="D719" s="2448"/>
      <c r="E719" s="2448"/>
      <c r="F719" s="189"/>
      <c r="G719" s="2448"/>
      <c r="H719" s="189"/>
      <c r="I719" s="189"/>
      <c r="J719" s="189"/>
      <c r="K719" s="189"/>
    </row>
    <row r="720" spans="4:11" customFormat="1" x14ac:dyDescent="0.2">
      <c r="D720" s="2448"/>
      <c r="E720" s="2448"/>
      <c r="F720" s="189"/>
      <c r="G720" s="2448"/>
      <c r="H720" s="189"/>
      <c r="I720" s="189"/>
      <c r="J720" s="189"/>
      <c r="K720" s="189"/>
    </row>
    <row r="721" spans="4:11" customFormat="1" x14ac:dyDescent="0.2">
      <c r="D721" s="2448"/>
      <c r="E721" s="2448"/>
      <c r="F721" s="189"/>
      <c r="G721" s="2448"/>
      <c r="H721" s="189"/>
      <c r="I721" s="189"/>
      <c r="J721" s="189"/>
      <c r="K721" s="189"/>
    </row>
    <row r="722" spans="4:11" customFormat="1" x14ac:dyDescent="0.2">
      <c r="D722" s="2448"/>
      <c r="E722" s="2448"/>
      <c r="F722" s="189"/>
      <c r="G722" s="2448"/>
      <c r="H722" s="189"/>
      <c r="I722" s="189"/>
      <c r="J722" s="189"/>
      <c r="K722" s="189"/>
    </row>
    <row r="723" spans="4:11" customFormat="1" x14ac:dyDescent="0.2">
      <c r="D723" s="2448"/>
      <c r="E723" s="2448"/>
      <c r="F723" s="189"/>
      <c r="G723" s="2448"/>
      <c r="H723" s="189"/>
      <c r="I723" s="189"/>
      <c r="J723" s="189"/>
      <c r="K723" s="189"/>
    </row>
    <row r="724" spans="4:11" customFormat="1" x14ac:dyDescent="0.2">
      <c r="D724" s="2448"/>
      <c r="E724" s="2448"/>
      <c r="F724" s="189"/>
      <c r="G724" s="2448"/>
      <c r="H724" s="189"/>
      <c r="I724" s="189"/>
      <c r="J724" s="189"/>
      <c r="K724" s="189"/>
    </row>
    <row r="725" spans="4:11" customFormat="1" x14ac:dyDescent="0.2">
      <c r="D725" s="2448"/>
      <c r="E725" s="2448"/>
      <c r="F725" s="189"/>
      <c r="G725" s="2448"/>
      <c r="H725" s="189"/>
      <c r="I725" s="189"/>
      <c r="J725" s="189"/>
      <c r="K725" s="189"/>
    </row>
    <row r="726" spans="4:11" customFormat="1" x14ac:dyDescent="0.2">
      <c r="D726" s="2448"/>
      <c r="E726" s="2448"/>
      <c r="F726" s="189"/>
      <c r="G726" s="2448"/>
      <c r="H726" s="189"/>
      <c r="I726" s="189"/>
      <c r="J726" s="189"/>
      <c r="K726" s="189"/>
    </row>
    <row r="727" spans="4:11" customFormat="1" x14ac:dyDescent="0.2">
      <c r="D727" s="2448"/>
      <c r="E727" s="2448"/>
      <c r="F727" s="189"/>
      <c r="G727" s="2448"/>
      <c r="H727" s="189"/>
      <c r="I727" s="189"/>
      <c r="J727" s="189"/>
      <c r="K727" s="189"/>
    </row>
    <row r="728" spans="4:11" customFormat="1" x14ac:dyDescent="0.2">
      <c r="D728" s="2448"/>
      <c r="E728" s="2448"/>
      <c r="F728" s="189"/>
      <c r="G728" s="2448"/>
      <c r="H728" s="189"/>
      <c r="I728" s="189"/>
      <c r="J728" s="189"/>
      <c r="K728" s="189"/>
    </row>
    <row r="729" spans="4:11" customFormat="1" x14ac:dyDescent="0.2">
      <c r="D729" s="2448"/>
      <c r="E729" s="2448"/>
      <c r="F729" s="189"/>
      <c r="G729" s="2448"/>
      <c r="H729" s="189"/>
      <c r="I729" s="189"/>
      <c r="J729" s="189"/>
      <c r="K729" s="189"/>
    </row>
    <row r="730" spans="4:11" customFormat="1" x14ac:dyDescent="0.2">
      <c r="D730" s="2448"/>
      <c r="E730" s="2448"/>
      <c r="F730" s="189"/>
      <c r="G730" s="2448"/>
      <c r="H730" s="189"/>
      <c r="I730" s="189"/>
      <c r="J730" s="189"/>
      <c r="K730" s="189"/>
    </row>
    <row r="731" spans="4:11" customFormat="1" x14ac:dyDescent="0.2">
      <c r="D731" s="2448"/>
      <c r="E731" s="2448"/>
      <c r="F731" s="189"/>
      <c r="G731" s="2448"/>
      <c r="H731" s="189"/>
      <c r="I731" s="189"/>
      <c r="J731" s="189"/>
      <c r="K731" s="189"/>
    </row>
    <row r="732" spans="4:11" customFormat="1" x14ac:dyDescent="0.2">
      <c r="D732" s="2448"/>
      <c r="E732" s="2448"/>
      <c r="F732" s="189"/>
      <c r="G732" s="2448"/>
      <c r="H732" s="189"/>
      <c r="I732" s="189"/>
      <c r="J732" s="189"/>
      <c r="K732" s="189"/>
    </row>
    <row r="733" spans="4:11" customFormat="1" x14ac:dyDescent="0.2">
      <c r="D733" s="2448"/>
      <c r="E733" s="2448"/>
      <c r="F733" s="189"/>
      <c r="G733" s="2448"/>
      <c r="H733" s="189"/>
      <c r="I733" s="189"/>
      <c r="J733" s="189"/>
      <c r="K733" s="189"/>
    </row>
    <row r="734" spans="4:11" customFormat="1" x14ac:dyDescent="0.2">
      <c r="D734" s="2448"/>
      <c r="E734" s="2448"/>
      <c r="F734" s="189"/>
      <c r="G734" s="2448"/>
      <c r="H734" s="189"/>
      <c r="I734" s="189"/>
      <c r="J734" s="189"/>
      <c r="K734" s="189"/>
    </row>
    <row r="735" spans="4:11" customFormat="1" x14ac:dyDescent="0.2">
      <c r="D735" s="2448"/>
      <c r="E735" s="2448"/>
      <c r="F735" s="189"/>
      <c r="G735" s="2448"/>
      <c r="H735" s="189"/>
      <c r="I735" s="189"/>
      <c r="J735" s="189"/>
      <c r="K735" s="189"/>
    </row>
    <row r="736" spans="4:11" customFormat="1" x14ac:dyDescent="0.2">
      <c r="D736" s="2448"/>
      <c r="E736" s="2448"/>
      <c r="F736" s="189"/>
      <c r="G736" s="2448"/>
      <c r="H736" s="189"/>
      <c r="I736" s="189"/>
      <c r="J736" s="189"/>
      <c r="K736" s="189"/>
    </row>
    <row r="737" spans="4:11" customFormat="1" x14ac:dyDescent="0.2">
      <c r="D737" s="2448"/>
      <c r="E737" s="2448"/>
      <c r="F737" s="189"/>
      <c r="G737" s="2448"/>
      <c r="H737" s="189"/>
      <c r="I737" s="189"/>
      <c r="J737" s="189"/>
      <c r="K737" s="189"/>
    </row>
    <row r="738" spans="4:11" customFormat="1" x14ac:dyDescent="0.2">
      <c r="D738" s="2448"/>
      <c r="E738" s="2448"/>
      <c r="F738" s="189"/>
      <c r="G738" s="2448"/>
      <c r="H738" s="189"/>
      <c r="I738" s="189"/>
      <c r="J738" s="189"/>
      <c r="K738" s="189"/>
    </row>
    <row r="739" spans="4:11" customFormat="1" x14ac:dyDescent="0.2">
      <c r="D739" s="2448"/>
      <c r="E739" s="2448"/>
      <c r="F739" s="189"/>
      <c r="G739" s="2448"/>
      <c r="H739" s="189"/>
      <c r="I739" s="189"/>
      <c r="J739" s="189"/>
      <c r="K739" s="189"/>
    </row>
    <row r="740" spans="4:11" customFormat="1" x14ac:dyDescent="0.2">
      <c r="D740" s="2448"/>
      <c r="E740" s="2448"/>
      <c r="F740" s="189"/>
      <c r="G740" s="2448"/>
      <c r="H740" s="189"/>
      <c r="I740" s="189"/>
      <c r="J740" s="189"/>
      <c r="K740" s="189"/>
    </row>
    <row r="741" spans="4:11" customFormat="1" x14ac:dyDescent="0.2">
      <c r="D741" s="2448"/>
      <c r="E741" s="2448"/>
      <c r="F741" s="189"/>
      <c r="G741" s="2448"/>
      <c r="H741" s="189"/>
      <c r="I741" s="189"/>
      <c r="J741" s="189"/>
      <c r="K741" s="189"/>
    </row>
    <row r="742" spans="4:11" customFormat="1" x14ac:dyDescent="0.2">
      <c r="D742" s="2448"/>
      <c r="E742" s="2448"/>
      <c r="F742" s="189"/>
      <c r="G742" s="2448"/>
      <c r="H742" s="189"/>
      <c r="I742" s="189"/>
      <c r="J742" s="189"/>
      <c r="K742" s="189"/>
    </row>
    <row r="743" spans="4:11" customFormat="1" x14ac:dyDescent="0.2">
      <c r="D743" s="2448"/>
      <c r="E743" s="2448"/>
      <c r="F743" s="189"/>
      <c r="G743" s="2448"/>
      <c r="H743" s="189"/>
      <c r="I743" s="189"/>
      <c r="J743" s="189"/>
      <c r="K743" s="189"/>
    </row>
    <row r="744" spans="4:11" customFormat="1" x14ac:dyDescent="0.2">
      <c r="D744" s="2448"/>
      <c r="E744" s="2448"/>
      <c r="F744" s="189"/>
      <c r="G744" s="2448"/>
      <c r="H744" s="189"/>
      <c r="I744" s="189"/>
      <c r="J744" s="189"/>
      <c r="K744" s="189"/>
    </row>
    <row r="745" spans="4:11" customFormat="1" x14ac:dyDescent="0.2">
      <c r="D745" s="2448"/>
      <c r="E745" s="2448"/>
      <c r="F745" s="189"/>
      <c r="G745" s="2448"/>
      <c r="H745" s="189"/>
      <c r="I745" s="189"/>
      <c r="J745" s="189"/>
      <c r="K745" s="189"/>
    </row>
    <row r="746" spans="4:11" customFormat="1" x14ac:dyDescent="0.2">
      <c r="D746" s="2448"/>
      <c r="E746" s="2448"/>
      <c r="F746" s="189"/>
      <c r="G746" s="2448"/>
      <c r="H746" s="189"/>
      <c r="I746" s="189"/>
      <c r="J746" s="189"/>
      <c r="K746" s="189"/>
    </row>
    <row r="747" spans="4:11" customFormat="1" x14ac:dyDescent="0.2">
      <c r="D747" s="2448"/>
      <c r="E747" s="2448"/>
      <c r="F747" s="189"/>
      <c r="G747" s="2448"/>
      <c r="H747" s="189"/>
      <c r="I747" s="189"/>
      <c r="J747" s="189"/>
      <c r="K747" s="189"/>
    </row>
    <row r="748" spans="4:11" customFormat="1" x14ac:dyDescent="0.2">
      <c r="D748" s="2448"/>
      <c r="E748" s="2448"/>
      <c r="F748" s="189"/>
      <c r="G748" s="2448"/>
      <c r="H748" s="189"/>
      <c r="I748" s="189"/>
      <c r="J748" s="189"/>
      <c r="K748" s="189"/>
    </row>
    <row r="749" spans="4:11" customFormat="1" x14ac:dyDescent="0.2">
      <c r="D749" s="2448"/>
      <c r="E749" s="2448"/>
      <c r="F749" s="189"/>
      <c r="G749" s="2448"/>
      <c r="H749" s="189"/>
      <c r="I749" s="189"/>
      <c r="J749" s="189"/>
      <c r="K749" s="189"/>
    </row>
    <row r="750" spans="4:11" customFormat="1" x14ac:dyDescent="0.2">
      <c r="D750" s="2448"/>
      <c r="E750" s="2448"/>
      <c r="F750" s="189"/>
      <c r="G750" s="2448"/>
      <c r="H750" s="189"/>
      <c r="I750" s="189"/>
      <c r="J750" s="189"/>
      <c r="K750" s="189"/>
    </row>
    <row r="751" spans="4:11" customFormat="1" x14ac:dyDescent="0.2">
      <c r="D751" s="2448"/>
      <c r="E751" s="2448"/>
      <c r="F751" s="189"/>
      <c r="G751" s="2448"/>
      <c r="H751" s="189"/>
      <c r="I751" s="189"/>
      <c r="J751" s="189"/>
      <c r="K751" s="189"/>
    </row>
    <row r="752" spans="4:11" customFormat="1" x14ac:dyDescent="0.2">
      <c r="D752" s="2448"/>
      <c r="E752" s="2448"/>
      <c r="F752" s="189"/>
      <c r="G752" s="2448"/>
      <c r="H752" s="189"/>
      <c r="I752" s="189"/>
      <c r="J752" s="189"/>
      <c r="K752" s="189"/>
    </row>
    <row r="753" spans="4:11" customFormat="1" x14ac:dyDescent="0.2">
      <c r="D753" s="2448"/>
      <c r="E753" s="2448"/>
      <c r="F753" s="189"/>
      <c r="G753" s="2448"/>
      <c r="H753" s="189"/>
      <c r="I753" s="189"/>
      <c r="J753" s="189"/>
      <c r="K753" s="189"/>
    </row>
    <row r="754" spans="4:11" customFormat="1" x14ac:dyDescent="0.2">
      <c r="D754" s="2448"/>
      <c r="E754" s="2448"/>
      <c r="F754" s="189"/>
      <c r="G754" s="2448"/>
      <c r="H754" s="189"/>
      <c r="I754" s="189"/>
      <c r="J754" s="189"/>
      <c r="K754" s="189"/>
    </row>
    <row r="755" spans="4:11" customFormat="1" x14ac:dyDescent="0.2">
      <c r="D755" s="2448"/>
      <c r="E755" s="2448"/>
      <c r="F755" s="189"/>
      <c r="G755" s="2448"/>
      <c r="H755" s="189"/>
      <c r="I755" s="189"/>
      <c r="J755" s="189"/>
      <c r="K755" s="189"/>
    </row>
    <row r="756" spans="4:11" customFormat="1" x14ac:dyDescent="0.2">
      <c r="D756" s="2448"/>
      <c r="E756" s="2448"/>
      <c r="F756" s="189"/>
      <c r="G756" s="2448"/>
      <c r="H756" s="189"/>
      <c r="I756" s="189"/>
      <c r="J756" s="189"/>
      <c r="K756" s="189"/>
    </row>
    <row r="757" spans="4:11" customFormat="1" x14ac:dyDescent="0.2">
      <c r="D757" s="2448"/>
      <c r="E757" s="2448"/>
      <c r="F757" s="189"/>
      <c r="G757" s="2448"/>
      <c r="H757" s="189"/>
      <c r="I757" s="189"/>
      <c r="J757" s="189"/>
      <c r="K757" s="189"/>
    </row>
    <row r="758" spans="4:11" customFormat="1" x14ac:dyDescent="0.2">
      <c r="D758" s="2448"/>
      <c r="E758" s="2448"/>
      <c r="F758" s="189"/>
      <c r="G758" s="2448"/>
      <c r="H758" s="189"/>
      <c r="I758" s="189"/>
      <c r="J758" s="189"/>
      <c r="K758" s="189"/>
    </row>
    <row r="759" spans="4:11" customFormat="1" x14ac:dyDescent="0.2">
      <c r="D759" s="2448"/>
      <c r="E759" s="2448"/>
      <c r="F759" s="189"/>
      <c r="G759" s="2448"/>
      <c r="H759" s="189"/>
      <c r="I759" s="189"/>
      <c r="J759" s="189"/>
      <c r="K759" s="189"/>
    </row>
    <row r="760" spans="4:11" customFormat="1" x14ac:dyDescent="0.2">
      <c r="D760" s="2448"/>
      <c r="E760" s="2448"/>
      <c r="F760" s="189"/>
      <c r="G760" s="2448"/>
      <c r="H760" s="189"/>
      <c r="I760" s="189"/>
      <c r="J760" s="189"/>
      <c r="K760" s="189"/>
    </row>
    <row r="761" spans="4:11" customFormat="1" x14ac:dyDescent="0.2">
      <c r="D761" s="2448"/>
      <c r="E761" s="2448"/>
      <c r="F761" s="189"/>
      <c r="G761" s="2448"/>
      <c r="H761" s="189"/>
      <c r="I761" s="189"/>
      <c r="J761" s="189"/>
      <c r="K761" s="189"/>
    </row>
    <row r="762" spans="4:11" customFormat="1" x14ac:dyDescent="0.2">
      <c r="D762" s="2448"/>
      <c r="E762" s="2448"/>
      <c r="F762" s="189"/>
      <c r="G762" s="2448"/>
      <c r="H762" s="189"/>
      <c r="I762" s="189"/>
      <c r="J762" s="189"/>
      <c r="K762" s="189"/>
    </row>
    <row r="763" spans="4:11" customFormat="1" x14ac:dyDescent="0.2">
      <c r="D763" s="2448"/>
      <c r="E763" s="2448"/>
      <c r="F763" s="189"/>
      <c r="G763" s="2448"/>
      <c r="H763" s="189"/>
      <c r="I763" s="189"/>
      <c r="J763" s="189"/>
      <c r="K763" s="189"/>
    </row>
    <row r="764" spans="4:11" customFormat="1" x14ac:dyDescent="0.2">
      <c r="D764" s="2448"/>
      <c r="E764" s="2448"/>
      <c r="F764" s="189"/>
      <c r="G764" s="2448"/>
      <c r="H764" s="189"/>
      <c r="I764" s="189"/>
      <c r="J764" s="189"/>
      <c r="K764" s="189"/>
    </row>
    <row r="765" spans="4:11" customFormat="1" x14ac:dyDescent="0.2">
      <c r="D765" s="2448"/>
      <c r="E765" s="2448"/>
      <c r="F765" s="189"/>
      <c r="G765" s="2448"/>
      <c r="H765" s="189"/>
      <c r="I765" s="189"/>
      <c r="J765" s="189"/>
      <c r="K765" s="189"/>
    </row>
    <row r="766" spans="4:11" customFormat="1" x14ac:dyDescent="0.2">
      <c r="D766" s="2448"/>
      <c r="E766" s="2448"/>
      <c r="F766" s="189"/>
      <c r="G766" s="2448"/>
      <c r="H766" s="189"/>
      <c r="I766" s="189"/>
      <c r="J766" s="189"/>
      <c r="K766" s="189"/>
    </row>
    <row r="767" spans="4:11" customFormat="1" x14ac:dyDescent="0.2">
      <c r="D767" s="2448"/>
      <c r="E767" s="2448"/>
      <c r="F767" s="189"/>
      <c r="G767" s="2448"/>
      <c r="H767" s="189"/>
      <c r="I767" s="189"/>
      <c r="J767" s="189"/>
      <c r="K767" s="189"/>
    </row>
    <row r="768" spans="4:11" customFormat="1" x14ac:dyDescent="0.2">
      <c r="D768" s="2448"/>
      <c r="E768" s="2448"/>
      <c r="F768" s="189"/>
      <c r="G768" s="2448"/>
      <c r="H768" s="189"/>
      <c r="I768" s="189"/>
      <c r="J768" s="189"/>
      <c r="K768" s="189"/>
    </row>
    <row r="769" spans="4:11" customFormat="1" x14ac:dyDescent="0.2">
      <c r="D769" s="2448"/>
      <c r="E769" s="2448"/>
      <c r="F769" s="189"/>
      <c r="G769" s="2448"/>
      <c r="H769" s="189"/>
      <c r="I769" s="189"/>
      <c r="J769" s="189"/>
      <c r="K769" s="189"/>
    </row>
    <row r="770" spans="4:11" customFormat="1" x14ac:dyDescent="0.2">
      <c r="D770" s="2448"/>
      <c r="E770" s="2448"/>
      <c r="F770" s="189"/>
      <c r="G770" s="2448"/>
      <c r="H770" s="189"/>
      <c r="I770" s="189"/>
      <c r="J770" s="189"/>
      <c r="K770" s="189"/>
    </row>
    <row r="771" spans="4:11" customFormat="1" x14ac:dyDescent="0.2">
      <c r="D771" s="2448"/>
      <c r="E771" s="2448"/>
      <c r="F771" s="189"/>
      <c r="G771" s="2448"/>
      <c r="H771" s="189"/>
      <c r="I771" s="189"/>
      <c r="J771" s="189"/>
      <c r="K771" s="189"/>
    </row>
    <row r="772" spans="4:11" customFormat="1" x14ac:dyDescent="0.2">
      <c r="D772" s="2448"/>
      <c r="E772" s="2448"/>
      <c r="F772" s="189"/>
      <c r="G772" s="2448"/>
      <c r="H772" s="189"/>
      <c r="I772" s="189"/>
      <c r="J772" s="189"/>
      <c r="K772" s="189"/>
    </row>
    <row r="773" spans="4:11" customFormat="1" x14ac:dyDescent="0.2">
      <c r="D773" s="2448"/>
      <c r="E773" s="2448"/>
      <c r="F773" s="189"/>
      <c r="G773" s="2448"/>
      <c r="H773" s="189"/>
      <c r="I773" s="189"/>
      <c r="J773" s="189"/>
      <c r="K773" s="189"/>
    </row>
    <row r="774" spans="4:11" customFormat="1" x14ac:dyDescent="0.2">
      <c r="D774" s="2448"/>
      <c r="E774" s="2448"/>
      <c r="F774" s="189"/>
      <c r="G774" s="2448"/>
      <c r="H774" s="189"/>
      <c r="I774" s="189"/>
      <c r="J774" s="189"/>
      <c r="K774" s="189"/>
    </row>
    <row r="775" spans="4:11" customFormat="1" x14ac:dyDescent="0.2">
      <c r="D775" s="2448"/>
      <c r="E775" s="2448"/>
      <c r="F775" s="189"/>
      <c r="G775" s="2448"/>
      <c r="H775" s="189"/>
      <c r="I775" s="189"/>
      <c r="J775" s="189"/>
      <c r="K775" s="189"/>
    </row>
    <row r="776" spans="4:11" customFormat="1" x14ac:dyDescent="0.2">
      <c r="D776" s="2448"/>
      <c r="E776" s="2448"/>
      <c r="F776" s="189"/>
      <c r="G776" s="2448"/>
      <c r="H776" s="189"/>
      <c r="I776" s="189"/>
      <c r="J776" s="189"/>
      <c r="K776" s="189"/>
    </row>
    <row r="777" spans="4:11" customFormat="1" x14ac:dyDescent="0.2">
      <c r="D777" s="2448"/>
      <c r="E777" s="2448"/>
      <c r="F777" s="189"/>
      <c r="G777" s="2448"/>
      <c r="H777" s="189"/>
      <c r="I777" s="189"/>
      <c r="J777" s="189"/>
      <c r="K777" s="189"/>
    </row>
    <row r="778" spans="4:11" customFormat="1" x14ac:dyDescent="0.2">
      <c r="D778" s="2448"/>
      <c r="E778" s="2448"/>
      <c r="F778" s="189"/>
      <c r="G778" s="2448"/>
      <c r="H778" s="189"/>
      <c r="I778" s="189"/>
      <c r="J778" s="189"/>
      <c r="K778" s="189"/>
    </row>
    <row r="779" spans="4:11" customFormat="1" x14ac:dyDescent="0.2">
      <c r="D779" s="2448"/>
      <c r="E779" s="2448"/>
      <c r="F779" s="189"/>
      <c r="G779" s="2448"/>
      <c r="H779" s="189"/>
      <c r="I779" s="189"/>
      <c r="J779" s="189"/>
      <c r="K779" s="189"/>
    </row>
    <row r="780" spans="4:11" customFormat="1" x14ac:dyDescent="0.2">
      <c r="D780" s="2448"/>
      <c r="E780" s="2448"/>
      <c r="F780" s="189"/>
      <c r="G780" s="2448"/>
      <c r="H780" s="189"/>
      <c r="I780" s="189"/>
      <c r="J780" s="189"/>
      <c r="K780" s="189"/>
    </row>
    <row r="781" spans="4:11" customFormat="1" x14ac:dyDescent="0.2">
      <c r="D781" s="2448"/>
      <c r="E781" s="2448"/>
      <c r="F781" s="189"/>
      <c r="G781" s="2448"/>
      <c r="H781" s="189"/>
      <c r="I781" s="189"/>
      <c r="J781" s="189"/>
      <c r="K781" s="189"/>
    </row>
    <row r="782" spans="4:11" customFormat="1" x14ac:dyDescent="0.2">
      <c r="D782" s="2448"/>
      <c r="E782" s="2448"/>
      <c r="F782" s="189"/>
      <c r="G782" s="2448"/>
      <c r="H782" s="189"/>
      <c r="I782" s="189"/>
      <c r="J782" s="189"/>
      <c r="K782" s="189"/>
    </row>
    <row r="783" spans="4:11" customFormat="1" x14ac:dyDescent="0.2">
      <c r="D783" s="2448"/>
      <c r="E783" s="2448"/>
      <c r="F783" s="189"/>
      <c r="G783" s="2448"/>
      <c r="H783" s="189"/>
      <c r="I783" s="189"/>
      <c r="J783" s="189"/>
      <c r="K783" s="189"/>
    </row>
    <row r="784" spans="4:11" customFormat="1" x14ac:dyDescent="0.2">
      <c r="D784" s="2448"/>
      <c r="E784" s="2448"/>
      <c r="F784" s="189"/>
      <c r="G784" s="2448"/>
      <c r="H784" s="189"/>
      <c r="I784" s="189"/>
      <c r="J784" s="189"/>
      <c r="K784" s="189"/>
    </row>
    <row r="785" spans="4:11" customFormat="1" x14ac:dyDescent="0.2">
      <c r="D785" s="2448"/>
      <c r="E785" s="2448"/>
      <c r="F785" s="189"/>
      <c r="G785" s="2448"/>
      <c r="H785" s="189"/>
      <c r="I785" s="189"/>
      <c r="J785" s="189"/>
      <c r="K785" s="189"/>
    </row>
    <row r="786" spans="4:11" customFormat="1" x14ac:dyDescent="0.2">
      <c r="D786" s="2448"/>
      <c r="E786" s="2448"/>
      <c r="F786" s="189"/>
      <c r="G786" s="2448"/>
      <c r="H786" s="189"/>
      <c r="I786" s="189"/>
      <c r="J786" s="189"/>
      <c r="K786" s="189"/>
    </row>
    <row r="787" spans="4:11" customFormat="1" x14ac:dyDescent="0.2">
      <c r="D787" s="2448"/>
      <c r="E787" s="2448"/>
      <c r="F787" s="189"/>
      <c r="G787" s="2448"/>
      <c r="H787" s="189"/>
      <c r="I787" s="189"/>
      <c r="J787" s="189"/>
      <c r="K787" s="189"/>
    </row>
    <row r="788" spans="4:11" customFormat="1" x14ac:dyDescent="0.2">
      <c r="D788" s="2448"/>
      <c r="E788" s="2448"/>
      <c r="F788" s="189"/>
      <c r="G788" s="2448"/>
      <c r="H788" s="189"/>
      <c r="I788" s="189"/>
      <c r="J788" s="189"/>
      <c r="K788" s="189"/>
    </row>
    <row r="789" spans="4:11" customFormat="1" x14ac:dyDescent="0.2">
      <c r="D789" s="2448"/>
      <c r="E789" s="2448"/>
      <c r="F789" s="189"/>
      <c r="G789" s="2448"/>
      <c r="H789" s="189"/>
      <c r="I789" s="189"/>
      <c r="J789" s="189"/>
      <c r="K789" s="189"/>
    </row>
    <row r="790" spans="4:11" customFormat="1" x14ac:dyDescent="0.2">
      <c r="D790" s="2448"/>
      <c r="E790" s="2448"/>
      <c r="F790" s="189"/>
      <c r="G790" s="2448"/>
      <c r="H790" s="189"/>
      <c r="I790" s="189"/>
      <c r="J790" s="189"/>
      <c r="K790" s="189"/>
    </row>
    <row r="791" spans="4:11" customFormat="1" x14ac:dyDescent="0.2">
      <c r="D791" s="2448"/>
      <c r="E791" s="2448"/>
      <c r="F791" s="189"/>
      <c r="G791" s="2448"/>
      <c r="H791" s="189"/>
      <c r="I791" s="189"/>
      <c r="J791" s="189"/>
      <c r="K791" s="189"/>
    </row>
    <row r="792" spans="4:11" customFormat="1" x14ac:dyDescent="0.2">
      <c r="D792" s="2448"/>
      <c r="E792" s="2448"/>
      <c r="F792" s="189"/>
      <c r="G792" s="2448"/>
      <c r="H792" s="189"/>
      <c r="I792" s="189"/>
      <c r="J792" s="189"/>
      <c r="K792" s="189"/>
    </row>
    <row r="793" spans="4:11" customFormat="1" x14ac:dyDescent="0.2">
      <c r="D793" s="2448"/>
      <c r="E793" s="2448"/>
      <c r="F793" s="189"/>
      <c r="G793" s="2448"/>
      <c r="H793" s="189"/>
      <c r="I793" s="189"/>
      <c r="J793" s="189"/>
      <c r="K793" s="189"/>
    </row>
    <row r="794" spans="4:11" customFormat="1" x14ac:dyDescent="0.2">
      <c r="D794" s="2448"/>
      <c r="E794" s="2448"/>
      <c r="F794" s="189"/>
      <c r="G794" s="2448"/>
      <c r="H794" s="189"/>
      <c r="I794" s="189"/>
      <c r="J794" s="189"/>
      <c r="K794" s="189"/>
    </row>
    <row r="795" spans="4:11" customFormat="1" x14ac:dyDescent="0.2">
      <c r="D795" s="2448"/>
      <c r="E795" s="2448"/>
      <c r="F795" s="189"/>
      <c r="G795" s="2448"/>
      <c r="H795" s="189"/>
      <c r="I795" s="189"/>
      <c r="J795" s="189"/>
      <c r="K795" s="189"/>
    </row>
    <row r="796" spans="4:11" customFormat="1" x14ac:dyDescent="0.2">
      <c r="D796" s="2448"/>
      <c r="E796" s="2448"/>
      <c r="F796" s="189"/>
      <c r="G796" s="2448"/>
      <c r="H796" s="189"/>
      <c r="I796" s="189"/>
      <c r="J796" s="189"/>
      <c r="K796" s="189"/>
    </row>
    <row r="797" spans="4:11" customFormat="1" x14ac:dyDescent="0.2">
      <c r="D797" s="2448"/>
      <c r="E797" s="2448"/>
      <c r="F797" s="189"/>
      <c r="G797" s="2448"/>
      <c r="H797" s="189"/>
      <c r="I797" s="189"/>
      <c r="J797" s="189"/>
      <c r="K797" s="189"/>
    </row>
    <row r="798" spans="4:11" customFormat="1" x14ac:dyDescent="0.2">
      <c r="D798" s="2448"/>
      <c r="E798" s="2448"/>
      <c r="F798" s="189"/>
      <c r="G798" s="2448"/>
      <c r="H798" s="189"/>
      <c r="I798" s="189"/>
      <c r="J798" s="189"/>
      <c r="K798" s="189"/>
    </row>
    <row r="799" spans="4:11" customFormat="1" x14ac:dyDescent="0.2">
      <c r="D799" s="2448"/>
      <c r="E799" s="2448"/>
      <c r="F799" s="189"/>
      <c r="G799" s="2448"/>
      <c r="H799" s="189"/>
      <c r="I799" s="189"/>
      <c r="J799" s="189"/>
      <c r="K799" s="189"/>
    </row>
    <row r="800" spans="4:11" customFormat="1" x14ac:dyDescent="0.2">
      <c r="D800" s="2448"/>
      <c r="E800" s="2448"/>
      <c r="F800" s="189"/>
      <c r="G800" s="2448"/>
      <c r="H800" s="189"/>
      <c r="I800" s="189"/>
      <c r="J800" s="189"/>
      <c r="K800" s="189"/>
    </row>
    <row r="801" spans="4:11" customFormat="1" x14ac:dyDescent="0.2">
      <c r="D801" s="2448"/>
      <c r="E801" s="2448"/>
      <c r="F801" s="189"/>
      <c r="G801" s="2448"/>
      <c r="H801" s="189"/>
      <c r="I801" s="189"/>
      <c r="J801" s="189"/>
      <c r="K801" s="189"/>
    </row>
    <row r="802" spans="4:11" customFormat="1" x14ac:dyDescent="0.2">
      <c r="D802" s="2448"/>
      <c r="E802" s="2448"/>
      <c r="F802" s="189"/>
      <c r="G802" s="2448"/>
      <c r="H802" s="189"/>
      <c r="I802" s="189"/>
      <c r="J802" s="189"/>
      <c r="K802" s="189"/>
    </row>
    <row r="803" spans="4:11" customFormat="1" x14ac:dyDescent="0.2">
      <c r="D803" s="2448"/>
      <c r="E803" s="2448"/>
      <c r="F803" s="189"/>
      <c r="G803" s="2448"/>
      <c r="H803" s="189"/>
      <c r="I803" s="189"/>
      <c r="J803" s="189"/>
      <c r="K803" s="189"/>
    </row>
    <row r="804" spans="4:11" customFormat="1" x14ac:dyDescent="0.2">
      <c r="D804" s="2448"/>
      <c r="E804" s="2448"/>
      <c r="F804" s="189"/>
      <c r="G804" s="2448"/>
      <c r="H804" s="189"/>
      <c r="I804" s="189"/>
      <c r="J804" s="189"/>
      <c r="K804" s="189"/>
    </row>
    <row r="805" spans="4:11" customFormat="1" x14ac:dyDescent="0.2">
      <c r="D805" s="2448"/>
      <c r="E805" s="2448"/>
      <c r="F805" s="189"/>
      <c r="G805" s="2448"/>
      <c r="H805" s="189"/>
      <c r="I805" s="189"/>
      <c r="J805" s="189"/>
      <c r="K805" s="189"/>
    </row>
    <row r="806" spans="4:11" customFormat="1" x14ac:dyDescent="0.2">
      <c r="D806" s="2448"/>
      <c r="E806" s="2448"/>
      <c r="F806" s="189"/>
      <c r="G806" s="2448"/>
      <c r="H806" s="189"/>
      <c r="I806" s="189"/>
      <c r="J806" s="189"/>
      <c r="K806" s="189"/>
    </row>
    <row r="807" spans="4:11" customFormat="1" x14ac:dyDescent="0.2">
      <c r="D807" s="2448"/>
      <c r="E807" s="2448"/>
      <c r="F807" s="189"/>
      <c r="G807" s="2448"/>
      <c r="H807" s="189"/>
      <c r="I807" s="189"/>
      <c r="J807" s="189"/>
      <c r="K807" s="189"/>
    </row>
    <row r="808" spans="4:11" customFormat="1" x14ac:dyDescent="0.2">
      <c r="D808" s="2448"/>
      <c r="E808" s="2448"/>
      <c r="F808" s="189"/>
      <c r="G808" s="2448"/>
      <c r="H808" s="189"/>
      <c r="I808" s="189"/>
      <c r="J808" s="189"/>
      <c r="K808" s="189"/>
    </row>
    <row r="809" spans="4:11" customFormat="1" x14ac:dyDescent="0.2">
      <c r="D809" s="2448"/>
      <c r="E809" s="2448"/>
      <c r="F809" s="189"/>
      <c r="G809" s="2448"/>
      <c r="H809" s="189"/>
      <c r="I809" s="189"/>
      <c r="J809" s="189"/>
      <c r="K809" s="189"/>
    </row>
    <row r="810" spans="4:11" customFormat="1" x14ac:dyDescent="0.2">
      <c r="D810" s="2448"/>
      <c r="E810" s="2448"/>
      <c r="F810" s="189"/>
      <c r="G810" s="2448"/>
      <c r="H810" s="189"/>
      <c r="I810" s="189"/>
      <c r="J810" s="189"/>
      <c r="K810" s="189"/>
    </row>
    <row r="811" spans="4:11" customFormat="1" x14ac:dyDescent="0.2">
      <c r="D811" s="2448"/>
      <c r="E811" s="2448"/>
      <c r="F811" s="189"/>
      <c r="G811" s="2448"/>
      <c r="H811" s="189"/>
      <c r="I811" s="189"/>
      <c r="J811" s="189"/>
      <c r="K811" s="189"/>
    </row>
    <row r="812" spans="4:11" customFormat="1" x14ac:dyDescent="0.2">
      <c r="D812" s="2448"/>
      <c r="E812" s="2448"/>
      <c r="F812" s="189"/>
      <c r="G812" s="2448"/>
      <c r="H812" s="189"/>
      <c r="I812" s="189"/>
      <c r="J812" s="189"/>
      <c r="K812" s="189"/>
    </row>
    <row r="813" spans="4:11" customFormat="1" x14ac:dyDescent="0.2">
      <c r="D813" s="2448"/>
      <c r="E813" s="2448"/>
      <c r="F813" s="189"/>
      <c r="G813" s="2448"/>
      <c r="H813" s="189"/>
      <c r="I813" s="189"/>
      <c r="J813" s="189"/>
      <c r="K813" s="189"/>
    </row>
    <row r="814" spans="4:11" customFormat="1" x14ac:dyDescent="0.2">
      <c r="D814" s="2448"/>
      <c r="E814" s="2448"/>
      <c r="F814" s="189"/>
      <c r="G814" s="2448"/>
      <c r="H814" s="189"/>
      <c r="I814" s="189"/>
      <c r="J814" s="189"/>
      <c r="K814" s="189"/>
    </row>
    <row r="815" spans="4:11" customFormat="1" x14ac:dyDescent="0.2">
      <c r="D815" s="2448"/>
      <c r="E815" s="2448"/>
      <c r="F815" s="189"/>
      <c r="G815" s="2448"/>
      <c r="H815" s="189"/>
      <c r="I815" s="189"/>
      <c r="J815" s="189"/>
      <c r="K815" s="189"/>
    </row>
    <row r="816" spans="4:11" customFormat="1" x14ac:dyDescent="0.2">
      <c r="D816" s="2448"/>
      <c r="E816" s="2448"/>
      <c r="F816" s="189"/>
      <c r="G816" s="2448"/>
      <c r="H816" s="189"/>
      <c r="I816" s="189"/>
      <c r="J816" s="189"/>
      <c r="K816" s="189"/>
    </row>
    <row r="817" spans="4:11" customFormat="1" x14ac:dyDescent="0.2">
      <c r="D817" s="2448"/>
      <c r="E817" s="2448"/>
      <c r="F817" s="189"/>
      <c r="G817" s="2448"/>
      <c r="H817" s="189"/>
      <c r="I817" s="189"/>
      <c r="J817" s="189"/>
      <c r="K817" s="189"/>
    </row>
    <row r="818" spans="4:11" customFormat="1" x14ac:dyDescent="0.2">
      <c r="D818" s="2448"/>
      <c r="E818" s="2448"/>
      <c r="F818" s="189"/>
      <c r="G818" s="2448"/>
      <c r="H818" s="189"/>
      <c r="I818" s="189"/>
      <c r="J818" s="189"/>
      <c r="K818" s="189"/>
    </row>
    <row r="819" spans="4:11" customFormat="1" x14ac:dyDescent="0.2">
      <c r="D819" s="2448"/>
      <c r="E819" s="2448"/>
      <c r="F819" s="189"/>
      <c r="G819" s="2448"/>
      <c r="H819" s="189"/>
      <c r="I819" s="189"/>
      <c r="J819" s="189"/>
      <c r="K819" s="189"/>
    </row>
    <row r="820" spans="4:11" customFormat="1" x14ac:dyDescent="0.2">
      <c r="D820" s="2448"/>
      <c r="E820" s="2448"/>
      <c r="F820" s="189"/>
      <c r="G820" s="2448"/>
      <c r="H820" s="189"/>
      <c r="I820" s="189"/>
      <c r="J820" s="189"/>
      <c r="K820" s="189"/>
    </row>
    <row r="821" spans="4:11" customFormat="1" x14ac:dyDescent="0.2">
      <c r="D821" s="2448"/>
      <c r="E821" s="2448"/>
      <c r="F821" s="189"/>
      <c r="G821" s="2448"/>
      <c r="H821" s="189"/>
      <c r="I821" s="189"/>
      <c r="J821" s="189"/>
      <c r="K821" s="189"/>
    </row>
    <row r="822" spans="4:11" customFormat="1" x14ac:dyDescent="0.2">
      <c r="D822" s="2448"/>
      <c r="E822" s="2448"/>
      <c r="F822" s="189"/>
      <c r="G822" s="2448"/>
      <c r="H822" s="189"/>
      <c r="I822" s="189"/>
      <c r="J822" s="189"/>
      <c r="K822" s="189"/>
    </row>
    <row r="823" spans="4:11" customFormat="1" x14ac:dyDescent="0.2">
      <c r="D823" s="2448"/>
      <c r="E823" s="2448"/>
      <c r="F823" s="189"/>
      <c r="G823" s="2448"/>
      <c r="H823" s="189"/>
      <c r="I823" s="189"/>
      <c r="J823" s="189"/>
      <c r="K823" s="189"/>
    </row>
    <row r="824" spans="4:11" customFormat="1" x14ac:dyDescent="0.2">
      <c r="D824" s="2448"/>
      <c r="E824" s="2448"/>
      <c r="F824" s="189"/>
      <c r="G824" s="2448"/>
      <c r="H824" s="189"/>
      <c r="I824" s="189"/>
      <c r="J824" s="189"/>
      <c r="K824" s="189"/>
    </row>
    <row r="825" spans="4:11" customFormat="1" x14ac:dyDescent="0.2">
      <c r="D825" s="2448"/>
      <c r="E825" s="2448"/>
      <c r="F825" s="189"/>
      <c r="G825" s="2448"/>
      <c r="H825" s="189"/>
      <c r="I825" s="189"/>
      <c r="J825" s="189"/>
      <c r="K825" s="189"/>
    </row>
    <row r="826" spans="4:11" customFormat="1" x14ac:dyDescent="0.2">
      <c r="D826" s="2448"/>
      <c r="E826" s="2448"/>
      <c r="F826" s="189"/>
      <c r="G826" s="2448"/>
      <c r="H826" s="189"/>
      <c r="I826" s="189"/>
      <c r="J826" s="189"/>
      <c r="K826" s="189"/>
    </row>
    <row r="827" spans="4:11" customFormat="1" x14ac:dyDescent="0.2">
      <c r="D827" s="2448"/>
      <c r="E827" s="2448"/>
      <c r="F827" s="189"/>
      <c r="G827" s="2448"/>
      <c r="H827" s="189"/>
      <c r="I827" s="189"/>
      <c r="J827" s="189"/>
      <c r="K827" s="189"/>
    </row>
    <row r="828" spans="4:11" customFormat="1" x14ac:dyDescent="0.2">
      <c r="D828" s="2448"/>
      <c r="E828" s="2448"/>
      <c r="F828" s="189"/>
      <c r="G828" s="2448"/>
      <c r="H828" s="189"/>
      <c r="I828" s="189"/>
      <c r="J828" s="189"/>
      <c r="K828" s="189"/>
    </row>
    <row r="829" spans="4:11" customFormat="1" x14ac:dyDescent="0.2">
      <c r="D829" s="2448"/>
      <c r="E829" s="2448"/>
      <c r="F829" s="189"/>
      <c r="G829" s="2448"/>
      <c r="H829" s="189"/>
      <c r="I829" s="189"/>
      <c r="J829" s="189"/>
      <c r="K829" s="189"/>
    </row>
    <row r="830" spans="4:11" customFormat="1" x14ac:dyDescent="0.2">
      <c r="D830" s="2448"/>
      <c r="E830" s="2448"/>
      <c r="F830" s="189"/>
      <c r="G830" s="2448"/>
      <c r="H830" s="189"/>
      <c r="I830" s="189"/>
      <c r="J830" s="189"/>
      <c r="K830" s="189"/>
    </row>
    <row r="831" spans="4:11" customFormat="1" x14ac:dyDescent="0.2">
      <c r="D831" s="2448"/>
      <c r="E831" s="2448"/>
      <c r="F831" s="189"/>
      <c r="G831" s="2448"/>
      <c r="H831" s="189"/>
      <c r="I831" s="189"/>
      <c r="J831" s="189"/>
      <c r="K831" s="189"/>
    </row>
    <row r="832" spans="4:11" customFormat="1" x14ac:dyDescent="0.2">
      <c r="D832" s="2448"/>
      <c r="E832" s="2448"/>
      <c r="F832" s="189"/>
      <c r="G832" s="2448"/>
      <c r="H832" s="189"/>
      <c r="I832" s="189"/>
      <c r="J832" s="189"/>
      <c r="K832" s="189"/>
    </row>
    <row r="833" spans="4:11" customFormat="1" x14ac:dyDescent="0.2">
      <c r="D833" s="2448"/>
      <c r="E833" s="2448"/>
      <c r="F833" s="189"/>
      <c r="G833" s="2448"/>
      <c r="H833" s="189"/>
      <c r="I833" s="189"/>
      <c r="J833" s="189"/>
      <c r="K833" s="189"/>
    </row>
    <row r="834" spans="4:11" customFormat="1" x14ac:dyDescent="0.2">
      <c r="D834" s="2448"/>
      <c r="E834" s="2448"/>
      <c r="F834" s="189"/>
      <c r="G834" s="2448"/>
      <c r="H834" s="189"/>
      <c r="I834" s="189"/>
      <c r="J834" s="189"/>
      <c r="K834" s="189"/>
    </row>
    <row r="835" spans="4:11" customFormat="1" x14ac:dyDescent="0.2">
      <c r="D835" s="2448"/>
      <c r="E835" s="2448"/>
      <c r="F835" s="189"/>
      <c r="G835" s="2448"/>
      <c r="H835" s="189"/>
      <c r="I835" s="189"/>
      <c r="J835" s="189"/>
      <c r="K835" s="189"/>
    </row>
    <row r="836" spans="4:11" customFormat="1" x14ac:dyDescent="0.2">
      <c r="D836" s="2448"/>
      <c r="E836" s="2448"/>
      <c r="F836" s="189"/>
      <c r="G836" s="2448"/>
      <c r="H836" s="189"/>
      <c r="I836" s="189"/>
      <c r="J836" s="189"/>
      <c r="K836" s="189"/>
    </row>
    <row r="837" spans="4:11" customFormat="1" x14ac:dyDescent="0.2">
      <c r="D837" s="2448"/>
      <c r="E837" s="2448"/>
      <c r="F837" s="189"/>
      <c r="G837" s="2448"/>
      <c r="H837" s="189"/>
      <c r="I837" s="189"/>
      <c r="J837" s="189"/>
      <c r="K837" s="189"/>
    </row>
    <row r="838" spans="4:11" customFormat="1" x14ac:dyDescent="0.2">
      <c r="D838" s="2448"/>
      <c r="E838" s="2448"/>
      <c r="F838" s="189"/>
      <c r="G838" s="2448"/>
      <c r="H838" s="189"/>
      <c r="I838" s="189"/>
      <c r="J838" s="189"/>
      <c r="K838" s="189"/>
    </row>
    <row r="839" spans="4:11" customFormat="1" x14ac:dyDescent="0.2">
      <c r="D839" s="2448"/>
      <c r="E839" s="2448"/>
      <c r="F839" s="189"/>
      <c r="G839" s="2448"/>
      <c r="H839" s="189"/>
      <c r="I839" s="189"/>
      <c r="J839" s="189"/>
      <c r="K839" s="189"/>
    </row>
    <row r="840" spans="4:11" customFormat="1" x14ac:dyDescent="0.2">
      <c r="D840" s="2448"/>
      <c r="E840" s="2448"/>
      <c r="F840" s="189"/>
      <c r="G840" s="2448"/>
      <c r="H840" s="189"/>
      <c r="I840" s="189"/>
      <c r="J840" s="189"/>
      <c r="K840" s="189"/>
    </row>
    <row r="841" spans="4:11" customFormat="1" x14ac:dyDescent="0.2">
      <c r="D841" s="2448"/>
      <c r="E841" s="2448"/>
      <c r="F841" s="189"/>
      <c r="G841" s="2448"/>
      <c r="H841" s="189"/>
      <c r="I841" s="189"/>
      <c r="J841" s="189"/>
      <c r="K841" s="189"/>
    </row>
    <row r="842" spans="4:11" customFormat="1" x14ac:dyDescent="0.2">
      <c r="D842" s="2448"/>
      <c r="E842" s="2448"/>
      <c r="F842" s="189"/>
      <c r="G842" s="2448"/>
      <c r="H842" s="189"/>
      <c r="I842" s="189"/>
      <c r="J842" s="189"/>
      <c r="K842" s="189"/>
    </row>
    <row r="843" spans="4:11" customFormat="1" x14ac:dyDescent="0.2">
      <c r="D843" s="2448"/>
      <c r="E843" s="2448"/>
      <c r="F843" s="189"/>
      <c r="G843" s="2448"/>
      <c r="H843" s="189"/>
      <c r="I843" s="189"/>
      <c r="J843" s="189"/>
      <c r="K843" s="189"/>
    </row>
    <row r="844" spans="4:11" customFormat="1" x14ac:dyDescent="0.2">
      <c r="D844" s="2448"/>
      <c r="E844" s="2448"/>
      <c r="F844" s="189"/>
      <c r="G844" s="2448"/>
      <c r="H844" s="189"/>
      <c r="I844" s="189"/>
      <c r="J844" s="189"/>
      <c r="K844" s="189"/>
    </row>
    <row r="845" spans="4:11" customFormat="1" x14ac:dyDescent="0.2">
      <c r="D845" s="2448"/>
      <c r="E845" s="2448"/>
      <c r="F845" s="189"/>
      <c r="G845" s="2448"/>
      <c r="H845" s="189"/>
      <c r="I845" s="189"/>
      <c r="J845" s="189"/>
      <c r="K845" s="189"/>
    </row>
    <row r="846" spans="4:11" customFormat="1" x14ac:dyDescent="0.2">
      <c r="D846" s="2448"/>
      <c r="E846" s="2448"/>
      <c r="F846" s="189"/>
      <c r="G846" s="2448"/>
      <c r="H846" s="189"/>
      <c r="I846" s="189"/>
      <c r="J846" s="189"/>
      <c r="K846" s="189"/>
    </row>
    <row r="847" spans="4:11" customFormat="1" x14ac:dyDescent="0.2">
      <c r="D847" s="2448"/>
      <c r="E847" s="2448"/>
      <c r="F847" s="189"/>
      <c r="G847" s="2448"/>
      <c r="H847" s="189"/>
      <c r="I847" s="189"/>
      <c r="J847" s="189"/>
      <c r="K847" s="189"/>
    </row>
    <row r="848" spans="4:11" customFormat="1" x14ac:dyDescent="0.2">
      <c r="D848" s="2448"/>
      <c r="E848" s="2448"/>
      <c r="F848" s="189"/>
      <c r="G848" s="2448"/>
      <c r="H848" s="189"/>
      <c r="I848" s="189"/>
      <c r="J848" s="189"/>
      <c r="K848" s="189"/>
    </row>
    <row r="849" spans="4:11" customFormat="1" x14ac:dyDescent="0.2">
      <c r="D849" s="2448"/>
      <c r="E849" s="2448"/>
      <c r="F849" s="189"/>
      <c r="G849" s="2448"/>
      <c r="H849" s="189"/>
      <c r="I849" s="189"/>
      <c r="J849" s="189"/>
      <c r="K849" s="189"/>
    </row>
    <row r="850" spans="4:11" customFormat="1" x14ac:dyDescent="0.2">
      <c r="D850" s="2448"/>
      <c r="E850" s="2448"/>
      <c r="F850" s="189"/>
      <c r="G850" s="2448"/>
      <c r="H850" s="189"/>
      <c r="I850" s="189"/>
      <c r="J850" s="189"/>
      <c r="K850" s="189"/>
    </row>
    <row r="851" spans="4:11" customFormat="1" x14ac:dyDescent="0.2">
      <c r="D851" s="2448"/>
      <c r="E851" s="2448"/>
      <c r="F851" s="189"/>
      <c r="G851" s="2448"/>
      <c r="H851" s="189"/>
      <c r="I851" s="189"/>
      <c r="J851" s="189"/>
      <c r="K851" s="189"/>
    </row>
    <row r="852" spans="4:11" customFormat="1" x14ac:dyDescent="0.2">
      <c r="D852" s="2448"/>
      <c r="E852" s="2448"/>
      <c r="F852" s="189"/>
      <c r="G852" s="2448"/>
      <c r="H852" s="189"/>
      <c r="I852" s="189"/>
      <c r="J852" s="189"/>
      <c r="K852" s="189"/>
    </row>
    <row r="853" spans="4:11" customFormat="1" x14ac:dyDescent="0.2">
      <c r="D853" s="2448"/>
      <c r="E853" s="2448"/>
      <c r="F853" s="189"/>
      <c r="G853" s="2448"/>
      <c r="H853" s="189"/>
      <c r="I853" s="189"/>
      <c r="J853" s="189"/>
      <c r="K853" s="189"/>
    </row>
    <row r="854" spans="4:11" customFormat="1" x14ac:dyDescent="0.2">
      <c r="D854" s="2448"/>
      <c r="E854" s="2448"/>
      <c r="F854" s="189"/>
      <c r="G854" s="2448"/>
      <c r="H854" s="189"/>
      <c r="I854" s="189"/>
      <c r="J854" s="189"/>
      <c r="K854" s="189"/>
    </row>
    <row r="855" spans="4:11" customFormat="1" x14ac:dyDescent="0.2">
      <c r="D855" s="2448"/>
      <c r="E855" s="2448"/>
      <c r="F855" s="189"/>
      <c r="G855" s="2448"/>
      <c r="H855" s="189"/>
      <c r="I855" s="189"/>
      <c r="J855" s="189"/>
      <c r="K855" s="189"/>
    </row>
  </sheetData>
  <conditionalFormatting sqref="K159 G155:J173">
    <cfRule type="expression" dxfId="1" priority="1">
      <formula>$A155=12</formula>
    </cfRule>
  </conditionalFormatting>
  <pageMargins left="0.511811024" right="0.511811024" top="0.78740157499999996" bottom="0.78740157499999996" header="0.31496062000000002" footer="0.3149606200000000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5">
    <tabColor rgb="FF00B050"/>
  </sheetPr>
  <dimension ref="A1:BB1048576"/>
  <sheetViews>
    <sheetView topLeftCell="E1" zoomScale="80" zoomScaleNormal="80" workbookViewId="0">
      <selection activeCell="M12" sqref="M12:M14"/>
    </sheetView>
  </sheetViews>
  <sheetFormatPr defaultColWidth="9.140625" defaultRowHeight="12.75" x14ac:dyDescent="0.2"/>
  <cols>
    <col min="1" max="1" width="0" style="93" hidden="1" customWidth="1"/>
    <col min="2" max="2" width="4.28515625" style="93" customWidth="1"/>
    <col min="3" max="3" width="18.7109375" style="93" customWidth="1"/>
    <col min="4" max="4" width="19" style="93" customWidth="1"/>
    <col min="5" max="5" width="12" style="93" customWidth="1"/>
    <col min="6" max="6" width="13.7109375" style="93" customWidth="1"/>
    <col min="7" max="7" width="15.140625" style="93" customWidth="1"/>
    <col min="8" max="8" width="21.28515625" style="93" customWidth="1"/>
    <col min="9" max="9" width="9.28515625" style="93" customWidth="1"/>
    <col min="10" max="11" width="9" style="93" customWidth="1"/>
    <col min="12" max="13" width="13" style="93" customWidth="1"/>
    <col min="14" max="14" width="11.42578125" style="93" customWidth="1"/>
    <col min="15" max="15" width="15.28515625" style="93" customWidth="1"/>
    <col min="16" max="16" width="16.85546875" style="93" customWidth="1"/>
    <col min="17" max="17" width="12.7109375" style="93" customWidth="1"/>
    <col min="18" max="18" width="18.5703125" style="93" customWidth="1"/>
    <col min="19" max="20" width="8.42578125" style="93" customWidth="1"/>
    <col min="21" max="21" width="17.5703125" style="93" customWidth="1"/>
    <col min="22" max="22" width="13" style="93" customWidth="1"/>
    <col min="23" max="23" width="12.42578125" style="93" customWidth="1"/>
    <col min="24" max="25" width="9.140625" style="93"/>
    <col min="26" max="26" width="15.7109375" style="93" customWidth="1"/>
    <col min="27" max="27" width="30.7109375" style="93" customWidth="1"/>
    <col min="28" max="28" width="15.42578125" style="93" customWidth="1"/>
    <col min="29" max="29" width="36.140625" style="93" customWidth="1"/>
    <col min="30" max="30" width="17.28515625" style="93" customWidth="1"/>
    <col min="31" max="33" width="13.85546875" style="93" customWidth="1"/>
    <col min="34" max="34" width="4.85546875" style="93" customWidth="1"/>
    <col min="35" max="36" width="5.42578125" style="93" customWidth="1"/>
    <col min="37" max="37" width="13.42578125" style="93" customWidth="1"/>
    <col min="38" max="42" width="12.7109375" style="93" customWidth="1"/>
    <col min="43" max="43" width="15.140625" style="93" customWidth="1"/>
    <col min="44" max="44" width="16.140625" style="93" customWidth="1"/>
    <col min="45" max="45" width="15" style="93" bestFit="1" customWidth="1"/>
    <col min="46" max="46" width="17.5703125" style="93" customWidth="1"/>
    <col min="47" max="47" width="9.140625" style="93" hidden="1" customWidth="1"/>
    <col min="48" max="48" width="8.28515625" style="93" hidden="1" customWidth="1"/>
    <col min="49" max="49" width="14" style="93" customWidth="1"/>
    <col min="50" max="50" width="20.85546875" style="93" customWidth="1"/>
    <col min="51" max="51" width="21.140625" style="93" customWidth="1"/>
    <col min="52" max="52" width="9.140625" style="93"/>
    <col min="53" max="53" width="10.140625" style="93" bestFit="1" customWidth="1"/>
    <col min="54" max="16384" width="9.140625" style="93"/>
  </cols>
  <sheetData>
    <row r="1" spans="2:54" x14ac:dyDescent="0.2">
      <c r="J1" s="437">
        <f>J12*30.5*L12</f>
        <v>40327.777777777781</v>
      </c>
      <c r="K1" s="463">
        <f>R12/J1</f>
        <v>0.222962962962963</v>
      </c>
      <c r="L1" s="463">
        <f>AVERAGE(K1:K3)</f>
        <v>0.32787654320987653</v>
      </c>
      <c r="M1" s="2325">
        <v>0.35</v>
      </c>
      <c r="N1" s="2326">
        <f>M1*N2/M2</f>
        <v>7.7777777777777773E-4</v>
      </c>
      <c r="O1" s="463"/>
      <c r="P1" s="463"/>
      <c r="Q1" s="437"/>
    </row>
    <row r="2" spans="2:54" x14ac:dyDescent="0.2">
      <c r="J2" s="437">
        <f t="shared" ref="J2:J3" si="0">J13*30.5*L13</f>
        <v>63664.118518518517</v>
      </c>
      <c r="K2" s="463">
        <f t="shared" ref="K2:K3" si="1">R13/J2</f>
        <v>0.32148148148148142</v>
      </c>
      <c r="L2" s="437"/>
      <c r="M2" s="2325">
        <v>450</v>
      </c>
      <c r="N2" s="437">
        <v>1</v>
      </c>
      <c r="O2" s="463"/>
      <c r="P2" s="463"/>
      <c r="Q2" s="437"/>
    </row>
    <row r="3" spans="2:54" s="7" customFormat="1" ht="18.75" thickBot="1" x14ac:dyDescent="0.3">
      <c r="D3" s="97" t="s">
        <v>416</v>
      </c>
      <c r="E3" s="97"/>
      <c r="F3" s="97"/>
      <c r="G3" s="97"/>
      <c r="J3" s="7">
        <f t="shared" si="0"/>
        <v>62815.263604938271</v>
      </c>
      <c r="K3" s="7">
        <f t="shared" si="1"/>
        <v>0.43918518518518523</v>
      </c>
      <c r="T3" s="181"/>
    </row>
    <row r="4" spans="2:54" ht="13.5" thickBot="1" x14ac:dyDescent="0.25">
      <c r="D4" s="33" t="s">
        <v>1091</v>
      </c>
      <c r="J4" s="1444"/>
      <c r="K4" s="437"/>
      <c r="L4" s="437"/>
      <c r="M4" s="437"/>
      <c r="N4" s="437"/>
      <c r="O4" s="437"/>
      <c r="P4" s="437"/>
      <c r="Q4" s="2283"/>
      <c r="R4" s="2284"/>
      <c r="AA4" s="437"/>
    </row>
    <row r="5" spans="2:54" ht="12.75" customHeight="1" thickBot="1" x14ac:dyDescent="0.3">
      <c r="B5" s="2682"/>
      <c r="J5" s="437"/>
      <c r="L5" s="2689" t="s">
        <v>419</v>
      </c>
      <c r="M5" s="2689" t="s">
        <v>1016</v>
      </c>
      <c r="N5" s="2689" t="s">
        <v>1205</v>
      </c>
      <c r="O5" s="2689" t="s">
        <v>849</v>
      </c>
      <c r="P5" s="2653" t="s">
        <v>1395</v>
      </c>
      <c r="Q5" s="2689" t="s">
        <v>987</v>
      </c>
      <c r="R5" s="2689" t="s">
        <v>422</v>
      </c>
      <c r="S5" s="2625" t="s">
        <v>414</v>
      </c>
      <c r="T5" s="2625"/>
      <c r="U5" s="2690" t="s">
        <v>1054</v>
      </c>
      <c r="V5" s="2690" t="s">
        <v>1055</v>
      </c>
      <c r="W5" s="2690" t="s">
        <v>1056</v>
      </c>
      <c r="Z5" s="1135"/>
      <c r="AA5" s="1135"/>
      <c r="AB5" s="1135"/>
      <c r="AC5" s="2683"/>
      <c r="AD5" s="2695" t="s">
        <v>1244</v>
      </c>
      <c r="AE5" s="2691" t="s">
        <v>1223</v>
      </c>
      <c r="AF5" s="2692"/>
      <c r="AG5" s="2693"/>
      <c r="AH5" s="2694" t="s">
        <v>1226</v>
      </c>
      <c r="AI5" s="2694"/>
      <c r="AJ5" s="2694"/>
      <c r="AK5" s="2691" t="s">
        <v>1227</v>
      </c>
      <c r="AL5" s="2692"/>
      <c r="AM5" s="2693"/>
      <c r="AN5" s="2691" t="s">
        <v>1228</v>
      </c>
      <c r="AO5" s="2692"/>
      <c r="AP5" s="2693"/>
      <c r="AQ5" s="2692" t="s">
        <v>1229</v>
      </c>
      <c r="AR5" s="2692"/>
      <c r="AS5" s="2693"/>
      <c r="AT5" s="2687" t="s">
        <v>1230</v>
      </c>
      <c r="AU5" s="2685" t="s">
        <v>1231</v>
      </c>
      <c r="AV5" s="2686"/>
      <c r="AW5" s="2552" t="s">
        <v>1234</v>
      </c>
      <c r="AX5" s="2699"/>
      <c r="AY5" s="2553"/>
    </row>
    <row r="6" spans="2:54" ht="13.5" customHeight="1" thickBot="1" x14ac:dyDescent="0.25">
      <c r="B6" s="2682"/>
      <c r="C6" s="116" t="s">
        <v>79</v>
      </c>
      <c r="D6" s="98" t="s">
        <v>637</v>
      </c>
      <c r="E6" s="98" t="s">
        <v>42</v>
      </c>
      <c r="F6" s="99" t="s">
        <v>420</v>
      </c>
      <c r="G6" s="99" t="s">
        <v>423</v>
      </c>
      <c r="H6" s="99" t="s">
        <v>421</v>
      </c>
      <c r="I6" s="98" t="s">
        <v>417</v>
      </c>
      <c r="J6" s="116" t="s">
        <v>418</v>
      </c>
      <c r="K6" s="116" t="s">
        <v>551</v>
      </c>
      <c r="L6" s="2689"/>
      <c r="M6" s="2689"/>
      <c r="N6" s="2689"/>
      <c r="O6" s="2689"/>
      <c r="P6" s="2654"/>
      <c r="Q6" s="2689"/>
      <c r="R6" s="2689"/>
      <c r="S6" s="99" t="s">
        <v>292</v>
      </c>
      <c r="T6" s="99" t="s">
        <v>80</v>
      </c>
      <c r="U6" s="2690"/>
      <c r="V6" s="2690"/>
      <c r="W6" s="2690"/>
      <c r="Z6" s="1136"/>
      <c r="AA6" s="625"/>
      <c r="AB6" s="89"/>
      <c r="AC6" s="2684"/>
      <c r="AD6" s="2696"/>
      <c r="AE6" s="1228" t="s">
        <v>1249</v>
      </c>
      <c r="AF6" s="1229" t="s">
        <v>1222</v>
      </c>
      <c r="AG6" s="1230" t="s">
        <v>1221</v>
      </c>
      <c r="AH6" s="1209" t="s">
        <v>1224</v>
      </c>
      <c r="AI6" s="1209" t="s">
        <v>1225</v>
      </c>
      <c r="AJ6" s="1209" t="s">
        <v>1250</v>
      </c>
      <c r="AK6" s="1152" t="s">
        <v>1249</v>
      </c>
      <c r="AL6" s="1148" t="s">
        <v>1222</v>
      </c>
      <c r="AM6" s="1153" t="s">
        <v>1221</v>
      </c>
      <c r="AN6" s="1218" t="s">
        <v>1249</v>
      </c>
      <c r="AO6" s="287" t="s">
        <v>1222</v>
      </c>
      <c r="AP6" s="1219" t="s">
        <v>1221</v>
      </c>
      <c r="AQ6" s="1213" t="s">
        <v>1249</v>
      </c>
      <c r="AR6" s="1152" t="s">
        <v>1222</v>
      </c>
      <c r="AS6" s="1153" t="s">
        <v>1221</v>
      </c>
      <c r="AT6" s="2688"/>
      <c r="AU6" s="1152" t="s">
        <v>1233</v>
      </c>
      <c r="AV6" s="1153" t="s">
        <v>1232</v>
      </c>
      <c r="AW6" s="1220" t="s">
        <v>1251</v>
      </c>
      <c r="AX6" s="1224" t="s">
        <v>1222</v>
      </c>
      <c r="AY6" s="1207" t="s">
        <v>1221</v>
      </c>
      <c r="AZ6" s="704"/>
      <c r="BA6" s="704"/>
      <c r="BB6" s="704"/>
    </row>
    <row r="7" spans="2:54" ht="15.75" customHeight="1" x14ac:dyDescent="0.2">
      <c r="C7" s="293">
        <v>1</v>
      </c>
      <c r="D7" s="2281"/>
      <c r="E7" s="840">
        <v>1</v>
      </c>
      <c r="F7" s="2323"/>
      <c r="G7" s="769">
        <f t="shared" ref="G7:G33" si="2">IF(E7=0,0,F7/E7)</f>
        <v>0</v>
      </c>
      <c r="H7" s="1361">
        <v>1</v>
      </c>
      <c r="I7" s="767">
        <v>1</v>
      </c>
      <c r="J7" s="835">
        <f>IF(H7=1,0,VLOOKUP(H7,Rebanho!$AN$45:$AV$72,4)*I7)</f>
        <v>0</v>
      </c>
      <c r="K7" s="835">
        <f>IF(H7=1,0,(VLOOKUP(H7,Rebanho!$AN$45:$AV$72,7))*I7/450)</f>
        <v>0</v>
      </c>
      <c r="L7" s="835">
        <f>IF(H7=1,0,(VLOOKUP(H7,Rebanho!$AN$45:$AV$72,9)))/3*2</f>
        <v>0</v>
      </c>
      <c r="M7" s="766" t="e">
        <f>K7/J7*1</f>
        <v>#DIV/0!</v>
      </c>
      <c r="N7" s="1055">
        <f t="shared" ref="N7:N40" si="3">IF(K7=0,0,((O7*E7)/(30.5*K7))*I7)</f>
        <v>0</v>
      </c>
      <c r="O7" s="768">
        <f>IF(J7=0,0,((M7*J7*30.5)/E7)*I7)</f>
        <v>0</v>
      </c>
      <c r="P7" s="768">
        <f>IF(J7=0,0,Q7/12)</f>
        <v>0</v>
      </c>
      <c r="Q7" s="768">
        <f t="shared" ref="Q7:Q40" si="4">IF(O7=0,0,O7*L7)</f>
        <v>0</v>
      </c>
      <c r="R7" s="836">
        <f t="shared" ref="R7:R40" si="5">IF(C7=1,0,L7*F7*O7)</f>
        <v>0</v>
      </c>
      <c r="S7" s="3">
        <v>1</v>
      </c>
      <c r="T7" s="190">
        <v>1</v>
      </c>
      <c r="U7" s="847"/>
      <c r="V7" s="847">
        <f>L7*((12-U7)/12)</f>
        <v>0</v>
      </c>
      <c r="W7" s="847">
        <f>L7-V7</f>
        <v>0</v>
      </c>
      <c r="Z7" s="1145"/>
      <c r="AA7" s="1237"/>
      <c r="AB7" s="1138"/>
      <c r="AC7" s="1149" t="str">
        <f>Rebanho!C49</f>
        <v>Bezerro em aleitamento</v>
      </c>
      <c r="AD7" s="1324">
        <f>IF(Rebanho!E49&gt;0,1,0)</f>
        <v>0</v>
      </c>
      <c r="AE7" s="1325">
        <f>((SUMIFS($M$7:$M$40,$C$7:$C$40,"=2",$H$7:$H$40,"=2"))/IF($AH$7=0,1,$AH$7))*$AD$7</f>
        <v>0</v>
      </c>
      <c r="AF7" s="1326">
        <f>(((SUMIFS($M$7:$M$40,$C$7:$C$40,"&lt;35",$H$7:$H$40,"=2"))-AE7)/IF($AI$7=0,1,$AI$7))*AD7</f>
        <v>0</v>
      </c>
      <c r="AG7" s="1327">
        <f>((SUMIFS($M$7:$M$40,$C$7:$C$40,"&gt;34",$H$7:$H$40,"=2"))/IF($AJ$7=0,1,$AJ$7))*AD7</f>
        <v>0</v>
      </c>
      <c r="AH7" s="1206">
        <f>(COUNTIFS($C$7:$C$40,"=2",$H$7:$H$40,"=2"))*($AD$7)</f>
        <v>0</v>
      </c>
      <c r="AI7" s="144">
        <f>(COUNTIFS($C$7:$C$40,"&lt;35",$H$7:$H$40,"=2"))*($AD$7)-AH7</f>
        <v>0</v>
      </c>
      <c r="AJ7" s="144">
        <f>(COUNTIFS($C$7:$C$40,"&gt;34",$H$7:$H$40,"=2"))*($AD$7)</f>
        <v>0</v>
      </c>
      <c r="AK7" s="1241">
        <f>((SUMIFS($G$7:$G$40,$C$7:$C$40,"=2",$H$7:$H$40,"=2"))/IF($AH$7=0,1,$AH$7))*$AD$7</f>
        <v>0</v>
      </c>
      <c r="AL7" s="1242">
        <f>((SUMIFS($G$7:$G$40,$C$7:$C$40,"&lt;35",$H$7:$H$40,"=2"))-AK7)/IF($AI$7=0,1,$AI$7)*AD7</f>
        <v>0</v>
      </c>
      <c r="AM7" s="1243">
        <f>((SUMIFS($G$7:$G$40,$C$7:$C$40,"&gt;34",$H$7:$H$40,"=2"))/IF($AJ$7=0,1,$AJ$7))*($AD$7)</f>
        <v>0</v>
      </c>
      <c r="AN7" s="1225">
        <f>((SUMIFS($L$7:$L$40,$C$7:$C$40,"=2",$H$7:$H$40,"=2"))/IF($AH$7=0,1,$AH$7))*$AD$7</f>
        <v>0</v>
      </c>
      <c r="AO7" s="1214">
        <f>((SUMIFS($L$7:$L$40,$C$7:$C$40,"&lt;35",$H$7:$H$40,"=2"))-AN7)/IF($AI$7=0,1,$AI$7)*($AD$7)</f>
        <v>0</v>
      </c>
      <c r="AP7" s="1215">
        <f>((SUMIFS($L$7:$L$40,$C$7:$C$40,"&gt;34",$H$7:$H$40,"=2"))/IF($AJ$7=0,1,$AJ$7))*($AD$7)</f>
        <v>0</v>
      </c>
      <c r="AQ7" s="1210">
        <f>AK7*AE7*30.5*AN7</f>
        <v>0</v>
      </c>
      <c r="AR7" s="1210">
        <f>AL7*AF7*30.5*AO7</f>
        <v>0</v>
      </c>
      <c r="AS7" s="1210">
        <f>AM7*AG7*30.5*AP7</f>
        <v>0</v>
      </c>
      <c r="AT7" s="1234">
        <f>AR7+AS7+AQ7</f>
        <v>0</v>
      </c>
      <c r="AU7" s="1231">
        <f>(SUMIFS($C$7:$C$40,$C$7:$C$40,"&lt;35",$H$7:$H$40,"=2")+SUMIFS($C$7:$C$40,$C$7:$C$40,"&lt;35",$H$7:$H$40,"=19")+SUMIFS($C$7:$C$40,$C$7:$C$40,"&lt;35",$H$7:$H$40,"=21")+SUMIFS($C$7:$C$40,$C$7:$C$40,"&lt;35",$H$7:$H$40,"=22")+SUMIFS($C$7:$C$40,$C$7:$C$40,"&lt;35",$H$7:$H$40,"=24")+SUMIFS($C$7:$C$40,$C$7:$C$40,"&lt;35",$H$7:$H$40,"=26"))/IF($AI$7=0,1,$AI$7)</f>
        <v>0</v>
      </c>
      <c r="AV7" s="1154">
        <f>(SUMIFS($C$7:$C$40,$C$7:$C$40,"&gt;34",$H$7:$H$40,"=2")+SUMIFS($C$7:$C$40,$C$7:$C$40,"&gt;34",$H$7:$H$40,"=19")+SUMIFS($C$7:$C$40,$C$7:$C$40,"&gt;34",$H$7:$H$40,"=21")+SUMIFS($C$7:$C$40,$C$7:$C$40,"&gt;34",$H$7:$H$40,"=22")+SUMIFS($C$7:$C$40,$C$7:$C$40,"&gt;34",$H$7:$H$40,"=24")+SUMIFS($C$7:$C$40,$C$7:$C$40,"&gt;34",$H$7:$H$40,"=26"))/IF($AJ$7=0,1,$AJ$7)</f>
        <v>0</v>
      </c>
      <c r="AW7" s="1222" t="str">
        <f>IF(AE7&gt;0,"Sim","Não")</f>
        <v>Não</v>
      </c>
      <c r="AX7" s="1222">
        <f>IF(AU7=0,0,VLOOKUP(AU7,Dados!$A$14:$Q$53,17))</f>
        <v>0</v>
      </c>
      <c r="AY7" s="1157">
        <f>IF(AV7=0,0,VLOOKUP(AV7,Dados!$A$14:$Q$53,17))</f>
        <v>0</v>
      </c>
      <c r="AZ7" s="704"/>
      <c r="BA7" s="1333"/>
      <c r="BB7" s="704"/>
    </row>
    <row r="8" spans="2:54" ht="15.75" customHeight="1" x14ac:dyDescent="0.2">
      <c r="C8" s="293">
        <v>12</v>
      </c>
      <c r="D8" s="90"/>
      <c r="E8" s="840">
        <f>VLOOKUP(C8,Dados!$A$14:$R$81,18)</f>
        <v>30</v>
      </c>
      <c r="F8" s="2323">
        <v>40</v>
      </c>
      <c r="G8" s="769">
        <f t="shared" si="2"/>
        <v>1.3333333333333333</v>
      </c>
      <c r="H8" s="1361">
        <v>3</v>
      </c>
      <c r="I8" s="767">
        <v>1</v>
      </c>
      <c r="J8" s="835">
        <f>IF(H8=1,0,VLOOKUP(H8,Rebanho!$AN$45:$AV$72,4)*I8)</f>
        <v>793.33333333333337</v>
      </c>
      <c r="K8" s="835">
        <f>IF(H8=1,0,(VLOOKUP(H8,Rebanho!$AN$45:$AV$72,7))*I8/450)</f>
        <v>379.03703703703707</v>
      </c>
      <c r="L8" s="835">
        <f>IF(H8=1,0,(VLOOKUP(H8,Rebanho!$AN$45:$AV$72,9)))/3*2</f>
        <v>3.3333333333333335</v>
      </c>
      <c r="M8" s="766">
        <f>K8/J8*0.1</f>
        <v>4.777777777777778E-2</v>
      </c>
      <c r="N8" s="1055">
        <f>IF(K8=0,0,((O8*E8)/(30.5*K8))*I8)</f>
        <v>9.9999999999999978E-2</v>
      </c>
      <c r="O8" s="768">
        <f>IF(J8=0,0,((M8*J8*30.5)/E8)*I8)</f>
        <v>38.535432098765433</v>
      </c>
      <c r="P8" s="768">
        <f>IF(J8=0,0,Q8/12)</f>
        <v>10.70428669410151</v>
      </c>
      <c r="Q8" s="768">
        <f>IF(O8=0,0,O8*L8)</f>
        <v>128.45144032921812</v>
      </c>
      <c r="R8" s="836">
        <f t="shared" si="5"/>
        <v>5138.0576131687249</v>
      </c>
      <c r="S8" s="3">
        <v>1</v>
      </c>
      <c r="T8" s="190">
        <v>1</v>
      </c>
      <c r="U8" s="847"/>
      <c r="V8" s="847">
        <f t="shared" ref="V8:V40" si="6">L8*((12-U8)/12)</f>
        <v>3.3333333333333335</v>
      </c>
      <c r="W8" s="847">
        <f t="shared" ref="W8:W40" si="7">L8-V8</f>
        <v>0</v>
      </c>
      <c r="Z8" s="1145"/>
      <c r="AA8" s="1238"/>
      <c r="AB8" s="1138"/>
      <c r="AC8" s="1150" t="str">
        <f>Rebanho!C50</f>
        <v>Bezerro Desmamados</v>
      </c>
      <c r="AD8" s="1324">
        <f>IF(Rebanho!E50&gt;0,1,0)</f>
        <v>1</v>
      </c>
      <c r="AE8" s="1169">
        <f>((SUMIFS($M$7:$M$40,$C$7:$C$40,"=2",$H$7:$H$40,"=3"))/IF($AH$8=0,1,$AH$8))*$AD$8</f>
        <v>0</v>
      </c>
      <c r="AF8" s="1328">
        <f>((SUMIFS($M$7:$M$40,$C$7:$C$40,"&lt;35",$H$7:$H$40,"=3")-AE8)/IF($AI$8=0,1,$AI$8)*AD8)</f>
        <v>4.777777777777778E-2</v>
      </c>
      <c r="AG8" s="1329">
        <f>((SUMIFS($M$7:$M$40,$C$7:$C$40,"&gt;34",$H$7:$H$40,"=3"))/IF($AJ$8=0,1,$AJ$8))*AD8</f>
        <v>0.16722222222222222</v>
      </c>
      <c r="AH8" s="1206">
        <f>(COUNTIFS($C$7:$C$40,"=2",$H$7:$H$40,"=3"))*($AD$8)</f>
        <v>0</v>
      </c>
      <c r="AI8" s="144">
        <f>(COUNTIFS($C$7:$C$40,"&lt;35",$H$7:$H$40,"=3"))*($AD$8)-AH8</f>
        <v>1</v>
      </c>
      <c r="AJ8" s="144">
        <f>(COUNTIFS($C$7:$C$40,"&gt;34",$H$7:$H$40,"=3"))*($AD$8)</f>
        <v>1</v>
      </c>
      <c r="AK8" s="1244">
        <f>((SUMIFS($G$7:$G$40,$C$7:$C$40,"=2",$H$7:$H$40,"=3"))/IF($AH$8=0,1,$AH$8))*$AD$8</f>
        <v>0</v>
      </c>
      <c r="AL8" s="1245">
        <f>((SUMIFS($G$7:$G$40,$C$7:$C$40,"&lt;35",$H$7:$H$40,"=3"))-AK8)/IF($AI$8=0,1,$AI$8)*AD8</f>
        <v>1.3333333333333333</v>
      </c>
      <c r="AM8" s="1246">
        <f>((SUMIFS($G$7:$G$40,$C$7:$C$40,"&gt;34",$H$7:$H$40,"=3"))/IF($AJ$8=0,1,$AJ$8))*($AD$8)</f>
        <v>1.3333333333333333</v>
      </c>
      <c r="AN8" s="1226">
        <f>((SUMIFS($L$7:$L$40,$C$7:$C$40,"=2",$H$7:$H$40,"=3"))/IF($AH$8=0,1,$AH$8))*$AD$8</f>
        <v>0</v>
      </c>
      <c r="AO8" s="1146">
        <f>((SUMIFS($L$7:$L$40,$C$7:$C$40,"&lt;35",$H$7:$H$40,"=3"))-AN8)/IF($AI$8=0,1,$AI$8)*($AD$8)</f>
        <v>3.3333333333333335</v>
      </c>
      <c r="AP8" s="1216">
        <f>((SUMIFS($L$7:$L$40,$C$7:$C$40,"&gt;34",$H$7:$H$40,"=3"))/IF($AJ$8=0,1,$AJ$8))*($AD$8)</f>
        <v>1.6666666666666667</v>
      </c>
      <c r="AQ8" s="1211">
        <f t="shared" ref="AQ8:AQ23" si="8">AK8*AE8*30.5*AN8</f>
        <v>0</v>
      </c>
      <c r="AR8" s="1211">
        <f t="shared" ref="AR8:AR23" si="9">AL8*AF8*30.5*AO8</f>
        <v>6.4765432098765432</v>
      </c>
      <c r="AS8" s="1211">
        <f t="shared" ref="AS8:AS23" si="10">AM8*AG8*30.5*AP8</f>
        <v>11.33395061728395</v>
      </c>
      <c r="AT8" s="1235">
        <f t="shared" ref="AT8:AT23" si="11">AR8+AS8+AQ8</f>
        <v>17.810493827160492</v>
      </c>
      <c r="AU8" s="1232">
        <f>(SUMIFS($C$7:$C$40,$C$7:$C$40,"&lt;35",$H$7:$H$40,"=3")+SUMIFS($C$7:$C$40,$C$7:$C$40,"&lt;35",$H$7:$H$40,"=19")+SUMIFS($C$7:$C$40,$C$7:$C$40,"&lt;35",$H$7:$H$40,"=21")+SUMIFS($C$7:$C$40,$C$7:$C$40,"&lt;35",$H$7:$H$40,"=23")+SUMIFS($C$7:$C$40,$C$7:$C$40,"&lt;35",$H$7:$H$40,"=24")+SUMIFS($C$7:$C$40,$C$7:$C$40,"&lt;35",$H$7:$H$40,"=26"))/IF($AI$8=0,1,$AI$8)</f>
        <v>12</v>
      </c>
      <c r="AV8" s="1155">
        <f>(SUMIFS($C$7:$C$40,$C$7:$C$40,"&gt;34",$H$7:$H$40,"=3")+SUMIFS($C$7:$C$40,$C$7:$C$40,"&gt;34",$H$7:$H$40,"=19")+SUMIFS($C$7:$C$40,$C$7:$C$40,"&gt;34",$H$7:$H$40,"=21")+SUMIFS($C$7:$C$40,$C$7:$C$40,"&gt;34",$H$7:$H$40,"=23")+SUMIFS($C$7:$C$40,$C$7:$C$40,"&gt;34",$H$7:$H$40,"=24")+SUMIFS($C$7:$C$40,$C$7:$C$40,"&gt;34",$H$7:$H$40,"=26"))/IF($AJ$8=0,1,$AJ$8)</f>
        <v>38</v>
      </c>
      <c r="AW8" s="1221" t="str">
        <f t="shared" ref="AW8:AW23" si="12">IF(AE8&gt;0,"Sim","Não")</f>
        <v>Não</v>
      </c>
      <c r="AX8" s="1221" t="str">
        <f>IF(AU8=0,0,VLOOKUP(AU8,Dados!$A$14:$Q$53,17))</f>
        <v>Sal Mineral 60 g de P</v>
      </c>
      <c r="AY8" s="1158" t="str">
        <f>IF(AV8=0,0,VLOOKUP(AV8,Dados!$A$14:$Q$53,17))</f>
        <v>Sal Proteinado Secas</v>
      </c>
      <c r="AZ8" s="704"/>
      <c r="BA8" s="1333"/>
      <c r="BB8" s="704"/>
    </row>
    <row r="9" spans="2:54" ht="15.75" customHeight="1" x14ac:dyDescent="0.2">
      <c r="C9" s="293">
        <v>12</v>
      </c>
      <c r="D9" s="90"/>
      <c r="E9" s="840">
        <f>VLOOKUP(C9,Dados!$A$14:$R$81,18)</f>
        <v>30</v>
      </c>
      <c r="F9" s="2323">
        <f>$F$8</f>
        <v>40</v>
      </c>
      <c r="G9" s="769">
        <f t="shared" si="2"/>
        <v>1.3333333333333333</v>
      </c>
      <c r="H9" s="3">
        <v>4</v>
      </c>
      <c r="I9" s="767">
        <v>1</v>
      </c>
      <c r="J9" s="835">
        <f>IF(H9=1,0,VLOOKUP(H9,Rebanho!$AN$45:$AV$72,4)*I9)</f>
        <v>782.75555555555559</v>
      </c>
      <c r="K9" s="835">
        <f>IF(H9=1,0,(VLOOKUP(H9,Rebanho!$AN$45:$AV$72,7))*I9/450)</f>
        <v>539.23160493827163</v>
      </c>
      <c r="L9" s="835">
        <f>IF(H9=1,0,(VLOOKUP(H9,Rebanho!$AN$45:$AV$72,9)))/3*2</f>
        <v>5.333333333333333</v>
      </c>
      <c r="M9" s="766">
        <f t="shared" ref="M9:M10" si="13">K9/J9*0.1</f>
        <v>6.8888888888888888E-2</v>
      </c>
      <c r="N9" s="1055">
        <f t="shared" si="3"/>
        <v>0.1</v>
      </c>
      <c r="O9" s="768">
        <f t="shared" ref="O9:O40" si="14">IF(J9=0,0,((M9*J9*30.5)/E9)*I9)</f>
        <v>54.821879835390952</v>
      </c>
      <c r="P9" s="768">
        <f t="shared" ref="P9:P40" si="15">IF(J9=0,0,Q9/12)</f>
        <v>24.365279926840419</v>
      </c>
      <c r="Q9" s="768">
        <f t="shared" si="4"/>
        <v>292.38335912208504</v>
      </c>
      <c r="R9" s="836">
        <f t="shared" si="5"/>
        <v>11695.334364883402</v>
      </c>
      <c r="S9" s="3">
        <v>1</v>
      </c>
      <c r="T9" s="190">
        <v>1</v>
      </c>
      <c r="U9" s="847"/>
      <c r="V9" s="847">
        <f t="shared" si="6"/>
        <v>5.333333333333333</v>
      </c>
      <c r="W9" s="847">
        <f t="shared" si="7"/>
        <v>0</v>
      </c>
      <c r="Z9" s="1145"/>
      <c r="AA9" s="1237"/>
      <c r="AB9" s="1138"/>
      <c r="AC9" s="1150" t="str">
        <f>Rebanho!C51</f>
        <v>Garrotes</v>
      </c>
      <c r="AD9" s="1324">
        <f>IF(Rebanho!E51&gt;0,1,0)</f>
        <v>1</v>
      </c>
      <c r="AE9" s="1169">
        <f>((SUMIFS($M$7:$M$40,$C$7:$C$40,"=2",$H$7:$H$40,"=4"))/IF($AH$9=0,1,$AH$9))*$AD$9</f>
        <v>0</v>
      </c>
      <c r="AF9" s="1328">
        <f>(((SUMIFS($M$7:$M$40,$C$7:$C$40,"&lt;35",$H$7:$H$40,"=4"))-AE9)/IF($AI$9=0,1,$AI$9))*AD9</f>
        <v>6.8888888888888888E-2</v>
      </c>
      <c r="AG9" s="1329">
        <f>((SUMIFS($M$7:$M$40,$C$7:$C$40,"&gt;34",$H$7:$H$40,"=4"))/IF($AJ$9=0,1,$AJ$9))*AD9</f>
        <v>0.24111111111111108</v>
      </c>
      <c r="AH9" s="1206">
        <f>(COUNTIFS($C$7:$C$40,"=2",$H$7:$H$40,"=4"))*($AD$9)</f>
        <v>0</v>
      </c>
      <c r="AI9" s="144">
        <f>(COUNTIFS($C$7:$C$40,"&lt;35",$H$7:$H$40,"=4"))*($AD$9)-AH9</f>
        <v>1</v>
      </c>
      <c r="AJ9" s="144">
        <f>(COUNTIFS($C$7:$C$40,"&gt;34",$H$7:$H$40,"=4"))*($AD$9)</f>
        <v>1</v>
      </c>
      <c r="AK9" s="1244">
        <f>((SUMIFS($G$7:$G$40,$C$7:$C$40,"=2",$H$7:$H$40,"=4"))/IF($AH$9=0,1,$AH$9))*$AD$9</f>
        <v>0</v>
      </c>
      <c r="AL9" s="1245">
        <f>((SUMIFS($G$7:$G$40,$C$7:$C$40,"&lt;35",$H$7:$H$40,"=4"))-AK9)/IF($AI$9=0,1,$AI$9)*AD9</f>
        <v>1.3333333333333333</v>
      </c>
      <c r="AM9" s="1246">
        <f>((SUMIFS($G$7:$G$40,$C$7:$C$40,"&gt;34",$H$7:$H$40,"=4"))/IF($AJ$9=0,1,$AJ$9))*($AD$9)</f>
        <v>1.3333333333333333</v>
      </c>
      <c r="AN9" s="1226">
        <f>((SUMIFS($L$7:$L$40,$C$7:$C$40,"=2",$H$7:$H$40,"=4"))/IF($AH$9=0,1,$AH$9))*$AD$9</f>
        <v>0</v>
      </c>
      <c r="AO9" s="1146">
        <f>((SUMIFS($L$7:$L$40,$C$7:$C$40,"&lt;35",$H$7:$H$40,"=4"))-AN9)/IF($AI$9=0,1,$AI$9)*($AD$9)</f>
        <v>5.333333333333333</v>
      </c>
      <c r="AP9" s="1216">
        <f>((SUMIFS($L$7:$L$40,$C$7:$C$40,"&gt;34",$H$7:$H$40,"=4"))/IF($AJ$9=0,1,$AJ$9))*($AD$9)</f>
        <v>2.6666666666666665</v>
      </c>
      <c r="AQ9" s="1211">
        <f t="shared" si="8"/>
        <v>0</v>
      </c>
      <c r="AR9" s="1211">
        <f t="shared" si="9"/>
        <v>14.941234567901233</v>
      </c>
      <c r="AS9" s="1211">
        <f t="shared" si="10"/>
        <v>26.147160493827151</v>
      </c>
      <c r="AT9" s="1235">
        <f t="shared" si="11"/>
        <v>41.088395061728384</v>
      </c>
      <c r="AU9" s="1232">
        <f>(SUMIFS($C$7:$C$40,$C$7:$C$40,"&lt;35",$H$7:$H$40,"=4")+SUMIFS($C$7:$C$40,$C$7:$C$40,"&lt;35",$H$7:$H$40,"=19")+SUMIFS($C$7:$C$40,$C$7:$C$40,"&lt;35",$H$7:$H$40,"=21")+SUMIFS($C$7:$C$40,$C$7:$C$40,"&lt;35",$H$7:$H$40,"=24")+SUMIFS($C$7:$C$40,$C$7:$C$40,"&lt;35",$H$7:$H$40,"=26"))/IF($AI$9=0,1,$AI$9)</f>
        <v>12</v>
      </c>
      <c r="AV9" s="1155">
        <f>(SUMIFS($C$7:$C$40,$C$7:$C$40,"&gt;34",$H$7:$H$40,"=4")+SUMIFS($C$7:$C$40,$C$7:$C$40,"&gt;34",$H$7:$H$40,"=19")+SUMIFS($C$7:$C$40,$C$7:$C$40,"&gt;34",$H$7:$H$40,"=21")+SUMIFS($C$7:$C$40,$C$7:$C$40,"&gt;34",$H$7:$H$40,"=24")+SUMIFS($C$7:$C$40,$C$7:$C$40,"&gt;34",$H$7:$H$40,"=26"))/IF($AJ$9=0,1,$AJ$9)</f>
        <v>38</v>
      </c>
      <c r="AW9" s="1221" t="str">
        <f t="shared" si="12"/>
        <v>Não</v>
      </c>
      <c r="AX9" s="1221" t="str">
        <f>IF(AU9=0,0,VLOOKUP(AU9,Dados!$A$14:$Q$53,17))</f>
        <v>Sal Mineral 60 g de P</v>
      </c>
      <c r="AY9" s="1158" t="str">
        <f>IF(AV9=0,0,VLOOKUP(AV9,Dados!$A$14:$Q$53,17))</f>
        <v>Sal Proteinado Secas</v>
      </c>
      <c r="AZ9" s="704"/>
      <c r="BA9" s="1333"/>
      <c r="BB9" s="704"/>
    </row>
    <row r="10" spans="2:54" ht="15.75" customHeight="1" x14ac:dyDescent="0.2">
      <c r="C10" s="293">
        <v>12</v>
      </c>
      <c r="D10" s="90"/>
      <c r="E10" s="840">
        <f>VLOOKUP(C10,Dados!$A$14:$R$81,18)</f>
        <v>30</v>
      </c>
      <c r="F10" s="2323">
        <f>$F$8</f>
        <v>40</v>
      </c>
      <c r="G10" s="769">
        <f t="shared" si="2"/>
        <v>1.3333333333333333</v>
      </c>
      <c r="H10" s="3">
        <v>5</v>
      </c>
      <c r="I10" s="767">
        <v>1</v>
      </c>
      <c r="J10" s="835">
        <f>IF(H10=1,0,VLOOKUP(H10,Rebanho!$AN$45:$AV$72,4)*I10)</f>
        <v>772.31881481481491</v>
      </c>
      <c r="K10" s="835">
        <f>IF(H10=1,0,(VLOOKUP(H10,Rebanho!$AN$45:$AV$72,7))*I10/450)</f>
        <v>726.83781794238689</v>
      </c>
      <c r="L10" s="835">
        <f>IF(H10=1,0,(VLOOKUP(H10,Rebanho!$AN$45:$AV$72,9)))/3*2</f>
        <v>5.333333333333333</v>
      </c>
      <c r="M10" s="766">
        <f t="shared" si="13"/>
        <v>9.4111111111111118E-2</v>
      </c>
      <c r="N10" s="1055">
        <f t="shared" si="3"/>
        <v>0.1</v>
      </c>
      <c r="O10" s="768">
        <f t="shared" si="14"/>
        <v>73.89517815747601</v>
      </c>
      <c r="P10" s="768">
        <f t="shared" si="15"/>
        <v>32.842301403322672</v>
      </c>
      <c r="Q10" s="768">
        <f t="shared" si="4"/>
        <v>394.10761683987204</v>
      </c>
      <c r="R10" s="836">
        <f t="shared" si="5"/>
        <v>15764.304673594881</v>
      </c>
      <c r="S10" s="3">
        <v>1</v>
      </c>
      <c r="T10" s="190">
        <v>1</v>
      </c>
      <c r="U10" s="847"/>
      <c r="V10" s="847">
        <f t="shared" si="6"/>
        <v>5.333333333333333</v>
      </c>
      <c r="W10" s="847">
        <f t="shared" si="7"/>
        <v>0</v>
      </c>
      <c r="Z10" s="1145"/>
      <c r="AA10" s="1237"/>
      <c r="AB10" s="1138"/>
      <c r="AC10" s="1150" t="str">
        <f>Rebanho!C52</f>
        <v>Boi magro</v>
      </c>
      <c r="AD10" s="1324">
        <f>IF(Rebanho!E52&gt;0,1,0)</f>
        <v>1</v>
      </c>
      <c r="AE10" s="1169">
        <f>((SUMIFS($M$7:$M$40,$C$7:$C$40,"=2",$H$7:$H$40,"=5"))/IF($AH$10=0,1,$AH$10))*$AD$10</f>
        <v>0</v>
      </c>
      <c r="AF10" s="1328">
        <f>((SUMIFS($M$7:$M$40,$C$7:$C$40,"&lt;35",$H$7:$H$40,"=5"))-AE10)/IF($AI$10=0,1,$AI$10)*AD10</f>
        <v>9.4111111111111118E-2</v>
      </c>
      <c r="AG10" s="1329">
        <f>((SUMIFS($M$7:$M$40,$C$7:$C$40,"&gt;34",$H$7:$H$40,"=5"))/IF($AJ$10=0,1,$AJ$10))*AD10</f>
        <v>0.3293888888888889</v>
      </c>
      <c r="AH10" s="1206">
        <f>(COUNTIFS($C$7:$C$40,"=2",$H$7:$H$40,"=5"))*($AD$10)</f>
        <v>0</v>
      </c>
      <c r="AI10" s="144">
        <f>(COUNTIFS($C$7:$C$40,"&lt;35",$H$7:$H$40,"=5"))*($AD$10)-AH10</f>
        <v>1</v>
      </c>
      <c r="AJ10" s="144">
        <f>(COUNTIFS($C$7:$C$40,"&gt;34",$H$7:$H$40,"=5"))*($AD$10)</f>
        <v>1</v>
      </c>
      <c r="AK10" s="1244">
        <f>((SUMIFS($G$7:$G$40,$C$7:$C$40,"=2",$H$7:$H$40,"=5"))/IF($AH$10=0,1,$AH$10))*$AD$10</f>
        <v>0</v>
      </c>
      <c r="AL10" s="1245">
        <f>((SUMIFS($G$7:$G$40,$C$7:$C$40,"&lt;35",$H$7:$H$40,"=5"))-AK10)/IF($AI$10=0,1,$AI$10)*AD10</f>
        <v>1.3333333333333333</v>
      </c>
      <c r="AM10" s="1246">
        <f>((SUMIFS($G$7:$G$40,$C$7:$C$40,"&gt;34",$H$7:$H$40,"=5"))/IF($AJ$10=0,1,$AJ$10))*($AD$10)</f>
        <v>1.3333333333333333</v>
      </c>
      <c r="AN10" s="1226">
        <f>((SUMIFS($L$7:$L$40,$C$7:$C$40,"=2",$H$7:$H$40,"=5"))/IF($AH$10=0,1,$AH$10))*$AD$10</f>
        <v>0</v>
      </c>
      <c r="AO10" s="1146">
        <f>((SUMIFS($L$7:$L$40,$C$7:$C$40,"&lt;35",$H$7:$H$40,"=5"))-AN10)/IF($AI$10=0,1,$AI$10)*($AD$10)</f>
        <v>5.333333333333333</v>
      </c>
      <c r="AP10" s="1216">
        <f>((SUMIFS($L$7:$L$40,$C$7:$C$40,"&gt;34",$H$7:$H$40,"=5"))/IF($AJ$10=0,1,$AJ$10))*($AD$10)</f>
        <v>2.6666666666666665</v>
      </c>
      <c r="AQ10" s="1211">
        <f t="shared" si="8"/>
        <v>0</v>
      </c>
      <c r="AR10" s="1211">
        <f t="shared" si="9"/>
        <v>20.411654320987651</v>
      </c>
      <c r="AS10" s="1211">
        <f t="shared" si="10"/>
        <v>35.720395061728397</v>
      </c>
      <c r="AT10" s="1235">
        <f t="shared" si="11"/>
        <v>56.132049382716048</v>
      </c>
      <c r="AU10" s="1232">
        <f>(SUMIFS($C$7:$C$40,$C$7:$C$40,"&lt;35",$H$7:$H$40,"=5")+SUMIFS($C$7:$C$40,$C$7:$C$40,"&lt;35",$H$7:$H$40,"=19")+SUMIFS($C$7:$C$40,$C$7:$C$40,"&lt;35",$H$7:$H$40,"=21"))/IF($AI$10=0,1,$AI$10)</f>
        <v>12</v>
      </c>
      <c r="AV10" s="1155">
        <f>(SUMIFS($C$7:$C$40,$C$7:$C$40,"&gt;34",$H$7:$H$40,"=5")+SUMIFS($C$7:$C$40,$C$7:$C$40,"&gt;34",$H$7:$H$40,"=19")+SUMIFS($C$7:$C$40,$C$7:$C$40,"&gt;34",$H$7:$H$40,"=21"))/IF($AJ$10=0,1,$AJ$10)</f>
        <v>38</v>
      </c>
      <c r="AW10" s="1221" t="str">
        <f t="shared" si="12"/>
        <v>Não</v>
      </c>
      <c r="AX10" s="1221" t="str">
        <f>IF(AU10=0,0,VLOOKUP(AU10,Dados!$A$14:$Q$53,17))</f>
        <v>Sal Mineral 60 g de P</v>
      </c>
      <c r="AY10" s="1158" t="str">
        <f>IF(AV10=0,0,VLOOKUP(AV10,Dados!$A$14:$Q$53,17))</f>
        <v>Sal Proteinado Secas</v>
      </c>
      <c r="AZ10" s="704"/>
      <c r="BA10" s="1333"/>
      <c r="BB10" s="704"/>
    </row>
    <row r="11" spans="2:54" ht="15.75" customHeight="1" x14ac:dyDescent="0.2">
      <c r="C11" s="293">
        <v>1</v>
      </c>
      <c r="D11" s="2281"/>
      <c r="E11" s="840">
        <f>VLOOKUP(C11,Dados!$A$14:$R$81,18)</f>
        <v>0</v>
      </c>
      <c r="F11" s="2323"/>
      <c r="G11" s="769">
        <f t="shared" si="2"/>
        <v>0</v>
      </c>
      <c r="H11" s="3">
        <v>1</v>
      </c>
      <c r="I11" s="767">
        <v>1</v>
      </c>
      <c r="J11" s="835">
        <f>IF(H11=1,0,VLOOKUP(H11,Rebanho!$AN$45:$AV$72,4)*I11)</f>
        <v>0</v>
      </c>
      <c r="K11" s="835">
        <f>IF(H11=1,0,(VLOOKUP(H11,Rebanho!$AN$45:$AV$72,7))*I11/450)</f>
        <v>0</v>
      </c>
      <c r="L11" s="835">
        <f>IF(H11=1,0,(VLOOKUP(H11,Rebanho!$AN$45:$AV$72,9)))/3</f>
        <v>0</v>
      </c>
      <c r="M11" s="766"/>
      <c r="N11" s="1055">
        <f t="shared" si="3"/>
        <v>0</v>
      </c>
      <c r="O11" s="768">
        <f t="shared" si="14"/>
        <v>0</v>
      </c>
      <c r="P11" s="768">
        <f t="shared" si="15"/>
        <v>0</v>
      </c>
      <c r="Q11" s="768">
        <f t="shared" si="4"/>
        <v>0</v>
      </c>
      <c r="R11" s="836">
        <f t="shared" si="5"/>
        <v>0</v>
      </c>
      <c r="S11" s="3">
        <v>1</v>
      </c>
      <c r="T11" s="190">
        <v>1</v>
      </c>
      <c r="U11" s="847"/>
      <c r="V11" s="847">
        <f t="shared" si="6"/>
        <v>0</v>
      </c>
      <c r="W11" s="847">
        <f t="shared" si="7"/>
        <v>0</v>
      </c>
      <c r="Z11" s="1145"/>
      <c r="AA11" s="1237"/>
      <c r="AB11" s="1138"/>
      <c r="AC11" s="1150" t="str">
        <f>Rebanho!C53</f>
        <v>Boi gordo</v>
      </c>
      <c r="AD11" s="1324">
        <f>IF(Rebanho!E53&gt;0,1,0)</f>
        <v>1</v>
      </c>
      <c r="AE11" s="1169">
        <f>((SUMIFS($M$7:$M$40,$C$7:$C$40,"=2",$H$7:$H$40,"=6"))/IF($AH$11=0,1,$AH$11))*$AD$11</f>
        <v>0</v>
      </c>
      <c r="AF11" s="1328">
        <f>((SUMIFS($M$7:$M$40,$C$7:$C$40,"&lt;35",$H$7:$H$40,"=6")-AE11)/IF($AI$11=0,1,$AI$11)*AD11)</f>
        <v>0</v>
      </c>
      <c r="AG11" s="1329">
        <f>((SUMIFS($M$7:$M$40,$C$7:$C$40,"&gt;34",$H$7:$H$40,"=6"))/IF($AJ$11=0,1,$AJ$11))*AD11</f>
        <v>0</v>
      </c>
      <c r="AH11" s="1206">
        <f>(COUNTIFS($C$7:$C$40,"=2",$H$7:$H$40,"=6"))*($AD$11)</f>
        <v>0</v>
      </c>
      <c r="AI11" s="144">
        <f>(COUNTIFS($C$7:$C$40,"&lt;35",$H$7:$H$40,"=6"))*($AD$11)-AH11</f>
        <v>0</v>
      </c>
      <c r="AJ11" s="144">
        <f>(COUNTIFS($C$7:$C$40,"&gt;34",$H$7:$H$40,"=6"))*($AD$11)</f>
        <v>0</v>
      </c>
      <c r="AK11" s="1244">
        <f>((SUMIFS($G$7:$G$40,$C$7:$C$40,"=2",$H$7:$H$40,"=6"))/IF($AH$11=0,1,$AH$11))*$AD$11</f>
        <v>0</v>
      </c>
      <c r="AL11" s="1245">
        <f>((SUMIFS($G$7:$G$40,$C$7:$C$40,"&lt;35",$H$7:$H$40,"=6"))-AK11)/IF($AI$11=0,1,$AI$11)*AD11</f>
        <v>0</v>
      </c>
      <c r="AM11" s="1246">
        <f>((SUMIFS($G$7:$G$40,$C$7:$C$40,"&gt;34",$H$7:$H$40,"=6"))/IF($AJ$11=0,1,$AJ$11))*($AD$11)</f>
        <v>0</v>
      </c>
      <c r="AN11" s="1226">
        <f>((SUMIFS($L$7:$L$40,$C$7:$C$40,"=2",$H$7:$H$40,"=6"))/IF($AH$11=0,1,$AH$11))*$AD$11</f>
        <v>0</v>
      </c>
      <c r="AO11" s="1146">
        <f>((SUMIFS($L$7:$L$40,$C$7:$C$40,"&lt;35",$H$7:$H$40,"=6"))-AN11)/IF($AI$11=0,1,$AI$11)*($AD$11)</f>
        <v>0</v>
      </c>
      <c r="AP11" s="1216">
        <f>((SUMIFS($L$7:$L$40,$C$7:$C$40,"&gt;34",$H$7:$H$40,"=6"))/IF($AJ$11=0,1,$AJ$11))*($AD$11)</f>
        <v>0</v>
      </c>
      <c r="AQ11" s="1211">
        <f t="shared" si="8"/>
        <v>0</v>
      </c>
      <c r="AR11" s="1211">
        <f t="shared" si="9"/>
        <v>0</v>
      </c>
      <c r="AS11" s="1211">
        <f t="shared" si="10"/>
        <v>0</v>
      </c>
      <c r="AT11" s="1235">
        <f>AR11+AS11+AQ11</f>
        <v>0</v>
      </c>
      <c r="AU11" s="1232">
        <f>(SUMIFS($C$7:$C$40,$C$7:$C$40,"&lt;35",$H$7:$H$40,"=6")+SUMIFS($C$7:$C$40,$C$7:$C$40,"&lt;35",$H$7:$H$40,"=19")+SUMIFS($C$7:$C$40,$C$7:$C$40,"&lt;35",$H$7:$H$40,"=21"))/IF($AI$11=0,1,$AI$11)</f>
        <v>0</v>
      </c>
      <c r="AV11" s="1155">
        <f>(SUMIFS($C$7:$C$40,$C$7:$C$40,"&gt;34",$H$7:$H$40,"=6")+SUMIFS($C$7:$C$40,$C$7:$C$40,"&gt;34",$H$7:$H$40,"=19")+SUMIFS($C$7:$C$40,$C$7:$C$40,"&gt;34",$H$7:$H$40,"=21"))/IF($AJ$11=0,1,$AJ$11)</f>
        <v>0</v>
      </c>
      <c r="AW11" s="1221" t="str">
        <f t="shared" si="12"/>
        <v>Não</v>
      </c>
      <c r="AX11" s="1221">
        <f>IF(AU11=0,0,VLOOKUP(AU11,Dados!$A$14:$Q$53,17))</f>
        <v>0</v>
      </c>
      <c r="AY11" s="1158">
        <f>IF(AV11=0,0,VLOOKUP(AV11,Dados!$A$14:$Q$53,17))</f>
        <v>0</v>
      </c>
      <c r="AZ11" s="704"/>
      <c r="BA11" s="1333"/>
      <c r="BB11" s="704"/>
    </row>
    <row r="12" spans="2:54" ht="15.75" customHeight="1" x14ac:dyDescent="0.2">
      <c r="C12" s="293">
        <v>38</v>
      </c>
      <c r="D12" s="90"/>
      <c r="E12" s="840">
        <f>VLOOKUP(C12,Dados!$A$14:$R$81,18)</f>
        <v>30</v>
      </c>
      <c r="F12" s="2323">
        <v>40</v>
      </c>
      <c r="G12" s="769">
        <f t="shared" si="2"/>
        <v>1.3333333333333333</v>
      </c>
      <c r="H12" s="3">
        <v>3</v>
      </c>
      <c r="I12" s="767">
        <v>1</v>
      </c>
      <c r="J12" s="835">
        <f>IF(H12=1,0,VLOOKUP(H12,Rebanho!$AN$45:$AV$72,4)*I12)</f>
        <v>793.33333333333337</v>
      </c>
      <c r="K12" s="835">
        <f>IF(H12=1,0,(VLOOKUP(H12,Rebanho!$AN$45:$AV$72,7))*I12/450)</f>
        <v>379.03703703703707</v>
      </c>
      <c r="L12" s="835">
        <f>IF(H12=1,0,(VLOOKUP(H12,Rebanho!$AN$45:$AV$72,9)))/3</f>
        <v>1.6666666666666667</v>
      </c>
      <c r="M12" s="766">
        <f>K12/J12*$M$1</f>
        <v>0.16722222222222222</v>
      </c>
      <c r="N12" s="1055">
        <f t="shared" si="3"/>
        <v>0.35</v>
      </c>
      <c r="O12" s="768">
        <f t="shared" si="14"/>
        <v>134.87401234567903</v>
      </c>
      <c r="P12" s="768">
        <f t="shared" si="15"/>
        <v>18.732501714677642</v>
      </c>
      <c r="Q12" s="768">
        <f t="shared" si="4"/>
        <v>224.79002057613172</v>
      </c>
      <c r="R12" s="836">
        <f t="shared" si="5"/>
        <v>8991.6008230452699</v>
      </c>
      <c r="S12" s="3">
        <v>1</v>
      </c>
      <c r="T12" s="190">
        <v>1</v>
      </c>
      <c r="U12" s="847"/>
      <c r="V12" s="847">
        <f t="shared" si="6"/>
        <v>1.6666666666666667</v>
      </c>
      <c r="W12" s="847">
        <f t="shared" si="7"/>
        <v>0</v>
      </c>
      <c r="Z12" s="1145"/>
      <c r="AA12" s="1237"/>
      <c r="AB12" s="1138"/>
      <c r="AC12" s="1150" t="str">
        <f>Rebanho!C54</f>
        <v>Touro</v>
      </c>
      <c r="AD12" s="1324">
        <f>IF(Rebanho!E54&gt;0,1,0)</f>
        <v>0</v>
      </c>
      <c r="AE12" s="1169">
        <f>((SUMIFS($M$7:$M$40,$C$7:$C$40,"=2",$H$7:$H$40,"=7"))/IF($AH$12=0,1,$AH$12))*$AD$12</f>
        <v>0</v>
      </c>
      <c r="AF12" s="1328">
        <f>((SUMIFS($M$7:$M$40,$C$7:$C$40,"&lt;35",$H$7:$H$40,"=7")-AE12)/IF($AI$12=0,1,$AI$12)*AD12)</f>
        <v>0</v>
      </c>
      <c r="AG12" s="1329">
        <f>((SUMIFS($M$7:$M$40,$C$7:$C$40,"&gt;34",$H$7:$H$40,"=7"))/IF($AJ$12=0,1,$AJ$12))*AD12</f>
        <v>0</v>
      </c>
      <c r="AH12" s="1206">
        <f>(COUNTIFS($C$7:$C$40,"=2",$H$7:$H$40,"=7"))*($AD$12)</f>
        <v>0</v>
      </c>
      <c r="AI12" s="144">
        <f>(COUNTIFS($C$7:$C$40,"&lt;35",$H$7:$H$40,"=7"))*($AD$12)-AH12</f>
        <v>0</v>
      </c>
      <c r="AJ12" s="144">
        <f>(COUNTIFS($C$7:$C$40,"&gt;34",$H$7:$H$40,"=7"))*($AD$12)</f>
        <v>0</v>
      </c>
      <c r="AK12" s="1244">
        <f>((SUMIFS($G$7:$G$40,$C$7:$C$40,"=2",$H$7:$H$40,"=7"))/IF($AH$12=0,1,$AH$12))*$AD$12</f>
        <v>0</v>
      </c>
      <c r="AL12" s="1245">
        <f>((SUMIFS($G$7:$G$40,$C$7:$C$40,"&lt;35",$H$7:$H$40,"=7"))-AK12)/IF($AI$12=0,1,$AI$12)*AD12</f>
        <v>0</v>
      </c>
      <c r="AM12" s="1246">
        <f>((SUMIFS($G$7:$G$40,$C$7:$C$40,"&gt;34",$H$7:$H$40,"=7"))/IF($AJ$12=0,1,$AJ$12))*($AD$12)</f>
        <v>0</v>
      </c>
      <c r="AN12" s="1226">
        <f>((SUMIFS($L$7:$L$40,$C$7:$C$40,"=2",$H$7:$H$40,"=7"))/IF($AH$12=0,1,$AH$12))*$AD$12</f>
        <v>0</v>
      </c>
      <c r="AO12" s="1146">
        <f>((SUMIFS($L$7:$L$40,$C$7:$C$40,"&lt;35",$H$7:$H$40,"=7"))-AN12)/IF($AI$12=0,1,$AI$12)*($AD$12)</f>
        <v>0</v>
      </c>
      <c r="AP12" s="1216">
        <f>((SUMIFS($L$7:$L$40,$C$7:$C$40,"&gt;34",$H$7:$H$40,"=7"))/IF($AJ$12=0,1,$AJ$12))*($AD$12)</f>
        <v>0</v>
      </c>
      <c r="AQ12" s="1211">
        <f t="shared" si="8"/>
        <v>0</v>
      </c>
      <c r="AR12" s="1211">
        <f t="shared" si="9"/>
        <v>0</v>
      </c>
      <c r="AS12" s="1211">
        <f t="shared" si="10"/>
        <v>0</v>
      </c>
      <c r="AT12" s="1235">
        <f t="shared" si="11"/>
        <v>0</v>
      </c>
      <c r="AU12" s="1232">
        <f>(SUMIFS($C$7:$C$40,$C$7:$C$40,"&lt;35",$H$7:$H$40,"=7")+SUMIFS($C$7:$C$40,$C$7:$C$40,"&lt;35",$H$7:$H$40,"=19")+SUMIFS($C$7:$C$40,$C$7:$C$40,"&lt;35",$H$7:$H$40,"=21"))/IF($AI$12=0,1,$AI$12)</f>
        <v>0</v>
      </c>
      <c r="AV12" s="1155">
        <f>(SUMIFS($C$7:$C$40,$C$7:$C$40,"&gt;34",$H$7:$H$40,"=7")+SUMIFS($C$7:$C$40,$C$7:$C$40,"&gt;34",$H$7:$H$40,"=19")+SUMIFS($C$7:$C$40,$C$7:$C$40,"&gt;34",$H$7:$H$40,"=21"))/IF($AJ$12=0,1,$AJ$12)</f>
        <v>0</v>
      </c>
      <c r="AW12" s="1221" t="str">
        <f t="shared" si="12"/>
        <v>Não</v>
      </c>
      <c r="AX12" s="1221">
        <f>IF(AU12=0,0,VLOOKUP(AU12,Dados!$A$14:$Q$53,17))</f>
        <v>0</v>
      </c>
      <c r="AY12" s="1158">
        <f>IF(AV12=0,0,VLOOKUP(AV12,Dados!$A$14:$Q$53,17))</f>
        <v>0</v>
      </c>
      <c r="AZ12" s="704"/>
      <c r="BA12" s="1333"/>
      <c r="BB12" s="704"/>
    </row>
    <row r="13" spans="2:54" ht="15.75" customHeight="1" x14ac:dyDescent="0.2">
      <c r="C13" s="293">
        <v>38</v>
      </c>
      <c r="D13" s="90"/>
      <c r="E13" s="840">
        <f>VLOOKUP(C13,Dados!$A$14:$R$81,18)</f>
        <v>30</v>
      </c>
      <c r="F13" s="2323">
        <f>$F$12</f>
        <v>40</v>
      </c>
      <c r="G13" s="769">
        <f t="shared" si="2"/>
        <v>1.3333333333333333</v>
      </c>
      <c r="H13" s="3">
        <v>4</v>
      </c>
      <c r="I13" s="767">
        <v>1</v>
      </c>
      <c r="J13" s="835">
        <f>IF(H13=1,0,VLOOKUP(H13,Rebanho!$AN$45:$AV$72,4)*I13)</f>
        <v>782.75555555555559</v>
      </c>
      <c r="K13" s="835">
        <f>IF(H13=1,0,(VLOOKUP(H13,Rebanho!$AN$45:$AV$72,7))*I13/450)</f>
        <v>539.23160493827163</v>
      </c>
      <c r="L13" s="835">
        <f>IF(H13=1,0,(VLOOKUP(H13,Rebanho!$AN$45:$AV$72,9)))/3</f>
        <v>2.6666666666666665</v>
      </c>
      <c r="M13" s="766">
        <f t="shared" ref="M13:M14" si="16">K13/J13*$M$1</f>
        <v>0.24111111111111108</v>
      </c>
      <c r="N13" s="1055">
        <f t="shared" si="3"/>
        <v>0.34999999999999992</v>
      </c>
      <c r="O13" s="768">
        <f t="shared" si="14"/>
        <v>191.87657942386829</v>
      </c>
      <c r="P13" s="768">
        <f t="shared" si="15"/>
        <v>42.63923987197073</v>
      </c>
      <c r="Q13" s="768">
        <f t="shared" si="4"/>
        <v>511.67087846364876</v>
      </c>
      <c r="R13" s="836">
        <f t="shared" si="5"/>
        <v>20466.83513854595</v>
      </c>
      <c r="S13" s="3">
        <v>1</v>
      </c>
      <c r="T13" s="190">
        <v>1</v>
      </c>
      <c r="U13" s="847"/>
      <c r="V13" s="847">
        <f t="shared" si="6"/>
        <v>2.6666666666666665</v>
      </c>
      <c r="W13" s="847">
        <f t="shared" si="7"/>
        <v>0</v>
      </c>
      <c r="Z13" s="1145"/>
      <c r="AA13" s="1237"/>
      <c r="AB13" s="1138"/>
      <c r="AC13" s="1150" t="str">
        <f>Rebanho!C55</f>
        <v>Bezerras em aleitamento</v>
      </c>
      <c r="AD13" s="1324">
        <f>IF(Rebanho!E55&gt;0,1,0)</f>
        <v>0</v>
      </c>
      <c r="AE13" s="1169">
        <f>((SUMIFS($M$7:$M$40,$C$7:$C$40,"=2",$H$7:$H$40,"=8"))/IF($AH$13=0,1,$AH$13))*$AD$13</f>
        <v>0</v>
      </c>
      <c r="AF13" s="1328">
        <f>((SUMIFS($M$7:$M$40,$C$7:$C$40,"&lt;35",$H$7:$H$40,"=8")-AE13)/IF($AI$13=0,1,$AI$13))*AD13</f>
        <v>0</v>
      </c>
      <c r="AG13" s="1329">
        <f>((SUMIFS($M$7:$M$40,$C$7:$C$40,"&gt;34",$H$7:$H$40,"=8"))/IF($AJ$13=0,1,$AJ$13))*AD13</f>
        <v>0</v>
      </c>
      <c r="AH13" s="1206">
        <f>(COUNTIFS($C$7:$C$40,"=2",$H$7:$H$40,"=8"))*($AD$13)</f>
        <v>0</v>
      </c>
      <c r="AI13" s="144">
        <f>(COUNTIFS($C$7:$C$40,"&lt;35",$H$7:$H$40,"=8"))*($AD$13)-AH13</f>
        <v>0</v>
      </c>
      <c r="AJ13" s="144">
        <f>(COUNTIFS($C$7:$C$40,"&gt;34",$H$7:$H$40,"=8"))*($AD$13)</f>
        <v>0</v>
      </c>
      <c r="AK13" s="1244">
        <f>((SUMIFS($G$7:$G$40,$C$7:$C$40,"=2",$H$7:$H$40,"=8"))/IF($AH$13=0,1,$AH$13))*$AD$13</f>
        <v>0</v>
      </c>
      <c r="AL13" s="1245">
        <f>((SUMIFS($G$7:$G$40,$C$7:$C$40,"&lt;35",$H$7:$H$40,"=8"))-AK13)/IF($AI$13=0,1,$AI$13)*AD13</f>
        <v>0</v>
      </c>
      <c r="AM13" s="1246">
        <f>((SUMIFS($G$7:$G$40,$C$7:$C$40,"&gt;34",$H$7:$H$40,"=8"))/IF($AJ$13=0,1,$AJ$13))*($AD$13)</f>
        <v>0</v>
      </c>
      <c r="AN13" s="1226">
        <f>((SUMIFS($L$7:$L$40,$C$7:$C$40,"=2",$H$7:$H$40,"=8"))/IF($AH$13=0,1,$AH$13))*$AD$13</f>
        <v>0</v>
      </c>
      <c r="AO13" s="1146">
        <f>((SUMIFS($L$7:$L$40,$C$7:$C$40,"&lt;35",$H$7:$H$40,"=8"))-AN13)/IF($AI$13=0,1,$AI$13)*($AD$13)</f>
        <v>0</v>
      </c>
      <c r="AP13" s="1216">
        <f>((SUMIFS($L$7:$L$40,$C$7:$C$40,"&gt;34",$H$7:$H$40,"=8"))/IF($AJ$13=0,1,$AJ$13))*($AD$13)</f>
        <v>0</v>
      </c>
      <c r="AQ13" s="1211">
        <f t="shared" si="8"/>
        <v>0</v>
      </c>
      <c r="AR13" s="1211">
        <f t="shared" si="9"/>
        <v>0</v>
      </c>
      <c r="AS13" s="1211">
        <f t="shared" si="10"/>
        <v>0</v>
      </c>
      <c r="AT13" s="1235">
        <f t="shared" si="11"/>
        <v>0</v>
      </c>
      <c r="AU13" s="1232">
        <f>(SUMIFS($C$7:$C$40,$C$7:$C$40,"&lt;35",$H$7:$H$40,"=8")+SUMIFS($C$7:$C$40,$C$7:$C$40,"&lt;35",$H$7:$H$40,"=19")+SUMIFS($C$7:$C$40,$C$7:$C$40,"&lt;35",$H$7:$H$40,"=20")+(SUMIFS($C$7:$C$40,$C$7:$C$40,"&lt;35",$H$7:$H$40,"=22"))+(SUMIFS($C$7:$C$40,$C$7:$C$40,"&lt;35",$H$7:$H$40,"=24"))+(SUMIFS($C$7:$C$40,$C$7:$C$40,"&lt;35",$H$7:$H$40,"=25")))/IF($AI$13=0,1,$AI$13)</f>
        <v>0</v>
      </c>
      <c r="AV13" s="1155">
        <f>(SUMIFS($C$7:$C$40,$C$7:$C$40,"&gt;34",$H$7:$H$40,"=8")+SUMIFS($C$7:$C$40,$C$7:$C$40,"&gt;34",$H$7:$H$40,"=19")+SUMIFS($C$7:$C$40,$C$7:$C$40,"&gt;34",$H$7:$H$40,"=20")+(SUMIFS($C$7:$C$40,$C$7:$C$40,"&gt;34",$H$7:$H$40,"=22"))+(SUMIFS($C$7:$C$40,$C$7:$C$40,"&gt;34",$H$7:$H$40,"=24"))+(SUMIFS($C$7:$C$40,$C$7:$C$40,"&gt;34",$H$7:$H$40,"=25")))/IF($AJ$13=0,1,$AJ$13)</f>
        <v>0</v>
      </c>
      <c r="AW13" s="1221" t="str">
        <f t="shared" si="12"/>
        <v>Não</v>
      </c>
      <c r="AX13" s="1221">
        <f>IF(AU13=0,0,VLOOKUP(AU13,Dados!$A$14:$Q$53,17))</f>
        <v>0</v>
      </c>
      <c r="AY13" s="1158">
        <f>IF(AV13=0,0,VLOOKUP(AV13,Dados!$A$14:$Q$53,17))</f>
        <v>0</v>
      </c>
      <c r="AZ13" s="704"/>
      <c r="BA13" s="1333"/>
      <c r="BB13" s="704"/>
    </row>
    <row r="14" spans="2:54" ht="15.75" customHeight="1" x14ac:dyDescent="0.2">
      <c r="C14" s="293">
        <v>38</v>
      </c>
      <c r="D14" s="90"/>
      <c r="E14" s="840">
        <f>VLOOKUP(C14,Dados!$A$14:$R$81,18)</f>
        <v>30</v>
      </c>
      <c r="F14" s="2323">
        <f>$F$12</f>
        <v>40</v>
      </c>
      <c r="G14" s="769">
        <f t="shared" si="2"/>
        <v>1.3333333333333333</v>
      </c>
      <c r="H14" s="3">
        <v>5</v>
      </c>
      <c r="I14" s="767">
        <v>1</v>
      </c>
      <c r="J14" s="835">
        <f>IF(H14=1,0,VLOOKUP(H14,Rebanho!$AN$45:$AV$72,4)*I14)</f>
        <v>772.31881481481491</v>
      </c>
      <c r="K14" s="835">
        <f>IF(H14=1,0,(VLOOKUP(H14,Rebanho!$AN$45:$AV$72,7))*I14/450)</f>
        <v>726.83781794238689</v>
      </c>
      <c r="L14" s="835">
        <f>IF(H14=1,0,(VLOOKUP(H14,Rebanho!$AN$45:$AV$72,9)))/3</f>
        <v>2.6666666666666665</v>
      </c>
      <c r="M14" s="766">
        <f t="shared" si="16"/>
        <v>0.3293888888888889</v>
      </c>
      <c r="N14" s="1055">
        <f t="shared" si="3"/>
        <v>0.35000000000000003</v>
      </c>
      <c r="O14" s="768">
        <f t="shared" si="14"/>
        <v>258.63312355116602</v>
      </c>
      <c r="P14" s="768">
        <f t="shared" si="15"/>
        <v>57.474027455814671</v>
      </c>
      <c r="Q14" s="768">
        <f t="shared" si="4"/>
        <v>689.68832946977602</v>
      </c>
      <c r="R14" s="836">
        <f t="shared" si="5"/>
        <v>27587.53317879104</v>
      </c>
      <c r="S14" s="3">
        <v>1</v>
      </c>
      <c r="T14" s="190">
        <v>1</v>
      </c>
      <c r="U14" s="847"/>
      <c r="V14" s="847">
        <f t="shared" si="6"/>
        <v>2.6666666666666665</v>
      </c>
      <c r="W14" s="847">
        <f t="shared" si="7"/>
        <v>0</v>
      </c>
      <c r="Z14" s="1145"/>
      <c r="AA14" s="1237"/>
      <c r="AB14" s="1138"/>
      <c r="AC14" s="1150" t="str">
        <f>Rebanho!C56</f>
        <v>Bezerras desmamadas</v>
      </c>
      <c r="AD14" s="1324">
        <f>IF(Rebanho!E56&gt;0,1,0)</f>
        <v>0</v>
      </c>
      <c r="AE14" s="1169">
        <f>((SUMIFS($M$7:$M$40,$C$7:$C$40,"=2",$H$7:$H$40,"=9"))/IF($AH$14=0,1,$AH$14))*$AD$14</f>
        <v>0</v>
      </c>
      <c r="AF14" s="1328">
        <f>((SUMIFS($M$7:$M$40,$C$7:$C$40,"&lt;35",$H$7:$H$40,"=9")-AE14)/IF($AI$14=0,1,$AI$14)*AD14)</f>
        <v>0</v>
      </c>
      <c r="AG14" s="1329">
        <f>((SUMIFS($M$7:$M$40,$C$7:$C$40,"&gt;34",$H$7:$H$40,"=9"))/IF($AJ$14=0,1,$AJ$14))*AD14</f>
        <v>0</v>
      </c>
      <c r="AH14" s="1206">
        <f>(COUNTIFS($C$7:$C$40,"=2",$H$7:$H$40,"=9"))*($AD$14)</f>
        <v>0</v>
      </c>
      <c r="AI14" s="144">
        <f>(COUNTIFS($C$7:$C$40,"&lt;35",$H$7:$H$40,"=9"))*($AD$14)-AH14</f>
        <v>0</v>
      </c>
      <c r="AJ14" s="144">
        <f>(COUNTIFS($C$7:$C$40,"&gt;34",$H$7:$H$40,"=9"))*($AD$14)</f>
        <v>0</v>
      </c>
      <c r="AK14" s="1244">
        <f>((SUMIFS($G$7:$G$40,$C$7:$C$40,"=2",$H$7:$H$40,"=9"))/IF($AH$14=0,1,$AH$14))*$AD$14</f>
        <v>0</v>
      </c>
      <c r="AL14" s="1245">
        <f>((SUMIFS($G$7:$G$40,$C$7:$C$40,"&lt;35",$H$7:$H$40,"=9"))-AK14)/IF($AI$14=0,1,$AI$14)*AD14</f>
        <v>0</v>
      </c>
      <c r="AM14" s="1246">
        <f>((SUMIFS($G$7:$G$40,$C$7:$C$40,"&gt;34",$H$7:$H$40,"=9"))/IF($AJ$14=0,1,$AJ$14))*($AD$14)</f>
        <v>0</v>
      </c>
      <c r="AN14" s="1226">
        <f>((SUMIFS($L$7:$L$40,$C$7:$C$40,"=2",$H$7:$H$40,"=9"))/IF($AH$14=0,1,$AH$14))*$AD$14</f>
        <v>0</v>
      </c>
      <c r="AO14" s="1146">
        <f>((SUMIFS($L$7:$L$40,$C$7:$C$40,"&lt;35",$H$7:$H$40,"=9"))-AN14)/IF($AI$14=0,1,$AI$14)*($AD$14)</f>
        <v>0</v>
      </c>
      <c r="AP14" s="1216">
        <f>((SUMIFS($L$7:$L$40,$C$7:$C$40,"&gt;34",$H$7:$H$40,"=9"))/IF($AJ$14=0,1,$AJ$14))*($AD$14)</f>
        <v>0</v>
      </c>
      <c r="AQ14" s="1211">
        <f t="shared" si="8"/>
        <v>0</v>
      </c>
      <c r="AR14" s="1211">
        <f t="shared" si="9"/>
        <v>0</v>
      </c>
      <c r="AS14" s="1211">
        <f t="shared" si="10"/>
        <v>0</v>
      </c>
      <c r="AT14" s="1235">
        <f t="shared" si="11"/>
        <v>0</v>
      </c>
      <c r="AU14" s="1232">
        <f>(SUMIFS($C$7:$C$40,$C$7:$C$40,"&lt;35",$H$7:$H$40,"=9")+SUMIFS($C$7:$C$40,$C$7:$C$40,"&lt;35",$H$7:$H$40,"=19")+SUMIFS($C$7:$C$40,$C$7:$C$40,"&lt;35",$H$7:$H$40,"=20")+SUMIFS($C$7:$C$40,$C$7:$C$40,"&lt;35",$H$7:$H$40,"=23")+SUMIFS($C$7:$C$40,$C$7:$C$40,"&lt;35",$H$7:$H$40,"=24")+SUMIFS($C$7:$C$40,$C$7:$C$40,"&lt;35",$H$7:$H$40,"=25"))/IF($AI$14=0,1,$AI$14)</f>
        <v>0</v>
      </c>
      <c r="AV14" s="1155">
        <f>(SUMIFS($C$7:$C$40,$C$7:$C$40,"&gt;34",$H$7:$H$40,"=9")+SUMIFS($C$7:$C$40,$C$7:$C$40,"&gt;34",$H$7:$H$40,"=19")+SUMIFS($C$7:$C$40,$C$7:$C$40,"&gt;34",$H$7:$H$40,"=20")+SUMIFS($C$7:$C$40,$C$7:$C$40,"&gt;34",$H$7:$H$40,"=23")+SUMIFS($C$7:$C$40,$C$7:$C$40,"&gt;34",$H$7:$H$40,"=24")+SUMIFS($C$7:$C$40,$C$7:$C$40,"&gt;34",$H$7:$H$40,"=25"))/IF($AJ$14=0,1,$AJ$14)</f>
        <v>0</v>
      </c>
      <c r="AW14" s="1221" t="str">
        <f t="shared" si="12"/>
        <v>Não</v>
      </c>
      <c r="AX14" s="1221">
        <f>IF(AU14=0,0,VLOOKUP(AU14,Dados!$A$14:$Q$53,17))</f>
        <v>0</v>
      </c>
      <c r="AY14" s="1158">
        <f>IF(AV14=0,0,VLOOKUP(AV14,Dados!$A$14:$Q$53,17))</f>
        <v>0</v>
      </c>
      <c r="AZ14" s="704"/>
      <c r="BA14" s="1333"/>
      <c r="BB14" s="704"/>
    </row>
    <row r="15" spans="2:54" ht="15.75" customHeight="1" x14ac:dyDescent="0.2">
      <c r="C15" s="293">
        <v>1</v>
      </c>
      <c r="D15" s="90"/>
      <c r="E15" s="840">
        <f>VLOOKUP(C15,Dados!$A$14:$R$81,18)</f>
        <v>0</v>
      </c>
      <c r="F15" s="2323"/>
      <c r="G15" s="769">
        <f t="shared" si="2"/>
        <v>0</v>
      </c>
      <c r="H15" s="3">
        <v>1</v>
      </c>
      <c r="I15" s="767">
        <v>1</v>
      </c>
      <c r="J15" s="835">
        <f>IF(H15=1,0,VLOOKUP(H15,Rebanho!$AN$45:$AV$72,4)*I15)</f>
        <v>0</v>
      </c>
      <c r="K15" s="835">
        <f>IF(H15=1,0,(VLOOKUP(H15,Rebanho!$AN$45:$AV$72,7))*I15/450)</f>
        <v>0</v>
      </c>
      <c r="L15" s="835">
        <f>IF(H15=1,0,(VLOOKUP(H15,Rebanho!$AN$45:$AV$72,9)))/3*2</f>
        <v>0</v>
      </c>
      <c r="M15" s="766"/>
      <c r="N15" s="1055">
        <f t="shared" si="3"/>
        <v>0</v>
      </c>
      <c r="O15" s="768">
        <f t="shared" si="14"/>
        <v>0</v>
      </c>
      <c r="P15" s="768">
        <f t="shared" si="15"/>
        <v>0</v>
      </c>
      <c r="Q15" s="768">
        <f t="shared" si="4"/>
        <v>0</v>
      </c>
      <c r="R15" s="836">
        <f t="shared" si="5"/>
        <v>0</v>
      </c>
      <c r="S15" s="3">
        <v>1</v>
      </c>
      <c r="T15" s="190">
        <v>1</v>
      </c>
      <c r="U15" s="847"/>
      <c r="V15" s="847">
        <f t="shared" si="6"/>
        <v>0</v>
      </c>
      <c r="W15" s="847">
        <f t="shared" si="7"/>
        <v>0</v>
      </c>
      <c r="Z15" s="1145"/>
      <c r="AA15" s="1237"/>
      <c r="AB15" s="1138"/>
      <c r="AC15" s="1150" t="str">
        <f>Rebanho!C57</f>
        <v>Novilhas sobreano</v>
      </c>
      <c r="AD15" s="1324">
        <f>IF(Rebanho!E57&gt;0,1,0)</f>
        <v>0</v>
      </c>
      <c r="AE15" s="1169">
        <f>((SUMIFS($M$7:$M$40,$C$7:$C$40,"=2",$H$7:$H$40,"=10"))/IF($AH$15=0,1,$AH$15))*$AD$15</f>
        <v>0</v>
      </c>
      <c r="AF15" s="1328">
        <f>((SUMIFS($M$7:$M$40,$C$7:$C$40,"&lt;35",$H$7:$H$40,"=10")-AE15)/IF($AI$15=0,1,$AI$15)*AD15)</f>
        <v>0</v>
      </c>
      <c r="AG15" s="1329">
        <f>((SUMIFS($M$7:$M$40,$C$7:$C$40,"&gt;34",$H$7:$H$40,"=10"))/IF($AJ$15=0,1,$AJ$15))*AD15</f>
        <v>0</v>
      </c>
      <c r="AH15" s="1206">
        <f>(COUNTIFS($C$7:$C$40,"=2",$H$7:$H$40,"=10"))*($AD$15)</f>
        <v>0</v>
      </c>
      <c r="AI15" s="144">
        <f>(COUNTIFS($C$7:$C$40,"&lt;35",$H$7:$H$40,"=10"))*($AD$15)-AH15</f>
        <v>0</v>
      </c>
      <c r="AJ15" s="144">
        <f>(COUNTIFS($C$7:$C$40,"&gt;34",$H$7:$H$40,"=10"))*($AD$15)</f>
        <v>0</v>
      </c>
      <c r="AK15" s="1244">
        <f>((SUMIFS($G$7:$G$40,$C$7:$C$40,"=2",$H$7:$H$40,"=10"))/IF($AH$15=0,1,$AH$15))*$AD$15</f>
        <v>0</v>
      </c>
      <c r="AL15" s="1245">
        <f>((SUMIFS($G$7:$G$40,$C$7:$C$40,"&lt;35",$H$7:$H$40,"=10"))-AK15)/IF($AI$15=0,1,$AI$15)*AD15</f>
        <v>0</v>
      </c>
      <c r="AM15" s="1246">
        <f>((SUMIFS($G$7:$G$40,$C$7:$C$40,"&gt;34",$H$7:$H$40,"=10"))/IF($AJ$15=0,1,$AJ$15))*($AD$15)</f>
        <v>0</v>
      </c>
      <c r="AN15" s="1226">
        <f>((SUMIFS($L$7:$L$40,$C$7:$C$40,"=2",$H$7:$H$40,"=10"))/IF($AH$15=0,1,$AH$15))*$AD$15</f>
        <v>0</v>
      </c>
      <c r="AO15" s="1146">
        <f>((SUMIFS($L$7:$L$40,$C$7:$C$40,"&lt;35",$H$7:$H$40,"=10"))-AN15)/IF($AI$15=0,1,$AI$15)*($AD$15)</f>
        <v>0</v>
      </c>
      <c r="AP15" s="1216">
        <f>((SUMIFS($L$7:$L$40,$C$7:$C$40,"&gt;34",$H$7:$H$40,"=10"))/IF($AJ$15=0,1,$AJ$15))*($AD$15)</f>
        <v>0</v>
      </c>
      <c r="AQ15" s="1211">
        <f t="shared" si="8"/>
        <v>0</v>
      </c>
      <c r="AR15" s="1211">
        <f t="shared" si="9"/>
        <v>0</v>
      </c>
      <c r="AS15" s="1211">
        <f t="shared" si="10"/>
        <v>0</v>
      </c>
      <c r="AT15" s="1235">
        <f t="shared" si="11"/>
        <v>0</v>
      </c>
      <c r="AU15" s="1232">
        <f>(SUMIFS($C$7:$C$40,$C$7:$C$40,"&lt;35",$H$7:$H$40,"=10")+SUMIFS($C$7:$C$40,$C$7:$C$40,"&lt;35",$H$7:$H$40,"=19")+SUMIFS($C$7:$C$40,$C$7:$C$40,"&lt;35",$H$7:$H$40,"=20")+SUMIFS($C$7:$C$40,$C$7:$C$40,"&lt;35",$H$7:$H$40,"=24")+SUMIFS($C$7:$C$40,$C$7:$C$40,"&lt;35",$H$7:$H$40,"=25"))/IF($AI$15=0,1,$AI$15)</f>
        <v>0</v>
      </c>
      <c r="AV15" s="1155">
        <f>(SUMIFS($C$7:$C$40,$C$7:$C$40,"&gt;34",$H$7:$H$40,"=10")+SUMIFS($C$7:$C$40,$C$7:$C$40,"&gt;34",$H$7:$H$40,"=19")+SUMIFS($C$7:$C$40,$C$7:$C$40,"&gt;34",$H$7:$H$40,"=20")+SUMIFS($C$7:$C$40,$C$7:$C$40,"&gt;34",$H$7:$H$40,"=24")+SUMIFS($C$7:$C$40,$C$7:$C$40,"&gt;34",$H$7:$H$40,"=25"))/IF($AJ$15=0,1,$AJ$15)</f>
        <v>0</v>
      </c>
      <c r="AW15" s="1221" t="str">
        <f t="shared" si="12"/>
        <v>Não</v>
      </c>
      <c r="AX15" s="1221">
        <f>IF(AU15=0,0,VLOOKUP(AU15,Dados!$A$14:$Q$53,17))</f>
        <v>0</v>
      </c>
      <c r="AY15" s="1158">
        <f>IF(AV15=0,0,VLOOKUP(AV15,Dados!$A$14:$Q$53,17))</f>
        <v>0</v>
      </c>
      <c r="AZ15" s="704"/>
      <c r="BA15" s="1333"/>
      <c r="BB15" s="704"/>
    </row>
    <row r="16" spans="2:54" ht="15.75" customHeight="1" x14ac:dyDescent="0.2">
      <c r="C16" s="6">
        <v>1</v>
      </c>
      <c r="D16" s="1"/>
      <c r="E16" s="840">
        <f>VLOOKUP(C16,Dados!$A$14:$R$81,18)</f>
        <v>0</v>
      </c>
      <c r="F16" s="2323"/>
      <c r="G16" s="769">
        <f t="shared" si="2"/>
        <v>0</v>
      </c>
      <c r="H16" s="6">
        <v>1</v>
      </c>
      <c r="I16" s="767">
        <v>1</v>
      </c>
      <c r="J16" s="835">
        <f>IF(H16=1,0,VLOOKUP(H16,Rebanho!$AN$45:$AV$72,4)*I16)</f>
        <v>0</v>
      </c>
      <c r="K16" s="835">
        <f>IF(H16=1,0,(VLOOKUP(H16,Rebanho!$AN$45:$AV$72,7))*I16/450)</f>
        <v>0</v>
      </c>
      <c r="L16" s="835">
        <f>IF(H16=1,0,(VLOOKUP(H16,Rebanho!$AN$45:$AV$72,9)))</f>
        <v>0</v>
      </c>
      <c r="M16" s="766"/>
      <c r="N16" s="1055">
        <f t="shared" si="3"/>
        <v>0</v>
      </c>
      <c r="O16" s="768">
        <f t="shared" si="14"/>
        <v>0</v>
      </c>
      <c r="P16" s="768">
        <f t="shared" si="15"/>
        <v>0</v>
      </c>
      <c r="Q16" s="768">
        <f t="shared" si="4"/>
        <v>0</v>
      </c>
      <c r="R16" s="836">
        <f t="shared" si="5"/>
        <v>0</v>
      </c>
      <c r="S16" s="93">
        <v>1</v>
      </c>
      <c r="T16" s="93">
        <v>1</v>
      </c>
      <c r="U16" s="847"/>
      <c r="V16" s="847">
        <f t="shared" si="6"/>
        <v>0</v>
      </c>
      <c r="W16" s="847">
        <f t="shared" si="7"/>
        <v>0</v>
      </c>
      <c r="Z16" s="1145"/>
      <c r="AA16" s="1237"/>
      <c r="AB16" s="1138"/>
      <c r="AC16" s="1150" t="str">
        <f>Rebanho!C58</f>
        <v>Novilhas preenhe</v>
      </c>
      <c r="AD16" s="1324">
        <f>IF(Rebanho!E58&gt;0,1,0)</f>
        <v>0</v>
      </c>
      <c r="AE16" s="1169">
        <f>((SUMIFS($M$7:$M$40,$C$7:$C$40,"=2",$H$7:$H$40,"=11"))/IF($AH$16=0,1,$AH$16))*$AD$16</f>
        <v>0</v>
      </c>
      <c r="AF16" s="1328">
        <f>((SUMIFS($M$7:$M$40,$C$7:$C$40,"&lt;35",$H$7:$H$40,"=11"))-AE16)/IF($AI$16=0,1,$AI$16)*AD16</f>
        <v>0</v>
      </c>
      <c r="AG16" s="1329">
        <f>((SUMIFS($M$7:$M$40,$C$7:$C$40,"&gt;34",$H$7:$H$40,"=11"))/IF($AJ$16=0,1,$AJ$16))*AD16</f>
        <v>0</v>
      </c>
      <c r="AH16" s="1206">
        <f>(COUNTIFS($C$7:$C$40,"=2",$H$7:$H$40,"=11"))*($AD$16)</f>
        <v>0</v>
      </c>
      <c r="AI16" s="144">
        <f>(COUNTIFS($C$7:$C$40,"&lt;35",$H$7:$H$40,"=11"))*($AD$16)-AH16</f>
        <v>0</v>
      </c>
      <c r="AJ16" s="144">
        <f>(COUNTIFS($C$7:$C$40,"&gt;34",$H$7:$H$40,"=11"))*($AD$16)</f>
        <v>0</v>
      </c>
      <c r="AK16" s="1244">
        <f>((SUMIFS($G$7:$G$40,$C$7:$C$40,"=2",$H$7:$H$40,"=11"))/IF($AH$16=0,1,$AH$16))*$AD$16</f>
        <v>0</v>
      </c>
      <c r="AL16" s="1245">
        <f>((SUMIFS($G$7:$G$40,$C$7:$C$40,"&lt;35",$H$7:$H$40,"=11"))-AK16)/IF($AI$16=0,1,$AI$16)*AD16</f>
        <v>0</v>
      </c>
      <c r="AM16" s="1246">
        <f>((SUMIFS($G$7:$G$40,$C$7:$C$40,"&gt;34",$H$7:$H$40,"=11"))/IF($AJ$16=0,1,$AJ$16))*($AD$16)</f>
        <v>0</v>
      </c>
      <c r="AN16" s="1226">
        <f>((SUMIFS($L$7:$L$40,$C$7:$C$40,"=2",$H$7:$H$40,"=11"))/IF($AH$16=0,1,$AH$16))*$AD$16</f>
        <v>0</v>
      </c>
      <c r="AO16" s="1146">
        <f>((SUMIFS($L$7:$L$40,$C$7:$C$40,"&lt;35",$H$7:$H$40,"=11"))-AN16)/IF($AI$16=0,1,$AI$16)*($AD$16)</f>
        <v>0</v>
      </c>
      <c r="AP16" s="1216">
        <f>((SUMIFS($L$7:$L$40,$C$7:$C$40,"&gt;34",$H$7:$H$40,"=11"))/IF($AJ$16=0,1,$AJ$16))*($AD$16)</f>
        <v>0</v>
      </c>
      <c r="AQ16" s="1211">
        <f t="shared" si="8"/>
        <v>0</v>
      </c>
      <c r="AR16" s="1211">
        <f t="shared" si="9"/>
        <v>0</v>
      </c>
      <c r="AS16" s="1211">
        <f t="shared" si="10"/>
        <v>0</v>
      </c>
      <c r="AT16" s="1235">
        <f t="shared" si="11"/>
        <v>0</v>
      </c>
      <c r="AU16" s="1232">
        <f>(SUMIFS($C$7:$C$40,$C$7:$C$40,"&lt;35",$H$7:$H$40,"=11")+SUMIFS($C$7:$C$40,$C$7:$C$40,"&lt;35",$H$7:$H$40,"=19")+SUMIFS($C$7:$C$40,$C$7:$C$40,"&lt;35",$H$7:$H$40,"=20"))/IF($AI$16=0,1,$AI$16)</f>
        <v>0</v>
      </c>
      <c r="AV16" s="1155">
        <f>(SUMIFS($C$7:$C$40,$C$7:$C$40,"&gt;34",$H$7:$H$40,"=11")+SUMIFS($C$7:$C$40,$C$7:$C$40,"&gt;34",$H$7:$H$40,"=19")+SUMIFS($C$7:$C$40,$C$7:$C$40,"&gt;34",$H$7:$H$40,"=20"))/IF($AJ$16=0,1,$AJ$16)</f>
        <v>0</v>
      </c>
      <c r="AW16" s="1221" t="str">
        <f t="shared" si="12"/>
        <v>Não</v>
      </c>
      <c r="AX16" s="1221">
        <f>IF(AU16=0,0,VLOOKUP(AU16,Dados!$A$14:$Q$53,17))</f>
        <v>0</v>
      </c>
      <c r="AY16" s="1158">
        <f>IF(AV16=0,0,VLOOKUP(AV16,Dados!$A$14:$Q$53,17))</f>
        <v>0</v>
      </c>
      <c r="AZ16" s="704"/>
      <c r="BA16" s="1333"/>
      <c r="BB16" s="704"/>
    </row>
    <row r="17" spans="3:54" ht="15.75" customHeight="1" x14ac:dyDescent="0.2">
      <c r="C17" s="6">
        <v>1</v>
      </c>
      <c r="D17" s="1"/>
      <c r="E17" s="840">
        <f>VLOOKUP(C17,Dados!$A$14:$R$81,18)</f>
        <v>0</v>
      </c>
      <c r="F17" s="2323"/>
      <c r="G17" s="769">
        <f t="shared" si="2"/>
        <v>0</v>
      </c>
      <c r="H17" s="6">
        <v>1</v>
      </c>
      <c r="I17" s="767">
        <v>1</v>
      </c>
      <c r="J17" s="835">
        <f>IF(H17=1,0,VLOOKUP(H17,Rebanho!$AN$45:$AV$72,4)*I17)</f>
        <v>0</v>
      </c>
      <c r="K17" s="835">
        <f>IF(H17=1,0,(VLOOKUP(H17,Rebanho!$AN$45:$AV$72,7))*I17/450)</f>
        <v>0</v>
      </c>
      <c r="L17" s="835">
        <f>IF(H17=1,0,(VLOOKUP(H17,Rebanho!$AN$45:$AV$72,9)))</f>
        <v>0</v>
      </c>
      <c r="M17" s="766"/>
      <c r="N17" s="1055">
        <f t="shared" si="3"/>
        <v>0</v>
      </c>
      <c r="O17" s="768">
        <f t="shared" si="14"/>
        <v>0</v>
      </c>
      <c r="P17" s="768">
        <f t="shared" si="15"/>
        <v>0</v>
      </c>
      <c r="Q17" s="768">
        <f t="shared" si="4"/>
        <v>0</v>
      </c>
      <c r="R17" s="836">
        <f t="shared" si="5"/>
        <v>0</v>
      </c>
      <c r="S17" s="93">
        <v>1</v>
      </c>
      <c r="T17" s="93">
        <v>1</v>
      </c>
      <c r="U17" s="847"/>
      <c r="V17" s="847">
        <f t="shared" si="6"/>
        <v>0</v>
      </c>
      <c r="W17" s="847">
        <f t="shared" si="7"/>
        <v>0</v>
      </c>
      <c r="Z17" s="1145"/>
      <c r="AA17" s="1237"/>
      <c r="AB17" s="1138"/>
      <c r="AC17" s="1150" t="str">
        <f>Rebanho!C59</f>
        <v>Vacas primíparas</v>
      </c>
      <c r="AD17" s="1324">
        <f>IF(Rebanho!E59&gt;0,1,0)</f>
        <v>0</v>
      </c>
      <c r="AE17" s="1169">
        <f>((SUMIFS($M$7:$M$40,$C$7:$C$40,"=2",$H$7:$H$40,"=12"))/IF($AH$17=0,1,$AH$17))*$AD$17</f>
        <v>0</v>
      </c>
      <c r="AF17" s="1328">
        <f>((SUMIFS($M$7:$M$40,$C$7:$C$40,"&lt;35",$H$7:$H$40,"=12"))-AE17)/IF($AI$17=0,1,$AI$17)*AD17</f>
        <v>0</v>
      </c>
      <c r="AG17" s="1329">
        <f>((SUMIFS($M$7:$M$40,$C$7:$C$40,"&gt;34",$H$7:$H$40,"=12"))/IF($AJ$17=0,1,$AJ$17))*AD17</f>
        <v>0</v>
      </c>
      <c r="AH17" s="1206">
        <f>(COUNTIFS($C$7:$C$40,"=2",$H$7:$H$40,"=12"))*($AD$17)</f>
        <v>0</v>
      </c>
      <c r="AI17" s="144">
        <f>(COUNTIFS($C$7:$C$40,"&lt;35",$H$7:$H$40,"=12"))*($AD$17)-AH17</f>
        <v>0</v>
      </c>
      <c r="AJ17" s="144">
        <f>(COUNTIFS($C$7:$C$40,"&gt;34",$H$7:$H$40,"=12"))*($AD$17)</f>
        <v>0</v>
      </c>
      <c r="AK17" s="1244">
        <f>((SUMIFS($G$7:$G$40,$C$7:$C$40,"=2",$H$7:$H$40,"=12"))/IF($AH$17=0,1,$AH$17))*$AD$17</f>
        <v>0</v>
      </c>
      <c r="AL17" s="1245">
        <f>((SUMIFS($G$7:$G$40,$C$7:$C$40,"&lt;35",$H$7:$H$40,"=12"))-AK17)/IF($AI$17=0,1,$AI$17)*AD17</f>
        <v>0</v>
      </c>
      <c r="AM17" s="1246">
        <f>((SUMIFS($G$7:$G$40,$C$7:$C$40,"&gt;34",$H$7:$H$40,"=12"))/IF($AJ$17=0,1,$AJ$17))*($AD$17)</f>
        <v>0</v>
      </c>
      <c r="AN17" s="1226">
        <f>((SUMIFS($L$7:$L$40,$C$7:$C$40,"=2",$H$7:$H$40,"=12"))/IF($AH$17=0,1,$AH$17))*$AD$17</f>
        <v>0</v>
      </c>
      <c r="AO17" s="1146">
        <f>((SUMIFS($L$7:$L$40,$C$7:$C$40,"&lt;35",$H$7:$H$40,"=12"))-AN17)/IF($AI$17=0,1,$AI$17)*($AD$17)</f>
        <v>0</v>
      </c>
      <c r="AP17" s="1216">
        <f>((SUMIFS($L$7:$L$40,$C$7:$C$40,"&gt;34",$H$7:$H$40,"=12"))/IF($AJ$17=0,1,$AJ$17))*($AD$17)</f>
        <v>0</v>
      </c>
      <c r="AQ17" s="1211">
        <f t="shared" si="8"/>
        <v>0</v>
      </c>
      <c r="AR17" s="1211">
        <f t="shared" si="9"/>
        <v>0</v>
      </c>
      <c r="AS17" s="1211">
        <f t="shared" si="10"/>
        <v>0</v>
      </c>
      <c r="AT17" s="1235">
        <f t="shared" si="11"/>
        <v>0</v>
      </c>
      <c r="AU17" s="1232">
        <f>(SUMIFS($C$7:$C$40,$C$7:$C$40,"&lt;35",$H$7:$H$40,"=12")+SUMIFS($C$7:$C$40,$C$7:$C$40,"&lt;35",$H$7:$H$40,"=19")+SUMIFS($C$7:$C$40,$C$7:$C$40,"&lt;35",$H$7:$H$40,"=20")+SUMIFS($C$7:$C$40,$C$7:$C$40,"&lt;35",$H$7:$H$40,"=27"))/IF($AI$17=0,1,$AI$17)</f>
        <v>0</v>
      </c>
      <c r="AV17" s="1155">
        <f>(SUMIFS($C$7:$C$40,$C$7:$C$40,"&gt;34",$H$7:$H$40,"=12")+SUMIFS($C$7:$C$40,$C$7:$C$40,"&gt;34",$H$7:$H$40,"=19")+SUMIFS($C$7:$C$40,$C$7:$C$40,"&gt;34",$H$7:$H$40,"=20")+SUMIFS($C$7:$C$40,$C$7:$C$40,"&gt;34",$H$7:$H$40,"=27"))/IF($AJ$17=0,1,$AJ$17)</f>
        <v>0</v>
      </c>
      <c r="AW17" s="1221" t="str">
        <f t="shared" si="12"/>
        <v>Não</v>
      </c>
      <c r="AX17" s="1221">
        <f>IF(AU17=0,0,VLOOKUP(AU17,Dados!$A$14:$Q$53,17))</f>
        <v>0</v>
      </c>
      <c r="AY17" s="1158">
        <f>IF(AV17=0,0,VLOOKUP(AV17,Dados!$A$14:$Q$53,17))</f>
        <v>0</v>
      </c>
      <c r="AZ17" s="704"/>
      <c r="BA17" s="1333"/>
      <c r="BB17" s="704"/>
    </row>
    <row r="18" spans="3:54" ht="15.75" customHeight="1" x14ac:dyDescent="0.2">
      <c r="C18" s="6">
        <v>1</v>
      </c>
      <c r="D18" s="1"/>
      <c r="E18" s="840">
        <f>VLOOKUP(C18,Dados!$A$14:$R$81,18)</f>
        <v>0</v>
      </c>
      <c r="F18" s="841"/>
      <c r="G18" s="769">
        <f t="shared" si="2"/>
        <v>0</v>
      </c>
      <c r="H18" s="6">
        <v>1</v>
      </c>
      <c r="I18" s="767">
        <v>1</v>
      </c>
      <c r="J18" s="835">
        <f>IF(H18=1,0,VLOOKUP(H18,Rebanho!$AN$45:$AV$72,4)*I18)</f>
        <v>0</v>
      </c>
      <c r="K18" s="835">
        <f>IF(H18=1,0,(VLOOKUP(H18,Rebanho!$AN$45:$AV$72,7))*I18/450)</f>
        <v>0</v>
      </c>
      <c r="L18" s="835">
        <f>IF(H18=1,0,(VLOOKUP(H18,Rebanho!$AN$45:$AV$72,9)))</f>
        <v>0</v>
      </c>
      <c r="M18" s="766"/>
      <c r="N18" s="1055">
        <f t="shared" si="3"/>
        <v>0</v>
      </c>
      <c r="O18" s="768">
        <f t="shared" si="14"/>
        <v>0</v>
      </c>
      <c r="P18" s="768">
        <f t="shared" si="15"/>
        <v>0</v>
      </c>
      <c r="Q18" s="768">
        <f t="shared" si="4"/>
        <v>0</v>
      </c>
      <c r="R18" s="836">
        <f t="shared" si="5"/>
        <v>0</v>
      </c>
      <c r="S18" s="93">
        <v>1</v>
      </c>
      <c r="T18" s="93">
        <v>1</v>
      </c>
      <c r="U18" s="847"/>
      <c r="V18" s="847">
        <f t="shared" si="6"/>
        <v>0</v>
      </c>
      <c r="W18" s="847">
        <f t="shared" si="7"/>
        <v>0</v>
      </c>
      <c r="Z18" s="1145"/>
      <c r="AA18" s="114"/>
      <c r="AB18" s="1138"/>
      <c r="AC18" s="1150" t="str">
        <f>Rebanho!C60</f>
        <v>Vacas em lactação multiparas</v>
      </c>
      <c r="AD18" s="1324">
        <f>IF(Rebanho!E60&gt;0,1,0)</f>
        <v>0</v>
      </c>
      <c r="AE18" s="1169">
        <f>((SUMIFS($M$7:$M$40,$C$7:$C$40,"=2",$H$7:$H$40,"=13"))/IF($AH$18=0,1,$AH$18))*$AD$18</f>
        <v>0</v>
      </c>
      <c r="AF18" s="1328">
        <f>((SUMIFS($M$7:$M$40,$C$7:$C$40,"&lt;35",$H$7:$H$40,"=13"))-AE18)/IF($AI$18=0,1,$AI$18)*AD18</f>
        <v>0</v>
      </c>
      <c r="AG18" s="1329">
        <f>((SUMIFS($M$7:$M$40,$C$7:$C$40,"&gt;34",$H$7:$H$40,"=13"))/IF($AJ$18=0,1,$AJ$18))*AD18</f>
        <v>0</v>
      </c>
      <c r="AH18" s="1206">
        <f>(COUNTIFS($C$7:$C$40,"=2",$H$7:$H$40,"=13"))*($AD$18)</f>
        <v>0</v>
      </c>
      <c r="AI18" s="144">
        <f>(COUNTIFS($C$7:$C$40,"&lt;35",$H$7:$H$40,"=13"))*($AD$18)-AH18</f>
        <v>0</v>
      </c>
      <c r="AJ18" s="144">
        <f>(COUNTIFS($C$7:$C$40,"&gt;34",$H$7:$H$40,"=13"))*($AD$18)</f>
        <v>0</v>
      </c>
      <c r="AK18" s="1244">
        <f>((SUMIFS($G$7:$G$40,$C$7:$C$40,"=2",$H$7:$H$40,"=13"))/IF($AH$18=0,1,$AH$18))*$AD$18</f>
        <v>0</v>
      </c>
      <c r="AL18" s="1245">
        <f>((SUMIFS($G$7:$G$40,$C$7:$C$40,"&lt;35",$H$7:$H$40,"=13"))-AK18)/IF($AI$18=0,1,$AI$18)*AD18</f>
        <v>0</v>
      </c>
      <c r="AM18" s="1246">
        <f>((SUMIFS($G$7:$G$40,$C$7:$C$40,"&gt;34",$H$7:$H$40,"=13"))/IF($AJ$18=0,1,$AJ$18))*($AD$18)</f>
        <v>0</v>
      </c>
      <c r="AN18" s="1226">
        <f>((SUMIFS($L$7:$L$40,$C$7:$C$40,"=2",$H$7:$H$40,"=13"))/IF($AH$18=0,1,$AH$18))*$AD$18</f>
        <v>0</v>
      </c>
      <c r="AO18" s="1146">
        <f>((SUMIFS($L$7:$L$40,$C$7:$C$40,"&lt;35",$H$7:$H$40,"=13"))-AN18)/IF($AI$18=0,1,$AI$18)*($AD$18)</f>
        <v>0</v>
      </c>
      <c r="AP18" s="1216">
        <f>((SUMIFS($L$7:$L$40,$C$7:$C$40,"&gt;34",$H$7:$H$40,"=13"))/IF($AJ$18=0,1,$AJ$18))*($AD$18)</f>
        <v>0</v>
      </c>
      <c r="AQ18" s="1211">
        <f t="shared" si="8"/>
        <v>0</v>
      </c>
      <c r="AR18" s="1211">
        <f t="shared" si="9"/>
        <v>0</v>
      </c>
      <c r="AS18" s="1211">
        <f t="shared" si="10"/>
        <v>0</v>
      </c>
      <c r="AT18" s="1235">
        <f t="shared" si="11"/>
        <v>0</v>
      </c>
      <c r="AU18" s="1232">
        <f>(SUMIFS($C$7:$C$40,$C$7:$C$40,"&lt;35",$H$7:$H$40,"=13")+SUMIFS($C$7:$C$40,$C$7:$C$40,"&lt;35",$H$7:$H$40,"=19")+SUMIFS($C$7:$C$40,$C$7:$C$40,"&lt;35",$H$7:$H$40,"=20")+SUMIFS($C$7:$C$40,$C$7:$C$40,"&lt;35",$H$7:$H$40,"=27"))/IF($AI$18=0,1,$AI$18)</f>
        <v>0</v>
      </c>
      <c r="AV18" s="1155">
        <f>(SUMIFS($C$7:$C$40,$C$7:$C$40,"&gt;34",$H$7:$H$40,"=13")+SUMIFS($C$7:$C$40,$C$7:$C$40,"&gt;34",$H$7:$H$40,"=19")+SUMIFS($C$7:$C$40,$C$7:$C$40,"&gt;34",$H$7:$H$40,"=20")+SUMIFS($C$7:$C$40,$C$7:$C$40,"&gt;34",$H$7:$H$40,"=27"))/IF($AJ$18=0,1,$AJ$18)</f>
        <v>0</v>
      </c>
      <c r="AW18" s="1221" t="str">
        <f t="shared" si="12"/>
        <v>Não</v>
      </c>
      <c r="AX18" s="1221">
        <f>IF(AU18=0,0,VLOOKUP(AU18,Dados!$A$14:$Q$53,17))</f>
        <v>0</v>
      </c>
      <c r="AY18" s="1158">
        <f>IF(AV18=0,0,VLOOKUP(AV18,Dados!$A$14:$Q$53,17))</f>
        <v>0</v>
      </c>
      <c r="AZ18" s="704"/>
      <c r="BA18" s="1333"/>
      <c r="BB18" s="704"/>
    </row>
    <row r="19" spans="3:54" ht="15.75" customHeight="1" x14ac:dyDescent="0.2">
      <c r="C19" s="6">
        <v>1</v>
      </c>
      <c r="D19" s="1"/>
      <c r="E19" s="840">
        <f>VLOOKUP(C19,Dados!$A$14:$R$81,18)</f>
        <v>0</v>
      </c>
      <c r="F19" s="841"/>
      <c r="G19" s="769">
        <f t="shared" si="2"/>
        <v>0</v>
      </c>
      <c r="H19" s="6">
        <v>1</v>
      </c>
      <c r="I19" s="767">
        <v>1</v>
      </c>
      <c r="J19" s="835">
        <f>IF(H19=1,0,VLOOKUP(H19,Rebanho!$AN$45:$AV$72,4)*I19)</f>
        <v>0</v>
      </c>
      <c r="K19" s="835">
        <f>IF(H19=1,0,(VLOOKUP(H19,Rebanho!$AN$45:$AV$72,7))*I19/450)</f>
        <v>0</v>
      </c>
      <c r="L19" s="835">
        <f>IF(H19=1,0,(VLOOKUP(H19,Rebanho!$AN$45:$AV$72,9)))</f>
        <v>0</v>
      </c>
      <c r="M19" s="766"/>
      <c r="N19" s="1055">
        <f t="shared" si="3"/>
        <v>0</v>
      </c>
      <c r="O19" s="768">
        <f t="shared" si="14"/>
        <v>0</v>
      </c>
      <c r="P19" s="768">
        <f t="shared" si="15"/>
        <v>0</v>
      </c>
      <c r="Q19" s="768">
        <f t="shared" si="4"/>
        <v>0</v>
      </c>
      <c r="R19" s="836">
        <f t="shared" si="5"/>
        <v>0</v>
      </c>
      <c r="S19" s="93">
        <v>1</v>
      </c>
      <c r="T19" s="93">
        <v>1</v>
      </c>
      <c r="U19" s="847"/>
      <c r="V19" s="847">
        <f t="shared" si="6"/>
        <v>0</v>
      </c>
      <c r="W19" s="847">
        <f t="shared" si="7"/>
        <v>0</v>
      </c>
      <c r="Z19" s="1145"/>
      <c r="AA19" s="114"/>
      <c r="AB19" s="1138"/>
      <c r="AC19" s="1150" t="str">
        <f>Rebanho!C61</f>
        <v>Vacas solteiras secas</v>
      </c>
      <c r="AD19" s="1324">
        <f>IF(Rebanho!E61&gt;0,1,0)</f>
        <v>0</v>
      </c>
      <c r="AE19" s="1169">
        <f>((SUMIFS($M$7:$M$40,$C$7:$C$40,"=2",$H$7:$H$40,"=14"))/IF($AH$19=0,1,$AH$19))*$AD$19</f>
        <v>0</v>
      </c>
      <c r="AF19" s="1328">
        <f>((SUMIFS($M$7:$M$40,$C$7:$C$40,"&lt;35",$H$7:$H$40,"=14"))-AE19)/IF($AI$19=0,1,$AI$19)*AD19</f>
        <v>0</v>
      </c>
      <c r="AG19" s="1329">
        <f>((SUMIFS($M$7:$M$40,$C$7:$C$40,"&gt;34",$H$7:$H$40,"=14"))/IF($AJ$19=0,1,$AJ$19))*AD19</f>
        <v>0</v>
      </c>
      <c r="AH19" s="1206">
        <f>(COUNTIFS($C$7:$C$40,"=2",$H$7:$H$40,"=14"))*($AD$19)</f>
        <v>0</v>
      </c>
      <c r="AI19" s="144">
        <f>(COUNTIFS($C$7:$C$40,"&lt;35",$H$7:$H$40,"=14"))*($AD$19)-AH19</f>
        <v>0</v>
      </c>
      <c r="AJ19" s="144">
        <f>(COUNTIFS($C$7:$C$40,"&gt;34",$H$7:$H$40,"=14"))*($AD$19)</f>
        <v>0</v>
      </c>
      <c r="AK19" s="1244">
        <f>((SUMIFS($G$7:$G$40,$C$7:$C$40,"=2",$H$7:$H$40,"=14"))/IF($AH$19=0,1,$AH$19))*$AD$19</f>
        <v>0</v>
      </c>
      <c r="AL19" s="1245">
        <f>((SUMIFS($G$7:$G$40,$C$7:$C$40,"&lt;35",$H$7:$H$40,"=14"))-AK19)/IF($AI$19=0,1,$AI$19)*AD19</f>
        <v>0</v>
      </c>
      <c r="AM19" s="1246">
        <f>((SUMIFS($G$7:$G$40,$C$7:$C$40,"&gt;34",$H$7:$H$40,"=14"))/IF($AJ$19=0,1,$AJ$19))*($AD$19)</f>
        <v>0</v>
      </c>
      <c r="AN19" s="1226">
        <f>((SUMIFS($L$7:$L$40,$C$7:$C$40,"=2",$H$7:$H$40,"=14"))/IF($AH$19=0,1,$AH$19))*$AD$19</f>
        <v>0</v>
      </c>
      <c r="AO19" s="1146">
        <f>((SUMIFS($L$7:$L$40,$C$7:$C$40,"&lt;35",$H$7:$H$40,"=14"))-AN19)/IF($AI$19=0,1,$AI$19)*($AD$19)</f>
        <v>0</v>
      </c>
      <c r="AP19" s="1216">
        <f>((SUMIFS($L$7:$L$40,$C$7:$C$40,"&gt;34",$H$7:$H$40,"=14"))/IF($AJ$19=0,1,$AJ$19))*($AD$19)</f>
        <v>0</v>
      </c>
      <c r="AQ19" s="1211">
        <f t="shared" si="8"/>
        <v>0</v>
      </c>
      <c r="AR19" s="1211">
        <f t="shared" si="9"/>
        <v>0</v>
      </c>
      <c r="AS19" s="1211">
        <f t="shared" si="10"/>
        <v>0</v>
      </c>
      <c r="AT19" s="1235">
        <f t="shared" si="11"/>
        <v>0</v>
      </c>
      <c r="AU19" s="1232">
        <f>(SUMIFS($C$7:$C$40,$C$7:$C$40,"&lt;35",$H$7:$H$40,"=14")+SUMIFS($C$7:$C$40,$C$7:$C$40,"&lt;35",$H$7:$H$40,"=19")+SUMIFS($C$7:$C$40,$C$7:$C$40,"&lt;35",$H$7:$H$40,"=21")+SUMIFS($C$7:$C$40,$C$7:$C$40,"&lt;35",$H$7:$H$40,"=27"))/IF($AI$19=0,1,$AI$19)</f>
        <v>0</v>
      </c>
      <c r="AV19" s="1155">
        <f>(SUMIFS($C$7:$C$40,$C$7:$C$40,"&gt;34",$H$7:$H$40,"=14")+SUMIFS($C$7:$C$40,$C$7:$C$40,"&gt;34",$H$7:$H$40,"=19")+SUMIFS($C$7:$C$40,$C$7:$C$40,"&gt;34",$H$7:$H$40,"=21")+SUMIFS($C$7:$C$40,$C$7:$C$40,"&gt;34",$H$7:$H$40,"=27"))/IF($AJ$19=0,1,$AJ$19)</f>
        <v>0</v>
      </c>
      <c r="AW19" s="1221" t="str">
        <f t="shared" si="12"/>
        <v>Não</v>
      </c>
      <c r="AX19" s="1221">
        <f>IF(AU19=0,0,VLOOKUP(AU19,Dados!$A$14:$Q$53,17))</f>
        <v>0</v>
      </c>
      <c r="AY19" s="1158">
        <f>IF(AV19=0,0,VLOOKUP(AV19,Dados!$A$14:$Q$53,17))</f>
        <v>0</v>
      </c>
      <c r="AZ19" s="704"/>
      <c r="BA19" s="1333"/>
      <c r="BB19" s="704"/>
    </row>
    <row r="20" spans="3:54" ht="15.75" customHeight="1" x14ac:dyDescent="0.2">
      <c r="C20" s="6">
        <v>1</v>
      </c>
      <c r="D20" s="1"/>
      <c r="E20" s="840">
        <f>VLOOKUP(C20,Dados!$A$14:$R$81,18)</f>
        <v>0</v>
      </c>
      <c r="F20" s="841"/>
      <c r="G20" s="769">
        <f t="shared" si="2"/>
        <v>0</v>
      </c>
      <c r="H20" s="6">
        <v>1</v>
      </c>
      <c r="I20" s="767">
        <v>1</v>
      </c>
      <c r="J20" s="835">
        <f>IF(H20=1,0,VLOOKUP(H20,Rebanho!$AN$45:$AV$72,4)*I20)</f>
        <v>0</v>
      </c>
      <c r="K20" s="835">
        <f>IF(H20=1,0,(VLOOKUP(H20,Rebanho!$AN$45:$AV$72,7))*I20/450)</f>
        <v>0</v>
      </c>
      <c r="L20" s="835">
        <f>IF(H20=1,0,(VLOOKUP(H20,Rebanho!$AN$45:$AV$72,9)))</f>
        <v>0</v>
      </c>
      <c r="M20" s="766"/>
      <c r="N20" s="1055">
        <f t="shared" si="3"/>
        <v>0</v>
      </c>
      <c r="O20" s="768">
        <f t="shared" si="14"/>
        <v>0</v>
      </c>
      <c r="P20" s="768">
        <f t="shared" si="15"/>
        <v>0</v>
      </c>
      <c r="Q20" s="768">
        <f t="shared" si="4"/>
        <v>0</v>
      </c>
      <c r="R20" s="836">
        <f t="shared" si="5"/>
        <v>0</v>
      </c>
      <c r="S20" s="93">
        <v>1</v>
      </c>
      <c r="T20" s="93">
        <v>1</v>
      </c>
      <c r="U20" s="847"/>
      <c r="V20" s="847">
        <f t="shared" si="6"/>
        <v>0</v>
      </c>
      <c r="W20" s="847">
        <f t="shared" si="7"/>
        <v>0</v>
      </c>
      <c r="Z20" s="1145"/>
      <c r="AA20" s="114"/>
      <c r="AB20" s="1138"/>
      <c r="AC20" s="1150" t="str">
        <f>Rebanho!C62</f>
        <v>Bezerras em aleitamento (Engorda)</v>
      </c>
      <c r="AD20" s="1324">
        <f>IF(Rebanho!E62&gt;0,1,0)</f>
        <v>0</v>
      </c>
      <c r="AE20" s="1169">
        <f>((SUMIFS($M$7:$M$40,$C$7:$C$40,"=2",$H$7:$H$40,"=15"))/IF($AH$20=0,1,$AH$20))*$AD$20</f>
        <v>0</v>
      </c>
      <c r="AF20" s="1328">
        <f>((SUMIFS($M$7:$M$40,$C$7:$C$40,"&lt;35",$H$7:$H$40,"=15"))-AE20)/IF($AI$20=0,1,$AI$20)*AD20</f>
        <v>0</v>
      </c>
      <c r="AG20" s="1329">
        <f>((SUMIFS($M$7:$M$40,$C$7:$C$40,"&gt;34",$H$7:$H$40,"=15"))/IF($AJ$20=0,1,$AJ$20))*AD20</f>
        <v>0</v>
      </c>
      <c r="AH20" s="1206">
        <f>(COUNTIFS($C$7:$C$40,"=2",$H$7:$H$40,"=15"))*($AD$20)</f>
        <v>0</v>
      </c>
      <c r="AI20" s="144">
        <f>(COUNTIFS($C$7:$C$40,"&lt;35",$H$7:$H$40,"=15"))*($AD$20)-AH20</f>
        <v>0</v>
      </c>
      <c r="AJ20" s="144">
        <f>(COUNTIFS($C$7:$C$40,"&gt;34",$H$7:$H$40,"=15"))*($AD$20)</f>
        <v>0</v>
      </c>
      <c r="AK20" s="1244">
        <f>((SUMIFS($G$7:$G$40,$C$7:$C$40,"=2",$H$7:$H$40,"=15"))/IF($AH$20=0,1,$AH$20))*$AD$20</f>
        <v>0</v>
      </c>
      <c r="AL20" s="1245">
        <f>((SUMIFS($G$7:$G$40,$C$7:$C$40,"&lt;35",$H$7:$H$40,"=15"))-AK20)/IF($AI$20=0,1,$AI$20)*AD20</f>
        <v>0</v>
      </c>
      <c r="AM20" s="1246">
        <f>((SUMIFS($G$7:$G$40,$C$7:$C$40,"&gt;34",$H$7:$H$40,"=15"))/IF($AJ$20=0,1,$AJ$20))*($AD$20)</f>
        <v>0</v>
      </c>
      <c r="AN20" s="1226">
        <f>((SUMIFS($L$7:$L$40,$C$7:$C$40,"=2",$H$7:$H$40,"=15"))/IF($AH$20=0,1,$AH$20))*$AD$20</f>
        <v>0</v>
      </c>
      <c r="AO20" s="1146">
        <f>((SUMIFS($L$7:$L$40,$C$7:$C$40,"&lt;35",$H$7:$H$40,"=15"))-AN20)/IF($AI$20=0,1,$AI$20)*($AD$20)</f>
        <v>0</v>
      </c>
      <c r="AP20" s="1216">
        <f>((SUMIFS($L$7:$L$40,$C$7:$C$40,"&gt;34",$H$7:$H$40,"=15"))/IF($AJ$20=0,1,$AJ$20))*($AD$20)</f>
        <v>0</v>
      </c>
      <c r="AQ20" s="1211">
        <f t="shared" si="8"/>
        <v>0</v>
      </c>
      <c r="AR20" s="1211">
        <f t="shared" si="9"/>
        <v>0</v>
      </c>
      <c r="AS20" s="1211">
        <f t="shared" si="10"/>
        <v>0</v>
      </c>
      <c r="AT20" s="1235">
        <f t="shared" si="11"/>
        <v>0</v>
      </c>
      <c r="AU20" s="1232">
        <f>(SUMIFS($C$7:$C$40,$C$7:$C$40,"&lt;35",$H$7:$H$40,"=15")+SUMIFS($C$7:$C$40,$C$7:$C$40,"&lt;35",$H$7:$H$40,"=19")+SUMIFS($C$7:$C$40,$C$7:$C$40,"&lt;35",$H$7:$H$40,"=20")+SUMIFS($C$7:$C$40,$C$7:$C$40,"&lt;35",$H$7:$H$40,"=22")+SUMIFS($C$7:$C$40,$C$7:$C$40,"&lt;35",$H$7:$H$40,"=24")+SUMIFS($C$7:$C$40,$C$7:$C$40,"&lt;35",$H$7:$H$40,"=25")+SUMIFS($C$7:$C$40,$C$7:$C$40,"&lt;35",$H$7:$H$40,"=28"))/IF($AI$20=0,1,$AI$20)</f>
        <v>0</v>
      </c>
      <c r="AV20" s="1155">
        <f>(SUMIFS($C$7:$C$40,$C$7:$C$40,"&gt;34",$H$7:$H$40,"=15")+SUMIFS($C$7:$C$40,$C$7:$C$40,"&gt;34",$H$7:$H$40,"=19")+SUMIFS($C$7:$C$40,$C$7:$C$40,"&gt;34",$H$7:$H$40,"=20")+SUMIFS($C$7:$C$40,$C$7:$C$40,"&gt;34",$H$7:$H$40,"=22")+SUMIFS($C$7:$C$40,$C$7:$C$40,"&gt;34",$H$7:$H$40,"=24")+SUMIFS($C$7:$C$40,$C$7:$C$40,"&gt;34",$H$7:$H$40,"=25")+SUMIFS($C$7:$C$40,$C$7:$C$40,"&gt;34",$H$7:$H$40,"=28"))/IF($AJ$20=0,1,$AJ$20)</f>
        <v>0</v>
      </c>
      <c r="AW20" s="1221" t="str">
        <f t="shared" si="12"/>
        <v>Não</v>
      </c>
      <c r="AX20" s="1221">
        <f>IF(AU20=0,0,VLOOKUP(AU20,Dados!$A$14:$Q$53,17))</f>
        <v>0</v>
      </c>
      <c r="AY20" s="1158">
        <f>IF(AV20=0,0,VLOOKUP(AV20,Dados!$A$14:$Q$53,17))</f>
        <v>0</v>
      </c>
      <c r="AZ20" s="704"/>
      <c r="BA20" s="1333"/>
      <c r="BB20" s="704"/>
    </row>
    <row r="21" spans="3:54" ht="15.75" customHeight="1" x14ac:dyDescent="0.2">
      <c r="C21" s="6">
        <v>1</v>
      </c>
      <c r="D21" s="843"/>
      <c r="E21" s="840">
        <f>VLOOKUP(C21,Dados!$A$14:$R$81,18)</f>
        <v>0</v>
      </c>
      <c r="F21" s="841"/>
      <c r="G21" s="769">
        <f t="shared" si="2"/>
        <v>0</v>
      </c>
      <c r="H21" s="6">
        <v>1</v>
      </c>
      <c r="I21" s="844">
        <v>1</v>
      </c>
      <c r="J21" s="835">
        <f>IF(H21=1,0,VLOOKUP(H21,Rebanho!$AN$45:$AV$72,4)*I21)</f>
        <v>0</v>
      </c>
      <c r="K21" s="835">
        <f>IF(H21=1,0,(VLOOKUP(H21,Rebanho!$AN$45:$AV$72,7))*I21/450)</f>
        <v>0</v>
      </c>
      <c r="L21" s="835">
        <f>IF(H21=1,0,(VLOOKUP(H21,Rebanho!$AN$45:$AV$72,9)))</f>
        <v>0</v>
      </c>
      <c r="M21" s="766"/>
      <c r="N21" s="1055">
        <f t="shared" si="3"/>
        <v>0</v>
      </c>
      <c r="O21" s="768">
        <f t="shared" si="14"/>
        <v>0</v>
      </c>
      <c r="P21" s="768">
        <f t="shared" si="15"/>
        <v>0</v>
      </c>
      <c r="Q21" s="768">
        <f t="shared" si="4"/>
        <v>0</v>
      </c>
      <c r="R21" s="836">
        <f t="shared" si="5"/>
        <v>0</v>
      </c>
      <c r="S21" s="93">
        <v>1</v>
      </c>
      <c r="T21" s="93">
        <v>1</v>
      </c>
      <c r="U21" s="847"/>
      <c r="V21" s="847">
        <f t="shared" si="6"/>
        <v>0</v>
      </c>
      <c r="W21" s="847">
        <f t="shared" si="7"/>
        <v>0</v>
      </c>
      <c r="Z21" s="1145"/>
      <c r="AA21" s="114"/>
      <c r="AB21" s="1138"/>
      <c r="AC21" s="1150" t="str">
        <f>Rebanho!C63</f>
        <v>Bezerras desmamadas (Engorda)</v>
      </c>
      <c r="AD21" s="1324">
        <f>IF(Rebanho!E63&gt;0,1,0)</f>
        <v>0</v>
      </c>
      <c r="AE21" s="1169">
        <f>((SUMIFS($M$7:$M$40,$C$7:$C$40,"=2",$H$7:$H$40,"=16"))/IF($AH$21=0,1,$AH$21))*$AD$21</f>
        <v>0</v>
      </c>
      <c r="AF21" s="1328">
        <f>((SUMIFS($M$7:$M$40,$C$7:$C$40,"&lt;35",$H$7:$H$40,"=16"))-AE21)/IF($AI$21=0,1,$AI$21)*AD21</f>
        <v>0</v>
      </c>
      <c r="AG21" s="1329">
        <f>((SUMIFS($M$7:$M$40,$C$7:$C$40,"&gt;34",$H$7:$H$40,"=16"))/IF($AJ$21=0,1,$AJ$21))*AD21</f>
        <v>0</v>
      </c>
      <c r="AH21" s="1206">
        <f>(COUNTIFS($C$7:$C$40,"=2",$H$7:$H$40,"=16"))*($AD$21)</f>
        <v>0</v>
      </c>
      <c r="AI21" s="144">
        <f>(COUNTIFS($C$7:$C$40,"&lt;35",$H$7:$H$40,"=16"))*($AD$21)-AH21</f>
        <v>0</v>
      </c>
      <c r="AJ21" s="144">
        <f>(COUNTIFS($C$7:$C$40,"&gt;34",$H$7:$H$40,"=16"))*($AD$21)</f>
        <v>0</v>
      </c>
      <c r="AK21" s="1244">
        <f>((SUMIFS($G$7:$G$40,$C$7:$C$40,"=2",$H$7:$H$40,"=16"))/IF($AH$21=0,1,$AH$21))*$AD$21</f>
        <v>0</v>
      </c>
      <c r="AL21" s="1245">
        <f>((SUMIFS($G$7:$G$40,$C$7:$C$40,"&lt;35",$H$7:$H$40,"=16"))-AK21)/IF($AI$21=0,1,$AI$21)*AD21</f>
        <v>0</v>
      </c>
      <c r="AM21" s="1246">
        <f>((SUMIFS($G$7:$G$40,$C$7:$C$40,"&gt;34",$H$7:$H$40,"=16"))/IF($AJ$21=0,1,$AJ$21))*($AD$21)</f>
        <v>0</v>
      </c>
      <c r="AN21" s="1226">
        <f>((SUMIFS($L$7:$L$40,$C$7:$C$40,"=2",$H$7:$H$40,"=16"))/IF($AH$21=0,1,$AH$21))*$AD$21</f>
        <v>0</v>
      </c>
      <c r="AO21" s="1146">
        <f>((SUMIFS($L$7:$L$40,$C$7:$C$40,"&lt;35",$H$7:$H$40,"=16"))-AN21)/IF($AI$21=0,1,$AI$21)*($AD$21)</f>
        <v>0</v>
      </c>
      <c r="AP21" s="1216">
        <f>((SUMIFS($L$7:$L$40,$C$7:$C$40,"&gt;34",$H$7:$H$40,"=16"))/IF($AJ$21=0,1,$AJ$21))*($AD$21)</f>
        <v>0</v>
      </c>
      <c r="AQ21" s="1211">
        <f t="shared" si="8"/>
        <v>0</v>
      </c>
      <c r="AR21" s="1211">
        <f t="shared" si="9"/>
        <v>0</v>
      </c>
      <c r="AS21" s="1211">
        <f t="shared" si="10"/>
        <v>0</v>
      </c>
      <c r="AT21" s="1235">
        <f t="shared" si="11"/>
        <v>0</v>
      </c>
      <c r="AU21" s="1232">
        <f>(SUMIFS($C$7:$C$40,$C$7:$C$40,"&lt;35",$H$7:$H$40,"=16")+SUMIFS($C$7:$C$40,$C$7:$C$40,"&lt;35",$H$7:$H$40,"=19")+SUMIFS($C$7:$C$40,$C$7:$C$40,"&lt;35",$H$7:$H$40,"=20")+SUMIFS($C$7:$C$40,$C$7:$C$40,"&lt;35",$H$7:$H$40,"=23")+SUMIFS($C$7:$C$40,$C$7:$C$40,"&lt;35",$H$7:$H$40,"=24")+SUMIFS($C$7:$C$40,$C$7:$C$40,"&lt;35",$H$7:$H$40,"=25")+SUMIFS($C$7:$C$40,$C$7:$C$40,"&lt;35",$H$7:$H$40,"=28"))/IF($AI$21=0,1,$AI$21)</f>
        <v>0</v>
      </c>
      <c r="AV21" s="1155">
        <f>(SUMIFS($C$7:$C$40,$C$7:$C$40,"&gt;34",$H$7:$H$40,"=16")+SUMIFS($C$7:$C$40,$C$7:$C$40,"&gt;34",$H$7:$H$40,"=19")+SUMIFS($C$7:$C$40,$C$7:$C$40,"&gt;34",$H$7:$H$40,"=20")+SUMIFS($C$7:$C$40,$C$7:$C$40,"&gt;34",$H$7:$H$40,"=23")+SUMIFS($C$7:$C$40,$C$7:$C$40,"&gt;34",$H$7:$H$40,"=24")+SUMIFS($C$7:$C$40,$C$7:$C$40,"&gt;34",$H$7:$H$40,"=25")+SUMIFS($C$7:$C$40,$C$7:$C$40,"&gt;34",$H$7:$H$40,"=28"))/IF($AJ$21=0,1,$AJ$21)</f>
        <v>0</v>
      </c>
      <c r="AW21" s="1221" t="str">
        <f t="shared" si="12"/>
        <v>Não</v>
      </c>
      <c r="AX21" s="1221">
        <f>IF(AU21=0,0,VLOOKUP(AU21,Dados!$A$14:$Q$53,17))</f>
        <v>0</v>
      </c>
      <c r="AY21" s="1158">
        <f>IF(AV21=0,0,VLOOKUP(AV21,Dados!$A$14:$Q$53,17))</f>
        <v>0</v>
      </c>
      <c r="AZ21" s="704"/>
      <c r="BA21" s="1333"/>
      <c r="BB21" s="704"/>
    </row>
    <row r="22" spans="3:54" ht="15.75" customHeight="1" x14ac:dyDescent="0.2">
      <c r="C22" s="3">
        <v>1</v>
      </c>
      <c r="D22" s="1"/>
      <c r="E22" s="840">
        <f>VLOOKUP(C22,Dados!$A$14:$R$81,18)</f>
        <v>0</v>
      </c>
      <c r="F22" s="841"/>
      <c r="G22" s="769">
        <f t="shared" si="2"/>
        <v>0</v>
      </c>
      <c r="H22" s="3">
        <v>1</v>
      </c>
      <c r="I22" s="767">
        <v>1</v>
      </c>
      <c r="J22" s="835">
        <f>IF(H22=1,0,VLOOKUP(H22,Rebanho!$AN$45:$AV$72,4)*I22)</f>
        <v>0</v>
      </c>
      <c r="K22" s="835">
        <f>IF(H22=1,0,(VLOOKUP(H22,Rebanho!$AN$45:$AV$72,7))*I22/450)</f>
        <v>0</v>
      </c>
      <c r="L22" s="835">
        <f>IF(H22=1,0,(VLOOKUP(H22,Rebanho!$AN$45:$AV$72,9)))</f>
        <v>0</v>
      </c>
      <c r="M22" s="766"/>
      <c r="N22" s="1055">
        <f t="shared" si="3"/>
        <v>0</v>
      </c>
      <c r="O22" s="768">
        <f t="shared" si="14"/>
        <v>0</v>
      </c>
      <c r="P22" s="768">
        <f t="shared" si="15"/>
        <v>0</v>
      </c>
      <c r="Q22" s="768">
        <f t="shared" si="4"/>
        <v>0</v>
      </c>
      <c r="R22" s="836">
        <f t="shared" si="5"/>
        <v>0</v>
      </c>
      <c r="S22" s="3">
        <v>1</v>
      </c>
      <c r="T22" s="190">
        <v>1</v>
      </c>
      <c r="U22" s="847"/>
      <c r="V22" s="847">
        <f t="shared" si="6"/>
        <v>0</v>
      </c>
      <c r="W22" s="847">
        <f t="shared" si="7"/>
        <v>0</v>
      </c>
      <c r="Z22" s="1145"/>
      <c r="AA22" s="114"/>
      <c r="AB22" s="1138"/>
      <c r="AC22" s="1150" t="str">
        <f>Rebanho!C64</f>
        <v>Novilhas sobreano (Engorda)</v>
      </c>
      <c r="AD22" s="1324">
        <f>IF(Rebanho!E64&gt;0,1,0)</f>
        <v>0</v>
      </c>
      <c r="AE22" s="1169">
        <f>((SUMIFS($M$7:$M$40,$C$7:$C$40,"=2",$H$7:$H$40,"=17"))/IF($AH$22=0,1,$AH$22))*$AD$22</f>
        <v>0</v>
      </c>
      <c r="AF22" s="1328">
        <f>((SUMIFS($M$7:$M$40,$C$7:$C$40,"&lt;35",$H$7:$H$40,"=17"))-AE22)/IF($AI$22=0,1,$AI$22)*AD22</f>
        <v>0</v>
      </c>
      <c r="AG22" s="1329">
        <f>((SUMIFS($M$7:$M$40,$C$7:$C$40,"&gt;34",$H$7:$H$40,"=17"))/IF($AJ$22=0,1,$AJ$22))*AD22</f>
        <v>0</v>
      </c>
      <c r="AH22" s="1206">
        <f>(COUNTIFS($C$7:$C$40,"=2",$H$7:$H$40,"=17"))*($AD$22)</f>
        <v>0</v>
      </c>
      <c r="AI22" s="144">
        <f>(COUNTIFS($C$7:$C$40,"&lt;35",$H$7:$H$40,"=17"))*($AD$22)-AH22</f>
        <v>0</v>
      </c>
      <c r="AJ22" s="144">
        <f>(COUNTIFS($C$7:$C$40,"&gt;34",$H$7:$H$40,"=17"))*($AD$22)</f>
        <v>0</v>
      </c>
      <c r="AK22" s="1244">
        <f>((SUMIFS($G$7:$G$40,$C$7:$C$40,"=2",$H$7:$H$40,"=17"))/IF($AH$22=0,1,$AH$22))*$AD$22</f>
        <v>0</v>
      </c>
      <c r="AL22" s="1245">
        <f>((SUMIFS($G$7:$G$40,$C$7:$C$40,"&lt;35",$H$7:$H$40,"=17"))-AK22)/IF($AI$22=0,1,$AI$22)*AD22</f>
        <v>0</v>
      </c>
      <c r="AM22" s="1246">
        <f>((SUMIFS($G$7:$G$40,$C$7:$C$40,"&gt;34",$H$7:$H$40,"=17"))/IF($AJ$22=0,1,$AJ$22))*($AD$22)</f>
        <v>0</v>
      </c>
      <c r="AN22" s="1226">
        <f>((SUMIFS($L$7:$L$40,$C$7:$C$40,"=2",$H$7:$H$40,"=17"))/IF($AH$22=0,1,$AH$22))*$AD$22</f>
        <v>0</v>
      </c>
      <c r="AO22" s="1146">
        <f>((SUMIFS($L$7:$L$40,$C$7:$C$40,"&lt;35",$H$7:$H$40,"=17"))-AN22)/IF($AI$22=0,1,$AI$22)*($AD$22)</f>
        <v>0</v>
      </c>
      <c r="AP22" s="1216">
        <f>((SUMIFS($L$7:$L$40,$C$7:$C$40,"&gt;34",$H$7:$H$40,"=17"))/IF($AJ$22=0,1,$AJ$22))*($AD$22)</f>
        <v>0</v>
      </c>
      <c r="AQ22" s="1211">
        <f t="shared" si="8"/>
        <v>0</v>
      </c>
      <c r="AR22" s="1211">
        <f t="shared" si="9"/>
        <v>0</v>
      </c>
      <c r="AS22" s="1211">
        <f t="shared" si="10"/>
        <v>0</v>
      </c>
      <c r="AT22" s="1235">
        <f t="shared" si="11"/>
        <v>0</v>
      </c>
      <c r="AU22" s="1232">
        <f>(SUMIFS($C$7:$C$40,$C$7:$C$40,"&lt;35",$H$7:$H$40,"=17")+SUMIFS($C$7:$C$40,$C$7:$C$40,"&lt;35",$H$7:$H$40,"=19")+SUMIFS($C$7:$C$40,$C$7:$C$40,"&lt;35",$H$7:$H$40,"=20")+SUMIFS($C$7:$C$40,$C$7:$C$40,"&lt;35",$H$7:$H$40,"=24")+SUMIFS($C$7:$C$40,$C$7:$C$40,"&lt;35",$H$7:$H$40,"=25")+SUMIFS($C$7:$C$40,$C$7:$C$40,"&lt;35",$H$7:$H$40,"=28"))/IF($AI$22=0,1,$AI$22)</f>
        <v>0</v>
      </c>
      <c r="AV22" s="1155">
        <f>(SUMIFS($C$7:$C$40,$C$7:$C$40,"&gt;34",$H$7:$H$40,"=17")+SUMIFS($C$7:$C$40,$C$7:$C$40,"&gt;34",$H$7:$H$40,"=19")+SUMIFS($C$7:$C$40,$C$7:$C$40,"&gt;34",$H$7:$H$40,"=20")+SUMIFS($C$7:$C$40,$C$7:$C$40,"&gt;34",$H$7:$H$40,"=24")+SUMIFS($C$7:$C$40,$C$7:$C$40,"&gt;34",$H$7:$H$40,"=25")+SUMIFS($C$7:$C$40,$C$7:$C$40,"&gt;34",$H$7:$H$40,"=28"))/IF($AJ$22=0,1,$AJ$22)</f>
        <v>0</v>
      </c>
      <c r="AW22" s="1221" t="str">
        <f t="shared" si="12"/>
        <v>Não</v>
      </c>
      <c r="AX22" s="1221">
        <f>IF(AU22=0,0,VLOOKUP(AU22,Dados!$A$14:$Q$53,17))</f>
        <v>0</v>
      </c>
      <c r="AY22" s="1158">
        <f>IF(AV22=0,0,VLOOKUP(AV22,Dados!$A$14:$Q$53,17))</f>
        <v>0</v>
      </c>
      <c r="AZ22" s="704"/>
      <c r="BA22" s="1333"/>
      <c r="BB22" s="704"/>
    </row>
    <row r="23" spans="3:54" ht="15.75" customHeight="1" thickBot="1" x14ac:dyDescent="0.25">
      <c r="C23" s="3">
        <v>1</v>
      </c>
      <c r="D23" s="1"/>
      <c r="E23" s="840">
        <f>VLOOKUP(C23,Dados!$A$14:$R$81,18)</f>
        <v>0</v>
      </c>
      <c r="F23" s="841"/>
      <c r="G23" s="769">
        <f t="shared" si="2"/>
        <v>0</v>
      </c>
      <c r="H23" s="3">
        <v>1</v>
      </c>
      <c r="I23" s="767">
        <v>1</v>
      </c>
      <c r="J23" s="835">
        <f>IF(H23=1,0,VLOOKUP(H23,Rebanho!$AN$45:$AV$72,4)*I23)</f>
        <v>0</v>
      </c>
      <c r="K23" s="835">
        <f>IF(H23=1,0,(VLOOKUP(H23,Rebanho!$AN$45:$AV$72,7))*I23/450)</f>
        <v>0</v>
      </c>
      <c r="L23" s="835">
        <f>IF(H23=1,0,(VLOOKUP(H23,Rebanho!$AN$45:$AV$72,9)))</f>
        <v>0</v>
      </c>
      <c r="M23" s="766"/>
      <c r="N23" s="1055">
        <f t="shared" si="3"/>
        <v>0</v>
      </c>
      <c r="O23" s="768">
        <f t="shared" si="14"/>
        <v>0</v>
      </c>
      <c r="P23" s="768">
        <f t="shared" si="15"/>
        <v>0</v>
      </c>
      <c r="Q23" s="768">
        <f t="shared" si="4"/>
        <v>0</v>
      </c>
      <c r="R23" s="836">
        <f t="shared" si="5"/>
        <v>0</v>
      </c>
      <c r="S23" s="3">
        <v>1</v>
      </c>
      <c r="T23" s="190">
        <v>1</v>
      </c>
      <c r="U23" s="847"/>
      <c r="V23" s="847">
        <f t="shared" si="6"/>
        <v>0</v>
      </c>
      <c r="W23" s="847">
        <f t="shared" si="7"/>
        <v>0</v>
      </c>
      <c r="Z23" s="1145"/>
      <c r="AA23" s="114"/>
      <c r="AB23" s="1138"/>
      <c r="AC23" s="1151" t="str">
        <f>Rebanho!C65</f>
        <v>Vaca (Engorda)</v>
      </c>
      <c r="AD23" s="1330">
        <f>IF(Rebanho!E65&gt;0,1,0)</f>
        <v>0</v>
      </c>
      <c r="AE23" s="1170">
        <f>((SUMIFS($M$7:$M$40,$C$7:$C$40,"=2",$H$7:$H$40,"=18"))/IF($AH$23=0,1,$AH$23))*$AD$23</f>
        <v>0</v>
      </c>
      <c r="AF23" s="1331">
        <f>((SUMIFS($M$7:$M$40,$C$7:$C$40,"&lt;35",$H$7:$H$40,"=18"))-AE23)/IF($AI$23=0,1,$AI$23)*AD23</f>
        <v>0</v>
      </c>
      <c r="AG23" s="1332">
        <f>((SUMIFS($M$7:$M$40,$C$7:$C$40,"&gt;34",$H$7:$H$40,"=18"))/IF($AJ$23=0,1,$AJ$23))*AD23</f>
        <v>0</v>
      </c>
      <c r="AH23" s="193">
        <f>(COUNTIFS($C$7:$C$40,"=2",$H$7:$H$40,"=18"))*($AD$23)</f>
        <v>0</v>
      </c>
      <c r="AI23" s="193">
        <f>(COUNTIFS($C$7:$C$40,"&lt;35",$H$7:$H$40,"=18"))*($AD$23)-AH23</f>
        <v>0</v>
      </c>
      <c r="AJ23" s="193">
        <f>(COUNTIFS($C$7:$C$40,"&gt;34",$H$7:$H$40,"=18"))*($AD$23)</f>
        <v>0</v>
      </c>
      <c r="AK23" s="1247">
        <f>((SUMIFS($G$7:$G$40,$C$7:$C$40,"=2",$H$7:$H$40,"=18"))/IF($AH$23=0,1,$AH$23))*$AD$23</f>
        <v>0</v>
      </c>
      <c r="AL23" s="1248">
        <f>((SUMIFS($G$7:$G$40,$C$7:$C$40,"&lt;35",$H$7:$H$40,"=18"))-AK23)/IF($AI$23=0,1,$AI$23)*AD23</f>
        <v>0</v>
      </c>
      <c r="AM23" s="1249">
        <f>((SUMIFS($G$7:$G$40,$C$7:$C$40,"&gt;34",$H$7:$H$40,"=18"))/IF($AJ$23=0,1,$AJ$23))*($AD$23)</f>
        <v>0</v>
      </c>
      <c r="AN23" s="1227">
        <f>((SUMIFS($L$7:$L$40,$C$7:$C$40,"=2",$H$7:$H$40,"=18"))/IF($AH$23=0,1,$AH$23))*$AD$23</f>
        <v>0</v>
      </c>
      <c r="AO23" s="1147">
        <f>((SUMIFS($L$7:$L$40,$C$7:$C$40,"&lt;35",$H$7:$H$40,"=18"))-AN23)/IF($AI$23=0,1,$AI$23)*($AD$23)</f>
        <v>0</v>
      </c>
      <c r="AP23" s="1217">
        <f>((SUMIFS($L$7:$L$40,$C$7:$C$40,"&gt;34",$H$7:$H$40,"=18"))/IF($AJ$23=0,1,$AJ$23))*($AD$23)</f>
        <v>0</v>
      </c>
      <c r="AQ23" s="1212">
        <f t="shared" si="8"/>
        <v>0</v>
      </c>
      <c r="AR23" s="1212">
        <f t="shared" si="9"/>
        <v>0</v>
      </c>
      <c r="AS23" s="1212">
        <f t="shared" si="10"/>
        <v>0</v>
      </c>
      <c r="AT23" s="1236">
        <f t="shared" si="11"/>
        <v>0</v>
      </c>
      <c r="AU23" s="1233">
        <f>(SUMIFS($C$7:$C$40,$C$7:$C$40,"&lt;35",$H$7:$H$40,"=18")+SUMIFS($C$7:$C$40,$C$7:$C$40,"&lt;35",$H$7:$H$40,"=19")+SUMIFS($C$7:$C$40,$C$7:$C$40,"&lt;35",$H$7:$H$40,"=20")+SUMIFS($C$7:$C$40,$C$7:$C$40,"&lt;35",$H$7:$H$40,"=27")+SUMIFS($C$7:$C$40,$C$7:$C$40,"&lt;35",$H$7:$H$40,"=28"))/IF($AI$23=0,1,$AI$23)</f>
        <v>0</v>
      </c>
      <c r="AV23" s="1156">
        <f>(SUMIFS($C$7:$C$40,$C$7:$C$40,"&gt;34",$H$7:$H$40,"=18")+SUMIFS($C$7:$C$40,$C$7:$C$40,"&gt;34",$H$7:$H$40,"=19")+SUMIFS($C$7:$C$40,$C$7:$C$40,"&gt;34",$H$7:$H$40,"=20")+SUMIFS($C$7:$C$40,$C$7:$C$40,"&gt;34",$H$7:$H$40,"=27")+SUMIFS($C$7:$C$40,$C$7:$C$40,"&gt;34",$H$7:$H$40,"=28"))/IF($AJ$23=0,1,$AJ$23)</f>
        <v>0</v>
      </c>
      <c r="AW23" s="1223" t="str">
        <f t="shared" si="12"/>
        <v>Não</v>
      </c>
      <c r="AX23" s="1223">
        <f>IF(AU23=0,0,VLOOKUP(AU23,Dados!$A$14:$Q$53,17))</f>
        <v>0</v>
      </c>
      <c r="AY23" s="1159">
        <f>IF(AV23=0,0,VLOOKUP(AV23,Dados!$A$14:$Q$53,17))</f>
        <v>0</v>
      </c>
      <c r="AZ23" s="704"/>
      <c r="BA23" s="1333"/>
      <c r="BB23" s="704"/>
    </row>
    <row r="24" spans="3:54" ht="15.75" customHeight="1" x14ac:dyDescent="0.2">
      <c r="C24" s="3">
        <v>1</v>
      </c>
      <c r="D24" s="1"/>
      <c r="E24" s="840">
        <f>VLOOKUP(C24,Dados!$A$14:$R$81,18)</f>
        <v>0</v>
      </c>
      <c r="F24" s="841"/>
      <c r="G24" s="769">
        <f t="shared" si="2"/>
        <v>0</v>
      </c>
      <c r="H24" s="3">
        <v>1</v>
      </c>
      <c r="I24" s="767">
        <v>1</v>
      </c>
      <c r="J24" s="835">
        <f>IF(H24=1,0,VLOOKUP(H24,Rebanho!$AN$45:$AV$72,4)*I24)</f>
        <v>0</v>
      </c>
      <c r="K24" s="835">
        <f>IF(H24=1,0,(VLOOKUP(H24,Rebanho!$AN$45:$AV$72,7))*I24/450)</f>
        <v>0</v>
      </c>
      <c r="L24" s="835">
        <f>IF(H24=1,0,(VLOOKUP(H24,Rebanho!$AN$45:$AV$72,9)))</f>
        <v>0</v>
      </c>
      <c r="M24" s="766"/>
      <c r="N24" s="1055">
        <f t="shared" si="3"/>
        <v>0</v>
      </c>
      <c r="O24" s="768">
        <f t="shared" si="14"/>
        <v>0</v>
      </c>
      <c r="P24" s="768">
        <f t="shared" si="15"/>
        <v>0</v>
      </c>
      <c r="Q24" s="768">
        <f t="shared" si="4"/>
        <v>0</v>
      </c>
      <c r="R24" s="836">
        <f t="shared" si="5"/>
        <v>0</v>
      </c>
      <c r="S24" s="3">
        <v>1</v>
      </c>
      <c r="T24" s="190">
        <v>1</v>
      </c>
      <c r="U24" s="847"/>
      <c r="V24" s="847">
        <f t="shared" si="6"/>
        <v>0</v>
      </c>
      <c r="W24" s="847">
        <f t="shared" si="7"/>
        <v>0</v>
      </c>
      <c r="Z24" s="1145"/>
      <c r="AA24" s="114"/>
      <c r="AX24" s="704"/>
      <c r="AY24" s="704"/>
      <c r="AZ24" s="704"/>
      <c r="BA24" s="704"/>
      <c r="BB24" s="704"/>
    </row>
    <row r="25" spans="3:54" ht="15.75" customHeight="1" x14ac:dyDescent="0.2">
      <c r="C25" s="3">
        <v>1</v>
      </c>
      <c r="D25" s="1"/>
      <c r="E25" s="840">
        <f>VLOOKUP(C25,Dados!$A$14:$R$81,18)</f>
        <v>0</v>
      </c>
      <c r="F25" s="2282"/>
      <c r="G25" s="769">
        <f t="shared" si="2"/>
        <v>0</v>
      </c>
      <c r="H25" s="3">
        <v>1</v>
      </c>
      <c r="I25" s="767">
        <v>1</v>
      </c>
      <c r="J25" s="835">
        <f>IF(H25=1,0,VLOOKUP(H25,Rebanho!$AN$45:$AV$72,4)*I25)</f>
        <v>0</v>
      </c>
      <c r="K25" s="835">
        <f>IF(H25=1,0,(VLOOKUP(H25,Rebanho!$AN$45:$AV$72,7))*I25/450)</f>
        <v>0</v>
      </c>
      <c r="L25" s="835">
        <f>IF(H25=1,0,(VLOOKUP(H25,Rebanho!$AN$45:$AV$72,9)))</f>
        <v>0</v>
      </c>
      <c r="M25" s="766"/>
      <c r="N25" s="1055">
        <f t="shared" si="3"/>
        <v>0</v>
      </c>
      <c r="O25" s="768">
        <f t="shared" si="14"/>
        <v>0</v>
      </c>
      <c r="P25" s="768">
        <f t="shared" si="15"/>
        <v>0</v>
      </c>
      <c r="Q25" s="768">
        <f t="shared" si="4"/>
        <v>0</v>
      </c>
      <c r="R25" s="836">
        <f t="shared" si="5"/>
        <v>0</v>
      </c>
      <c r="S25" s="3">
        <v>1</v>
      </c>
      <c r="T25" s="190">
        <v>1</v>
      </c>
      <c r="U25" s="847"/>
      <c r="V25" s="847">
        <f t="shared" si="6"/>
        <v>0</v>
      </c>
      <c r="W25" s="847">
        <f t="shared" si="7"/>
        <v>0</v>
      </c>
      <c r="Z25" s="1145"/>
      <c r="AA25" s="114"/>
      <c r="AE25" s="437"/>
      <c r="AF25" s="437"/>
      <c r="AG25" s="437"/>
      <c r="AH25" s="437"/>
      <c r="AI25" s="437"/>
      <c r="AJ25" s="437"/>
      <c r="AK25" s="437"/>
      <c r="AL25" s="437"/>
      <c r="AM25" s="437"/>
      <c r="AN25" s="437"/>
      <c r="AX25" s="704"/>
      <c r="AY25" s="704"/>
      <c r="AZ25" s="704"/>
      <c r="BA25" s="704"/>
      <c r="BB25" s="704"/>
    </row>
    <row r="26" spans="3:54" ht="15.75" customHeight="1" x14ac:dyDescent="0.2">
      <c r="C26" s="3">
        <v>1</v>
      </c>
      <c r="D26" s="1"/>
      <c r="E26" s="840">
        <f>VLOOKUP(C26,Dados!$A$14:$R$81,18)</f>
        <v>0</v>
      </c>
      <c r="F26" s="28"/>
      <c r="G26" s="769">
        <f t="shared" si="2"/>
        <v>0</v>
      </c>
      <c r="H26" s="3">
        <v>1</v>
      </c>
      <c r="I26" s="767">
        <v>1</v>
      </c>
      <c r="J26" s="835">
        <f>IF(H26=1,0,VLOOKUP(H26,Rebanho!$AN$45:$AV$72,4)*I26)</f>
        <v>0</v>
      </c>
      <c r="K26" s="835">
        <f>IF(H26=1,0,(VLOOKUP(H26,Rebanho!$AN$45:$AV$72,7))*I26/450)</f>
        <v>0</v>
      </c>
      <c r="L26" s="835">
        <f>IF(H26=1,0,(VLOOKUP(H26,Rebanho!$AN$45:$AV$72,9)))</f>
        <v>0</v>
      </c>
      <c r="M26" s="766"/>
      <c r="N26" s="1055">
        <f t="shared" si="3"/>
        <v>0</v>
      </c>
      <c r="O26" s="768">
        <f t="shared" si="14"/>
        <v>0</v>
      </c>
      <c r="P26" s="768">
        <f t="shared" si="15"/>
        <v>0</v>
      </c>
      <c r="Q26" s="768">
        <f t="shared" si="4"/>
        <v>0</v>
      </c>
      <c r="R26" s="836">
        <f t="shared" si="5"/>
        <v>0</v>
      </c>
      <c r="S26" s="3">
        <v>1</v>
      </c>
      <c r="T26" s="190">
        <v>1</v>
      </c>
      <c r="U26" s="847"/>
      <c r="V26" s="847">
        <f t="shared" si="6"/>
        <v>0</v>
      </c>
      <c r="W26" s="847">
        <f t="shared" si="7"/>
        <v>0</v>
      </c>
      <c r="Z26" s="1145"/>
      <c r="AA26" s="114"/>
      <c r="AE26" s="437"/>
      <c r="AF26" s="416"/>
      <c r="AG26" s="437"/>
      <c r="AH26" s="437"/>
      <c r="AI26" s="437"/>
      <c r="AJ26" s="437"/>
      <c r="AK26" s="437"/>
      <c r="AL26" s="437"/>
      <c r="AM26" s="437"/>
      <c r="AN26" s="437"/>
      <c r="AX26" s="704"/>
      <c r="AY26" s="704"/>
      <c r="AZ26" s="704"/>
      <c r="BA26" s="704"/>
      <c r="BB26" s="704"/>
    </row>
    <row r="27" spans="3:54" ht="15.75" customHeight="1" x14ac:dyDescent="0.2">
      <c r="C27" s="3">
        <v>1</v>
      </c>
      <c r="D27" s="1"/>
      <c r="E27" s="840">
        <f>VLOOKUP(C27,Dados!$A$14:$R$81,18)</f>
        <v>0</v>
      </c>
      <c r="F27" s="28"/>
      <c r="G27" s="769">
        <f t="shared" si="2"/>
        <v>0</v>
      </c>
      <c r="H27" s="3">
        <v>1</v>
      </c>
      <c r="I27" s="767">
        <v>1</v>
      </c>
      <c r="J27" s="835">
        <f>IF(H27=1,0,VLOOKUP(H27,Rebanho!$AN$45:$AV$72,4)*I27)</f>
        <v>0</v>
      </c>
      <c r="K27" s="835">
        <f>IF(H27=1,0,(VLOOKUP(H27,Rebanho!$AN$45:$AV$72,7))*I27/450)</f>
        <v>0</v>
      </c>
      <c r="L27" s="835">
        <f>IF(H27=1,0,(VLOOKUP(H27,Rebanho!$AN$45:$AV$72,9)))</f>
        <v>0</v>
      </c>
      <c r="M27" s="766"/>
      <c r="N27" s="1055">
        <f t="shared" si="3"/>
        <v>0</v>
      </c>
      <c r="O27" s="768">
        <f t="shared" si="14"/>
        <v>0</v>
      </c>
      <c r="P27" s="768">
        <f t="shared" si="15"/>
        <v>0</v>
      </c>
      <c r="Q27" s="768">
        <f t="shared" si="4"/>
        <v>0</v>
      </c>
      <c r="R27" s="836">
        <f t="shared" si="5"/>
        <v>0</v>
      </c>
      <c r="S27" s="3">
        <v>1</v>
      </c>
      <c r="T27" s="190">
        <v>1</v>
      </c>
      <c r="U27" s="847"/>
      <c r="V27" s="847">
        <f t="shared" si="6"/>
        <v>0</v>
      </c>
      <c r="W27" s="847">
        <f t="shared" si="7"/>
        <v>0</v>
      </c>
      <c r="Z27" s="1145"/>
      <c r="AA27" s="114"/>
      <c r="AE27" s="437"/>
      <c r="AF27" s="437"/>
      <c r="AG27" s="437"/>
      <c r="AH27" s="437"/>
      <c r="AI27" s="437"/>
      <c r="AJ27" s="437"/>
      <c r="AK27" s="437"/>
      <c r="AL27" s="437"/>
      <c r="AM27" s="437"/>
      <c r="AN27" s="437"/>
      <c r="AX27" s="704"/>
      <c r="AY27" s="704"/>
      <c r="AZ27" s="704"/>
      <c r="BA27" s="704"/>
      <c r="BB27" s="704"/>
    </row>
    <row r="28" spans="3:54" ht="15.75" customHeight="1" x14ac:dyDescent="0.2">
      <c r="C28" s="3">
        <v>1</v>
      </c>
      <c r="D28" s="1"/>
      <c r="E28" s="840">
        <f>VLOOKUP(C28,Dados!$A$14:$R$81,18)</f>
        <v>0</v>
      </c>
      <c r="F28" s="28"/>
      <c r="G28" s="769">
        <f t="shared" si="2"/>
        <v>0</v>
      </c>
      <c r="H28" s="3">
        <v>1</v>
      </c>
      <c r="I28" s="767">
        <v>1</v>
      </c>
      <c r="J28" s="835">
        <f>IF(H28=1,0,VLOOKUP(H28,Rebanho!$AN$45:$AV$72,4)*I28)</f>
        <v>0</v>
      </c>
      <c r="K28" s="835">
        <f>IF(H28=1,0,(VLOOKUP(H28,Rebanho!$AN$45:$AV$72,7))*I28/450)</f>
        <v>0</v>
      </c>
      <c r="L28" s="835">
        <f>IF(H28=1,0,(VLOOKUP(H28,Rebanho!$AN$45:$AV$72,9)))</f>
        <v>0</v>
      </c>
      <c r="M28" s="766"/>
      <c r="N28" s="1055">
        <f t="shared" si="3"/>
        <v>0</v>
      </c>
      <c r="O28" s="768">
        <f t="shared" si="14"/>
        <v>0</v>
      </c>
      <c r="P28" s="768">
        <f t="shared" si="15"/>
        <v>0</v>
      </c>
      <c r="Q28" s="768">
        <f t="shared" si="4"/>
        <v>0</v>
      </c>
      <c r="R28" s="836">
        <f t="shared" si="5"/>
        <v>0</v>
      </c>
      <c r="S28" s="3">
        <v>1</v>
      </c>
      <c r="T28" s="190">
        <v>1</v>
      </c>
      <c r="U28" s="847"/>
      <c r="V28" s="847">
        <f t="shared" si="6"/>
        <v>0</v>
      </c>
      <c r="W28" s="847">
        <f t="shared" si="7"/>
        <v>0</v>
      </c>
      <c r="Z28" s="1145"/>
      <c r="AA28" s="114"/>
      <c r="AE28" s="437"/>
      <c r="AF28" s="437"/>
      <c r="AG28" s="437"/>
      <c r="AH28" s="437"/>
      <c r="AI28" s="437"/>
      <c r="AJ28" s="437"/>
      <c r="AK28" s="437"/>
      <c r="AL28" s="437"/>
      <c r="AM28" s="437"/>
      <c r="AN28" s="437"/>
      <c r="AX28" s="704"/>
      <c r="AY28" s="704"/>
      <c r="AZ28" s="704"/>
      <c r="BA28" s="704"/>
      <c r="BB28" s="704"/>
    </row>
    <row r="29" spans="3:54" ht="15.75" customHeight="1" x14ac:dyDescent="0.2">
      <c r="C29" s="3">
        <v>1</v>
      </c>
      <c r="D29" s="1"/>
      <c r="E29" s="840">
        <f>VLOOKUP(C29,Dados!$A$14:$R$81,18)</f>
        <v>0</v>
      </c>
      <c r="F29" s="28"/>
      <c r="G29" s="769">
        <f t="shared" si="2"/>
        <v>0</v>
      </c>
      <c r="H29" s="3">
        <v>1</v>
      </c>
      <c r="I29" s="767">
        <v>1</v>
      </c>
      <c r="J29" s="835">
        <f>IF(H29=1,0,VLOOKUP(H29,Rebanho!$AN$45:$AV$72,4)*I29)</f>
        <v>0</v>
      </c>
      <c r="K29" s="835">
        <f>IF(H29=1,0,(VLOOKUP(H29,Rebanho!$AN$45:$AV$72,7))*I29/450)</f>
        <v>0</v>
      </c>
      <c r="L29" s="835">
        <f>IF(H29=1,0,(VLOOKUP(H29,Rebanho!$AN$45:$AV$72,9)))</f>
        <v>0</v>
      </c>
      <c r="M29" s="766"/>
      <c r="N29" s="1055">
        <f t="shared" si="3"/>
        <v>0</v>
      </c>
      <c r="O29" s="768">
        <f t="shared" si="14"/>
        <v>0</v>
      </c>
      <c r="P29" s="768">
        <f t="shared" si="15"/>
        <v>0</v>
      </c>
      <c r="Q29" s="768">
        <f t="shared" si="4"/>
        <v>0</v>
      </c>
      <c r="R29" s="836">
        <f t="shared" si="5"/>
        <v>0</v>
      </c>
      <c r="S29" s="3">
        <v>1</v>
      </c>
      <c r="T29" s="190">
        <v>1</v>
      </c>
      <c r="U29" s="847"/>
      <c r="V29" s="847">
        <f t="shared" si="6"/>
        <v>0</v>
      </c>
      <c r="W29" s="847">
        <f t="shared" si="7"/>
        <v>0</v>
      </c>
      <c r="Z29" s="1145"/>
      <c r="AA29" s="114"/>
      <c r="AE29" s="437"/>
      <c r="AF29" s="437"/>
      <c r="AG29" s="437"/>
      <c r="AH29" s="437"/>
      <c r="AI29" s="437"/>
      <c r="AJ29" s="437"/>
      <c r="AK29" s="437"/>
      <c r="AL29" s="437"/>
      <c r="AM29" s="437"/>
      <c r="AN29" s="437"/>
      <c r="AX29" s="704"/>
      <c r="AY29" s="704"/>
      <c r="AZ29" s="704"/>
      <c r="BA29" s="704"/>
      <c r="BB29" s="704"/>
    </row>
    <row r="30" spans="3:54" ht="15.75" customHeight="1" x14ac:dyDescent="0.2">
      <c r="C30" s="3">
        <v>1</v>
      </c>
      <c r="D30" s="1"/>
      <c r="E30" s="840">
        <f>VLOOKUP(C30,Dados!$A$14:$R$81,18)</f>
        <v>0</v>
      </c>
      <c r="F30" s="28"/>
      <c r="G30" s="769">
        <f t="shared" si="2"/>
        <v>0</v>
      </c>
      <c r="H30" s="3">
        <v>1</v>
      </c>
      <c r="I30" s="767">
        <v>1</v>
      </c>
      <c r="J30" s="835">
        <f>IF(H30=1,0,VLOOKUP(H30,Rebanho!$AN$45:$AV$72,4)*I30)</f>
        <v>0</v>
      </c>
      <c r="K30" s="835">
        <f>IF(H30=1,0,(VLOOKUP(H30,Rebanho!$AN$45:$AV$72,7))*I30/450)</f>
        <v>0</v>
      </c>
      <c r="L30" s="835">
        <f>IF(H30=1,0,(VLOOKUP(H30,Rebanho!$AN$45:$AV$72,9)))</f>
        <v>0</v>
      </c>
      <c r="M30" s="766"/>
      <c r="N30" s="1055">
        <f t="shared" si="3"/>
        <v>0</v>
      </c>
      <c r="O30" s="768">
        <f t="shared" si="14"/>
        <v>0</v>
      </c>
      <c r="P30" s="768">
        <f t="shared" si="15"/>
        <v>0</v>
      </c>
      <c r="Q30" s="768">
        <f t="shared" si="4"/>
        <v>0</v>
      </c>
      <c r="R30" s="836">
        <f t="shared" si="5"/>
        <v>0</v>
      </c>
      <c r="S30" s="3">
        <v>1</v>
      </c>
      <c r="T30" s="190">
        <v>1</v>
      </c>
      <c r="U30" s="847"/>
      <c r="V30" s="847">
        <f t="shared" si="6"/>
        <v>0</v>
      </c>
      <c r="W30" s="847">
        <f t="shared" si="7"/>
        <v>0</v>
      </c>
      <c r="Z30" s="1145"/>
      <c r="AA30" s="114"/>
      <c r="AX30" s="704"/>
      <c r="AY30" s="704"/>
      <c r="AZ30" s="704"/>
      <c r="BA30" s="704"/>
      <c r="BB30" s="704"/>
    </row>
    <row r="31" spans="3:54" ht="15.75" customHeight="1" x14ac:dyDescent="0.2">
      <c r="C31" s="3">
        <v>1</v>
      </c>
      <c r="D31" s="1"/>
      <c r="E31" s="840">
        <f>VLOOKUP(C31,Dados!$A$14:$R$81,18)</f>
        <v>0</v>
      </c>
      <c r="F31" s="28"/>
      <c r="G31" s="769">
        <f t="shared" si="2"/>
        <v>0</v>
      </c>
      <c r="H31" s="3">
        <v>1</v>
      </c>
      <c r="I31" s="767">
        <v>1</v>
      </c>
      <c r="J31" s="835">
        <f>IF(H31=1,0,VLOOKUP(H31,Rebanho!$AN$45:$AV$72,4)*I31)</f>
        <v>0</v>
      </c>
      <c r="K31" s="835">
        <f>IF(H31=1,0,(VLOOKUP(H31,Rebanho!$AN$45:$AV$72,7))*I31/450)</f>
        <v>0</v>
      </c>
      <c r="L31" s="835">
        <f>IF(H31=1,0,(VLOOKUP(H31,Rebanho!$AN$45:$AV$72,9)))</f>
        <v>0</v>
      </c>
      <c r="M31" s="766"/>
      <c r="N31" s="1055">
        <f t="shared" si="3"/>
        <v>0</v>
      </c>
      <c r="O31" s="768">
        <f t="shared" si="14"/>
        <v>0</v>
      </c>
      <c r="P31" s="768">
        <f t="shared" si="15"/>
        <v>0</v>
      </c>
      <c r="Q31" s="768">
        <f t="shared" si="4"/>
        <v>0</v>
      </c>
      <c r="R31" s="836">
        <f t="shared" si="5"/>
        <v>0</v>
      </c>
      <c r="S31" s="3">
        <v>1</v>
      </c>
      <c r="T31" s="190">
        <v>1</v>
      </c>
      <c r="U31" s="847"/>
      <c r="V31" s="847">
        <f t="shared" si="6"/>
        <v>0</v>
      </c>
      <c r="W31" s="847">
        <f t="shared" si="7"/>
        <v>0</v>
      </c>
      <c r="Z31" s="1145"/>
      <c r="AA31" s="114"/>
      <c r="AX31" s="704"/>
      <c r="AY31" s="704"/>
      <c r="AZ31" s="704"/>
      <c r="BA31" s="704"/>
      <c r="BB31" s="704"/>
    </row>
    <row r="32" spans="3:54" ht="15.75" customHeight="1" x14ac:dyDescent="0.2">
      <c r="C32" s="3">
        <v>1</v>
      </c>
      <c r="D32" s="1"/>
      <c r="E32" s="840">
        <f>VLOOKUP(C32,Dados!$A$14:$R$81,18)</f>
        <v>0</v>
      </c>
      <c r="F32" s="28"/>
      <c r="G32" s="769">
        <f t="shared" si="2"/>
        <v>0</v>
      </c>
      <c r="H32" s="3">
        <v>1</v>
      </c>
      <c r="I32" s="767">
        <v>1</v>
      </c>
      <c r="J32" s="835">
        <f>IF(H32=1,0,VLOOKUP(H32,Rebanho!$AN$45:$AV$72,4)*I32)</f>
        <v>0</v>
      </c>
      <c r="K32" s="835">
        <f>IF(H32=1,0,(VLOOKUP(H32,Rebanho!$AN$45:$AV$72,7))*I32/450)</f>
        <v>0</v>
      </c>
      <c r="L32" s="835">
        <f>IF(H32=1,0,(VLOOKUP(H32,Rebanho!$AN$45:$AV$72,9)))</f>
        <v>0</v>
      </c>
      <c r="M32" s="766"/>
      <c r="N32" s="1055">
        <f t="shared" si="3"/>
        <v>0</v>
      </c>
      <c r="O32" s="768">
        <f t="shared" si="14"/>
        <v>0</v>
      </c>
      <c r="P32" s="768">
        <f t="shared" si="15"/>
        <v>0</v>
      </c>
      <c r="Q32" s="768">
        <f t="shared" si="4"/>
        <v>0</v>
      </c>
      <c r="R32" s="836">
        <f t="shared" si="5"/>
        <v>0</v>
      </c>
      <c r="S32" s="3">
        <v>1</v>
      </c>
      <c r="T32" s="190">
        <v>1</v>
      </c>
      <c r="U32" s="847"/>
      <c r="V32" s="847">
        <f t="shared" si="6"/>
        <v>0</v>
      </c>
      <c r="W32" s="847">
        <f t="shared" si="7"/>
        <v>0</v>
      </c>
      <c r="Z32" s="1145"/>
      <c r="AA32" s="114"/>
      <c r="AX32" s="704"/>
      <c r="AY32" s="704"/>
      <c r="AZ32" s="704"/>
      <c r="BA32" s="704"/>
      <c r="BB32" s="704"/>
    </row>
    <row r="33" spans="3:54" ht="15.75" customHeight="1" x14ac:dyDescent="0.2">
      <c r="C33" s="3">
        <v>1</v>
      </c>
      <c r="D33" s="1"/>
      <c r="E33" s="840">
        <f>VLOOKUP(C33,Dados!$A$14:$R$81,18)</f>
        <v>0</v>
      </c>
      <c r="F33" s="28"/>
      <c r="G33" s="769">
        <f t="shared" si="2"/>
        <v>0</v>
      </c>
      <c r="H33" s="3">
        <v>1</v>
      </c>
      <c r="I33" s="767">
        <v>1</v>
      </c>
      <c r="J33" s="835">
        <f>IF(H33=1,0,VLOOKUP(H33,Rebanho!$AN$45:$AV$72,4)*I33)</f>
        <v>0</v>
      </c>
      <c r="K33" s="835">
        <f>IF(H33=1,0,(VLOOKUP(H33,Rebanho!$AN$45:$AV$72,7))*I33/450)</f>
        <v>0</v>
      </c>
      <c r="L33" s="835">
        <f>IF(H33=1,0,(VLOOKUP(H33,Rebanho!$AN$45:$AV$72,9)))</f>
        <v>0</v>
      </c>
      <c r="M33" s="766"/>
      <c r="N33" s="1055">
        <f t="shared" si="3"/>
        <v>0</v>
      </c>
      <c r="O33" s="768">
        <f t="shared" si="14"/>
        <v>0</v>
      </c>
      <c r="P33" s="768">
        <f t="shared" si="15"/>
        <v>0</v>
      </c>
      <c r="Q33" s="768">
        <f t="shared" si="4"/>
        <v>0</v>
      </c>
      <c r="R33" s="836">
        <f t="shared" si="5"/>
        <v>0</v>
      </c>
      <c r="S33" s="3">
        <v>1</v>
      </c>
      <c r="T33" s="190">
        <v>1</v>
      </c>
      <c r="U33" s="847"/>
      <c r="V33" s="847">
        <f t="shared" si="6"/>
        <v>0</v>
      </c>
      <c r="W33" s="847">
        <f t="shared" si="7"/>
        <v>0</v>
      </c>
      <c r="Z33" s="1145"/>
      <c r="AA33" s="114"/>
      <c r="AX33" s="704"/>
      <c r="AY33" s="704"/>
      <c r="AZ33" s="704"/>
      <c r="BA33" s="704"/>
      <c r="BB33" s="704"/>
    </row>
    <row r="34" spans="3:54" ht="15.75" customHeight="1" x14ac:dyDescent="0.2">
      <c r="C34" s="3">
        <v>1</v>
      </c>
      <c r="D34" s="1"/>
      <c r="E34" s="840">
        <f>VLOOKUP(C34,Dados!$A$14:$R$81,18)</f>
        <v>0</v>
      </c>
      <c r="F34" s="28"/>
      <c r="G34" s="769">
        <f t="shared" ref="G34:G40" si="17">IF(E34=0,0,F34/E34)</f>
        <v>0</v>
      </c>
      <c r="H34" s="3">
        <v>1</v>
      </c>
      <c r="I34" s="767">
        <v>1</v>
      </c>
      <c r="J34" s="835">
        <f>IF(H34=1,0,VLOOKUP(H34,Rebanho!$AN$45:$AV$72,4)*I34)</f>
        <v>0</v>
      </c>
      <c r="K34" s="835">
        <f>IF(H34=1,0,(VLOOKUP(H34,Rebanho!$AN$45:$AV$72,7))*I34/450)</f>
        <v>0</v>
      </c>
      <c r="L34" s="835">
        <f>IF(H34=1,0,(VLOOKUP(H34,Rebanho!$AN$45:$AV$72,9)))</f>
        <v>0</v>
      </c>
      <c r="M34" s="766"/>
      <c r="N34" s="1055">
        <f t="shared" si="3"/>
        <v>0</v>
      </c>
      <c r="O34" s="768">
        <f t="shared" si="14"/>
        <v>0</v>
      </c>
      <c r="P34" s="768">
        <f t="shared" si="15"/>
        <v>0</v>
      </c>
      <c r="Q34" s="768">
        <f t="shared" si="4"/>
        <v>0</v>
      </c>
      <c r="R34" s="836">
        <f t="shared" si="5"/>
        <v>0</v>
      </c>
      <c r="S34" s="3">
        <v>1</v>
      </c>
      <c r="T34" s="190">
        <v>1</v>
      </c>
      <c r="U34" s="847"/>
      <c r="V34" s="847">
        <f t="shared" si="6"/>
        <v>0</v>
      </c>
      <c r="W34" s="847">
        <f t="shared" si="7"/>
        <v>0</v>
      </c>
      <c r="Z34" s="1145"/>
      <c r="AA34" s="114"/>
      <c r="AX34" s="704"/>
      <c r="AY34" s="704"/>
      <c r="AZ34" s="704"/>
      <c r="BA34" s="704"/>
      <c r="BB34" s="704"/>
    </row>
    <row r="35" spans="3:54" ht="15.75" customHeight="1" x14ac:dyDescent="0.2">
      <c r="C35" s="3">
        <v>1</v>
      </c>
      <c r="D35" s="1"/>
      <c r="E35" s="840">
        <f>VLOOKUP(C35,Dados!$A$14:$R$81,18)</f>
        <v>0</v>
      </c>
      <c r="F35" s="28"/>
      <c r="G35" s="769">
        <f t="shared" si="17"/>
        <v>0</v>
      </c>
      <c r="H35" s="3">
        <v>1</v>
      </c>
      <c r="I35" s="767">
        <v>1</v>
      </c>
      <c r="J35" s="835">
        <f>IF(H35=1,0,VLOOKUP(H35,Rebanho!$AN$45:$AV$72,4)*I35)</f>
        <v>0</v>
      </c>
      <c r="K35" s="835">
        <f>IF(H35=1,0,(VLOOKUP(H35,Rebanho!$AN$45:$AV$72,7))*I35/450)</f>
        <v>0</v>
      </c>
      <c r="L35" s="835">
        <f>IF(H35=1,0,(VLOOKUP(H35,Rebanho!$AN$45:$AV$72,9)))</f>
        <v>0</v>
      </c>
      <c r="M35" s="766"/>
      <c r="N35" s="1055">
        <f t="shared" si="3"/>
        <v>0</v>
      </c>
      <c r="O35" s="768">
        <f t="shared" si="14"/>
        <v>0</v>
      </c>
      <c r="P35" s="768">
        <f t="shared" si="15"/>
        <v>0</v>
      </c>
      <c r="Q35" s="768">
        <f t="shared" si="4"/>
        <v>0</v>
      </c>
      <c r="R35" s="836">
        <f t="shared" si="5"/>
        <v>0</v>
      </c>
      <c r="S35" s="3">
        <v>1</v>
      </c>
      <c r="T35" s="190">
        <v>1</v>
      </c>
      <c r="U35" s="847"/>
      <c r="V35" s="847">
        <f t="shared" si="6"/>
        <v>0</v>
      </c>
      <c r="W35" s="847">
        <f t="shared" si="7"/>
        <v>0</v>
      </c>
      <c r="Z35" s="1145"/>
      <c r="AA35" s="114"/>
      <c r="AX35" s="704"/>
      <c r="AY35" s="704"/>
      <c r="AZ35" s="704"/>
      <c r="BA35" s="704"/>
      <c r="BB35" s="704"/>
    </row>
    <row r="36" spans="3:54" ht="15.75" customHeight="1" x14ac:dyDescent="0.2">
      <c r="C36" s="3">
        <v>1</v>
      </c>
      <c r="D36" s="1"/>
      <c r="E36" s="840">
        <f>VLOOKUP(C36,Dados!$A$14:$R$81,18)</f>
        <v>0</v>
      </c>
      <c r="F36" s="28"/>
      <c r="G36" s="769">
        <f t="shared" si="17"/>
        <v>0</v>
      </c>
      <c r="H36" s="3">
        <v>1</v>
      </c>
      <c r="I36" s="767">
        <v>1</v>
      </c>
      <c r="J36" s="835">
        <f>IF(H36=1,0,VLOOKUP(H36,Rebanho!$AN$45:$AV$72,4)*I36)</f>
        <v>0</v>
      </c>
      <c r="K36" s="835">
        <f>IF(H36=1,0,(VLOOKUP(H36,Rebanho!$AN$45:$AV$72,7))*I36/450)</f>
        <v>0</v>
      </c>
      <c r="L36" s="835">
        <f>IF(H36=1,0,(VLOOKUP(H36,Rebanho!$AN$45:$AV$72,9)))</f>
        <v>0</v>
      </c>
      <c r="M36" s="766"/>
      <c r="N36" s="1055">
        <f t="shared" si="3"/>
        <v>0</v>
      </c>
      <c r="O36" s="768">
        <f t="shared" si="14"/>
        <v>0</v>
      </c>
      <c r="P36" s="768">
        <f t="shared" si="15"/>
        <v>0</v>
      </c>
      <c r="Q36" s="768">
        <f t="shared" si="4"/>
        <v>0</v>
      </c>
      <c r="R36" s="836">
        <f t="shared" si="5"/>
        <v>0</v>
      </c>
      <c r="S36" s="3">
        <v>1</v>
      </c>
      <c r="T36" s="190">
        <v>1</v>
      </c>
      <c r="U36" s="847"/>
      <c r="V36" s="847">
        <f t="shared" si="6"/>
        <v>0</v>
      </c>
      <c r="W36" s="847">
        <f t="shared" si="7"/>
        <v>0</v>
      </c>
      <c r="Z36" s="1145"/>
      <c r="AA36" s="114"/>
    </row>
    <row r="37" spans="3:54" ht="15.75" customHeight="1" x14ac:dyDescent="0.2">
      <c r="C37" s="3">
        <v>1</v>
      </c>
      <c r="D37" s="1"/>
      <c r="E37" s="840">
        <f>VLOOKUP(C37,Dados!$A$14:$R$81,18)</f>
        <v>0</v>
      </c>
      <c r="F37" s="28"/>
      <c r="G37" s="769">
        <f t="shared" si="17"/>
        <v>0</v>
      </c>
      <c r="H37" s="3">
        <v>1</v>
      </c>
      <c r="I37" s="767">
        <v>1</v>
      </c>
      <c r="J37" s="835">
        <f>IF(H37=1,0,VLOOKUP(H37,Rebanho!$AN$45:$AV$72,4)*I37)</f>
        <v>0</v>
      </c>
      <c r="K37" s="835">
        <f>IF(H37=1,0,(VLOOKUP(H37,Rebanho!$AN$45:$AV$72,7))*I37/450)</f>
        <v>0</v>
      </c>
      <c r="L37" s="835">
        <f>IF(H37=1,0,(VLOOKUP(H37,Rebanho!$AN$45:$AV$72,9)))</f>
        <v>0</v>
      </c>
      <c r="M37" s="766"/>
      <c r="N37" s="1055">
        <f t="shared" si="3"/>
        <v>0</v>
      </c>
      <c r="O37" s="768">
        <f t="shared" si="14"/>
        <v>0</v>
      </c>
      <c r="P37" s="768">
        <f t="shared" si="15"/>
        <v>0</v>
      </c>
      <c r="Q37" s="768">
        <f t="shared" si="4"/>
        <v>0</v>
      </c>
      <c r="R37" s="836">
        <f t="shared" si="5"/>
        <v>0</v>
      </c>
      <c r="S37" s="3">
        <v>1</v>
      </c>
      <c r="T37" s="190">
        <v>1</v>
      </c>
      <c r="U37" s="847"/>
      <c r="V37" s="847">
        <f t="shared" si="6"/>
        <v>0</v>
      </c>
      <c r="W37" s="847">
        <f t="shared" si="7"/>
        <v>0</v>
      </c>
      <c r="Z37" s="1145"/>
      <c r="AA37" s="114"/>
    </row>
    <row r="38" spans="3:54" ht="15.75" customHeight="1" x14ac:dyDescent="0.2">
      <c r="C38" s="3">
        <v>1</v>
      </c>
      <c r="D38" s="1"/>
      <c r="E38" s="840">
        <f>VLOOKUP(C38,Dados!$A$14:$R$81,18)</f>
        <v>0</v>
      </c>
      <c r="F38" s="28"/>
      <c r="G38" s="769">
        <f t="shared" si="17"/>
        <v>0</v>
      </c>
      <c r="H38" s="3">
        <v>1</v>
      </c>
      <c r="I38" s="767">
        <v>1</v>
      </c>
      <c r="J38" s="835">
        <f>IF(H38=1,0,VLOOKUP(H38,Rebanho!$AN$45:$AV$72,4)*I38)</f>
        <v>0</v>
      </c>
      <c r="K38" s="835">
        <f>IF(H38=1,0,(VLOOKUP(H38,Rebanho!$AN$45:$AV$72,7))*I38/450)</f>
        <v>0</v>
      </c>
      <c r="L38" s="835">
        <f>IF(H38=1,0,(VLOOKUP(H38,Rebanho!$AN$45:$AV$72,9)))</f>
        <v>0</v>
      </c>
      <c r="M38" s="766"/>
      <c r="N38" s="1055">
        <f t="shared" si="3"/>
        <v>0</v>
      </c>
      <c r="O38" s="768">
        <f t="shared" si="14"/>
        <v>0</v>
      </c>
      <c r="P38" s="768">
        <f t="shared" si="15"/>
        <v>0</v>
      </c>
      <c r="Q38" s="768">
        <f t="shared" si="4"/>
        <v>0</v>
      </c>
      <c r="R38" s="836">
        <f t="shared" si="5"/>
        <v>0</v>
      </c>
      <c r="S38" s="3">
        <v>1</v>
      </c>
      <c r="T38" s="190">
        <v>1</v>
      </c>
      <c r="U38" s="847"/>
      <c r="V38" s="847">
        <f t="shared" si="6"/>
        <v>0</v>
      </c>
      <c r="W38" s="847">
        <f t="shared" si="7"/>
        <v>0</v>
      </c>
      <c r="Z38" s="1145"/>
      <c r="AA38" s="114"/>
    </row>
    <row r="39" spans="3:54" ht="15.75" customHeight="1" x14ac:dyDescent="0.2">
      <c r="C39" s="3">
        <v>1</v>
      </c>
      <c r="D39" s="1"/>
      <c r="E39" s="840">
        <f>VLOOKUP(C39,Dados!$A$14:$R$81,18)</f>
        <v>0</v>
      </c>
      <c r="F39" s="28"/>
      <c r="G39" s="769">
        <f t="shared" si="17"/>
        <v>0</v>
      </c>
      <c r="H39" s="3">
        <v>1</v>
      </c>
      <c r="I39" s="767">
        <v>1</v>
      </c>
      <c r="J39" s="835">
        <f>IF(H39=1,0,VLOOKUP(H39,Rebanho!$AN$45:$AV$72,4)*I39)</f>
        <v>0</v>
      </c>
      <c r="K39" s="835">
        <f>IF(H39=1,0,(VLOOKUP(H39,Rebanho!$AN$45:$AV$72,7))*I39/450)</f>
        <v>0</v>
      </c>
      <c r="L39" s="835">
        <f>IF(H39=1,0,(VLOOKUP(H39,Rebanho!$AN$45:$AV$72,9)))</f>
        <v>0</v>
      </c>
      <c r="M39" s="766"/>
      <c r="N39" s="1055">
        <f t="shared" si="3"/>
        <v>0</v>
      </c>
      <c r="O39" s="768">
        <f t="shared" si="14"/>
        <v>0</v>
      </c>
      <c r="P39" s="768">
        <f t="shared" si="15"/>
        <v>0</v>
      </c>
      <c r="Q39" s="768">
        <f t="shared" si="4"/>
        <v>0</v>
      </c>
      <c r="R39" s="836">
        <f t="shared" si="5"/>
        <v>0</v>
      </c>
      <c r="S39" s="3">
        <v>1</v>
      </c>
      <c r="T39" s="190">
        <v>1</v>
      </c>
      <c r="U39" s="847"/>
      <c r="V39" s="847">
        <f t="shared" si="6"/>
        <v>0</v>
      </c>
      <c r="W39" s="847">
        <f t="shared" si="7"/>
        <v>0</v>
      </c>
      <c r="Z39" s="1145"/>
      <c r="AA39" s="114"/>
    </row>
    <row r="40" spans="3:54" ht="15.75" customHeight="1" thickBot="1" x14ac:dyDescent="0.25">
      <c r="C40" s="739">
        <v>1</v>
      </c>
      <c r="D40" s="997"/>
      <c r="E40" s="1071">
        <f>VLOOKUP(C40,Dados!$A$14:$R$81,18)</f>
        <v>0</v>
      </c>
      <c r="F40" s="1062"/>
      <c r="G40" s="1072">
        <f t="shared" si="17"/>
        <v>0</v>
      </c>
      <c r="H40" s="739">
        <v>1</v>
      </c>
      <c r="I40" s="1073">
        <v>1</v>
      </c>
      <c r="J40" s="1074">
        <f>IF(H40=1,0,VLOOKUP(H40,Rebanho!$AN$45:$AV$72,4)*I40)</f>
        <v>0</v>
      </c>
      <c r="K40" s="1074">
        <f>IF(H40=1,0,(VLOOKUP(H40,Rebanho!$AN$45:$AV$72,7))*I40/450)</f>
        <v>0</v>
      </c>
      <c r="L40" s="1074">
        <f>IF(H40=1,0,(VLOOKUP(H40,Rebanho!$AN$45:$AV$72,9)))</f>
        <v>0</v>
      </c>
      <c r="M40" s="1075"/>
      <c r="N40" s="1069">
        <f t="shared" si="3"/>
        <v>0</v>
      </c>
      <c r="O40" s="1076">
        <f t="shared" si="14"/>
        <v>0</v>
      </c>
      <c r="P40" s="1076">
        <f t="shared" si="15"/>
        <v>0</v>
      </c>
      <c r="Q40" s="1076">
        <f t="shared" si="4"/>
        <v>0</v>
      </c>
      <c r="R40" s="1077">
        <f t="shared" si="5"/>
        <v>0</v>
      </c>
      <c r="S40" s="3">
        <v>1</v>
      </c>
      <c r="T40" s="190">
        <v>1</v>
      </c>
      <c r="U40" s="847"/>
      <c r="V40" s="847">
        <f t="shared" si="6"/>
        <v>0</v>
      </c>
      <c r="W40" s="847">
        <f t="shared" si="7"/>
        <v>0</v>
      </c>
      <c r="Z40" s="1145"/>
      <c r="AA40" s="114"/>
    </row>
    <row r="41" spans="3:54" x14ac:dyDescent="0.2">
      <c r="O41" s="1058" t="s">
        <v>77</v>
      </c>
      <c r="P41" s="845">
        <f>SUM(P7:P40)</f>
        <v>186.75763706672765</v>
      </c>
      <c r="Q41" s="845">
        <f>SUM(Q7:Q40)</f>
        <v>2241.091644800732</v>
      </c>
      <c r="R41" s="846">
        <f>SUM(R7:R40)</f>
        <v>89643.665792029264</v>
      </c>
    </row>
    <row r="42" spans="3:54" x14ac:dyDescent="0.2">
      <c r="I42" s="2630" t="s">
        <v>494</v>
      </c>
      <c r="J42" s="2631"/>
      <c r="K42" s="89"/>
      <c r="R42" s="2285"/>
      <c r="AC42" s="2681" t="s">
        <v>1266</v>
      </c>
      <c r="AD42" s="2681"/>
      <c r="AE42" s="2681"/>
      <c r="AF42" s="1346"/>
    </row>
    <row r="43" spans="3:54" ht="31.5" customHeight="1" x14ac:dyDescent="0.2">
      <c r="C43" s="854" t="s">
        <v>40</v>
      </c>
      <c r="D43" s="854" t="s">
        <v>41</v>
      </c>
      <c r="E43" s="854" t="s">
        <v>1064</v>
      </c>
      <c r="F43" s="854" t="s">
        <v>1058</v>
      </c>
      <c r="G43" s="854" t="s">
        <v>493</v>
      </c>
      <c r="H43" s="864" t="s">
        <v>422</v>
      </c>
      <c r="I43" s="854" t="s">
        <v>292</v>
      </c>
      <c r="J43" s="854" t="s">
        <v>80</v>
      </c>
      <c r="AC43" s="1352" t="s">
        <v>1273</v>
      </c>
      <c r="AD43" s="1350" t="s">
        <v>1271</v>
      </c>
      <c r="AE43" s="1350" t="s">
        <v>1272</v>
      </c>
    </row>
    <row r="44" spans="3:54" ht="16.5" customHeight="1" x14ac:dyDescent="0.2">
      <c r="C44" s="3">
        <v>3</v>
      </c>
      <c r="D44" s="855">
        <v>4</v>
      </c>
      <c r="E44" s="94">
        <f>VLOOKUP(C44,Inventário!$AA$32:$AC$42,3)+VLOOKUP(D44,Inventário!$AA$51:$AC$71,3)</f>
        <v>19.604166666666668</v>
      </c>
      <c r="F44" s="94">
        <f>VLOOKUP(C44,Inventário!$AA$32:$AD$42,4)</f>
        <v>23.79</v>
      </c>
      <c r="G44" s="295">
        <f>2*(365-90)</f>
        <v>550</v>
      </c>
      <c r="H44" s="856">
        <f>G44*(E44+F44)</f>
        <v>23866.791666666664</v>
      </c>
      <c r="I44" s="3">
        <v>1</v>
      </c>
      <c r="J44" s="3">
        <v>1</v>
      </c>
      <c r="AC44" s="1351" t="s">
        <v>1267</v>
      </c>
      <c r="AD44" s="1347">
        <f>E44*G44</f>
        <v>10782.291666666668</v>
      </c>
      <c r="AE44" s="1347">
        <f>F44*G44</f>
        <v>13084.5</v>
      </c>
    </row>
    <row r="45" spans="3:54" ht="16.5" customHeight="1" x14ac:dyDescent="0.2">
      <c r="C45" s="3">
        <v>1</v>
      </c>
      <c r="D45" s="855">
        <v>1</v>
      </c>
      <c r="E45" s="94">
        <f>VLOOKUP(C45,Inventário!$AA$32:$AC$42,3)+VLOOKUP(D45,Inventário!$AA$51:$AC$71,3)</f>
        <v>0</v>
      </c>
      <c r="F45" s="94">
        <f>VLOOKUP(C45,Inventário!$AA$32:$AD$42,4)</f>
        <v>0</v>
      </c>
      <c r="G45" s="20"/>
      <c r="H45" s="856">
        <f>G45*(E45+F45)</f>
        <v>0</v>
      </c>
      <c r="I45" s="3">
        <v>1</v>
      </c>
      <c r="J45" s="3">
        <v>1</v>
      </c>
      <c r="AC45" s="1351" t="s">
        <v>1268</v>
      </c>
      <c r="AD45" s="1347">
        <f>E45*G45</f>
        <v>0</v>
      </c>
      <c r="AE45" s="1347">
        <f t="shared" ref="AE45:AE47" si="18">F45*G45</f>
        <v>0</v>
      </c>
    </row>
    <row r="46" spans="3:54" ht="16.5" customHeight="1" x14ac:dyDescent="0.2">
      <c r="C46" s="3">
        <v>1</v>
      </c>
      <c r="D46" s="855">
        <v>1</v>
      </c>
      <c r="E46" s="94">
        <f>VLOOKUP(C46,Inventário!$AA$32:$AC$42,3)+VLOOKUP(D46,Inventário!$AA$51:$AC$71,3)</f>
        <v>0</v>
      </c>
      <c r="F46" s="94">
        <f>VLOOKUP(C46,Inventário!$AA$32:$AD$42,4)</f>
        <v>0</v>
      </c>
      <c r="G46" s="119"/>
      <c r="H46" s="856">
        <f>G46*(E46+F46)</f>
        <v>0</v>
      </c>
      <c r="I46" s="3">
        <v>1</v>
      </c>
      <c r="J46" s="3">
        <v>1</v>
      </c>
      <c r="AC46" s="1351" t="s">
        <v>1269</v>
      </c>
      <c r="AD46" s="1347">
        <f t="shared" ref="AD46:AD47" si="19">E46*G46</f>
        <v>0</v>
      </c>
      <c r="AE46" s="1347">
        <f t="shared" si="18"/>
        <v>0</v>
      </c>
    </row>
    <row r="47" spans="3:54" ht="16.5" customHeight="1" thickBot="1" x14ac:dyDescent="0.25">
      <c r="C47" s="3">
        <v>1</v>
      </c>
      <c r="D47" s="857">
        <v>1</v>
      </c>
      <c r="E47" s="764">
        <f>VLOOKUP(C47,Inventário!$AA$32:$AC$42,3)+VLOOKUP(D47,Inventário!$AA$51:$AC$71,3)</f>
        <v>0</v>
      </c>
      <c r="F47" s="764">
        <f>VLOOKUP(C47,Inventário!$AA$32:$AD$42,4)</f>
        <v>0</v>
      </c>
      <c r="G47" s="765"/>
      <c r="H47" s="867">
        <f>G47*(E47+F47)</f>
        <v>0</v>
      </c>
      <c r="I47" s="3">
        <v>1</v>
      </c>
      <c r="J47" s="3">
        <v>1</v>
      </c>
      <c r="AC47" s="1351" t="s">
        <v>1270</v>
      </c>
      <c r="AD47" s="1347">
        <f t="shared" si="19"/>
        <v>0</v>
      </c>
      <c r="AE47" s="1347">
        <f t="shared" si="18"/>
        <v>0</v>
      </c>
    </row>
    <row r="48" spans="3:54" x14ac:dyDescent="0.2">
      <c r="D48" s="738"/>
      <c r="E48" s="740"/>
      <c r="F48" s="740"/>
      <c r="G48" s="738" t="s">
        <v>2</v>
      </c>
      <c r="H48" s="740">
        <f>SUM(H44:H47)</f>
        <v>23866.791666666664</v>
      </c>
      <c r="K48" s="118"/>
      <c r="AC48" s="1348" t="s">
        <v>2</v>
      </c>
      <c r="AD48" s="1349">
        <f>SUM(AD44:AD47)</f>
        <v>10782.291666666668</v>
      </c>
      <c r="AE48" s="1349">
        <f>SUM(AE44:AE47)</f>
        <v>13084.5</v>
      </c>
    </row>
    <row r="49" spans="1:12" x14ac:dyDescent="0.2">
      <c r="K49" s="6"/>
    </row>
    <row r="50" spans="1:12" x14ac:dyDescent="0.2">
      <c r="I50" s="2625" t="s">
        <v>494</v>
      </c>
      <c r="J50" s="2625"/>
      <c r="K50" s="6"/>
    </row>
    <row r="51" spans="1:12" ht="15.75" customHeight="1" x14ac:dyDescent="0.2">
      <c r="A51" s="93">
        <f>IF(D52=1,0,E52)</f>
        <v>0</v>
      </c>
      <c r="D51" s="98" t="s">
        <v>301</v>
      </c>
      <c r="E51" s="2630" t="s">
        <v>583</v>
      </c>
      <c r="F51" s="2631"/>
      <c r="G51" s="98" t="s">
        <v>424</v>
      </c>
      <c r="H51" s="99" t="s">
        <v>412</v>
      </c>
      <c r="I51" s="99" t="s">
        <v>292</v>
      </c>
      <c r="J51" s="99" t="s">
        <v>80</v>
      </c>
      <c r="K51" s="6"/>
    </row>
    <row r="52" spans="1:12" ht="15.75" customHeight="1" x14ac:dyDescent="0.2">
      <c r="A52" s="93">
        <f>IF(D53=1,0,E53)</f>
        <v>0</v>
      </c>
      <c r="D52" s="3">
        <v>1</v>
      </c>
      <c r="E52" s="2702"/>
      <c r="F52" s="2703"/>
      <c r="G52" s="94">
        <f>VLOOKUP(D52,'Mão-de-obra'!$CJ$10:$CL$29,3)</f>
        <v>0</v>
      </c>
      <c r="H52" s="106">
        <f>E52*G52</f>
        <v>0</v>
      </c>
      <c r="I52" s="3">
        <v>1</v>
      </c>
      <c r="J52" s="3">
        <v>1</v>
      </c>
      <c r="K52" s="6"/>
    </row>
    <row r="53" spans="1:12" ht="15.75" customHeight="1" x14ac:dyDescent="0.2">
      <c r="A53" s="93">
        <f>IF(D54=1,0,E54)</f>
        <v>0</v>
      </c>
      <c r="D53" s="3">
        <v>1</v>
      </c>
      <c r="E53" s="2702"/>
      <c r="F53" s="2703"/>
      <c r="G53" s="94">
        <f>VLOOKUP(D53,'Mão-de-obra'!$CJ$10:$CL$29,3)</f>
        <v>0</v>
      </c>
      <c r="H53" s="106">
        <f>E53*G53</f>
        <v>0</v>
      </c>
      <c r="I53" s="3">
        <v>1</v>
      </c>
      <c r="J53" s="3">
        <v>1</v>
      </c>
      <c r="K53" s="6"/>
    </row>
    <row r="54" spans="1:12" ht="15.75" customHeight="1" x14ac:dyDescent="0.2">
      <c r="A54" s="93">
        <f>IF(D55=1,0,E55)</f>
        <v>0</v>
      </c>
      <c r="D54" s="3">
        <v>1</v>
      </c>
      <c r="E54" s="2702"/>
      <c r="F54" s="2703"/>
      <c r="G54" s="94">
        <f>VLOOKUP(D54,'Mão-de-obra'!$CJ$10:$CL$29,3)</f>
        <v>0</v>
      </c>
      <c r="H54" s="106">
        <f>E54*G54</f>
        <v>0</v>
      </c>
      <c r="I54" s="3">
        <v>1</v>
      </c>
      <c r="J54" s="3">
        <v>1</v>
      </c>
      <c r="K54" s="6"/>
    </row>
    <row r="55" spans="1:12" ht="15.75" customHeight="1" x14ac:dyDescent="0.2">
      <c r="A55" s="93">
        <f>IF(D56=1,0,E56)</f>
        <v>0</v>
      </c>
      <c r="D55" s="3">
        <v>1</v>
      </c>
      <c r="E55" s="2702"/>
      <c r="F55" s="2703"/>
      <c r="G55" s="94">
        <f>VLOOKUP(D55,'Mão-de-obra'!$CJ$10:$CL$29,3)</f>
        <v>0</v>
      </c>
      <c r="H55" s="106">
        <f>E55*G55</f>
        <v>0</v>
      </c>
      <c r="I55" s="3">
        <v>1</v>
      </c>
      <c r="J55" s="3">
        <v>1</v>
      </c>
      <c r="K55" s="6"/>
    </row>
    <row r="56" spans="1:12" ht="13.5" thickBot="1" x14ac:dyDescent="0.25">
      <c r="A56" s="93">
        <f>SUM(A51:A55)</f>
        <v>0</v>
      </c>
      <c r="D56" s="3">
        <v>1</v>
      </c>
      <c r="E56" s="2700"/>
      <c r="F56" s="2701"/>
      <c r="G56" s="764">
        <f>VLOOKUP(D56,'Mão-de-obra'!$CJ$10:$CL$29,3)</f>
        <v>0</v>
      </c>
      <c r="H56" s="868">
        <f>E56*G56</f>
        <v>0</v>
      </c>
      <c r="I56" s="3">
        <v>1</v>
      </c>
      <c r="J56" s="3">
        <v>1</v>
      </c>
    </row>
    <row r="57" spans="1:12" x14ac:dyDescent="0.2">
      <c r="G57" s="738" t="s">
        <v>2</v>
      </c>
      <c r="H57" s="740">
        <f>SUM(H52:H56)</f>
        <v>0</v>
      </c>
    </row>
    <row r="58" spans="1:12" s="6" customFormat="1" ht="18" x14ac:dyDescent="0.25">
      <c r="D58" s="121"/>
    </row>
    <row r="60" spans="1:12" x14ac:dyDescent="0.2">
      <c r="D60" s="91"/>
      <c r="E60" s="2698"/>
      <c r="F60" s="2698"/>
      <c r="G60" s="6"/>
      <c r="H60" s="89"/>
      <c r="I60" s="91"/>
      <c r="J60" s="89"/>
      <c r="K60" s="89"/>
      <c r="L60" s="6"/>
    </row>
    <row r="61" spans="1:12" ht="15.75" customHeight="1" x14ac:dyDescent="0.2">
      <c r="D61" s="6"/>
      <c r="E61" s="2697"/>
      <c r="F61" s="2697"/>
      <c r="G61" s="6"/>
      <c r="H61" s="6"/>
      <c r="I61" s="146"/>
      <c r="J61" s="145"/>
      <c r="K61" s="145"/>
      <c r="L61" s="6"/>
    </row>
    <row r="62" spans="1:12" x14ac:dyDescent="0.2">
      <c r="D62" s="6"/>
      <c r="E62" s="2697"/>
      <c r="F62" s="2697"/>
      <c r="G62" s="6"/>
      <c r="H62" s="6"/>
      <c r="I62" s="6"/>
      <c r="J62" s="6"/>
      <c r="K62" s="6"/>
      <c r="L62" s="6"/>
    </row>
    <row r="63" spans="1:12" x14ac:dyDescent="0.2">
      <c r="D63" s="6"/>
      <c r="E63" s="2697"/>
      <c r="F63" s="2697"/>
      <c r="G63" s="6"/>
      <c r="H63" s="6"/>
      <c r="I63" s="6"/>
      <c r="J63" s="6"/>
      <c r="K63" s="6"/>
      <c r="L63" s="6"/>
    </row>
    <row r="64" spans="1:12" x14ac:dyDescent="0.2">
      <c r="D64" s="6"/>
      <c r="E64" s="2697"/>
      <c r="F64" s="2697"/>
      <c r="G64" s="6"/>
      <c r="H64" s="6"/>
      <c r="I64" s="6"/>
      <c r="J64" s="6"/>
      <c r="K64" s="6"/>
      <c r="L64" s="6"/>
    </row>
    <row r="65" spans="4:12" x14ac:dyDescent="0.2">
      <c r="D65" s="6"/>
      <c r="E65" s="6"/>
      <c r="F65" s="6"/>
      <c r="G65" s="6"/>
      <c r="H65" s="6"/>
      <c r="I65" s="6"/>
      <c r="J65" s="6"/>
      <c r="K65" s="6"/>
      <c r="L65" s="6"/>
    </row>
    <row r="1048576" spans="13:13" x14ac:dyDescent="0.2">
      <c r="M1048576" s="766"/>
    </row>
  </sheetData>
  <mergeCells count="36">
    <mergeCell ref="AW5:AY5"/>
    <mergeCell ref="AK5:AM5"/>
    <mergeCell ref="E56:F56"/>
    <mergeCell ref="N5:N6"/>
    <mergeCell ref="L5:L6"/>
    <mergeCell ref="M5:M6"/>
    <mergeCell ref="I50:J50"/>
    <mergeCell ref="I42:J42"/>
    <mergeCell ref="E54:F54"/>
    <mergeCell ref="E55:F55"/>
    <mergeCell ref="E51:F51"/>
    <mergeCell ref="E52:F52"/>
    <mergeCell ref="E53:F53"/>
    <mergeCell ref="U5:U6"/>
    <mergeCell ref="V5:V6"/>
    <mergeCell ref="Q5:Q6"/>
    <mergeCell ref="E64:F64"/>
    <mergeCell ref="E60:F60"/>
    <mergeCell ref="E61:F61"/>
    <mergeCell ref="E62:F62"/>
    <mergeCell ref="E63:F63"/>
    <mergeCell ref="AC42:AE42"/>
    <mergeCell ref="S5:T5"/>
    <mergeCell ref="B5:B6"/>
    <mergeCell ref="AC5:AC6"/>
    <mergeCell ref="AU5:AV5"/>
    <mergeCell ref="AT5:AT6"/>
    <mergeCell ref="O5:O6"/>
    <mergeCell ref="R5:R6"/>
    <mergeCell ref="W5:W6"/>
    <mergeCell ref="AE5:AG5"/>
    <mergeCell ref="AH5:AJ5"/>
    <mergeCell ref="AQ5:AS5"/>
    <mergeCell ref="AD5:AD6"/>
    <mergeCell ref="AN5:AP5"/>
    <mergeCell ref="P5:P6"/>
  </mergeCells>
  <phoneticPr fontId="0" type="noConversion"/>
  <conditionalFormatting sqref="E52:E56">
    <cfRule type="expression" dxfId="508" priority="23" stopIfTrue="1">
      <formula>$D52=1</formula>
    </cfRule>
  </conditionalFormatting>
  <conditionalFormatting sqref="F7:F39">
    <cfRule type="expression" dxfId="507" priority="26" stopIfTrue="1">
      <formula>$C7=1</formula>
    </cfRule>
  </conditionalFormatting>
  <conditionalFormatting sqref="F40">
    <cfRule type="expression" dxfId="506" priority="20" stopIfTrue="1">
      <formula>$C40=1</formula>
    </cfRule>
  </conditionalFormatting>
  <conditionalFormatting sqref="L7:L40">
    <cfRule type="expression" dxfId="505" priority="19" stopIfTrue="1">
      <formula>$H7&gt;1</formula>
    </cfRule>
  </conditionalFormatting>
  <conditionalFormatting sqref="L32 L35 L24 L40 L8:L10">
    <cfRule type="expression" dxfId="504" priority="18" stopIfTrue="1">
      <formula>$H8&gt;1</formula>
    </cfRule>
  </conditionalFormatting>
  <conditionalFormatting sqref="M7:M15">
    <cfRule type="expression" dxfId="503" priority="17" stopIfTrue="1">
      <formula>$H7&gt;1</formula>
    </cfRule>
  </conditionalFormatting>
  <conditionalFormatting sqref="M16:M40">
    <cfRule type="expression" dxfId="502" priority="16" stopIfTrue="1">
      <formula>$H16&gt;1</formula>
    </cfRule>
  </conditionalFormatting>
  <conditionalFormatting sqref="I7">
    <cfRule type="expression" dxfId="501" priority="15" stopIfTrue="1">
      <formula>$H7&gt;1</formula>
    </cfRule>
  </conditionalFormatting>
  <conditionalFormatting sqref="I8:I40">
    <cfRule type="expression" dxfId="500" priority="14" stopIfTrue="1">
      <formula>$H8&gt;1</formula>
    </cfRule>
  </conditionalFormatting>
  <conditionalFormatting sqref="J7:J40">
    <cfRule type="expression" dxfId="499" priority="13" stopIfTrue="1">
      <formula>$H7&gt;1</formula>
    </cfRule>
  </conditionalFormatting>
  <conditionalFormatting sqref="K7:K40">
    <cfRule type="expression" dxfId="498" priority="12" stopIfTrue="1">
      <formula>$H7&gt;1</formula>
    </cfRule>
  </conditionalFormatting>
  <conditionalFormatting sqref="N7:R40">
    <cfRule type="expression" dxfId="497" priority="11" stopIfTrue="1">
      <formula>$H7&gt;1</formula>
    </cfRule>
  </conditionalFormatting>
  <conditionalFormatting sqref="G7:G40">
    <cfRule type="expression" dxfId="496" priority="10" stopIfTrue="1">
      <formula>$C7&gt;1</formula>
    </cfRule>
  </conditionalFormatting>
  <conditionalFormatting sqref="E7:E40">
    <cfRule type="expression" dxfId="495" priority="9" stopIfTrue="1">
      <formula>$C7&gt;1</formula>
    </cfRule>
  </conditionalFormatting>
  <conditionalFormatting sqref="U7:U40">
    <cfRule type="expression" dxfId="494" priority="7" stopIfTrue="1">
      <formula>$H7&gt;1</formula>
    </cfRule>
  </conditionalFormatting>
  <conditionalFormatting sqref="V7:V40">
    <cfRule type="expression" dxfId="493" priority="6" stopIfTrue="1">
      <formula>$H7&gt;1</formula>
    </cfRule>
  </conditionalFormatting>
  <conditionalFormatting sqref="W7:W40">
    <cfRule type="expression" dxfId="492" priority="5" stopIfTrue="1">
      <formula>$H7&gt;1</formula>
    </cfRule>
  </conditionalFormatting>
  <conditionalFormatting sqref="F7:F17">
    <cfRule type="expression" dxfId="491" priority="4" stopIfTrue="1">
      <formula>$C7=1</formula>
    </cfRule>
  </conditionalFormatting>
  <conditionalFormatting sqref="AK7:AL23">
    <cfRule type="expression" dxfId="490" priority="3" stopIfTrue="1">
      <formula>$AE$7&gt;0</formula>
    </cfRule>
  </conditionalFormatting>
  <conditionalFormatting sqref="M1048576">
    <cfRule type="expression" dxfId="489" priority="1" stopIfTrue="1">
      <formula>$H1048576&gt;1</formula>
    </cfRule>
  </conditionalFormatting>
  <pageMargins left="0.78740157499999996" right="0.78740157499999996" top="0.984251969" bottom="0.984251969" header="0.5" footer="0.5"/>
  <pageSetup scale="7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2769" r:id="rId4" name="Drop Down 1">
              <controlPr defaultSize="0" autoLine="0" autoPict="0">
                <anchor moveWithCells="1">
                  <from>
                    <xdr:col>7</xdr:col>
                    <xdr:colOff>0</xdr:colOff>
                    <xdr:row>6</xdr:row>
                    <xdr:rowOff>0</xdr:rowOff>
                  </from>
                  <to>
                    <xdr:col>8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91" r:id="rId5" name="Drop Down 23">
              <controlPr defaultSize="0" autoLine="0" autoPict="0">
                <anchor moveWithCells="1">
                  <from>
                    <xdr:col>2</xdr:col>
                    <xdr:colOff>0</xdr:colOff>
                    <xdr:row>43</xdr:row>
                    <xdr:rowOff>0</xdr:rowOff>
                  </from>
                  <to>
                    <xdr:col>3</xdr:col>
                    <xdr:colOff>28575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92" r:id="rId6" name="Drop Down 24">
              <controlPr defaultSize="0" autoLine="0" autoPict="0">
                <anchor moveWithCells="1">
                  <from>
                    <xdr:col>3</xdr:col>
                    <xdr:colOff>0</xdr:colOff>
                    <xdr:row>43</xdr:row>
                    <xdr:rowOff>0</xdr:rowOff>
                  </from>
                  <to>
                    <xdr:col>4</xdr:col>
                    <xdr:colOff>28575</xdr:colOff>
                    <xdr:row>44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93" r:id="rId7" name="Drop Down 25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0</xdr:rowOff>
                  </from>
                  <to>
                    <xdr:col>4</xdr:col>
                    <xdr:colOff>0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94" r:id="rId8" name="Drop Down 26">
              <controlPr defaultSize="0" autoLine="0" autoPict="0">
                <anchor moveWithCells="1">
                  <from>
                    <xdr:col>3</xdr:col>
                    <xdr:colOff>0</xdr:colOff>
                    <xdr:row>52</xdr:row>
                    <xdr:rowOff>0</xdr:rowOff>
                  </from>
                  <to>
                    <xdr:col>4</xdr:col>
                    <xdr:colOff>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95" r:id="rId9" name="Drop Down 27">
              <controlPr defaultSize="0" autoLine="0" autoPict="0">
                <anchor moveWithCells="1">
                  <from>
                    <xdr:col>2</xdr:col>
                    <xdr:colOff>1247775</xdr:colOff>
                    <xdr:row>53</xdr:row>
                    <xdr:rowOff>0</xdr:rowOff>
                  </from>
                  <to>
                    <xdr:col>4</xdr:col>
                    <xdr:colOff>9525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96" r:id="rId10" name="Drop Down 28">
              <controlPr defaultSize="0" autoLine="0" autoPict="0">
                <anchor moveWithCells="1">
                  <from>
                    <xdr:col>3</xdr:col>
                    <xdr:colOff>0</xdr:colOff>
                    <xdr:row>54</xdr:row>
                    <xdr:rowOff>0</xdr:rowOff>
                  </from>
                  <to>
                    <xdr:col>4</xdr:col>
                    <xdr:colOff>9525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97" r:id="rId11" name="Drop Down 29">
              <controlPr defaultSize="0" autoLine="0" autoPict="0">
                <anchor moveWithCells="1">
                  <from>
                    <xdr:col>3</xdr:col>
                    <xdr:colOff>0</xdr:colOff>
                    <xdr:row>55</xdr:row>
                    <xdr:rowOff>0</xdr:rowOff>
                  </from>
                  <to>
                    <xdr:col>4</xdr:col>
                    <xdr:colOff>9525</xdr:colOff>
                    <xdr:row>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98" r:id="rId12" name="Drop Down 30">
              <controlPr defaultSize="0" autoLine="0" autoPict="0">
                <anchor moveWithCells="1">
                  <from>
                    <xdr:col>2</xdr:col>
                    <xdr:colOff>0</xdr:colOff>
                    <xdr:row>44</xdr:row>
                    <xdr:rowOff>0</xdr:rowOff>
                  </from>
                  <to>
                    <xdr:col>3</xdr:col>
                    <xdr:colOff>9525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99" r:id="rId13" name="Drop Down 31">
              <controlPr defaultSize="0" autoLine="0" autoPict="0">
                <anchor moveWithCells="1">
                  <from>
                    <xdr:col>2</xdr:col>
                    <xdr:colOff>0</xdr:colOff>
                    <xdr:row>45</xdr:row>
                    <xdr:rowOff>0</xdr:rowOff>
                  </from>
                  <to>
                    <xdr:col>3</xdr:col>
                    <xdr:colOff>9525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0" r:id="rId14" name="Drop Down 32">
              <controlPr defaultSize="0" autoLine="0" autoPict="0">
                <anchor moveWithCells="1">
                  <from>
                    <xdr:col>2</xdr:col>
                    <xdr:colOff>0</xdr:colOff>
                    <xdr:row>46</xdr:row>
                    <xdr:rowOff>0</xdr:rowOff>
                  </from>
                  <to>
                    <xdr:col>3</xdr:col>
                    <xdr:colOff>9525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1" r:id="rId15" name="Drop Down 33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0</xdr:rowOff>
                  </from>
                  <to>
                    <xdr:col>4</xdr:col>
                    <xdr:colOff>28575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2" r:id="rId16" name="Drop Down 34">
              <controlPr defaultSize="0" autoLine="0" autoPict="0">
                <anchor moveWithCells="1">
                  <from>
                    <xdr:col>2</xdr:col>
                    <xdr:colOff>1247775</xdr:colOff>
                    <xdr:row>45</xdr:row>
                    <xdr:rowOff>0</xdr:rowOff>
                  </from>
                  <to>
                    <xdr:col>4</xdr:col>
                    <xdr:colOff>28575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3" r:id="rId17" name="Drop Down 35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209550</xdr:rowOff>
                  </from>
                  <to>
                    <xdr:col>4</xdr:col>
                    <xdr:colOff>9525</xdr:colOff>
                    <xdr:row>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20" r:id="rId18" name="Drop Down 52">
              <controlPr defaultSize="0" autoLine="0" autoPict="0">
                <anchor moveWithCells="1">
                  <from>
                    <xdr:col>2</xdr:col>
                    <xdr:colOff>0</xdr:colOff>
                    <xdr:row>5</xdr:row>
                    <xdr:rowOff>161925</xdr:rowOff>
                  </from>
                  <to>
                    <xdr:col>3</xdr:col>
                    <xdr:colOff>9525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22" r:id="rId19" name="Drop Down 54">
              <controlPr defaultSize="0" autoLine="0" autoPict="0">
                <anchor moveWithCells="1">
                  <from>
                    <xdr:col>2</xdr:col>
                    <xdr:colOff>0</xdr:colOff>
                    <xdr:row>7</xdr:row>
                    <xdr:rowOff>0</xdr:rowOff>
                  </from>
                  <to>
                    <xdr:col>3</xdr:col>
                    <xdr:colOff>0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23" r:id="rId20" name="Drop Down 55">
              <controlPr defaultSize="0" autoLine="0" autoPict="0">
                <anchor moveWithCells="1">
                  <from>
                    <xdr:col>2</xdr:col>
                    <xdr:colOff>0</xdr:colOff>
                    <xdr:row>8</xdr:row>
                    <xdr:rowOff>9525</xdr:rowOff>
                  </from>
                  <to>
                    <xdr:col>3</xdr:col>
                    <xdr:colOff>0</xdr:colOff>
                    <xdr:row>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24" r:id="rId21" name="Drop Down 56">
              <controlPr defaultSize="0" autoLine="0" autoPict="0">
                <anchor moveWithCells="1">
                  <from>
                    <xdr:col>2</xdr:col>
                    <xdr:colOff>0</xdr:colOff>
                    <xdr:row>9</xdr:row>
                    <xdr:rowOff>9525</xdr:rowOff>
                  </from>
                  <to>
                    <xdr:col>3</xdr:col>
                    <xdr:colOff>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25" r:id="rId22" name="Drop Down 57">
              <controlPr defaultSize="0" autoLine="0" autoPict="0">
                <anchor moveWithCells="1">
                  <from>
                    <xdr:col>2</xdr:col>
                    <xdr:colOff>0</xdr:colOff>
                    <xdr:row>10</xdr:row>
                    <xdr:rowOff>9525</xdr:rowOff>
                  </from>
                  <to>
                    <xdr:col>3</xdr:col>
                    <xdr:colOff>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26" r:id="rId23" name="Drop Down 58">
              <controlPr defaultSize="0" autoLine="0" autoPict="0">
                <anchor moveWithCells="1">
                  <from>
                    <xdr:col>2</xdr:col>
                    <xdr:colOff>0</xdr:colOff>
                    <xdr:row>11</xdr:row>
                    <xdr:rowOff>9525</xdr:rowOff>
                  </from>
                  <to>
                    <xdr:col>3</xdr:col>
                    <xdr:colOff>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27" r:id="rId24" name="Drop Down 59">
              <controlPr defaultSize="0" autoLine="0" autoPict="0">
                <anchor moveWithCells="1">
                  <from>
                    <xdr:col>2</xdr:col>
                    <xdr:colOff>0</xdr:colOff>
                    <xdr:row>12</xdr:row>
                    <xdr:rowOff>9525</xdr:rowOff>
                  </from>
                  <to>
                    <xdr:col>3</xdr:col>
                    <xdr:colOff>0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28" r:id="rId25" name="Drop Down 60">
              <controlPr defaultSize="0" autoLine="0" autoPict="0">
                <anchor moveWithCells="1">
                  <from>
                    <xdr:col>2</xdr:col>
                    <xdr:colOff>0</xdr:colOff>
                    <xdr:row>13</xdr:row>
                    <xdr:rowOff>9525</xdr:rowOff>
                  </from>
                  <to>
                    <xdr:col>3</xdr:col>
                    <xdr:colOff>0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29" r:id="rId26" name="Drop Down 61">
              <controlPr defaultSize="0" autoLine="0" autoPict="0">
                <anchor moveWithCells="1">
                  <from>
                    <xdr:col>2</xdr:col>
                    <xdr:colOff>0</xdr:colOff>
                    <xdr:row>14</xdr:row>
                    <xdr:rowOff>9525</xdr:rowOff>
                  </from>
                  <to>
                    <xdr:col>3</xdr:col>
                    <xdr:colOff>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31" r:id="rId27" name="Drop Down 63">
              <controlPr defaultSize="0" autoLine="0" autoPict="0">
                <anchor moveWithCells="1">
                  <from>
                    <xdr:col>18</xdr:col>
                    <xdr:colOff>0</xdr:colOff>
                    <xdr:row>6</xdr:row>
                    <xdr:rowOff>0</xdr:rowOff>
                  </from>
                  <to>
                    <xdr:col>19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32" r:id="rId28" name="Drop Down 64">
              <controlPr defaultSize="0" autoLine="0" autoPict="0">
                <anchor moveWithCells="1">
                  <from>
                    <xdr:col>19</xdr:col>
                    <xdr:colOff>0</xdr:colOff>
                    <xdr:row>6</xdr:row>
                    <xdr:rowOff>0</xdr:rowOff>
                  </from>
                  <to>
                    <xdr:col>20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33" r:id="rId29" name="Drop Down 65">
              <controlPr defaultSize="0" autoLine="0" autoPict="0">
                <anchor moveWithCells="1">
                  <from>
                    <xdr:col>18</xdr:col>
                    <xdr:colOff>0</xdr:colOff>
                    <xdr:row>7</xdr:row>
                    <xdr:rowOff>0</xdr:rowOff>
                  </from>
                  <to>
                    <xdr:col>19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34" r:id="rId30" name="Drop Down 66">
              <controlPr defaultSize="0" autoLine="0" autoPict="0">
                <anchor moveWithCells="1">
                  <from>
                    <xdr:col>18</xdr:col>
                    <xdr:colOff>0</xdr:colOff>
                    <xdr:row>8</xdr:row>
                    <xdr:rowOff>0</xdr:rowOff>
                  </from>
                  <to>
                    <xdr:col>19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35" r:id="rId31" name="Drop Down 67">
              <controlPr defaultSize="0" autoLine="0" autoPict="0">
                <anchor moveWithCells="1">
                  <from>
                    <xdr:col>18</xdr:col>
                    <xdr:colOff>0</xdr:colOff>
                    <xdr:row>9</xdr:row>
                    <xdr:rowOff>0</xdr:rowOff>
                  </from>
                  <to>
                    <xdr:col>19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36" r:id="rId32" name="Drop Down 68">
              <controlPr defaultSize="0" autoLine="0" autoPict="0">
                <anchor moveWithCells="1">
                  <from>
                    <xdr:col>18</xdr:col>
                    <xdr:colOff>0</xdr:colOff>
                    <xdr:row>10</xdr:row>
                    <xdr:rowOff>0</xdr:rowOff>
                  </from>
                  <to>
                    <xdr:col>19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37" r:id="rId33" name="Drop Down 69">
              <controlPr defaultSize="0" autoLine="0" autoPict="0">
                <anchor moveWithCells="1">
                  <from>
                    <xdr:col>18</xdr:col>
                    <xdr:colOff>0</xdr:colOff>
                    <xdr:row>11</xdr:row>
                    <xdr:rowOff>0</xdr:rowOff>
                  </from>
                  <to>
                    <xdr:col>19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38" r:id="rId34" name="Drop Down 70">
              <controlPr defaultSize="0" autoLine="0" autoPict="0">
                <anchor moveWithCells="1">
                  <from>
                    <xdr:col>18</xdr:col>
                    <xdr:colOff>0</xdr:colOff>
                    <xdr:row>12</xdr:row>
                    <xdr:rowOff>0</xdr:rowOff>
                  </from>
                  <to>
                    <xdr:col>19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39" r:id="rId35" name="Drop Down 71">
              <controlPr defaultSize="0" autoLine="0" autoPict="0">
                <anchor moveWithCells="1">
                  <from>
                    <xdr:col>18</xdr:col>
                    <xdr:colOff>0</xdr:colOff>
                    <xdr:row>13</xdr:row>
                    <xdr:rowOff>0</xdr:rowOff>
                  </from>
                  <to>
                    <xdr:col>19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40" r:id="rId36" name="Drop Down 72">
              <controlPr defaultSize="0" autoLine="0" autoPict="0">
                <anchor moveWithCells="1">
                  <from>
                    <xdr:col>18</xdr:col>
                    <xdr:colOff>0</xdr:colOff>
                    <xdr:row>14</xdr:row>
                    <xdr:rowOff>0</xdr:rowOff>
                  </from>
                  <to>
                    <xdr:col>19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41" r:id="rId37" name="Drop Down 73">
              <controlPr defaultSize="0" autoLine="0" autoPict="0">
                <anchor moveWithCells="1">
                  <from>
                    <xdr:col>19</xdr:col>
                    <xdr:colOff>0</xdr:colOff>
                    <xdr:row>7</xdr:row>
                    <xdr:rowOff>0</xdr:rowOff>
                  </from>
                  <to>
                    <xdr:col>20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42" r:id="rId38" name="Drop Down 74">
              <controlPr defaultSize="0" autoLine="0" autoPict="0">
                <anchor moveWithCells="1">
                  <from>
                    <xdr:col>19</xdr:col>
                    <xdr:colOff>0</xdr:colOff>
                    <xdr:row>8</xdr:row>
                    <xdr:rowOff>0</xdr:rowOff>
                  </from>
                  <to>
                    <xdr:col>20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43" r:id="rId39" name="Drop Down 75">
              <controlPr defaultSize="0" autoLine="0" autoPict="0">
                <anchor moveWithCells="1">
                  <from>
                    <xdr:col>19</xdr:col>
                    <xdr:colOff>0</xdr:colOff>
                    <xdr:row>9</xdr:row>
                    <xdr:rowOff>0</xdr:rowOff>
                  </from>
                  <to>
                    <xdr:col>20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44" r:id="rId40" name="Drop Down 76">
              <controlPr defaultSize="0" autoLine="0" autoPict="0">
                <anchor moveWithCells="1">
                  <from>
                    <xdr:col>19</xdr:col>
                    <xdr:colOff>0</xdr:colOff>
                    <xdr:row>10</xdr:row>
                    <xdr:rowOff>0</xdr:rowOff>
                  </from>
                  <to>
                    <xdr:col>20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45" r:id="rId41" name="Drop Down 77">
              <controlPr defaultSize="0" autoLine="0" autoPict="0">
                <anchor moveWithCells="1">
                  <from>
                    <xdr:col>19</xdr:col>
                    <xdr:colOff>0</xdr:colOff>
                    <xdr:row>11</xdr:row>
                    <xdr:rowOff>0</xdr:rowOff>
                  </from>
                  <to>
                    <xdr:col>20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46" r:id="rId42" name="Drop Down 78">
              <controlPr defaultSize="0" autoLine="0" autoPict="0">
                <anchor moveWithCells="1">
                  <from>
                    <xdr:col>19</xdr:col>
                    <xdr:colOff>0</xdr:colOff>
                    <xdr:row>12</xdr:row>
                    <xdr:rowOff>0</xdr:rowOff>
                  </from>
                  <to>
                    <xdr:col>20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47" r:id="rId43" name="Drop Down 79">
              <controlPr defaultSize="0" autoLine="0" autoPict="0">
                <anchor moveWithCells="1">
                  <from>
                    <xdr:col>19</xdr:col>
                    <xdr:colOff>0</xdr:colOff>
                    <xdr:row>13</xdr:row>
                    <xdr:rowOff>0</xdr:rowOff>
                  </from>
                  <to>
                    <xdr:col>20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48" r:id="rId44" name="Drop Down 80">
              <controlPr defaultSize="0" autoLine="0" autoPict="0">
                <anchor moveWithCells="1">
                  <from>
                    <xdr:col>19</xdr:col>
                    <xdr:colOff>0</xdr:colOff>
                    <xdr:row>14</xdr:row>
                    <xdr:rowOff>0</xdr:rowOff>
                  </from>
                  <to>
                    <xdr:col>20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57" r:id="rId45" name="Drop Down 89">
              <controlPr defaultSize="0" autoLine="0" autoPict="0">
                <anchor moveWithCells="1">
                  <from>
                    <xdr:col>8</xdr:col>
                    <xdr:colOff>0</xdr:colOff>
                    <xdr:row>51</xdr:row>
                    <xdr:rowOff>0</xdr:rowOff>
                  </from>
                  <to>
                    <xdr:col>8</xdr:col>
                    <xdr:colOff>600075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58" r:id="rId46" name="Drop Down 90">
              <controlPr defaultSize="0" autoLine="0" autoPict="0">
                <anchor moveWithCells="1">
                  <from>
                    <xdr:col>9</xdr:col>
                    <xdr:colOff>0</xdr:colOff>
                    <xdr:row>51</xdr:row>
                    <xdr:rowOff>0</xdr:rowOff>
                  </from>
                  <to>
                    <xdr:col>10</xdr:col>
                    <xdr:colOff>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59" r:id="rId47" name="Drop Down 91">
              <controlPr defaultSize="0" autoLine="0" autoPict="0">
                <anchor moveWithCells="1">
                  <from>
                    <xdr:col>8</xdr:col>
                    <xdr:colOff>0</xdr:colOff>
                    <xdr:row>52</xdr:row>
                    <xdr:rowOff>0</xdr:rowOff>
                  </from>
                  <to>
                    <xdr:col>8</xdr:col>
                    <xdr:colOff>600075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60" r:id="rId48" name="Drop Down 92">
              <controlPr defaultSize="0" autoLine="0" autoPict="0">
                <anchor moveWithCells="1">
                  <from>
                    <xdr:col>8</xdr:col>
                    <xdr:colOff>0</xdr:colOff>
                    <xdr:row>53</xdr:row>
                    <xdr:rowOff>0</xdr:rowOff>
                  </from>
                  <to>
                    <xdr:col>8</xdr:col>
                    <xdr:colOff>600075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61" r:id="rId49" name="Drop Down 93">
              <controlPr defaultSize="0" autoLine="0" autoPict="0">
                <anchor moveWithCells="1">
                  <from>
                    <xdr:col>8</xdr:col>
                    <xdr:colOff>0</xdr:colOff>
                    <xdr:row>54</xdr:row>
                    <xdr:rowOff>0</xdr:rowOff>
                  </from>
                  <to>
                    <xdr:col>8</xdr:col>
                    <xdr:colOff>600075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62" r:id="rId50" name="Drop Down 94">
              <controlPr defaultSize="0" autoLine="0" autoPict="0">
                <anchor moveWithCells="1">
                  <from>
                    <xdr:col>8</xdr:col>
                    <xdr:colOff>0</xdr:colOff>
                    <xdr:row>55</xdr:row>
                    <xdr:rowOff>0</xdr:rowOff>
                  </from>
                  <to>
                    <xdr:col>8</xdr:col>
                    <xdr:colOff>600075</xdr:colOff>
                    <xdr:row>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63" r:id="rId51" name="Drop Down 95">
              <controlPr defaultSize="0" autoLine="0" autoPict="0">
                <anchor moveWithCells="1">
                  <from>
                    <xdr:col>9</xdr:col>
                    <xdr:colOff>0</xdr:colOff>
                    <xdr:row>52</xdr:row>
                    <xdr:rowOff>0</xdr:rowOff>
                  </from>
                  <to>
                    <xdr:col>10</xdr:col>
                    <xdr:colOff>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64" r:id="rId52" name="Drop Down 96">
              <controlPr defaultSize="0" autoLine="0" autoPict="0">
                <anchor moveWithCells="1">
                  <from>
                    <xdr:col>9</xdr:col>
                    <xdr:colOff>0</xdr:colOff>
                    <xdr:row>53</xdr:row>
                    <xdr:rowOff>0</xdr:rowOff>
                  </from>
                  <to>
                    <xdr:col>10</xdr:col>
                    <xdr:colOff>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65" r:id="rId53" name="Drop Down 97">
              <controlPr defaultSize="0" autoLine="0" autoPict="0">
                <anchor moveWithCells="1">
                  <from>
                    <xdr:col>9</xdr:col>
                    <xdr:colOff>0</xdr:colOff>
                    <xdr:row>54</xdr:row>
                    <xdr:rowOff>0</xdr:rowOff>
                  </from>
                  <to>
                    <xdr:col>10</xdr:col>
                    <xdr:colOff>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66" r:id="rId54" name="Drop Down 98">
              <controlPr defaultSize="0" autoLine="0" autoPict="0">
                <anchor moveWithCells="1">
                  <from>
                    <xdr:col>9</xdr:col>
                    <xdr:colOff>0</xdr:colOff>
                    <xdr:row>55</xdr:row>
                    <xdr:rowOff>0</xdr:rowOff>
                  </from>
                  <to>
                    <xdr:col>10</xdr:col>
                    <xdr:colOff>0</xdr:colOff>
                    <xdr:row>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75" r:id="rId55" name="Drop Down 107">
              <controlPr defaultSize="0" autoLine="0" autoPict="0">
                <anchor moveWithCells="1">
                  <from>
                    <xdr:col>7</xdr:col>
                    <xdr:colOff>0</xdr:colOff>
                    <xdr:row>7</xdr:row>
                    <xdr:rowOff>0</xdr:rowOff>
                  </from>
                  <to>
                    <xdr:col>8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76" r:id="rId56" name="Drop Down 108">
              <controlPr defaultSize="0" autoLine="0" autoPict="0">
                <anchor moveWithCells="1">
                  <from>
                    <xdr:col>7</xdr:col>
                    <xdr:colOff>0</xdr:colOff>
                    <xdr:row>8</xdr:row>
                    <xdr:rowOff>0</xdr:rowOff>
                  </from>
                  <to>
                    <xdr:col>8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77" r:id="rId57" name="Drop Down 109">
              <controlPr defaultSize="0" autoLine="0" autoPict="0">
                <anchor moveWithCells="1">
                  <from>
                    <xdr:col>7</xdr:col>
                    <xdr:colOff>0</xdr:colOff>
                    <xdr:row>9</xdr:row>
                    <xdr:rowOff>0</xdr:rowOff>
                  </from>
                  <to>
                    <xdr:col>8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78" r:id="rId58" name="Drop Down 110">
              <controlPr defaultSize="0" autoLine="0" autoPict="0">
                <anchor moveWithCells="1">
                  <from>
                    <xdr:col>7</xdr:col>
                    <xdr:colOff>0</xdr:colOff>
                    <xdr:row>10</xdr:row>
                    <xdr:rowOff>0</xdr:rowOff>
                  </from>
                  <to>
                    <xdr:col>8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79" r:id="rId59" name="Drop Down 111">
              <controlPr defaultSize="0" autoLine="0" autoPict="0">
                <anchor moveWithCells="1">
                  <from>
                    <xdr:col>7</xdr:col>
                    <xdr:colOff>0</xdr:colOff>
                    <xdr:row>11</xdr:row>
                    <xdr:rowOff>0</xdr:rowOff>
                  </from>
                  <to>
                    <xdr:col>8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80" r:id="rId60" name="Drop Down 112">
              <controlPr defaultSize="0" autoLine="0" autoPict="0">
                <anchor moveWithCells="1">
                  <from>
                    <xdr:col>7</xdr:col>
                    <xdr:colOff>0</xdr:colOff>
                    <xdr:row>12</xdr:row>
                    <xdr:rowOff>0</xdr:rowOff>
                  </from>
                  <to>
                    <xdr:col>8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81" r:id="rId61" name="Drop Down 113">
              <controlPr defaultSize="0" autoLine="0" autoPict="0">
                <anchor moveWithCells="1">
                  <from>
                    <xdr:col>7</xdr:col>
                    <xdr:colOff>0</xdr:colOff>
                    <xdr:row>13</xdr:row>
                    <xdr:rowOff>0</xdr:rowOff>
                  </from>
                  <to>
                    <xdr:col>8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82" r:id="rId62" name="Drop Down 114">
              <controlPr defaultSize="0" autoLine="0" autoPict="0">
                <anchor moveWithCells="1">
                  <from>
                    <xdr:col>7</xdr:col>
                    <xdr:colOff>0</xdr:colOff>
                    <xdr:row>14</xdr:row>
                    <xdr:rowOff>0</xdr:rowOff>
                  </from>
                  <to>
                    <xdr:col>8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83" r:id="rId63" name="Drop Down 115">
              <controlPr defaultSize="0" autoLine="0" autoPict="0">
                <anchor moveWithCells="1">
                  <from>
                    <xdr:col>2</xdr:col>
                    <xdr:colOff>0</xdr:colOff>
                    <xdr:row>15</xdr:row>
                    <xdr:rowOff>9525</xdr:rowOff>
                  </from>
                  <to>
                    <xdr:col>3</xdr:col>
                    <xdr:colOff>0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84" r:id="rId64" name="Drop Down 116">
              <controlPr defaultSize="0" autoLine="0" autoPict="0">
                <anchor moveWithCells="1">
                  <from>
                    <xdr:col>2</xdr:col>
                    <xdr:colOff>0</xdr:colOff>
                    <xdr:row>16</xdr:row>
                    <xdr:rowOff>9525</xdr:rowOff>
                  </from>
                  <to>
                    <xdr:col>3</xdr:col>
                    <xdr:colOff>0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85" r:id="rId65" name="Drop Down 117">
              <controlPr defaultSize="0" autoLine="0" autoPict="0">
                <anchor moveWithCells="1">
                  <from>
                    <xdr:col>2</xdr:col>
                    <xdr:colOff>0</xdr:colOff>
                    <xdr:row>17</xdr:row>
                    <xdr:rowOff>9525</xdr:rowOff>
                  </from>
                  <to>
                    <xdr:col>3</xdr:col>
                    <xdr:colOff>0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86" r:id="rId66" name="Drop Down 118">
              <controlPr defaultSize="0" autoLine="0" autoPict="0">
                <anchor moveWithCells="1">
                  <from>
                    <xdr:col>2</xdr:col>
                    <xdr:colOff>0</xdr:colOff>
                    <xdr:row>18</xdr:row>
                    <xdr:rowOff>9525</xdr:rowOff>
                  </from>
                  <to>
                    <xdr:col>3</xdr:col>
                    <xdr:colOff>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87" r:id="rId67" name="Drop Down 119">
              <controlPr defaultSize="0" autoLine="0" autoPict="0">
                <anchor moveWithCells="1">
                  <from>
                    <xdr:col>2</xdr:col>
                    <xdr:colOff>0</xdr:colOff>
                    <xdr:row>19</xdr:row>
                    <xdr:rowOff>9525</xdr:rowOff>
                  </from>
                  <to>
                    <xdr:col>3</xdr:col>
                    <xdr:colOff>0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88" r:id="rId68" name="Drop Down 120">
              <controlPr defaultSize="0" autoLine="0" autoPict="0">
                <anchor moveWithCells="1">
                  <from>
                    <xdr:col>2</xdr:col>
                    <xdr:colOff>0</xdr:colOff>
                    <xdr:row>20</xdr:row>
                    <xdr:rowOff>9525</xdr:rowOff>
                  </from>
                  <to>
                    <xdr:col>3</xdr:col>
                    <xdr:colOff>9525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89" r:id="rId69" name="Drop Down 121">
              <controlPr defaultSize="0" autoLine="0" autoPict="0">
                <anchor moveWithCells="1">
                  <from>
                    <xdr:col>2</xdr:col>
                    <xdr:colOff>0</xdr:colOff>
                    <xdr:row>21</xdr:row>
                    <xdr:rowOff>9525</xdr:rowOff>
                  </from>
                  <to>
                    <xdr:col>3</xdr:col>
                    <xdr:colOff>9525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90" r:id="rId70" name="Drop Down 122">
              <controlPr defaultSize="0" autoLine="0" autoPict="0">
                <anchor moveWithCells="1">
                  <from>
                    <xdr:col>2</xdr:col>
                    <xdr:colOff>0</xdr:colOff>
                    <xdr:row>22</xdr:row>
                    <xdr:rowOff>9525</xdr:rowOff>
                  </from>
                  <to>
                    <xdr:col>3</xdr:col>
                    <xdr:colOff>9525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91" r:id="rId71" name="Drop Down 123">
              <controlPr defaultSize="0" autoLine="0" autoPict="0">
                <anchor moveWithCells="1">
                  <from>
                    <xdr:col>2</xdr:col>
                    <xdr:colOff>0</xdr:colOff>
                    <xdr:row>23</xdr:row>
                    <xdr:rowOff>9525</xdr:rowOff>
                  </from>
                  <to>
                    <xdr:col>3</xdr:col>
                    <xdr:colOff>9525</xdr:colOff>
                    <xdr:row>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92" r:id="rId72" name="Drop Down 124">
              <controlPr defaultSize="0" autoLine="0" autoPict="0">
                <anchor moveWithCells="1">
                  <from>
                    <xdr:col>7</xdr:col>
                    <xdr:colOff>0</xdr:colOff>
                    <xdr:row>15</xdr:row>
                    <xdr:rowOff>0</xdr:rowOff>
                  </from>
                  <to>
                    <xdr:col>8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93" r:id="rId73" name="Drop Down 125">
              <controlPr defaultSize="0" autoLine="0" autoPict="0">
                <anchor moveWithCells="1">
                  <from>
                    <xdr:col>7</xdr:col>
                    <xdr:colOff>0</xdr:colOff>
                    <xdr:row>16</xdr:row>
                    <xdr:rowOff>0</xdr:rowOff>
                  </from>
                  <to>
                    <xdr:col>8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94" r:id="rId74" name="Drop Down 126">
              <controlPr defaultSize="0" autoLine="0" autoPict="0">
                <anchor moveWithCells="1">
                  <from>
                    <xdr:col>7</xdr:col>
                    <xdr:colOff>0</xdr:colOff>
                    <xdr:row>17</xdr:row>
                    <xdr:rowOff>0</xdr:rowOff>
                  </from>
                  <to>
                    <xdr:col>8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95" r:id="rId75" name="Drop Down 127">
              <controlPr defaultSize="0" autoLine="0" autoPict="0">
                <anchor moveWithCells="1">
                  <from>
                    <xdr:col>7</xdr:col>
                    <xdr:colOff>0</xdr:colOff>
                    <xdr:row>18</xdr:row>
                    <xdr:rowOff>0</xdr:rowOff>
                  </from>
                  <to>
                    <xdr:col>8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96" r:id="rId76" name="Drop Down 128">
              <controlPr defaultSize="0" autoLine="0" autoPict="0">
                <anchor moveWithCells="1">
                  <from>
                    <xdr:col>7</xdr:col>
                    <xdr:colOff>0</xdr:colOff>
                    <xdr:row>19</xdr:row>
                    <xdr:rowOff>0</xdr:rowOff>
                  </from>
                  <to>
                    <xdr:col>8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97" r:id="rId77" name="Drop Down 129">
              <controlPr defaultSize="0" autoLine="0" autoPict="0">
                <anchor moveWithCells="1">
                  <from>
                    <xdr:col>7</xdr:col>
                    <xdr:colOff>0</xdr:colOff>
                    <xdr:row>20</xdr:row>
                    <xdr:rowOff>0</xdr:rowOff>
                  </from>
                  <to>
                    <xdr:col>8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98" r:id="rId78" name="Drop Down 130">
              <controlPr defaultSize="0" autoLine="0" autoPict="0">
                <anchor moveWithCells="1">
                  <from>
                    <xdr:col>7</xdr:col>
                    <xdr:colOff>0</xdr:colOff>
                    <xdr:row>21</xdr:row>
                    <xdr:rowOff>0</xdr:rowOff>
                  </from>
                  <to>
                    <xdr:col>8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99" r:id="rId79" name="Drop Down 131">
              <controlPr defaultSize="0" autoLine="0" autoPict="0">
                <anchor moveWithCells="1">
                  <from>
                    <xdr:col>7</xdr:col>
                    <xdr:colOff>0</xdr:colOff>
                    <xdr:row>22</xdr:row>
                    <xdr:rowOff>0</xdr:rowOff>
                  </from>
                  <to>
                    <xdr:col>8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00" r:id="rId80" name="Drop Down 132">
              <controlPr defaultSize="0" autoLine="0" autoPict="0">
                <anchor moveWithCells="1">
                  <from>
                    <xdr:col>7</xdr:col>
                    <xdr:colOff>0</xdr:colOff>
                    <xdr:row>23</xdr:row>
                    <xdr:rowOff>0</xdr:rowOff>
                  </from>
                  <to>
                    <xdr:col>8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01" r:id="rId81" name="Drop Down 133">
              <controlPr defaultSize="0" autoLine="0" autoPict="0">
                <anchor moveWithCells="1">
                  <from>
                    <xdr:col>18</xdr:col>
                    <xdr:colOff>0</xdr:colOff>
                    <xdr:row>15</xdr:row>
                    <xdr:rowOff>0</xdr:rowOff>
                  </from>
                  <to>
                    <xdr:col>19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02" r:id="rId82" name="Drop Down 134">
              <controlPr defaultSize="0" autoLine="0" autoPict="0">
                <anchor moveWithCells="1">
                  <from>
                    <xdr:col>18</xdr:col>
                    <xdr:colOff>0</xdr:colOff>
                    <xdr:row>16</xdr:row>
                    <xdr:rowOff>0</xdr:rowOff>
                  </from>
                  <to>
                    <xdr:col>19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03" r:id="rId83" name="Drop Down 135">
              <controlPr defaultSize="0" autoLine="0" autoPict="0">
                <anchor moveWithCells="1">
                  <from>
                    <xdr:col>18</xdr:col>
                    <xdr:colOff>0</xdr:colOff>
                    <xdr:row>17</xdr:row>
                    <xdr:rowOff>0</xdr:rowOff>
                  </from>
                  <to>
                    <xdr:col>19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04" r:id="rId84" name="Drop Down 136">
              <controlPr defaultSize="0" autoLine="0" autoPict="0">
                <anchor moveWithCells="1">
                  <from>
                    <xdr:col>18</xdr:col>
                    <xdr:colOff>0</xdr:colOff>
                    <xdr:row>18</xdr:row>
                    <xdr:rowOff>0</xdr:rowOff>
                  </from>
                  <to>
                    <xdr:col>19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05" r:id="rId85" name="Drop Down 137">
              <controlPr defaultSize="0" autoLine="0" autoPict="0">
                <anchor moveWithCells="1">
                  <from>
                    <xdr:col>18</xdr:col>
                    <xdr:colOff>0</xdr:colOff>
                    <xdr:row>19</xdr:row>
                    <xdr:rowOff>0</xdr:rowOff>
                  </from>
                  <to>
                    <xdr:col>19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06" r:id="rId86" name="Drop Down 138">
              <controlPr defaultSize="0" autoLine="0" autoPict="0">
                <anchor moveWithCells="1">
                  <from>
                    <xdr:col>18</xdr:col>
                    <xdr:colOff>0</xdr:colOff>
                    <xdr:row>20</xdr:row>
                    <xdr:rowOff>0</xdr:rowOff>
                  </from>
                  <to>
                    <xdr:col>19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07" r:id="rId87" name="Drop Down 139">
              <controlPr defaultSize="0" autoLine="0" autoPict="0">
                <anchor moveWithCells="1">
                  <from>
                    <xdr:col>18</xdr:col>
                    <xdr:colOff>0</xdr:colOff>
                    <xdr:row>21</xdr:row>
                    <xdr:rowOff>0</xdr:rowOff>
                  </from>
                  <to>
                    <xdr:col>19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08" r:id="rId88" name="Drop Down 140">
              <controlPr defaultSize="0" autoLine="0" autoPict="0">
                <anchor moveWithCells="1">
                  <from>
                    <xdr:col>18</xdr:col>
                    <xdr:colOff>0</xdr:colOff>
                    <xdr:row>22</xdr:row>
                    <xdr:rowOff>0</xdr:rowOff>
                  </from>
                  <to>
                    <xdr:col>19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09" r:id="rId89" name="Drop Down 141">
              <controlPr defaultSize="0" autoLine="0" autoPict="0">
                <anchor moveWithCells="1">
                  <from>
                    <xdr:col>18</xdr:col>
                    <xdr:colOff>0</xdr:colOff>
                    <xdr:row>23</xdr:row>
                    <xdr:rowOff>0</xdr:rowOff>
                  </from>
                  <to>
                    <xdr:col>19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10" r:id="rId90" name="Drop Down 142">
              <controlPr defaultSize="0" autoLine="0" autoPict="0">
                <anchor moveWithCells="1">
                  <from>
                    <xdr:col>19</xdr:col>
                    <xdr:colOff>0</xdr:colOff>
                    <xdr:row>15</xdr:row>
                    <xdr:rowOff>0</xdr:rowOff>
                  </from>
                  <to>
                    <xdr:col>20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11" r:id="rId91" name="Drop Down 143">
              <controlPr defaultSize="0" autoLine="0" autoPict="0">
                <anchor moveWithCells="1">
                  <from>
                    <xdr:col>19</xdr:col>
                    <xdr:colOff>0</xdr:colOff>
                    <xdr:row>16</xdr:row>
                    <xdr:rowOff>0</xdr:rowOff>
                  </from>
                  <to>
                    <xdr:col>20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12" r:id="rId92" name="Drop Down 144">
              <controlPr defaultSize="0" autoLine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20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13" r:id="rId93" name="Drop Down 145">
              <controlPr defaultSize="0" autoLine="0" autoPict="0">
                <anchor moveWithCells="1">
                  <from>
                    <xdr:col>19</xdr:col>
                    <xdr:colOff>0</xdr:colOff>
                    <xdr:row>18</xdr:row>
                    <xdr:rowOff>0</xdr:rowOff>
                  </from>
                  <to>
                    <xdr:col>20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14" r:id="rId94" name="Drop Down 146">
              <controlPr defaultSize="0" autoLine="0" autoPict="0">
                <anchor moveWithCells="1">
                  <from>
                    <xdr:col>19</xdr:col>
                    <xdr:colOff>0</xdr:colOff>
                    <xdr:row>19</xdr:row>
                    <xdr:rowOff>0</xdr:rowOff>
                  </from>
                  <to>
                    <xdr:col>20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15" r:id="rId95" name="Drop Down 147">
              <controlPr defaultSize="0" autoLine="0" autoPict="0">
                <anchor moveWithCells="1">
                  <from>
                    <xdr:col>19</xdr:col>
                    <xdr:colOff>0</xdr:colOff>
                    <xdr:row>20</xdr:row>
                    <xdr:rowOff>0</xdr:rowOff>
                  </from>
                  <to>
                    <xdr:col>20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16" r:id="rId96" name="Drop Down 148">
              <controlPr defaultSize="0" autoLine="0" autoPict="0">
                <anchor moveWithCells="1">
                  <from>
                    <xdr:col>19</xdr:col>
                    <xdr:colOff>0</xdr:colOff>
                    <xdr:row>21</xdr:row>
                    <xdr:rowOff>0</xdr:rowOff>
                  </from>
                  <to>
                    <xdr:col>20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17" r:id="rId97" name="Drop Down 149">
              <controlPr defaultSize="0" autoLine="0" autoPict="0">
                <anchor moveWithCells="1">
                  <from>
                    <xdr:col>19</xdr:col>
                    <xdr:colOff>0</xdr:colOff>
                    <xdr:row>22</xdr:row>
                    <xdr:rowOff>0</xdr:rowOff>
                  </from>
                  <to>
                    <xdr:col>20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18" r:id="rId98" name="Drop Down 150">
              <controlPr defaultSize="0" autoLine="0" autoPict="0">
                <anchor moveWithCells="1">
                  <from>
                    <xdr:col>19</xdr:col>
                    <xdr:colOff>0</xdr:colOff>
                    <xdr:row>23</xdr:row>
                    <xdr:rowOff>0</xdr:rowOff>
                  </from>
                  <to>
                    <xdr:col>20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34" r:id="rId99" name="Drop Down 166">
              <controlPr defaultSize="0" autoLine="0" autoPict="0">
                <anchor moveWithCells="1">
                  <from>
                    <xdr:col>2</xdr:col>
                    <xdr:colOff>0</xdr:colOff>
                    <xdr:row>23</xdr:row>
                    <xdr:rowOff>9525</xdr:rowOff>
                  </from>
                  <to>
                    <xdr:col>3</xdr:col>
                    <xdr:colOff>9525</xdr:colOff>
                    <xdr:row>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35" r:id="rId100" name="Drop Down 167">
              <controlPr defaultSize="0" autoLine="0" autoPict="0">
                <anchor moveWithCells="1">
                  <from>
                    <xdr:col>2</xdr:col>
                    <xdr:colOff>0</xdr:colOff>
                    <xdr:row>24</xdr:row>
                    <xdr:rowOff>9525</xdr:rowOff>
                  </from>
                  <to>
                    <xdr:col>3</xdr:col>
                    <xdr:colOff>9525</xdr:colOff>
                    <xdr:row>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36" r:id="rId101" name="Drop Down 168">
              <controlPr defaultSize="0" autoLine="0" autoPict="0">
                <anchor moveWithCells="1">
                  <from>
                    <xdr:col>7</xdr:col>
                    <xdr:colOff>0</xdr:colOff>
                    <xdr:row>24</xdr:row>
                    <xdr:rowOff>0</xdr:rowOff>
                  </from>
                  <to>
                    <xdr:col>8</xdr:col>
                    <xdr:colOff>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37" r:id="rId102" name="Drop Down 169">
              <controlPr defaultSize="0" autoLine="0" autoPict="0">
                <anchor moveWithCells="1">
                  <from>
                    <xdr:col>18</xdr:col>
                    <xdr:colOff>0</xdr:colOff>
                    <xdr:row>24</xdr:row>
                    <xdr:rowOff>0</xdr:rowOff>
                  </from>
                  <to>
                    <xdr:col>19</xdr:col>
                    <xdr:colOff>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38" r:id="rId103" name="Drop Down 170">
              <controlPr defaultSize="0" autoLine="0" autoPict="0">
                <anchor moveWithCells="1">
                  <from>
                    <xdr:col>19</xdr:col>
                    <xdr:colOff>0</xdr:colOff>
                    <xdr:row>24</xdr:row>
                    <xdr:rowOff>0</xdr:rowOff>
                  </from>
                  <to>
                    <xdr:col>20</xdr:col>
                    <xdr:colOff>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39" r:id="rId104" name="Drop Down 171">
              <controlPr defaultSize="0" autoLine="0" autoPict="0">
                <anchor moveWithCells="1">
                  <from>
                    <xdr:col>2</xdr:col>
                    <xdr:colOff>0</xdr:colOff>
                    <xdr:row>24</xdr:row>
                    <xdr:rowOff>9525</xdr:rowOff>
                  </from>
                  <to>
                    <xdr:col>3</xdr:col>
                    <xdr:colOff>9525</xdr:colOff>
                    <xdr:row>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40" r:id="rId105" name="Drop Down 172">
              <controlPr defaultSize="0" autoLine="0" autoPict="0">
                <anchor moveWithCells="1">
                  <from>
                    <xdr:col>2</xdr:col>
                    <xdr:colOff>0</xdr:colOff>
                    <xdr:row>25</xdr:row>
                    <xdr:rowOff>9525</xdr:rowOff>
                  </from>
                  <to>
                    <xdr:col>3</xdr:col>
                    <xdr:colOff>9525</xdr:colOff>
                    <xdr:row>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41" r:id="rId106" name="Drop Down 173">
              <controlPr defaultSize="0" autoLine="0" autoPict="0">
                <anchor moveWithCells="1">
                  <from>
                    <xdr:col>7</xdr:col>
                    <xdr:colOff>0</xdr:colOff>
                    <xdr:row>25</xdr:row>
                    <xdr:rowOff>0</xdr:rowOff>
                  </from>
                  <to>
                    <xdr:col>8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42" r:id="rId107" name="Drop Down 174">
              <controlPr defaultSize="0" autoLine="0" autoPict="0">
                <anchor moveWithCells="1">
                  <from>
                    <xdr:col>18</xdr:col>
                    <xdr:colOff>0</xdr:colOff>
                    <xdr:row>25</xdr:row>
                    <xdr:rowOff>0</xdr:rowOff>
                  </from>
                  <to>
                    <xdr:col>19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43" r:id="rId108" name="Drop Down 175">
              <controlPr defaultSize="0" autoLine="0" autoPict="0">
                <anchor moveWithCells="1">
                  <from>
                    <xdr:col>19</xdr:col>
                    <xdr:colOff>0</xdr:colOff>
                    <xdr:row>25</xdr:row>
                    <xdr:rowOff>0</xdr:rowOff>
                  </from>
                  <to>
                    <xdr:col>20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44" r:id="rId109" name="Drop Down 176">
              <controlPr defaultSize="0" autoLine="0" autoPict="0">
                <anchor moveWithCells="1">
                  <from>
                    <xdr:col>2</xdr:col>
                    <xdr:colOff>0</xdr:colOff>
                    <xdr:row>25</xdr:row>
                    <xdr:rowOff>9525</xdr:rowOff>
                  </from>
                  <to>
                    <xdr:col>3</xdr:col>
                    <xdr:colOff>9525</xdr:colOff>
                    <xdr:row>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45" r:id="rId110" name="Drop Down 177">
              <controlPr defaultSize="0" autoLine="0" autoPict="0">
                <anchor moveWithCells="1">
                  <from>
                    <xdr:col>2</xdr:col>
                    <xdr:colOff>0</xdr:colOff>
                    <xdr:row>25</xdr:row>
                    <xdr:rowOff>9525</xdr:rowOff>
                  </from>
                  <to>
                    <xdr:col>3</xdr:col>
                    <xdr:colOff>9525</xdr:colOff>
                    <xdr:row>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46" r:id="rId111" name="Drop Down 178">
              <controlPr defaultSize="0" autoLine="0" autoPict="0">
                <anchor moveWithCells="1">
                  <from>
                    <xdr:col>2</xdr:col>
                    <xdr:colOff>0</xdr:colOff>
                    <xdr:row>26</xdr:row>
                    <xdr:rowOff>9525</xdr:rowOff>
                  </from>
                  <to>
                    <xdr:col>3</xdr:col>
                    <xdr:colOff>9525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47" r:id="rId112" name="Drop Down 179">
              <controlPr defaultSize="0" autoLine="0" autoPict="0">
                <anchor moveWithCells="1">
                  <from>
                    <xdr:col>7</xdr:col>
                    <xdr:colOff>0</xdr:colOff>
                    <xdr:row>26</xdr:row>
                    <xdr:rowOff>0</xdr:rowOff>
                  </from>
                  <to>
                    <xdr:col>8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48" r:id="rId113" name="Drop Down 180">
              <controlPr defaultSize="0" autoLine="0" autoPict="0">
                <anchor moveWithCells="1">
                  <from>
                    <xdr:col>18</xdr:col>
                    <xdr:colOff>0</xdr:colOff>
                    <xdr:row>26</xdr:row>
                    <xdr:rowOff>0</xdr:rowOff>
                  </from>
                  <to>
                    <xdr:col>19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49" r:id="rId114" name="Drop Down 181">
              <controlPr defaultSize="0" autoLine="0" autoPict="0">
                <anchor moveWithCells="1">
                  <from>
                    <xdr:col>19</xdr:col>
                    <xdr:colOff>0</xdr:colOff>
                    <xdr:row>26</xdr:row>
                    <xdr:rowOff>0</xdr:rowOff>
                  </from>
                  <to>
                    <xdr:col>20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50" r:id="rId115" name="Drop Down 182">
              <controlPr defaultSize="0" autoLine="0" autoPict="0">
                <anchor moveWithCells="1">
                  <from>
                    <xdr:col>2</xdr:col>
                    <xdr:colOff>0</xdr:colOff>
                    <xdr:row>26</xdr:row>
                    <xdr:rowOff>9525</xdr:rowOff>
                  </from>
                  <to>
                    <xdr:col>3</xdr:col>
                    <xdr:colOff>9525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51" r:id="rId116" name="Drop Down 183">
              <controlPr defaultSize="0" autoLine="0" autoPict="0">
                <anchor moveWithCells="1">
                  <from>
                    <xdr:col>2</xdr:col>
                    <xdr:colOff>0</xdr:colOff>
                    <xdr:row>26</xdr:row>
                    <xdr:rowOff>9525</xdr:rowOff>
                  </from>
                  <to>
                    <xdr:col>3</xdr:col>
                    <xdr:colOff>9525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52" r:id="rId117" name="Drop Down 184">
              <controlPr defaultSize="0" autoLine="0" autoPict="0">
                <anchor moveWithCells="1">
                  <from>
                    <xdr:col>2</xdr:col>
                    <xdr:colOff>0</xdr:colOff>
                    <xdr:row>27</xdr:row>
                    <xdr:rowOff>9525</xdr:rowOff>
                  </from>
                  <to>
                    <xdr:col>3</xdr:col>
                    <xdr:colOff>9525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53" r:id="rId118" name="Drop Down 185">
              <controlPr defaultSize="0" autoLine="0" autoPict="0">
                <anchor moveWithCells="1">
                  <from>
                    <xdr:col>7</xdr:col>
                    <xdr:colOff>0</xdr:colOff>
                    <xdr:row>27</xdr:row>
                    <xdr:rowOff>0</xdr:rowOff>
                  </from>
                  <to>
                    <xdr:col>8</xdr:col>
                    <xdr:colOff>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54" r:id="rId119" name="Drop Down 186">
              <controlPr defaultSize="0" autoLine="0" autoPict="0">
                <anchor moveWithCells="1">
                  <from>
                    <xdr:col>18</xdr:col>
                    <xdr:colOff>0</xdr:colOff>
                    <xdr:row>27</xdr:row>
                    <xdr:rowOff>0</xdr:rowOff>
                  </from>
                  <to>
                    <xdr:col>19</xdr:col>
                    <xdr:colOff>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55" r:id="rId120" name="Drop Down 187">
              <controlPr defaultSize="0" autoLine="0" autoPict="0">
                <anchor moveWithCells="1">
                  <from>
                    <xdr:col>19</xdr:col>
                    <xdr:colOff>0</xdr:colOff>
                    <xdr:row>27</xdr:row>
                    <xdr:rowOff>0</xdr:rowOff>
                  </from>
                  <to>
                    <xdr:col>20</xdr:col>
                    <xdr:colOff>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56" r:id="rId121" name="Drop Down 188">
              <controlPr defaultSize="0" autoLine="0" autoPict="0">
                <anchor moveWithCells="1">
                  <from>
                    <xdr:col>2</xdr:col>
                    <xdr:colOff>0</xdr:colOff>
                    <xdr:row>27</xdr:row>
                    <xdr:rowOff>9525</xdr:rowOff>
                  </from>
                  <to>
                    <xdr:col>3</xdr:col>
                    <xdr:colOff>9525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57" r:id="rId122" name="Drop Down 189">
              <controlPr defaultSize="0" autoLine="0" autoPict="0">
                <anchor moveWithCells="1">
                  <from>
                    <xdr:col>2</xdr:col>
                    <xdr:colOff>0</xdr:colOff>
                    <xdr:row>27</xdr:row>
                    <xdr:rowOff>9525</xdr:rowOff>
                  </from>
                  <to>
                    <xdr:col>3</xdr:col>
                    <xdr:colOff>9525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58" r:id="rId123" name="Drop Down 190">
              <controlPr defaultSize="0" autoLine="0" autoPict="0">
                <anchor moveWithCells="1">
                  <from>
                    <xdr:col>2</xdr:col>
                    <xdr:colOff>0</xdr:colOff>
                    <xdr:row>28</xdr:row>
                    <xdr:rowOff>9525</xdr:rowOff>
                  </from>
                  <to>
                    <xdr:col>3</xdr:col>
                    <xdr:colOff>9525</xdr:colOff>
                    <xdr:row>29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59" r:id="rId124" name="Drop Down 191">
              <controlPr defaultSize="0" autoLine="0" autoPict="0">
                <anchor moveWithCells="1">
                  <from>
                    <xdr:col>7</xdr:col>
                    <xdr:colOff>0</xdr:colOff>
                    <xdr:row>28</xdr:row>
                    <xdr:rowOff>0</xdr:rowOff>
                  </from>
                  <to>
                    <xdr:col>8</xdr:col>
                    <xdr:colOff>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60" r:id="rId125" name="Drop Down 192">
              <controlPr defaultSize="0" autoLine="0" autoPict="0">
                <anchor moveWithCells="1">
                  <from>
                    <xdr:col>18</xdr:col>
                    <xdr:colOff>0</xdr:colOff>
                    <xdr:row>28</xdr:row>
                    <xdr:rowOff>0</xdr:rowOff>
                  </from>
                  <to>
                    <xdr:col>19</xdr:col>
                    <xdr:colOff>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61" r:id="rId126" name="Drop Down 193">
              <controlPr defaultSize="0" autoLine="0" autoPict="0">
                <anchor moveWithCells="1">
                  <from>
                    <xdr:col>19</xdr:col>
                    <xdr:colOff>0</xdr:colOff>
                    <xdr:row>28</xdr:row>
                    <xdr:rowOff>0</xdr:rowOff>
                  </from>
                  <to>
                    <xdr:col>20</xdr:col>
                    <xdr:colOff>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62" r:id="rId127" name="Drop Down 194">
              <controlPr defaultSize="0" autoLine="0" autoPict="0">
                <anchor moveWithCells="1">
                  <from>
                    <xdr:col>2</xdr:col>
                    <xdr:colOff>0</xdr:colOff>
                    <xdr:row>28</xdr:row>
                    <xdr:rowOff>9525</xdr:rowOff>
                  </from>
                  <to>
                    <xdr:col>3</xdr:col>
                    <xdr:colOff>9525</xdr:colOff>
                    <xdr:row>29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63" r:id="rId128" name="Drop Down 195">
              <controlPr defaultSize="0" autoLine="0" autoPict="0">
                <anchor moveWithCells="1">
                  <from>
                    <xdr:col>2</xdr:col>
                    <xdr:colOff>0</xdr:colOff>
                    <xdr:row>28</xdr:row>
                    <xdr:rowOff>9525</xdr:rowOff>
                  </from>
                  <to>
                    <xdr:col>3</xdr:col>
                    <xdr:colOff>9525</xdr:colOff>
                    <xdr:row>29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64" r:id="rId129" name="Drop Down 196">
              <controlPr defaultSize="0" autoLine="0" autoPict="0">
                <anchor moveWithCells="1">
                  <from>
                    <xdr:col>2</xdr:col>
                    <xdr:colOff>0</xdr:colOff>
                    <xdr:row>29</xdr:row>
                    <xdr:rowOff>9525</xdr:rowOff>
                  </from>
                  <to>
                    <xdr:col>3</xdr:col>
                    <xdr:colOff>9525</xdr:colOff>
                    <xdr:row>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65" r:id="rId130" name="Drop Down 197">
              <controlPr defaultSize="0" autoLine="0" autoPict="0">
                <anchor moveWithCells="1">
                  <from>
                    <xdr:col>7</xdr:col>
                    <xdr:colOff>0</xdr:colOff>
                    <xdr:row>29</xdr:row>
                    <xdr:rowOff>0</xdr:rowOff>
                  </from>
                  <to>
                    <xdr:col>8</xdr:col>
                    <xdr:colOff>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66" r:id="rId131" name="Drop Down 198">
              <controlPr defaultSize="0" autoLine="0" autoPict="0">
                <anchor moveWithCells="1">
                  <from>
                    <xdr:col>18</xdr:col>
                    <xdr:colOff>0</xdr:colOff>
                    <xdr:row>29</xdr:row>
                    <xdr:rowOff>0</xdr:rowOff>
                  </from>
                  <to>
                    <xdr:col>19</xdr:col>
                    <xdr:colOff>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67" r:id="rId132" name="Drop Down 199">
              <controlPr defaultSize="0" autoLine="0" autoPict="0">
                <anchor moveWithCells="1">
                  <from>
                    <xdr:col>19</xdr:col>
                    <xdr:colOff>0</xdr:colOff>
                    <xdr:row>29</xdr:row>
                    <xdr:rowOff>0</xdr:rowOff>
                  </from>
                  <to>
                    <xdr:col>20</xdr:col>
                    <xdr:colOff>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68" r:id="rId133" name="Drop Down 200">
              <controlPr defaultSize="0" autoLine="0" autoPict="0">
                <anchor moveWithCells="1">
                  <from>
                    <xdr:col>2</xdr:col>
                    <xdr:colOff>0</xdr:colOff>
                    <xdr:row>29</xdr:row>
                    <xdr:rowOff>9525</xdr:rowOff>
                  </from>
                  <to>
                    <xdr:col>3</xdr:col>
                    <xdr:colOff>9525</xdr:colOff>
                    <xdr:row>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69" r:id="rId134" name="Drop Down 201">
              <controlPr defaultSize="0" autoLine="0" autoPict="0">
                <anchor moveWithCells="1">
                  <from>
                    <xdr:col>2</xdr:col>
                    <xdr:colOff>0</xdr:colOff>
                    <xdr:row>29</xdr:row>
                    <xdr:rowOff>9525</xdr:rowOff>
                  </from>
                  <to>
                    <xdr:col>3</xdr:col>
                    <xdr:colOff>9525</xdr:colOff>
                    <xdr:row>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70" r:id="rId135" name="Drop Down 202">
              <controlPr defaultSize="0" autoLine="0" autoPict="0">
                <anchor moveWithCells="1">
                  <from>
                    <xdr:col>2</xdr:col>
                    <xdr:colOff>0</xdr:colOff>
                    <xdr:row>33</xdr:row>
                    <xdr:rowOff>9525</xdr:rowOff>
                  </from>
                  <to>
                    <xdr:col>3</xdr:col>
                    <xdr:colOff>9525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71" r:id="rId136" name="Drop Down 203">
              <controlPr defaultSize="0" autoLine="0" autoPict="0">
                <anchor moveWithCells="1">
                  <from>
                    <xdr:col>7</xdr:col>
                    <xdr:colOff>0</xdr:colOff>
                    <xdr:row>33</xdr:row>
                    <xdr:rowOff>0</xdr:rowOff>
                  </from>
                  <to>
                    <xdr:col>8</xdr:col>
                    <xdr:colOff>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72" r:id="rId137" name="Drop Down 204">
              <controlPr defaultSize="0" autoLine="0" autoPict="0">
                <anchor moveWithCells="1">
                  <from>
                    <xdr:col>18</xdr:col>
                    <xdr:colOff>0</xdr:colOff>
                    <xdr:row>33</xdr:row>
                    <xdr:rowOff>0</xdr:rowOff>
                  </from>
                  <to>
                    <xdr:col>19</xdr:col>
                    <xdr:colOff>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73" r:id="rId138" name="Drop Down 205">
              <controlPr defaultSize="0" autoLine="0" autoPict="0">
                <anchor moveWithCells="1">
                  <from>
                    <xdr:col>19</xdr:col>
                    <xdr:colOff>0</xdr:colOff>
                    <xdr:row>33</xdr:row>
                    <xdr:rowOff>0</xdr:rowOff>
                  </from>
                  <to>
                    <xdr:col>20</xdr:col>
                    <xdr:colOff>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74" r:id="rId139" name="Drop Down 206">
              <controlPr defaultSize="0" autoLine="0" autoPict="0">
                <anchor moveWithCells="1">
                  <from>
                    <xdr:col>2</xdr:col>
                    <xdr:colOff>0</xdr:colOff>
                    <xdr:row>33</xdr:row>
                    <xdr:rowOff>9525</xdr:rowOff>
                  </from>
                  <to>
                    <xdr:col>3</xdr:col>
                    <xdr:colOff>9525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75" r:id="rId140" name="Drop Down 207">
              <controlPr defaultSize="0" autoLine="0" autoPict="0">
                <anchor moveWithCells="1">
                  <from>
                    <xdr:col>2</xdr:col>
                    <xdr:colOff>0</xdr:colOff>
                    <xdr:row>33</xdr:row>
                    <xdr:rowOff>9525</xdr:rowOff>
                  </from>
                  <to>
                    <xdr:col>3</xdr:col>
                    <xdr:colOff>9525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76" r:id="rId141" name="Drop Down 208">
              <controlPr defaultSize="0" autoLine="0" autoPict="0">
                <anchor moveWithCells="1">
                  <from>
                    <xdr:col>2</xdr:col>
                    <xdr:colOff>0</xdr:colOff>
                    <xdr:row>34</xdr:row>
                    <xdr:rowOff>9525</xdr:rowOff>
                  </from>
                  <to>
                    <xdr:col>3</xdr:col>
                    <xdr:colOff>9525</xdr:colOff>
                    <xdr:row>35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77" r:id="rId142" name="Drop Down 209">
              <controlPr defaultSize="0" autoLine="0" autoPict="0">
                <anchor moveWithCells="1">
                  <from>
                    <xdr:col>7</xdr:col>
                    <xdr:colOff>0</xdr:colOff>
                    <xdr:row>34</xdr:row>
                    <xdr:rowOff>0</xdr:rowOff>
                  </from>
                  <to>
                    <xdr:col>8</xdr:col>
                    <xdr:colOff>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78" r:id="rId143" name="Drop Down 210">
              <controlPr defaultSize="0" autoLine="0" autoPict="0">
                <anchor moveWithCells="1">
                  <from>
                    <xdr:col>18</xdr:col>
                    <xdr:colOff>0</xdr:colOff>
                    <xdr:row>34</xdr:row>
                    <xdr:rowOff>0</xdr:rowOff>
                  </from>
                  <to>
                    <xdr:col>19</xdr:col>
                    <xdr:colOff>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79" r:id="rId144" name="Drop Down 211">
              <controlPr defaultSize="0" autoLine="0" autoPict="0">
                <anchor moveWithCells="1">
                  <from>
                    <xdr:col>19</xdr:col>
                    <xdr:colOff>0</xdr:colOff>
                    <xdr:row>34</xdr:row>
                    <xdr:rowOff>0</xdr:rowOff>
                  </from>
                  <to>
                    <xdr:col>20</xdr:col>
                    <xdr:colOff>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80" r:id="rId145" name="Drop Down 212">
              <controlPr defaultSize="0" autoLine="0" autoPict="0">
                <anchor moveWithCells="1">
                  <from>
                    <xdr:col>2</xdr:col>
                    <xdr:colOff>0</xdr:colOff>
                    <xdr:row>34</xdr:row>
                    <xdr:rowOff>9525</xdr:rowOff>
                  </from>
                  <to>
                    <xdr:col>3</xdr:col>
                    <xdr:colOff>9525</xdr:colOff>
                    <xdr:row>35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81" r:id="rId146" name="Drop Down 213">
              <controlPr defaultSize="0" autoLine="0" autoPict="0">
                <anchor moveWithCells="1">
                  <from>
                    <xdr:col>2</xdr:col>
                    <xdr:colOff>0</xdr:colOff>
                    <xdr:row>34</xdr:row>
                    <xdr:rowOff>9525</xdr:rowOff>
                  </from>
                  <to>
                    <xdr:col>3</xdr:col>
                    <xdr:colOff>9525</xdr:colOff>
                    <xdr:row>35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82" r:id="rId147" name="Drop Down 214">
              <controlPr defaultSize="0" autoLine="0" autoPict="0">
                <anchor moveWithCells="1">
                  <from>
                    <xdr:col>2</xdr:col>
                    <xdr:colOff>0</xdr:colOff>
                    <xdr:row>35</xdr:row>
                    <xdr:rowOff>9525</xdr:rowOff>
                  </from>
                  <to>
                    <xdr:col>3</xdr:col>
                    <xdr:colOff>9525</xdr:colOff>
                    <xdr:row>36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83" r:id="rId148" name="Drop Down 215">
              <controlPr defaultSize="0" autoLine="0" autoPict="0">
                <anchor moveWithCells="1">
                  <from>
                    <xdr:col>7</xdr:col>
                    <xdr:colOff>0</xdr:colOff>
                    <xdr:row>35</xdr:row>
                    <xdr:rowOff>0</xdr:rowOff>
                  </from>
                  <to>
                    <xdr:col>8</xdr:col>
                    <xdr:colOff>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84" r:id="rId149" name="Drop Down 216">
              <controlPr defaultSize="0" autoLine="0" autoPict="0">
                <anchor moveWithCells="1">
                  <from>
                    <xdr:col>18</xdr:col>
                    <xdr:colOff>0</xdr:colOff>
                    <xdr:row>35</xdr:row>
                    <xdr:rowOff>0</xdr:rowOff>
                  </from>
                  <to>
                    <xdr:col>19</xdr:col>
                    <xdr:colOff>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85" r:id="rId150" name="Drop Down 217">
              <controlPr defaultSize="0" autoLine="0" autoPict="0">
                <anchor moveWithCells="1">
                  <from>
                    <xdr:col>19</xdr:col>
                    <xdr:colOff>0</xdr:colOff>
                    <xdr:row>35</xdr:row>
                    <xdr:rowOff>0</xdr:rowOff>
                  </from>
                  <to>
                    <xdr:col>20</xdr:col>
                    <xdr:colOff>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86" r:id="rId151" name="Drop Down 218">
              <controlPr defaultSize="0" autoLine="0" autoPict="0">
                <anchor moveWithCells="1">
                  <from>
                    <xdr:col>2</xdr:col>
                    <xdr:colOff>0</xdr:colOff>
                    <xdr:row>35</xdr:row>
                    <xdr:rowOff>9525</xdr:rowOff>
                  </from>
                  <to>
                    <xdr:col>3</xdr:col>
                    <xdr:colOff>9525</xdr:colOff>
                    <xdr:row>36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87" r:id="rId152" name="Drop Down 219">
              <controlPr defaultSize="0" autoLine="0" autoPict="0">
                <anchor moveWithCells="1">
                  <from>
                    <xdr:col>2</xdr:col>
                    <xdr:colOff>0</xdr:colOff>
                    <xdr:row>35</xdr:row>
                    <xdr:rowOff>9525</xdr:rowOff>
                  </from>
                  <to>
                    <xdr:col>3</xdr:col>
                    <xdr:colOff>9525</xdr:colOff>
                    <xdr:row>36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88" r:id="rId153" name="Drop Down 220">
              <controlPr defaultSize="0" autoLine="0" autoPict="0">
                <anchor moveWithCells="1">
                  <from>
                    <xdr:col>2</xdr:col>
                    <xdr:colOff>0</xdr:colOff>
                    <xdr:row>36</xdr:row>
                    <xdr:rowOff>9525</xdr:rowOff>
                  </from>
                  <to>
                    <xdr:col>3</xdr:col>
                    <xdr:colOff>9525</xdr:colOff>
                    <xdr:row>37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89" r:id="rId154" name="Drop Down 221">
              <controlPr defaultSize="0" autoLine="0" autoPict="0">
                <anchor moveWithCells="1">
                  <from>
                    <xdr:col>7</xdr:col>
                    <xdr:colOff>0</xdr:colOff>
                    <xdr:row>36</xdr:row>
                    <xdr:rowOff>0</xdr:rowOff>
                  </from>
                  <to>
                    <xdr:col>8</xdr:col>
                    <xdr:colOff>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90" r:id="rId155" name="Drop Down 222">
              <controlPr defaultSize="0" autoLine="0" autoPict="0">
                <anchor moveWithCells="1">
                  <from>
                    <xdr:col>18</xdr:col>
                    <xdr:colOff>0</xdr:colOff>
                    <xdr:row>36</xdr:row>
                    <xdr:rowOff>0</xdr:rowOff>
                  </from>
                  <to>
                    <xdr:col>19</xdr:col>
                    <xdr:colOff>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91" r:id="rId156" name="Drop Down 223">
              <controlPr defaultSize="0" autoLine="0" autoPict="0">
                <anchor moveWithCells="1">
                  <from>
                    <xdr:col>19</xdr:col>
                    <xdr:colOff>0</xdr:colOff>
                    <xdr:row>36</xdr:row>
                    <xdr:rowOff>0</xdr:rowOff>
                  </from>
                  <to>
                    <xdr:col>20</xdr:col>
                    <xdr:colOff>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92" r:id="rId157" name="Drop Down 224">
              <controlPr defaultSize="0" autoLine="0" autoPict="0">
                <anchor moveWithCells="1">
                  <from>
                    <xdr:col>2</xdr:col>
                    <xdr:colOff>0</xdr:colOff>
                    <xdr:row>36</xdr:row>
                    <xdr:rowOff>9525</xdr:rowOff>
                  </from>
                  <to>
                    <xdr:col>3</xdr:col>
                    <xdr:colOff>9525</xdr:colOff>
                    <xdr:row>37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93" r:id="rId158" name="Drop Down 225">
              <controlPr defaultSize="0" autoLine="0" autoPict="0">
                <anchor moveWithCells="1">
                  <from>
                    <xdr:col>2</xdr:col>
                    <xdr:colOff>0</xdr:colOff>
                    <xdr:row>36</xdr:row>
                    <xdr:rowOff>9525</xdr:rowOff>
                  </from>
                  <to>
                    <xdr:col>3</xdr:col>
                    <xdr:colOff>9525</xdr:colOff>
                    <xdr:row>37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94" r:id="rId159" name="Drop Down 226">
              <controlPr defaultSize="0" autoLine="0" autoPict="0">
                <anchor moveWithCells="1">
                  <from>
                    <xdr:col>2</xdr:col>
                    <xdr:colOff>0</xdr:colOff>
                    <xdr:row>37</xdr:row>
                    <xdr:rowOff>9525</xdr:rowOff>
                  </from>
                  <to>
                    <xdr:col>3</xdr:col>
                    <xdr:colOff>9525</xdr:colOff>
                    <xdr:row>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95" r:id="rId160" name="Drop Down 227">
              <controlPr defaultSize="0" autoLine="0" autoPict="0">
                <anchor moveWithCells="1">
                  <from>
                    <xdr:col>7</xdr:col>
                    <xdr:colOff>0</xdr:colOff>
                    <xdr:row>37</xdr:row>
                    <xdr:rowOff>0</xdr:rowOff>
                  </from>
                  <to>
                    <xdr:col>8</xdr:col>
                    <xdr:colOff>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96" r:id="rId161" name="Drop Down 228">
              <controlPr defaultSize="0" autoLine="0" autoPict="0">
                <anchor moveWithCells="1">
                  <from>
                    <xdr:col>18</xdr:col>
                    <xdr:colOff>0</xdr:colOff>
                    <xdr:row>37</xdr:row>
                    <xdr:rowOff>0</xdr:rowOff>
                  </from>
                  <to>
                    <xdr:col>19</xdr:col>
                    <xdr:colOff>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97" r:id="rId162" name="Drop Down 229">
              <controlPr defaultSize="0" autoLine="0" autoPict="0">
                <anchor moveWithCells="1">
                  <from>
                    <xdr:col>19</xdr:col>
                    <xdr:colOff>0</xdr:colOff>
                    <xdr:row>37</xdr:row>
                    <xdr:rowOff>0</xdr:rowOff>
                  </from>
                  <to>
                    <xdr:col>20</xdr:col>
                    <xdr:colOff>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98" r:id="rId163" name="Drop Down 230">
              <controlPr defaultSize="0" autoLine="0" autoPict="0">
                <anchor moveWithCells="1">
                  <from>
                    <xdr:col>2</xdr:col>
                    <xdr:colOff>0</xdr:colOff>
                    <xdr:row>37</xdr:row>
                    <xdr:rowOff>9525</xdr:rowOff>
                  </from>
                  <to>
                    <xdr:col>3</xdr:col>
                    <xdr:colOff>9525</xdr:colOff>
                    <xdr:row>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99" r:id="rId164" name="Drop Down 231">
              <controlPr defaultSize="0" autoLine="0" autoPict="0">
                <anchor moveWithCells="1">
                  <from>
                    <xdr:col>2</xdr:col>
                    <xdr:colOff>0</xdr:colOff>
                    <xdr:row>37</xdr:row>
                    <xdr:rowOff>9525</xdr:rowOff>
                  </from>
                  <to>
                    <xdr:col>3</xdr:col>
                    <xdr:colOff>9525</xdr:colOff>
                    <xdr:row>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00" r:id="rId165" name="Drop Down 232">
              <controlPr defaultSize="0" autoLine="0" autoPict="0">
                <anchor moveWithCells="1">
                  <from>
                    <xdr:col>2</xdr:col>
                    <xdr:colOff>0</xdr:colOff>
                    <xdr:row>38</xdr:row>
                    <xdr:rowOff>9525</xdr:rowOff>
                  </from>
                  <to>
                    <xdr:col>3</xdr:col>
                    <xdr:colOff>9525</xdr:colOff>
                    <xdr:row>39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01" r:id="rId166" name="Drop Down 233">
              <controlPr defaultSize="0" autoLine="0" autoPict="0">
                <anchor moveWithCells="1">
                  <from>
                    <xdr:col>7</xdr:col>
                    <xdr:colOff>0</xdr:colOff>
                    <xdr:row>38</xdr:row>
                    <xdr:rowOff>0</xdr:rowOff>
                  </from>
                  <to>
                    <xdr:col>8</xdr:col>
                    <xdr:colOff>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02" r:id="rId167" name="Drop Down 234">
              <controlPr defaultSize="0" autoLine="0" autoPict="0">
                <anchor moveWithCells="1">
                  <from>
                    <xdr:col>18</xdr:col>
                    <xdr:colOff>0</xdr:colOff>
                    <xdr:row>38</xdr:row>
                    <xdr:rowOff>0</xdr:rowOff>
                  </from>
                  <to>
                    <xdr:col>19</xdr:col>
                    <xdr:colOff>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03" r:id="rId168" name="Drop Down 235">
              <controlPr defaultSize="0" autoLine="0" autoPict="0">
                <anchor moveWithCells="1">
                  <from>
                    <xdr:col>19</xdr:col>
                    <xdr:colOff>0</xdr:colOff>
                    <xdr:row>38</xdr:row>
                    <xdr:rowOff>0</xdr:rowOff>
                  </from>
                  <to>
                    <xdr:col>20</xdr:col>
                    <xdr:colOff>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04" r:id="rId169" name="Drop Down 236">
              <controlPr defaultSize="0" autoLine="0" autoPict="0">
                <anchor moveWithCells="1">
                  <from>
                    <xdr:col>2</xdr:col>
                    <xdr:colOff>0</xdr:colOff>
                    <xdr:row>38</xdr:row>
                    <xdr:rowOff>9525</xdr:rowOff>
                  </from>
                  <to>
                    <xdr:col>3</xdr:col>
                    <xdr:colOff>9525</xdr:colOff>
                    <xdr:row>39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05" r:id="rId170" name="Drop Down 237">
              <controlPr defaultSize="0" autoLine="0" autoPict="0">
                <anchor moveWithCells="1">
                  <from>
                    <xdr:col>2</xdr:col>
                    <xdr:colOff>0</xdr:colOff>
                    <xdr:row>38</xdr:row>
                    <xdr:rowOff>9525</xdr:rowOff>
                  </from>
                  <to>
                    <xdr:col>3</xdr:col>
                    <xdr:colOff>9525</xdr:colOff>
                    <xdr:row>39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06" r:id="rId171" name="Drop Down 238">
              <controlPr defaultSize="0" autoLine="0" autoPict="0">
                <anchor moveWithCells="1">
                  <from>
                    <xdr:col>2</xdr:col>
                    <xdr:colOff>0</xdr:colOff>
                    <xdr:row>38</xdr:row>
                    <xdr:rowOff>9525</xdr:rowOff>
                  </from>
                  <to>
                    <xdr:col>3</xdr:col>
                    <xdr:colOff>9525</xdr:colOff>
                    <xdr:row>39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07" r:id="rId172" name="Drop Down 239">
              <controlPr defaultSize="0" autoLine="0" autoPict="0">
                <anchor moveWithCells="1">
                  <from>
                    <xdr:col>2</xdr:col>
                    <xdr:colOff>0</xdr:colOff>
                    <xdr:row>38</xdr:row>
                    <xdr:rowOff>9525</xdr:rowOff>
                  </from>
                  <to>
                    <xdr:col>3</xdr:col>
                    <xdr:colOff>9525</xdr:colOff>
                    <xdr:row>39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08" r:id="rId173" name="Drop Down 240">
              <controlPr defaultSize="0" autoLine="0" autoPict="0">
                <anchor moveWithCells="1">
                  <from>
                    <xdr:col>2</xdr:col>
                    <xdr:colOff>0</xdr:colOff>
                    <xdr:row>39</xdr:row>
                    <xdr:rowOff>9525</xdr:rowOff>
                  </from>
                  <to>
                    <xdr:col>3</xdr:col>
                    <xdr:colOff>9525</xdr:colOff>
                    <xdr:row>40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09" r:id="rId174" name="Drop Down 241">
              <controlPr defaultSize="0" autoLine="0" autoPict="0">
                <anchor moveWithCells="1">
                  <from>
                    <xdr:col>7</xdr:col>
                    <xdr:colOff>0</xdr:colOff>
                    <xdr:row>39</xdr:row>
                    <xdr:rowOff>0</xdr:rowOff>
                  </from>
                  <to>
                    <xdr:col>8</xdr:col>
                    <xdr:colOff>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10" r:id="rId175" name="Drop Down 242">
              <controlPr defaultSize="0" autoLine="0" autoPict="0">
                <anchor moveWithCells="1">
                  <from>
                    <xdr:col>18</xdr:col>
                    <xdr:colOff>0</xdr:colOff>
                    <xdr:row>39</xdr:row>
                    <xdr:rowOff>0</xdr:rowOff>
                  </from>
                  <to>
                    <xdr:col>19</xdr:col>
                    <xdr:colOff>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11" r:id="rId176" name="Drop Down 243">
              <controlPr defaultSize="0" autoLine="0" autoPict="0">
                <anchor moveWithCells="1">
                  <from>
                    <xdr:col>19</xdr:col>
                    <xdr:colOff>0</xdr:colOff>
                    <xdr:row>39</xdr:row>
                    <xdr:rowOff>0</xdr:rowOff>
                  </from>
                  <to>
                    <xdr:col>20</xdr:col>
                    <xdr:colOff>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12" r:id="rId177" name="Drop Down 244">
              <controlPr defaultSize="0" autoLine="0" autoPict="0">
                <anchor moveWithCells="1">
                  <from>
                    <xdr:col>2</xdr:col>
                    <xdr:colOff>0</xdr:colOff>
                    <xdr:row>39</xdr:row>
                    <xdr:rowOff>9525</xdr:rowOff>
                  </from>
                  <to>
                    <xdr:col>3</xdr:col>
                    <xdr:colOff>9525</xdr:colOff>
                    <xdr:row>40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30" r:id="rId178" name="Drop Down 262">
              <controlPr defaultSize="0" autoLine="0" autoPict="0">
                <anchor moveWithCells="1">
                  <from>
                    <xdr:col>2</xdr:col>
                    <xdr:colOff>0</xdr:colOff>
                    <xdr:row>31</xdr:row>
                    <xdr:rowOff>19050</xdr:rowOff>
                  </from>
                  <to>
                    <xdr:col>3</xdr:col>
                    <xdr:colOff>9525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31" r:id="rId179" name="Drop Down 263">
              <controlPr defaultSize="0" autoLine="0" autoPict="0">
                <anchor moveWithCells="1">
                  <from>
                    <xdr:col>2</xdr:col>
                    <xdr:colOff>0</xdr:colOff>
                    <xdr:row>32</xdr:row>
                    <xdr:rowOff>19050</xdr:rowOff>
                  </from>
                  <to>
                    <xdr:col>3</xdr:col>
                    <xdr:colOff>9525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32" r:id="rId180" name="Drop Down 264">
              <controlPr defaultSize="0" autoLine="0" autoPict="0">
                <anchor moveWithCells="1">
                  <from>
                    <xdr:col>2</xdr:col>
                    <xdr:colOff>0</xdr:colOff>
                    <xdr:row>30</xdr:row>
                    <xdr:rowOff>19050</xdr:rowOff>
                  </from>
                  <to>
                    <xdr:col>3</xdr:col>
                    <xdr:colOff>9525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33" r:id="rId181" name="Drop Down 265">
              <controlPr defaultSize="0" autoLine="0" autoPict="0">
                <anchor moveWithCells="1">
                  <from>
                    <xdr:col>7</xdr:col>
                    <xdr:colOff>0</xdr:colOff>
                    <xdr:row>30</xdr:row>
                    <xdr:rowOff>9525</xdr:rowOff>
                  </from>
                  <to>
                    <xdr:col>8</xdr:col>
                    <xdr:colOff>0</xdr:colOff>
                    <xdr:row>31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34" r:id="rId182" name="Drop Down 266">
              <controlPr defaultSize="0" autoLine="0" autoPict="0">
                <anchor moveWithCells="1">
                  <from>
                    <xdr:col>7</xdr:col>
                    <xdr:colOff>0</xdr:colOff>
                    <xdr:row>30</xdr:row>
                    <xdr:rowOff>200025</xdr:rowOff>
                  </from>
                  <to>
                    <xdr:col>7</xdr:col>
                    <xdr:colOff>1409700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35" r:id="rId183" name="Drop Down 267">
              <controlPr defaultSize="0" autoLine="0" autoPict="0">
                <anchor moveWithCells="1">
                  <from>
                    <xdr:col>7</xdr:col>
                    <xdr:colOff>0</xdr:colOff>
                    <xdr:row>31</xdr:row>
                    <xdr:rowOff>200025</xdr:rowOff>
                  </from>
                  <to>
                    <xdr:col>8</xdr:col>
                    <xdr:colOff>9525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36" r:id="rId184" name="Drop Down 268">
              <controlPr defaultSize="0" autoLine="0" autoPict="0">
                <anchor moveWithCells="1">
                  <from>
                    <xdr:col>18</xdr:col>
                    <xdr:colOff>0</xdr:colOff>
                    <xdr:row>30</xdr:row>
                    <xdr:rowOff>9525</xdr:rowOff>
                  </from>
                  <to>
                    <xdr:col>19</xdr:col>
                    <xdr:colOff>0</xdr:colOff>
                    <xdr:row>31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37" r:id="rId185" name="Drop Down 269">
              <controlPr defaultSize="0" autoLine="0" autoPict="0">
                <anchor moveWithCells="1">
                  <from>
                    <xdr:col>18</xdr:col>
                    <xdr:colOff>0</xdr:colOff>
                    <xdr:row>31</xdr:row>
                    <xdr:rowOff>9525</xdr:rowOff>
                  </from>
                  <to>
                    <xdr:col>18</xdr:col>
                    <xdr:colOff>552450</xdr:colOff>
                    <xdr:row>32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38" r:id="rId186" name="Drop Down 270">
              <controlPr defaultSize="0" autoLine="0" autoPict="0">
                <anchor moveWithCells="1">
                  <from>
                    <xdr:col>18</xdr:col>
                    <xdr:colOff>9525</xdr:colOff>
                    <xdr:row>32</xdr:row>
                    <xdr:rowOff>9525</xdr:rowOff>
                  </from>
                  <to>
                    <xdr:col>19</xdr:col>
                    <xdr:colOff>9525</xdr:colOff>
                    <xdr:row>33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39" r:id="rId187" name="Drop Down 271">
              <controlPr defaultSize="0" autoLine="0" autoPict="0">
                <anchor moveWithCells="1">
                  <from>
                    <xdr:col>19</xdr:col>
                    <xdr:colOff>0</xdr:colOff>
                    <xdr:row>30</xdr:row>
                    <xdr:rowOff>9525</xdr:rowOff>
                  </from>
                  <to>
                    <xdr:col>20</xdr:col>
                    <xdr:colOff>0</xdr:colOff>
                    <xdr:row>31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40" r:id="rId188" name="Drop Down 272">
              <controlPr defaultSize="0" autoLine="0" autoPict="0">
                <anchor moveWithCells="1">
                  <from>
                    <xdr:col>18</xdr:col>
                    <xdr:colOff>552450</xdr:colOff>
                    <xdr:row>31</xdr:row>
                    <xdr:rowOff>19050</xdr:rowOff>
                  </from>
                  <to>
                    <xdr:col>19</xdr:col>
                    <xdr:colOff>552450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41" r:id="rId189" name="Drop Down 273">
              <controlPr defaultSize="0" autoLine="0" autoPict="0">
                <anchor moveWithCells="1">
                  <from>
                    <xdr:col>19</xdr:col>
                    <xdr:colOff>9525</xdr:colOff>
                    <xdr:row>32</xdr:row>
                    <xdr:rowOff>9525</xdr:rowOff>
                  </from>
                  <to>
                    <xdr:col>20</xdr:col>
                    <xdr:colOff>9525</xdr:colOff>
                    <xdr:row>33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45" r:id="rId190" name="Drop Down 277">
              <controlPr defaultSize="0" autoLine="0" autoPict="0">
                <anchor moveWithCells="1">
                  <from>
                    <xdr:col>8</xdr:col>
                    <xdr:colOff>9525</xdr:colOff>
                    <xdr:row>43</xdr:row>
                    <xdr:rowOff>0</xdr:rowOff>
                  </from>
                  <to>
                    <xdr:col>8</xdr:col>
                    <xdr:colOff>609600</xdr:colOff>
                    <xdr:row>43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46" r:id="rId191" name="Drop Down 278">
              <controlPr defaultSize="0" autoLine="0" autoPict="0">
                <anchor moveWithCells="1">
                  <from>
                    <xdr:col>8</xdr:col>
                    <xdr:colOff>9525</xdr:colOff>
                    <xdr:row>44</xdr:row>
                    <xdr:rowOff>9525</xdr:rowOff>
                  </from>
                  <to>
                    <xdr:col>8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47" r:id="rId192" name="Drop Down 279">
              <controlPr defaultSize="0" autoLine="0" autoPict="0">
                <anchor moveWithCells="1">
                  <from>
                    <xdr:col>8</xdr:col>
                    <xdr:colOff>9525</xdr:colOff>
                    <xdr:row>45</xdr:row>
                    <xdr:rowOff>9525</xdr:rowOff>
                  </from>
                  <to>
                    <xdr:col>8</xdr:col>
                    <xdr:colOff>609600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48" r:id="rId193" name="Drop Down 280">
              <controlPr defaultSize="0" autoLine="0" autoPict="0">
                <anchor moveWithCells="1">
                  <from>
                    <xdr:col>8</xdr:col>
                    <xdr:colOff>9525</xdr:colOff>
                    <xdr:row>46</xdr:row>
                    <xdr:rowOff>9525</xdr:rowOff>
                  </from>
                  <to>
                    <xdr:col>8</xdr:col>
                    <xdr:colOff>609600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49" r:id="rId194" name="Drop Down 281">
              <controlPr defaultSize="0" autoLine="0" autoPict="0">
                <anchor moveWithCells="1">
                  <from>
                    <xdr:col>9</xdr:col>
                    <xdr:colOff>0</xdr:colOff>
                    <xdr:row>43</xdr:row>
                    <xdr:rowOff>9525</xdr:rowOff>
                  </from>
                  <to>
                    <xdr:col>10</xdr:col>
                    <xdr:colOff>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50" r:id="rId195" name="Drop Down 282">
              <controlPr defaultSize="0" autoLine="0" autoPict="0">
                <anchor moveWithCells="1">
                  <from>
                    <xdr:col>9</xdr:col>
                    <xdr:colOff>9525</xdr:colOff>
                    <xdr:row>44</xdr:row>
                    <xdr:rowOff>19050</xdr:rowOff>
                  </from>
                  <to>
                    <xdr:col>10</xdr:col>
                    <xdr:colOff>9525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51" r:id="rId196" name="Drop Down 283">
              <controlPr defaultSize="0" autoLine="0" autoPict="0">
                <anchor moveWithCells="1">
                  <from>
                    <xdr:col>9</xdr:col>
                    <xdr:colOff>9525</xdr:colOff>
                    <xdr:row>45</xdr:row>
                    <xdr:rowOff>19050</xdr:rowOff>
                  </from>
                  <to>
                    <xdr:col>10</xdr:col>
                    <xdr:colOff>9525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52" r:id="rId197" name="Drop Down 284">
              <controlPr defaultSize="0" autoLine="0" autoPict="0">
                <anchor moveWithCells="1">
                  <from>
                    <xdr:col>9</xdr:col>
                    <xdr:colOff>9525</xdr:colOff>
                    <xdr:row>46</xdr:row>
                    <xdr:rowOff>19050</xdr:rowOff>
                  </from>
                  <to>
                    <xdr:col>10</xdr:col>
                    <xdr:colOff>9525</xdr:colOff>
                    <xdr:row>47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6">
    <tabColor rgb="FF00B050"/>
  </sheetPr>
  <dimension ref="A1:AW208"/>
  <sheetViews>
    <sheetView topLeftCell="F1" zoomScale="80" zoomScaleNormal="80" workbookViewId="0">
      <selection activeCell="M7" sqref="M7"/>
    </sheetView>
  </sheetViews>
  <sheetFormatPr defaultColWidth="9.140625" defaultRowHeight="12.75" x14ac:dyDescent="0.2"/>
  <cols>
    <col min="1" max="1" width="0" style="93" hidden="1" customWidth="1"/>
    <col min="2" max="2" width="5.140625" style="93" customWidth="1"/>
    <col min="3" max="3" width="18.7109375" style="93" customWidth="1"/>
    <col min="4" max="4" width="24.42578125" style="93" bestFit="1" customWidth="1"/>
    <col min="5" max="5" width="11.140625" style="93" customWidth="1"/>
    <col min="6" max="6" width="13.7109375" style="93" bestFit="1" customWidth="1"/>
    <col min="7" max="7" width="15.5703125" style="93" customWidth="1"/>
    <col min="8" max="8" width="21.28515625" style="93" customWidth="1"/>
    <col min="9" max="10" width="9" style="93" customWidth="1"/>
    <col min="11" max="11" width="12.28515625" style="93" bestFit="1" customWidth="1"/>
    <col min="12" max="13" width="13" style="93" customWidth="1"/>
    <col min="14" max="14" width="14.7109375" style="93" customWidth="1"/>
    <col min="15" max="15" width="15.42578125" style="93" customWidth="1"/>
    <col min="16" max="16" width="18.5703125" style="93" customWidth="1"/>
    <col min="17" max="18" width="8.42578125" style="93" customWidth="1"/>
    <col min="19" max="24" width="9.140625" style="93"/>
    <col min="25" max="25" width="37.7109375" style="93" customWidth="1"/>
    <col min="26" max="26" width="22.5703125" style="93" customWidth="1"/>
    <col min="27" max="27" width="9.140625" style="93"/>
    <col min="28" max="28" width="37.140625" style="93" bestFit="1" customWidth="1"/>
    <col min="29" max="29" width="6.28515625" style="93" customWidth="1"/>
    <col min="30" max="37" width="14.42578125" style="93" customWidth="1"/>
    <col min="38" max="38" width="16" style="93" customWidth="1"/>
    <col min="39" max="45" width="14.42578125" style="93" customWidth="1"/>
    <col min="46" max="46" width="15.28515625" style="93" customWidth="1"/>
    <col min="47" max="49" width="14.42578125" style="93" customWidth="1"/>
    <col min="50" max="16384" width="9.140625" style="93"/>
  </cols>
  <sheetData>
    <row r="1" spans="3:49" x14ac:dyDescent="0.2">
      <c r="N1" s="93">
        <v>3</v>
      </c>
      <c r="O1" s="2285">
        <f>N1/N2</f>
        <v>0.63673989175421841</v>
      </c>
    </row>
    <row r="2" spans="3:49" x14ac:dyDescent="0.2">
      <c r="J2" s="93">
        <f>J7*30.5*3</f>
        <v>70313.835697777788</v>
      </c>
      <c r="K2" s="2285">
        <f>J2*3</f>
        <v>210941.50709333335</v>
      </c>
      <c r="N2" s="2285">
        <f>N3*0.009</f>
        <v>4.7115</v>
      </c>
      <c r="O2" s="2285"/>
    </row>
    <row r="3" spans="3:49" s="7" customFormat="1" ht="18.75" thickBot="1" x14ac:dyDescent="0.3">
      <c r="D3" s="97" t="s">
        <v>690</v>
      </c>
      <c r="E3" s="97"/>
      <c r="F3" s="97"/>
      <c r="G3" s="97"/>
      <c r="M3" s="404">
        <f>K7/J7</f>
        <v>1.1633333333333333</v>
      </c>
      <c r="N3" s="2403">
        <f>M3*450</f>
        <v>523.5</v>
      </c>
      <c r="R3" s="181"/>
    </row>
    <row r="4" spans="3:49" ht="13.5" thickBot="1" x14ac:dyDescent="0.25">
      <c r="D4" s="33" t="s">
        <v>1092</v>
      </c>
      <c r="J4" s="1444"/>
      <c r="K4" s="437"/>
      <c r="L4" s="437"/>
      <c r="AD4" s="1163"/>
      <c r="AE4" s="656"/>
      <c r="AF4" s="656"/>
      <c r="AG4" s="656"/>
      <c r="AH4" s="656"/>
      <c r="AI4" s="656"/>
      <c r="AJ4" s="656"/>
      <c r="AK4" s="656"/>
      <c r="AL4" s="656"/>
      <c r="AM4" s="656"/>
      <c r="AN4" s="656"/>
      <c r="AO4" s="656"/>
      <c r="AP4" s="656"/>
      <c r="AQ4" s="656"/>
      <c r="AR4" s="656"/>
      <c r="AS4" s="656"/>
      <c r="AT4" s="656"/>
      <c r="AU4" s="656"/>
      <c r="AV4" s="656"/>
      <c r="AW4" s="1164"/>
    </row>
    <row r="5" spans="3:49" ht="12.75" customHeight="1" thickBot="1" x14ac:dyDescent="0.25">
      <c r="J5" s="437"/>
      <c r="K5" s="437"/>
      <c r="L5" s="2653" t="s">
        <v>419</v>
      </c>
      <c r="M5" s="2653" t="s">
        <v>1016</v>
      </c>
      <c r="N5" s="2653" t="s">
        <v>1205</v>
      </c>
      <c r="O5" s="2653" t="s">
        <v>907</v>
      </c>
      <c r="P5" s="2653" t="s">
        <v>422</v>
      </c>
      <c r="Q5" s="2625" t="s">
        <v>414</v>
      </c>
      <c r="R5" s="2625"/>
      <c r="AB5" s="1186"/>
      <c r="AC5" s="1205" t="s">
        <v>1245</v>
      </c>
      <c r="AD5" s="2707" t="s">
        <v>1237</v>
      </c>
      <c r="AE5" s="2708"/>
      <c r="AF5" s="2708"/>
      <c r="AG5" s="2708"/>
      <c r="AH5" s="2708"/>
      <c r="AI5" s="2708"/>
      <c r="AJ5" s="2708"/>
      <c r="AK5" s="2708"/>
      <c r="AL5" s="2708"/>
      <c r="AM5" s="2708"/>
      <c r="AN5" s="2708"/>
      <c r="AO5" s="2708"/>
      <c r="AP5" s="2708"/>
      <c r="AQ5" s="2708"/>
      <c r="AR5" s="2708"/>
      <c r="AS5" s="2708"/>
      <c r="AT5" s="2708"/>
      <c r="AU5" s="2708"/>
      <c r="AV5" s="2708"/>
      <c r="AW5" s="2709"/>
    </row>
    <row r="6" spans="3:49" ht="13.5" customHeight="1" thickBot="1" x14ac:dyDescent="0.25">
      <c r="C6" s="116" t="s">
        <v>79</v>
      </c>
      <c r="D6" s="98"/>
      <c r="E6" s="98" t="s">
        <v>42</v>
      </c>
      <c r="F6" s="99" t="s">
        <v>420</v>
      </c>
      <c r="G6" s="99" t="s">
        <v>423</v>
      </c>
      <c r="H6" s="99" t="s">
        <v>421</v>
      </c>
      <c r="I6" s="98" t="s">
        <v>417</v>
      </c>
      <c r="J6" s="116" t="s">
        <v>418</v>
      </c>
      <c r="K6" s="116" t="s">
        <v>551</v>
      </c>
      <c r="L6" s="2654"/>
      <c r="M6" s="2654"/>
      <c r="N6" s="2654"/>
      <c r="O6" s="2654"/>
      <c r="P6" s="2654"/>
      <c r="Q6" s="99" t="s">
        <v>292</v>
      </c>
      <c r="R6" s="99" t="s">
        <v>80</v>
      </c>
      <c r="AB6" s="1187"/>
      <c r="AC6" s="1196" t="s">
        <v>1244</v>
      </c>
      <c r="AD6" s="1165" t="str">
        <f>Dados!AQ15</f>
        <v>Soja</v>
      </c>
      <c r="AE6" s="1166" t="str">
        <f>Dados!AQ16</f>
        <v>Farelo Soja</v>
      </c>
      <c r="AF6" s="1166" t="str">
        <f>Dados!AQ17</f>
        <v>Milho</v>
      </c>
      <c r="AG6" s="1166" t="str">
        <f>Dados!AQ18</f>
        <v>Farelo Milho</v>
      </c>
      <c r="AH6" s="1166" t="str">
        <f>Dados!AQ19</f>
        <v>Concentrado Comercial</v>
      </c>
      <c r="AI6" s="1166" t="str">
        <f>Dados!AQ20</f>
        <v>Ração</v>
      </c>
      <c r="AJ6" s="1166" t="str">
        <f>Dados!AQ21</f>
        <v>Ração</v>
      </c>
      <c r="AK6" s="1166" t="str">
        <f>Dados!AQ22</f>
        <v>Caroço de algodão</v>
      </c>
      <c r="AL6" s="1166" t="str">
        <f>Dados!AQ23</f>
        <v>Farelo de Trigo</v>
      </c>
      <c r="AM6" s="1166" t="str">
        <f>Dados!AQ24</f>
        <v>Farelo de Arroz</v>
      </c>
      <c r="AN6" s="1166" t="str">
        <f>Dados!AQ25</f>
        <v>Farelo de algodão</v>
      </c>
      <c r="AO6" s="1166" t="str">
        <f>Dados!AQ26</f>
        <v>Resíduo de Cervejaria</v>
      </c>
      <c r="AP6" s="1166" t="str">
        <f>Dados!AQ27</f>
        <v>Resíduo de mandioca</v>
      </c>
      <c r="AQ6" s="1166" t="str">
        <f>Dados!AQ28</f>
        <v>Uréia</v>
      </c>
      <c r="AR6" s="1166" t="str">
        <f>Dados!AQ29</f>
        <v xml:space="preserve">Concentrado Bezerro </v>
      </c>
      <c r="AS6" s="1166" t="str">
        <f>Dados!AQ30</f>
        <v>Concentrado Bezerra</v>
      </c>
      <c r="AT6" s="1166" t="str">
        <f>Dados!AQ31</f>
        <v>Cama de frango</v>
      </c>
      <c r="AU6" s="1166" t="str">
        <f>Dados!AQ32</f>
        <v>Poupa cítrica</v>
      </c>
      <c r="AV6" s="1166">
        <f>Dados!AQ33</f>
        <v>0</v>
      </c>
      <c r="AW6" s="1167">
        <f>Dados!AQ34</f>
        <v>0</v>
      </c>
    </row>
    <row r="7" spans="3:49" ht="15.75" customHeight="1" x14ac:dyDescent="0.2">
      <c r="C7" s="293">
        <v>8</v>
      </c>
      <c r="D7" s="390"/>
      <c r="E7" s="147">
        <f>VLOOKUP(C7,Dados!$A$14:$AR$81,44)</f>
        <v>1</v>
      </c>
      <c r="F7" s="28">
        <f>O1</f>
        <v>0.63673989175421841</v>
      </c>
      <c r="G7" s="120">
        <f>IF(E7=0,0,F7/E7)</f>
        <v>0.63673989175421841</v>
      </c>
      <c r="H7" s="3">
        <v>6</v>
      </c>
      <c r="I7" s="30">
        <v>1</v>
      </c>
      <c r="J7" s="148">
        <f>IF(H7=1,0,VLOOKUP(H7,Rebanho!$AN$45:$AV$72,4)*I7)</f>
        <v>768.45722074074081</v>
      </c>
      <c r="K7" s="155">
        <f>IF(H7=1,0,(VLOOKUP(H7,Rebanho!$AN$45:$AV$72,7))*I7/450)</f>
        <v>893.97190012839519</v>
      </c>
      <c r="L7" s="139">
        <v>3</v>
      </c>
      <c r="M7" s="1057">
        <f>N2</f>
        <v>4.7115</v>
      </c>
      <c r="N7" s="1055">
        <f>IF(K7=0,0,((O7*E7)/(30.5*K7))*I7)</f>
        <v>4.05</v>
      </c>
      <c r="O7" s="1056">
        <f>IF(J7=0,0,((M7*J7*30.5)/E7)*I7)</f>
        <v>110427.87896336001</v>
      </c>
      <c r="P7" s="77">
        <f>IF(C7=1,0,O7*F7*L7)</f>
        <v>210941.50709333335</v>
      </c>
      <c r="Q7" s="3">
        <v>1</v>
      </c>
      <c r="R7" s="3">
        <v>1</v>
      </c>
      <c r="AB7" s="1160" t="str">
        <f>Rebanho!C49</f>
        <v>Bezerro em aleitamento</v>
      </c>
      <c r="AC7" s="1202">
        <f>IF(Rebanho!$E$49&gt;0,1,0)</f>
        <v>0</v>
      </c>
      <c r="AD7" s="1168">
        <f>((SUMIFS($M$7:$M$24,$C$7:$C$24,"=2",$H$7:$H$24,"=2"))*($AC$7))</f>
        <v>0</v>
      </c>
      <c r="AE7" s="1168">
        <f>((SUMIFS($M$7:$M$24,$C$7:$C$24,"=3",$H$7:$H$24,"=2"))*($AC$7))</f>
        <v>0</v>
      </c>
      <c r="AF7" s="1168">
        <f>((SUMIFS($M$7:$M$24,$C$7:$C$24,"=4",$H$7:$H$24,"=2"))*($AC$7))</f>
        <v>0</v>
      </c>
      <c r="AG7" s="1168">
        <f>((SUMIFS($M$7:$M$24,$C$7:$C$24,"=5",$H$7:$H$24,"=2"))*($AC$7))</f>
        <v>0</v>
      </c>
      <c r="AH7" s="1168">
        <f>((SUMIFS($M$7:$M$24,$C$7:$C$24,"=6",$H$7:$H$24,"=2"))*($AC$7))</f>
        <v>0</v>
      </c>
      <c r="AI7" s="1168">
        <f>((SUMIFS($M$7:$M$24,$C$7:$C$24,"=7",$H$7:$H$24,"=2"))*($AC$7))</f>
        <v>0</v>
      </c>
      <c r="AJ7" s="1168">
        <f>((SUMIFS($M$7:$M$24,$C$7:$C$24,"=8",$H$7:$H$24,"=2"))*($AC$7))</f>
        <v>0</v>
      </c>
      <c r="AK7" s="1168">
        <f>((SUMIFS($M$7:$M$24,$C$7:$C$24,"=9",$H$7:$H$24,"=2"))*($AC$7))</f>
        <v>0</v>
      </c>
      <c r="AL7" s="1168">
        <f>((SUMIFS($M$7:$M$24,$C$7:$C$24,"=10",$H$7:$H$24,"=2"))*($AC$7))</f>
        <v>0</v>
      </c>
      <c r="AM7" s="1168">
        <f>((SUMIFS($M$7:$M$24,$C$7:$C$24,"=11",$H$7:$H$24,"=2"))*($AC$7))</f>
        <v>0</v>
      </c>
      <c r="AN7" s="1168">
        <f>((SUMIFS($M$7:$M$24,$C$7:$C$24,"=12",$H$7:$H$24,"=2"))*($AC$7))</f>
        <v>0</v>
      </c>
      <c r="AO7" s="1168">
        <f>((SUMIFS($M$7:$M$24,$C$7:$C$24,"=13",$H$7:$H$24,"=2"))*($AC$7))</f>
        <v>0</v>
      </c>
      <c r="AP7" s="1168">
        <f>((SUMIFS($M$7:$M$24,$C$7:$C$24,"=14",$H$7:$H$24,"=2"))*($AC$7))</f>
        <v>0</v>
      </c>
      <c r="AQ7" s="1168">
        <f>((SUMIFS($M$7:$M$24,$C$7:$C$24,"=15",$H$7:$H$24,"=2"))*($AC$7))</f>
        <v>0</v>
      </c>
      <c r="AR7" s="1168">
        <f>((SUMIFS($M$7:$M$24,$C$7:$C$24,"=16",$H$7:$H$24,"=2"))*($AC$7))</f>
        <v>0</v>
      </c>
      <c r="AS7" s="1168">
        <f>((SUMIFS($M$7:$M$24,$C$7:$C$24,"=17",$H$7:$H$24,"=2"))*($AC$7))</f>
        <v>0</v>
      </c>
      <c r="AT7" s="1168">
        <f>((SUMIFS($M$7:$M$24,$C$7:$C$24,"=18",$H$7:$H$24,"=2"))*($AC$7))</f>
        <v>0</v>
      </c>
      <c r="AU7" s="1168">
        <f>((SUMIFS($M$7:$M$24,$C$7:$C$24,"=19",$H$7:$H$24,"=2"))*($AC$7))</f>
        <v>0</v>
      </c>
      <c r="AV7" s="1168">
        <f>((SUMIFS($M$7:$M$24,$C$7:$C$24,"=20",$H$7:$H$24,"=2"))*($AC$7))</f>
        <v>0</v>
      </c>
      <c r="AW7" s="1168">
        <f>((SUMIFS($M$7:$M$24,$C$7:$C$24,"=21",$H$7:$H$24,"=2"))*($AC$7))</f>
        <v>0</v>
      </c>
    </row>
    <row r="8" spans="3:49" ht="15.75" customHeight="1" x14ac:dyDescent="0.2">
      <c r="C8" s="293">
        <v>1</v>
      </c>
      <c r="D8" s="390"/>
      <c r="E8" s="147">
        <f>VLOOKUP(C8,Dados!$A$14:$AR$81,44)</f>
        <v>0</v>
      </c>
      <c r="F8" s="28"/>
      <c r="G8" s="120">
        <f t="shared" ref="G8:G24" si="0">IF(E8=0,0,F8/E8)</f>
        <v>0</v>
      </c>
      <c r="H8" s="3">
        <v>1</v>
      </c>
      <c r="I8" s="30">
        <v>1</v>
      </c>
      <c r="J8" s="148">
        <f>IF(H8=1,0,VLOOKUP(H8,Rebanho!$AN$45:$AV$72,4)*I8)</f>
        <v>0</v>
      </c>
      <c r="K8" s="155">
        <f>IF(H8=1,0,(VLOOKUP(H8,Rebanho!$AN$45:$AV$72,7))*I8/450)</f>
        <v>0</v>
      </c>
      <c r="L8" s="139"/>
      <c r="M8" s="1057"/>
      <c r="N8" s="1055">
        <f t="shared" ref="N8:N24" si="1">IF(K8=0,0,((O8*E8)/(30.5*K8))*I8)</f>
        <v>0</v>
      </c>
      <c r="O8" s="1056">
        <f t="shared" ref="O8:O24" si="2">IF(J8=0,0,((M8*J8*30.5)/E8)*I8)</f>
        <v>0</v>
      </c>
      <c r="P8" s="77">
        <f t="shared" ref="P8:P24" si="3">IF(C8=1,0,O8*F8*L8)</f>
        <v>0</v>
      </c>
      <c r="Q8" s="3">
        <v>1</v>
      </c>
      <c r="R8" s="3">
        <v>1</v>
      </c>
      <c r="AB8" s="1161" t="str">
        <f>Rebanho!C50</f>
        <v>Bezerro Desmamados</v>
      </c>
      <c r="AC8" s="1198">
        <f>IF(Rebanho!$E$50&gt;0,1,0)</f>
        <v>1</v>
      </c>
      <c r="AD8" s="1169">
        <f>((SUMIFS($M$7:$M$24,$C$7:$C$24,"=2",$H$7:$H$24,"=3")))*($AC$8)</f>
        <v>0</v>
      </c>
      <c r="AE8" s="1169">
        <f>((SUMIFS($M$7:$M$24,$C$7:$C$24,"=3",$H$7:$H$24,"=3")))*($AC$8)</f>
        <v>0</v>
      </c>
      <c r="AF8" s="1169">
        <f>((SUMIFS($M$7:$M$24,$C$7:$C$24,"=4",$H$7:$H$24,"=3")))*($AC$8)</f>
        <v>0</v>
      </c>
      <c r="AG8" s="1169">
        <f>((SUMIFS($M$7:$M$24,$C$7:$C$24,"=5",$H$7:$H$24,"=3")))*($AC$8)</f>
        <v>0</v>
      </c>
      <c r="AH8" s="1169">
        <f>((SUMIFS($M$7:$M$24,$C$7:$C$24,"=6",$H$7:$H$24,"=3")))*($AC$8)</f>
        <v>0</v>
      </c>
      <c r="AI8" s="1169">
        <f>((SUMIFS($M$7:$M$24,$C$7:$C$24,"=7",$H$7:$H$24,"=3")))*($AC$8)</f>
        <v>0</v>
      </c>
      <c r="AJ8" s="1169">
        <f>((SUMIFS($M$7:$M$24,$C$7:$C$24,"=8",$H$7:$H$24,"=3")))*($AC$8)</f>
        <v>0</v>
      </c>
      <c r="AK8" s="1169">
        <f>((SUMIFS($M$7:$M$24,$C$7:$C$24,"=9",$H$7:$H$24,"=3")))*($AC$8)</f>
        <v>0</v>
      </c>
      <c r="AL8" s="1169">
        <f>((SUMIFS($M$7:$M$24,$C$7:$C$24,"=10",$H$7:$H$24,"=3")))*($AC$8)</f>
        <v>0</v>
      </c>
      <c r="AM8" s="1169">
        <f>((SUMIFS($M$7:$M$24,$C$7:$C$24,"=11",$H$7:$H$24,"=3")))*($AC$8)</f>
        <v>0</v>
      </c>
      <c r="AN8" s="1169">
        <f>((SUMIFS($M$7:$M$24,$C$7:$C$24,"=12",$H$7:$H$24,"=3")))*($AC$8)</f>
        <v>0</v>
      </c>
      <c r="AO8" s="1169">
        <f>((SUMIFS($M$7:$M$24,$C$7:$C$24,"=13",$H$7:$H$24,"=3")))*($AC$8)</f>
        <v>0</v>
      </c>
      <c r="AP8" s="1169">
        <f>((SUMIFS($M$7:$M$24,$C$7:$C$24,"=14",$H$7:$H$24,"=3")))*($AC$8)</f>
        <v>0</v>
      </c>
      <c r="AQ8" s="1169">
        <f>((SUMIFS($M$7:$M$24,$C$7:$C$24,"=15",$H$7:$H$24,"=3")))*($AC$8)</f>
        <v>0</v>
      </c>
      <c r="AR8" s="1169">
        <f>((SUMIFS($M$7:$M$24,$C$7:$C$24,"=16",$H$7:$H$24,"=3")))*($AC$8)</f>
        <v>0</v>
      </c>
      <c r="AS8" s="1169">
        <f>((SUMIFS($M$7:$M$24,$C$7:$C$24,"=17",$H$7:$H$24,"=3")))*($AC$8)</f>
        <v>0</v>
      </c>
      <c r="AT8" s="1169">
        <f>((SUMIFS($M$7:$M$24,$C$7:$C$24,"=18",$H$7:$H$24,"=3")))*($AC$8)</f>
        <v>0</v>
      </c>
      <c r="AU8" s="1169">
        <f>((SUMIFS($M$7:$M$24,$C$7:$C$24,"=19",$H$7:$H$24,"=3")))*($AC$8)</f>
        <v>0</v>
      </c>
      <c r="AV8" s="1169">
        <f>((SUMIFS($M$7:$M$24,$C$7:$C$24,"=20",$H$7:$H$24,"=3")))*($AC$8)</f>
        <v>0</v>
      </c>
      <c r="AW8" s="1169">
        <f>((SUMIFS($M$7:$M$24,$C$7:$C$24,"=21",$H$7:$H$24,"=3")))*($AC$8)</f>
        <v>0</v>
      </c>
    </row>
    <row r="9" spans="3:49" ht="15.75" customHeight="1" x14ac:dyDescent="0.2">
      <c r="C9" s="293">
        <v>1</v>
      </c>
      <c r="D9" s="1"/>
      <c r="E9" s="147">
        <f>VLOOKUP(C9,Dados!$A$14:$AR$81,44)</f>
        <v>0</v>
      </c>
      <c r="F9" s="28"/>
      <c r="G9" s="120">
        <f t="shared" si="0"/>
        <v>0</v>
      </c>
      <c r="H9" s="3">
        <v>1</v>
      </c>
      <c r="I9" s="30">
        <v>1</v>
      </c>
      <c r="J9" s="148">
        <f>IF(H9=1,0,VLOOKUP(H9,Rebanho!$AN$45:$AV$72,4)*I9)</f>
        <v>0</v>
      </c>
      <c r="K9" s="155">
        <f>IF(H9=1,0,(VLOOKUP(H9,Rebanho!$AN$45:$AV$72,7))*I9/450)</f>
        <v>0</v>
      </c>
      <c r="L9" s="139"/>
      <c r="M9" s="1057"/>
      <c r="N9" s="1055">
        <f t="shared" si="1"/>
        <v>0</v>
      </c>
      <c r="O9" s="1056">
        <f t="shared" si="2"/>
        <v>0</v>
      </c>
      <c r="P9" s="77">
        <f t="shared" si="3"/>
        <v>0</v>
      </c>
      <c r="Q9" s="3">
        <v>1</v>
      </c>
      <c r="R9" s="3">
        <v>1</v>
      </c>
      <c r="AB9" s="1161" t="str">
        <f>Rebanho!C51</f>
        <v>Garrotes</v>
      </c>
      <c r="AC9" s="1198">
        <f>IF(Rebanho!$E$51&gt;0,1,0)</f>
        <v>1</v>
      </c>
      <c r="AD9" s="1169">
        <f>((SUMIFS($M$7:$M$24,$C$7:$C$24,"=2",$H$7:$H$24,"=4")))*($AC$9)</f>
        <v>0</v>
      </c>
      <c r="AE9" s="1169">
        <f>((SUMIFS($M$7:$M$24,$C$7:$C$24,"=3",$H$7:$H$24,"=4")))*($AC$9)</f>
        <v>0</v>
      </c>
      <c r="AF9" s="1169">
        <f>((SUMIFS($M$7:$M$24,$C$7:$C$24,"=4",$H$7:$H$24,"=4")))*($AC$9)</f>
        <v>0</v>
      </c>
      <c r="AG9" s="1169">
        <f>((SUMIFS($M$7:$M$24,$C$7:$C$24,"=5",$H$7:$H$24,"=4")))*($AC$9)</f>
        <v>0</v>
      </c>
      <c r="AH9" s="1169">
        <f>((SUMIFS($M$7:$M$24,$C$7:$C$24,"=6",$H$7:$H$24,"=4")))*($AC$9)</f>
        <v>0</v>
      </c>
      <c r="AI9" s="1169">
        <f>((SUMIFS($M$7:$M$24,$C$7:$C$24,"=7",$H$7:$H$24,"=4")))*($AC$9)</f>
        <v>0</v>
      </c>
      <c r="AJ9" s="1169">
        <f>((SUMIFS($M$7:$M$24,$C$7:$C$24,"=8",$H$7:$H$24,"=4")))*($AC$9)</f>
        <v>0</v>
      </c>
      <c r="AK9" s="1169">
        <f>((SUMIFS($M$7:$M$24,$C$7:$C$24,"=9",$H$7:$H$24,"=4")))*($AC$9)</f>
        <v>0</v>
      </c>
      <c r="AL9" s="1169">
        <f>((SUMIFS($M$7:$M$24,$C$7:$C$24,"=10",$H$7:$H$24,"=4")))*($AC$9)</f>
        <v>0</v>
      </c>
      <c r="AM9" s="1169">
        <f>((SUMIFS($M$7:$M$24,$C$7:$C$24,"=11",$H$7:$H$24,"=4")))*($AC$9)</f>
        <v>0</v>
      </c>
      <c r="AN9" s="1169">
        <f>((SUMIFS($M$7:$M$24,$C$7:$C$24,"=12",$H$7:$H$24,"=4")))*($AC$9)</f>
        <v>0</v>
      </c>
      <c r="AO9" s="1169">
        <f>((SUMIFS($M$7:$M$24,$C$7:$C$24,"=13",$H$7:$H$24,"=4")))*($AC$9)</f>
        <v>0</v>
      </c>
      <c r="AP9" s="1169">
        <f>((SUMIFS($M$7:$M$24,$C$7:$C$24,"=14",$H$7:$H$24,"=4")))*($AC$9)</f>
        <v>0</v>
      </c>
      <c r="AQ9" s="1169">
        <f>((SUMIFS($M$7:$M$24,$C$7:$C$24,"=15",$H$7:$H$24,"=4")))*($AC$9)</f>
        <v>0</v>
      </c>
      <c r="AR9" s="1169">
        <f>((SUMIFS($M$7:$M$24,$C$7:$C$24,"=16",$H$7:$H$24,"=4")))*($AC$9)</f>
        <v>0</v>
      </c>
      <c r="AS9" s="1169">
        <f>((SUMIFS($M$7:$M$24,$C$7:$C$24,"=17",$H$7:$H$24,"=4")))*($AC$9)</f>
        <v>0</v>
      </c>
      <c r="AT9" s="1169">
        <f>((SUMIFS($M$7:$M$24,$C$7:$C$24,"=18",$H$7:$H$24,"=4")))*($AC$9)</f>
        <v>0</v>
      </c>
      <c r="AU9" s="1169">
        <f>((SUMIFS($M$7:$M$24,$C$7:$C$24,"=19",$H$7:$H$24,"=4")))*($AC$9)</f>
        <v>0</v>
      </c>
      <c r="AV9" s="1169">
        <f>((SUMIFS($M$7:$M$24,$C$7:$C$24,"=20",$H$7:$H$24,"=4")))*($AC$9)</f>
        <v>0</v>
      </c>
      <c r="AW9" s="1169">
        <f>((SUMIFS($M$7:$M$24,$C$7:$C$24,"=21",$H$7:$H$24,"=4")))*($AC$9)</f>
        <v>0</v>
      </c>
    </row>
    <row r="10" spans="3:49" ht="15.75" customHeight="1" x14ac:dyDescent="0.2">
      <c r="C10" s="293">
        <v>1</v>
      </c>
      <c r="D10" s="1"/>
      <c r="E10" s="147">
        <f>VLOOKUP(C10,Dados!$A$14:$AR$81,44)</f>
        <v>0</v>
      </c>
      <c r="F10" s="28"/>
      <c r="G10" s="120">
        <f t="shared" si="0"/>
        <v>0</v>
      </c>
      <c r="H10" s="3">
        <v>1</v>
      </c>
      <c r="I10" s="30">
        <v>1</v>
      </c>
      <c r="J10" s="148">
        <f>IF(H10=1,0,VLOOKUP(H10,Rebanho!$AN$45:$AV$72,4)*I10)</f>
        <v>0</v>
      </c>
      <c r="K10" s="155">
        <f>IF(H10=1,0,(VLOOKUP(H10,Rebanho!$AN$45:$AV$72,7))*I10/450)</f>
        <v>0</v>
      </c>
      <c r="L10" s="139"/>
      <c r="M10" s="1057"/>
      <c r="N10" s="1055">
        <f t="shared" si="1"/>
        <v>0</v>
      </c>
      <c r="O10" s="1056">
        <f t="shared" si="2"/>
        <v>0</v>
      </c>
      <c r="P10" s="77">
        <f t="shared" si="3"/>
        <v>0</v>
      </c>
      <c r="Q10" s="3">
        <v>1</v>
      </c>
      <c r="R10" s="3">
        <v>1</v>
      </c>
      <c r="AB10" s="1161" t="str">
        <f>Rebanho!C52</f>
        <v>Boi magro</v>
      </c>
      <c r="AC10" s="1198">
        <f>IF(Rebanho!$E$52&gt;0,1,0)</f>
        <v>1</v>
      </c>
      <c r="AD10" s="1169">
        <f>((SUMIFS($M$7:$M$24,$C$7:$C$24,"=2",$H$7:$H$24,"=5")))*($AC$10)</f>
        <v>0</v>
      </c>
      <c r="AE10" s="1169">
        <f>((SUMIFS($M$7:$M$24,$C$7:$C$24,"=3",$H$7:$H$24,"=5")))*($AC$10)</f>
        <v>0</v>
      </c>
      <c r="AF10" s="1169">
        <f>((SUMIFS($M$7:$M$24,$C$7:$C$24,"=4",$H$7:$H$24,"=5")))*($AC$10)</f>
        <v>0</v>
      </c>
      <c r="AG10" s="1169">
        <f>((SUMIFS($M$7:$M$24,$C$7:$C$24,"=5",$H$7:$H$24,"=5")))*($AC$10)</f>
        <v>0</v>
      </c>
      <c r="AH10" s="1169">
        <f>((SUMIFS($M$7:$M$24,$C$7:$C$24,"=6",$H$7:$H$24,"=5")))*($AC$10)</f>
        <v>0</v>
      </c>
      <c r="AI10" s="1169">
        <f>((SUMIFS($M$7:$M$24,$C$7:$C$24,"=7",$H$7:$H$24,"=5")))*($AC$10)</f>
        <v>0</v>
      </c>
      <c r="AJ10" s="1169">
        <f>((SUMIFS($M$7:$M$24,$C$7:$C$24,"=8",$H$7:$H$24,"=5")))*($AC$10)</f>
        <v>0</v>
      </c>
      <c r="AK10" s="1169">
        <f>((SUMIFS($M$7:$M$24,$C$7:$C$24,"=9",$H$7:$H$24,"=5")))*($AC$10)</f>
        <v>0</v>
      </c>
      <c r="AL10" s="1169">
        <f>((SUMIFS($M$7:$M$24,$C$7:$C$24,"=10",$H$7:$H$24,"=5")))*($AC$10)</f>
        <v>0</v>
      </c>
      <c r="AM10" s="1169">
        <f>((SUMIFS($M$7:$M$24,$C$7:$C$24,"=11",$H$7:$H$24,"=5")))*($AC$10)</f>
        <v>0</v>
      </c>
      <c r="AN10" s="1169">
        <f>((SUMIFS($M$7:$M$24,$C$7:$C$24,"=12",$H$7:$H$24,"=5")))*($AC$10)</f>
        <v>0</v>
      </c>
      <c r="AO10" s="1169">
        <f>((SUMIFS($M$7:$M$24,$C$7:$C$24,"=13",$H$7:$H$24,"=5")))*($AC$10)</f>
        <v>0</v>
      </c>
      <c r="AP10" s="1169">
        <f>((SUMIFS($M$7:$M$24,$C$7:$C$24,"=14",$H$7:$H$24,"=5")))*($AC$10)</f>
        <v>0</v>
      </c>
      <c r="AQ10" s="1169">
        <f>((SUMIFS($M$7:$M$24,$C$7:$C$24,"=15",$H$7:$H$24,"=5")))*($AC$10)</f>
        <v>0</v>
      </c>
      <c r="AR10" s="1169">
        <f>((SUMIFS($M$7:$M$24,$C$7:$C$24,"=16",$H$7:$H$24,"=5")))*($AC$10)</f>
        <v>0</v>
      </c>
      <c r="AS10" s="1169">
        <f>((SUMIFS($M$7:$M$24,$C$7:$C$24,"=17",$H$7:$H$24,"=5")))*($AC$10)</f>
        <v>0</v>
      </c>
      <c r="AT10" s="1169">
        <f>((SUMIFS($M$7:$M$24,$C$7:$C$24,"=18",$H$7:$H$24,"=5")))*($AC$10)</f>
        <v>0</v>
      </c>
      <c r="AU10" s="1169">
        <f>((SUMIFS($M$7:$M$24,$C$7:$C$24,"=19",$H$7:$H$24,"=5")))*($AC$10)</f>
        <v>0</v>
      </c>
      <c r="AV10" s="1169">
        <f>((SUMIFS($M$7:$M$24,$C$7:$C$24,"=20",$H$7:$H$24,"=5")))*($AC$10)</f>
        <v>0</v>
      </c>
      <c r="AW10" s="1169">
        <f>((SUMIFS($M$7:$M$24,$C$7:$C$24,"=21",$H$7:$H$24,"=5")))*($AC$10)</f>
        <v>0</v>
      </c>
    </row>
    <row r="11" spans="3:49" ht="15.75" customHeight="1" x14ac:dyDescent="0.2">
      <c r="C11" s="293">
        <v>1</v>
      </c>
      <c r="D11" s="1"/>
      <c r="E11" s="147">
        <f>VLOOKUP(C11,Dados!$A$14:$AR$81,44)</f>
        <v>0</v>
      </c>
      <c r="F11" s="28"/>
      <c r="G11" s="120">
        <f t="shared" si="0"/>
        <v>0</v>
      </c>
      <c r="H11" s="3">
        <v>1</v>
      </c>
      <c r="I11" s="30">
        <v>1</v>
      </c>
      <c r="J11" s="148">
        <f>IF(H11=1,0,VLOOKUP(H11,Rebanho!$AN$45:$AV$72,4)*I11)</f>
        <v>0</v>
      </c>
      <c r="K11" s="155">
        <f>IF(H11=1,0,(VLOOKUP(H11,Rebanho!$AN$45:$AV$72,7))*I11/450)</f>
        <v>0</v>
      </c>
      <c r="L11" s="139"/>
      <c r="M11" s="1057"/>
      <c r="N11" s="1055">
        <f t="shared" si="1"/>
        <v>0</v>
      </c>
      <c r="O11" s="1056">
        <f t="shared" si="2"/>
        <v>0</v>
      </c>
      <c r="P11" s="77">
        <f t="shared" si="3"/>
        <v>0</v>
      </c>
      <c r="Q11" s="3">
        <v>1</v>
      </c>
      <c r="R11" s="3">
        <v>1</v>
      </c>
      <c r="AB11" s="1161" t="str">
        <f>Rebanho!C53</f>
        <v>Boi gordo</v>
      </c>
      <c r="AC11" s="1198">
        <f>IF(Rebanho!$E$53&gt;0,1,0)</f>
        <v>1</v>
      </c>
      <c r="AD11" s="1169">
        <f>((SUMIFS($M$7:$M$24,$C$7:$C$24,"=2",$H$7:$H$24,"=6")))*($AC$11)</f>
        <v>0</v>
      </c>
      <c r="AE11" s="1169">
        <f>((SUMIFS($M$7:$M$24,$C$7:$C$24,"=3",$H$7:$H$24,"=6")))*($AC$11)</f>
        <v>0</v>
      </c>
      <c r="AF11" s="1169">
        <f>((SUMIFS($M$7:$M$24,$C$7:$C$24,"=4",$H$7:$H$24,"=6")))*($AC$11)</f>
        <v>0</v>
      </c>
      <c r="AG11" s="1169">
        <f>((SUMIFS($M$7:$M$24,$C$7:$C$24,"=5",$H$7:$H$24,"=6")))*($AC$11)</f>
        <v>0</v>
      </c>
      <c r="AH11" s="1169">
        <f>((SUMIFS($M$7:$M$24,$C$7:$C$24,"=6",$H$7:$H$24,"=6")))*($AC$11)</f>
        <v>0</v>
      </c>
      <c r="AI11" s="1169">
        <f>((SUMIFS($M$7:$M$24,$C$7:$C$24,"=7",$H$7:$H$24,"=6")))*($AC$11)</f>
        <v>0</v>
      </c>
      <c r="AJ11" s="1169">
        <f>((SUMIFS($M$7:$M$24,$C$7:$C$24,"=8",$H$7:$H$24,"=6")))*($AC$11)</f>
        <v>4.7115</v>
      </c>
      <c r="AK11" s="1169">
        <f>((SUMIFS($M$7:$M$24,$C$7:$C$24,"=9",$H$7:$H$24,"=6")))*($AC$11)</f>
        <v>0</v>
      </c>
      <c r="AL11" s="1169">
        <f>((SUMIFS($M$7:$M$24,$C$7:$C$24,"=10",$H$7:$H$24,"=6")))*($AC$11)</f>
        <v>0</v>
      </c>
      <c r="AM11" s="1169">
        <f>((SUMIFS($M$7:$M$24,$C$7:$C$24,"=11",$H$7:$H$24,"=6")))*($AC$11)</f>
        <v>0</v>
      </c>
      <c r="AN11" s="1169">
        <f>((SUMIFS($M$7:$M$24,$C$7:$C$24,"=12",$H$7:$H$24,"=6")))*($AC$11)</f>
        <v>0</v>
      </c>
      <c r="AO11" s="1169">
        <f>((SUMIFS($M$7:$M$24,$C$7:$C$24,"=13",$H$7:$H$24,"=6")))*($AC$11)</f>
        <v>0</v>
      </c>
      <c r="AP11" s="1169">
        <f>((SUMIFS($M$7:$M$24,$C$7:$C$24,"=14",$H$7:$H$24,"=6")))*($AC$11)</f>
        <v>0</v>
      </c>
      <c r="AQ11" s="1169">
        <f>((SUMIFS($M$7:$M$24,$C$7:$C$24,"=15",$H$7:$H$24,"=6")))*($AC$11)</f>
        <v>0</v>
      </c>
      <c r="AR11" s="1169">
        <f>((SUMIFS($M$7:$M$24,$C$7:$C$24,"=16",$H$7:$H$24,"=6")))*($AC$11)</f>
        <v>0</v>
      </c>
      <c r="AS11" s="1169">
        <f>((SUMIFS($M$7:$M$24,$C$7:$C$24,"=17",$H$7:$H$24,"=6")))*($AC$11)</f>
        <v>0</v>
      </c>
      <c r="AT11" s="1169">
        <f>((SUMIFS($M$7:$M$24,$C$7:$C$24,"=18",$H$7:$H$24,"=6")))*($AC$11)</f>
        <v>0</v>
      </c>
      <c r="AU11" s="1169">
        <f>((SUMIFS($M$7:$M$24,$C$7:$C$24,"=19",$H$7:$H$24,"=6")))*($AC$11)</f>
        <v>0</v>
      </c>
      <c r="AV11" s="1169">
        <f>((SUMIFS($M$7:$M$24,$C$7:$C$24,"=20",$H$7:$H$24,"=6")))*($AC$11)</f>
        <v>0</v>
      </c>
      <c r="AW11" s="1169">
        <f>((SUMIFS($M$7:$M$24,$C$7:$C$24,"=21",$H$7:$H$24,"=6")))*($AC$11)</f>
        <v>0</v>
      </c>
    </row>
    <row r="12" spans="3:49" ht="15.75" customHeight="1" x14ac:dyDescent="0.2">
      <c r="C12" s="293">
        <v>1</v>
      </c>
      <c r="D12" s="1"/>
      <c r="E12" s="147">
        <f>VLOOKUP(C12,Dados!$A$14:$AR$81,44)</f>
        <v>0</v>
      </c>
      <c r="F12" s="28"/>
      <c r="G12" s="120">
        <f t="shared" si="0"/>
        <v>0</v>
      </c>
      <c r="H12" s="3">
        <v>1</v>
      </c>
      <c r="I12" s="30">
        <v>1</v>
      </c>
      <c r="J12" s="148">
        <f>IF(H12=1,0,VLOOKUP(H12,Rebanho!$AN$45:$AV$72,4)*I12)</f>
        <v>0</v>
      </c>
      <c r="K12" s="155">
        <f>IF(H12=1,0,(VLOOKUP(H12,Rebanho!$AN$45:$AV$72,7))*I12/450)</f>
        <v>0</v>
      </c>
      <c r="L12" s="139"/>
      <c r="M12" s="1057"/>
      <c r="N12" s="1055">
        <f t="shared" si="1"/>
        <v>0</v>
      </c>
      <c r="O12" s="1056">
        <f t="shared" si="2"/>
        <v>0</v>
      </c>
      <c r="P12" s="77">
        <f t="shared" si="3"/>
        <v>0</v>
      </c>
      <c r="Q12" s="3">
        <v>1</v>
      </c>
      <c r="R12" s="3">
        <v>1</v>
      </c>
      <c r="AB12" s="1161" t="str">
        <f>Rebanho!C54</f>
        <v>Touro</v>
      </c>
      <c r="AC12" s="1198">
        <f>IF(Rebanho!$E$54&gt;0,1,0)</f>
        <v>0</v>
      </c>
      <c r="AD12" s="1169">
        <f>((SUMIFS($M$7:$M$24,$C$7:$C$24,"=2",$H$7:$H$24,"=7")))*($AC$12)</f>
        <v>0</v>
      </c>
      <c r="AE12" s="1169">
        <f>((SUMIFS($M$7:$M$24,$C$7:$C$24,"=3",$H$7:$H$24,"=7")))*($AC$12)</f>
        <v>0</v>
      </c>
      <c r="AF12" s="1169">
        <f>((SUMIFS($M$7:$M$24,$C$7:$C$24,"=4",$H$7:$H$24,"=7")))*($AC$12)</f>
        <v>0</v>
      </c>
      <c r="AG12" s="1169">
        <f>((SUMIFS($M$7:$M$24,$C$7:$C$24,"=5",$H$7:$H$24,"=7")))*($AC$12)</f>
        <v>0</v>
      </c>
      <c r="AH12" s="1169">
        <f>((SUMIFS($M$7:$M$24,$C$7:$C$24,"=6",$H$7:$H$24,"=7")))*($AC$12)</f>
        <v>0</v>
      </c>
      <c r="AI12" s="1169">
        <f>((SUMIFS($M$7:$M$24,$C$7:$C$24,"=7",$H$7:$H$24,"=7")))*($AC$12)</f>
        <v>0</v>
      </c>
      <c r="AJ12" s="1169">
        <f>((SUMIFS($M$7:$M$24,$C$7:$C$24,"=8",$H$7:$H$24,"=7")))*($AC$12)</f>
        <v>0</v>
      </c>
      <c r="AK12" s="1169">
        <f>((SUMIFS($M$7:$M$24,$C$7:$C$24,"=9",$H$7:$H$24,"=7")))*($AC$12)</f>
        <v>0</v>
      </c>
      <c r="AL12" s="1169">
        <f>((SUMIFS($M$7:$M$24,$C$7:$C$24,"=10",$H$7:$H$24,"=7")))*($AC$12)</f>
        <v>0</v>
      </c>
      <c r="AM12" s="1169">
        <f>((SUMIFS($M$7:$M$24,$C$7:$C$24,"=11",$H$7:$H$24,"=7")))*($AC$12)</f>
        <v>0</v>
      </c>
      <c r="AN12" s="1169">
        <f>((SUMIFS($M$7:$M$24,$C$7:$C$24,"=12",$H$7:$H$24,"=7")))*($AC$12)</f>
        <v>0</v>
      </c>
      <c r="AO12" s="1169">
        <f>((SUMIFS($M$7:$M$24,$C$7:$C$24,"=13",$H$7:$H$24,"=7")))*($AC$12)</f>
        <v>0</v>
      </c>
      <c r="AP12" s="1169">
        <f>((SUMIFS($M$7:$M$24,$C$7:$C$24,"=14",$H$7:$H$24,"=7")))*($AC$12)</f>
        <v>0</v>
      </c>
      <c r="AQ12" s="1169">
        <f>((SUMIFS($M$7:$M$24,$C$7:$C$24,"=15",$H$7:$H$24,"=7")))*($AC$12)</f>
        <v>0</v>
      </c>
      <c r="AR12" s="1169">
        <f>((SUMIFS($M$7:$M$24,$C$7:$C$24,"=16",$H$7:$H$24,"=7")))*($AC$12)</f>
        <v>0</v>
      </c>
      <c r="AS12" s="1169">
        <f>((SUMIFS($M$7:$M$24,$C$7:$C$24,"=17",$H$7:$H$24,"=7")))*($AC$12)</f>
        <v>0</v>
      </c>
      <c r="AT12" s="1169">
        <f>((SUMIFS($M$7:$M$24,$C$7:$C$24,"=18",$H$7:$H$24,"=7")))*($AC$12)</f>
        <v>0</v>
      </c>
      <c r="AU12" s="1169">
        <f>((SUMIFS($M$7:$M$24,$C$7:$C$24,"=19",$H$7:$H$24,"=7")))*($AC$12)</f>
        <v>0</v>
      </c>
      <c r="AV12" s="1169">
        <f>((SUMIFS($M$7:$M$24,$C$7:$C$24,"=20",$H$7:$H$24,"=7")))*($AC$12)</f>
        <v>0</v>
      </c>
      <c r="AW12" s="1169">
        <f>((SUMIFS($M$7:$M$24,$C$7:$C$24,"=21",$H$7:$H$24,"=7")))*($AC$12)</f>
        <v>0</v>
      </c>
    </row>
    <row r="13" spans="3:49" ht="15.75" customHeight="1" x14ac:dyDescent="0.2">
      <c r="C13" s="293">
        <v>1</v>
      </c>
      <c r="D13" s="1"/>
      <c r="E13" s="147">
        <f>VLOOKUP(C13,Dados!$A$14:$AR$81,44)</f>
        <v>0</v>
      </c>
      <c r="F13" s="28"/>
      <c r="G13" s="120">
        <f t="shared" si="0"/>
        <v>0</v>
      </c>
      <c r="H13" s="3">
        <v>1</v>
      </c>
      <c r="I13" s="30">
        <v>1</v>
      </c>
      <c r="J13" s="148">
        <f>IF(H13=1,0,VLOOKUP(H13,Rebanho!$AN$45:$AV$72,4)*I13)</f>
        <v>0</v>
      </c>
      <c r="K13" s="155">
        <f>IF(H13=1,0,(VLOOKUP(H13,Rebanho!$AN$45:$AV$72,7))*I13/450)</f>
        <v>0</v>
      </c>
      <c r="L13" s="139"/>
      <c r="M13" s="1057"/>
      <c r="N13" s="1055">
        <f t="shared" si="1"/>
        <v>0</v>
      </c>
      <c r="O13" s="1056">
        <f t="shared" si="2"/>
        <v>0</v>
      </c>
      <c r="P13" s="77">
        <f t="shared" si="3"/>
        <v>0</v>
      </c>
      <c r="Q13" s="3">
        <v>1</v>
      </c>
      <c r="R13" s="3">
        <v>1</v>
      </c>
      <c r="AB13" s="1161" t="str">
        <f>Rebanho!C55</f>
        <v>Bezerras em aleitamento</v>
      </c>
      <c r="AC13" s="1198">
        <f>IF(Rebanho!$E$55&gt;0,1,0)</f>
        <v>0</v>
      </c>
      <c r="AD13" s="1169">
        <f>((SUMIFS($M$7:$M$24,$C$7:$C$24,"=2",$H$7:$H$24,"=8")))*($AC$13)</f>
        <v>0</v>
      </c>
      <c r="AE13" s="1169">
        <f>((SUMIFS($M$7:$M$24,$C$7:$C$24,"=3",$H$7:$H$24,"=8")))*($AC$13)</f>
        <v>0</v>
      </c>
      <c r="AF13" s="1169">
        <f>((SUMIFS($M$7:$M$24,$C$7:$C$24,"=4",$H$7:$H$24,"=8")))*($AC$13)</f>
        <v>0</v>
      </c>
      <c r="AG13" s="1169">
        <f>((SUMIFS($M$7:$M$24,$C$7:$C$24,"=5",$H$7:$H$24,"=8")))*($AC$13)</f>
        <v>0</v>
      </c>
      <c r="AH13" s="1169">
        <f>((SUMIFS($M$7:$M$24,$C$7:$C$24,"=6",$H$7:$H$24,"=8")))*($AC$13)</f>
        <v>0</v>
      </c>
      <c r="AI13" s="1169">
        <f>((SUMIFS($M$7:$M$24,$C$7:$C$24,"=7",$H$7:$H$24,"=8")))*($AC$13)</f>
        <v>0</v>
      </c>
      <c r="AJ13" s="1169">
        <f>((SUMIFS($M$7:$M$24,$C$7:$C$24,"=8",$H$7:$H$24,"=8")))*($AC$13)</f>
        <v>0</v>
      </c>
      <c r="AK13" s="1169">
        <f>((SUMIFS($M$7:$M$24,$C$7:$C$24,"=9",$H$7:$H$24,"=8")))*($AC$13)</f>
        <v>0</v>
      </c>
      <c r="AL13" s="1169">
        <f>((SUMIFS($M$7:$M$24,$C$7:$C$24,"=10",$H$7:$H$24,"=8")))*($AC$13)</f>
        <v>0</v>
      </c>
      <c r="AM13" s="1169">
        <f>((SUMIFS($M$7:$M$24,$C$7:$C$24,"=11",$H$7:$H$24,"=8")))*($AC$13)</f>
        <v>0</v>
      </c>
      <c r="AN13" s="1169">
        <f>((SUMIFS($M$7:$M$24,$C$7:$C$24,"=12",$H$7:$H$24,"=8")))*($AC$13)</f>
        <v>0</v>
      </c>
      <c r="AO13" s="1169">
        <f>((SUMIFS($M$7:$M$24,$C$7:$C$24,"=13",$H$7:$H$24,"=8")))*($AC$13)</f>
        <v>0</v>
      </c>
      <c r="AP13" s="1169">
        <f>((SUMIFS($M$7:$M$24,$C$7:$C$24,"=14",$H$7:$H$24,"=8")))*($AC$13)</f>
        <v>0</v>
      </c>
      <c r="AQ13" s="1169">
        <f>((SUMIFS($M$7:$M$24,$C$7:$C$24,"=15",$H$7:$H$24,"=8")))*($AC$13)</f>
        <v>0</v>
      </c>
      <c r="AR13" s="1169">
        <f>((SUMIFS($M$7:$M$24,$C$7:$C$24,"=16",$H$7:$H$24,"=8")))*($AC$13)</f>
        <v>0</v>
      </c>
      <c r="AS13" s="1169">
        <f>((SUMIFS($M$7:$M$24,$C$7:$C$24,"=17",$H$7:$H$24,"=8")))*($AC$13)</f>
        <v>0</v>
      </c>
      <c r="AT13" s="1169">
        <f>((SUMIFS($M$7:$M$24,$C$7:$C$24,"=18",$H$7:$H$24,"=8")))*($AC$13)</f>
        <v>0</v>
      </c>
      <c r="AU13" s="1169">
        <f>((SUMIFS($M$7:$M$24,$C$7:$C$24,"=19",$H$7:$H$24,"=8")))*($AC$13)</f>
        <v>0</v>
      </c>
      <c r="AV13" s="1169">
        <f>((SUMIFS($M$7:$M$24,$C$7:$C$24,"=20",$H$7:$H$24,"=8")))*($AC$13)</f>
        <v>0</v>
      </c>
      <c r="AW13" s="1169">
        <f>((SUMIFS($M$7:$M$24,$C$7:$C$24,"=21",$H$7:$H$24,"=8")))*($AC$13)</f>
        <v>0</v>
      </c>
    </row>
    <row r="14" spans="3:49" ht="15.75" customHeight="1" x14ac:dyDescent="0.2">
      <c r="C14" s="293">
        <v>1</v>
      </c>
      <c r="D14" s="1"/>
      <c r="E14" s="147">
        <f>VLOOKUP(C14,Dados!$A$14:$AR$81,44)</f>
        <v>0</v>
      </c>
      <c r="F14" s="28"/>
      <c r="G14" s="120">
        <f t="shared" si="0"/>
        <v>0</v>
      </c>
      <c r="H14" s="3">
        <v>1</v>
      </c>
      <c r="I14" s="30">
        <v>1</v>
      </c>
      <c r="J14" s="148">
        <f>IF(H14=1,0,VLOOKUP(H14,Rebanho!$AN$45:$AV$72,4)*I14)</f>
        <v>0</v>
      </c>
      <c r="K14" s="155">
        <f>IF(H14=1,0,(VLOOKUP(H14,Rebanho!$AN$45:$AV$72,7))*I14/450)</f>
        <v>0</v>
      </c>
      <c r="L14" s="139"/>
      <c r="M14" s="1057"/>
      <c r="N14" s="1055">
        <f t="shared" si="1"/>
        <v>0</v>
      </c>
      <c r="O14" s="1056">
        <f t="shared" si="2"/>
        <v>0</v>
      </c>
      <c r="P14" s="77">
        <f t="shared" si="3"/>
        <v>0</v>
      </c>
      <c r="Q14" s="3">
        <v>1</v>
      </c>
      <c r="R14" s="3">
        <v>1</v>
      </c>
      <c r="AB14" s="1161" t="str">
        <f>Rebanho!C56</f>
        <v>Bezerras desmamadas</v>
      </c>
      <c r="AC14" s="1198">
        <f>IF(Rebanho!$E$56&gt;0,1,0)</f>
        <v>0</v>
      </c>
      <c r="AD14" s="1169">
        <f>((SUMIFS($M$7:$M$24,$C$7:$C$24,"=2",$H$7:$H$24,"=9")))*($AC$14)</f>
        <v>0</v>
      </c>
      <c r="AE14" s="1169">
        <f>((SUMIFS($M$7:$M$24,$C$7:$C$24,"=3",$H$7:$H$24,"=9")))*($AC$14)</f>
        <v>0</v>
      </c>
      <c r="AF14" s="1169">
        <f>((SUMIFS($M$7:$M$24,$C$7:$C$24,"=4",$H$7:$H$24,"=9")))*($AC$14)</f>
        <v>0</v>
      </c>
      <c r="AG14" s="1169">
        <f>((SUMIFS($M$7:$M$24,$C$7:$C$24,"=5",$H$7:$H$24,"=9")))*($AC$14)</f>
        <v>0</v>
      </c>
      <c r="AH14" s="1169">
        <f>((SUMIFS($M$7:$M$24,$C$7:$C$24,"=6",$H$7:$H$24,"=9")))*($AC$14)</f>
        <v>0</v>
      </c>
      <c r="AI14" s="1169">
        <f>((SUMIFS($M$7:$M$24,$C$7:$C$24,"=7",$H$7:$H$24,"=9")))*($AC$14)</f>
        <v>0</v>
      </c>
      <c r="AJ14" s="1169">
        <f>((SUMIFS($M$7:$M$24,$C$7:$C$24,"=8",$H$7:$H$24,"=9")))*($AC$14)</f>
        <v>0</v>
      </c>
      <c r="AK14" s="1169">
        <f>((SUMIFS($M$7:$M$24,$C$7:$C$24,"=9",$H$7:$H$24,"=9")))*($AC$14)</f>
        <v>0</v>
      </c>
      <c r="AL14" s="1169">
        <f>((SUMIFS($M$7:$M$24,$C$7:$C$24,"=10",$H$7:$H$24,"=9")))*($AC$14)</f>
        <v>0</v>
      </c>
      <c r="AM14" s="1169">
        <f>((SUMIFS($M$7:$M$24,$C$7:$C$24,"=11",$H$7:$H$24,"=9")))*($AC$14)</f>
        <v>0</v>
      </c>
      <c r="AN14" s="1169">
        <f>((SUMIFS($M$7:$M$24,$C$7:$C$24,"=12",$H$7:$H$24,"=9")))*($AC$14)</f>
        <v>0</v>
      </c>
      <c r="AO14" s="1169">
        <f>((SUMIFS($M$7:$M$24,$C$7:$C$24,"=13",$H$7:$H$24,"=9")))*($AC$14)</f>
        <v>0</v>
      </c>
      <c r="AP14" s="1169">
        <f>((SUMIFS($M$7:$M$24,$C$7:$C$24,"=14",$H$7:$H$24,"=9")))*($AC$14)</f>
        <v>0</v>
      </c>
      <c r="AQ14" s="1169">
        <f>((SUMIFS($M$7:$M$24,$C$7:$C$24,"=15",$H$7:$H$24,"=9")))*($AC$14)</f>
        <v>0</v>
      </c>
      <c r="AR14" s="1169">
        <f>((SUMIFS($M$7:$M$24,$C$7:$C$24,"=16",$H$7:$H$24,"=9")))*($AC$14)</f>
        <v>0</v>
      </c>
      <c r="AS14" s="1169">
        <f>((SUMIFS($M$7:$M$24,$C$7:$C$24,"=17",$H$7:$H$24,"=9")))*($AC$14)</f>
        <v>0</v>
      </c>
      <c r="AT14" s="1169">
        <f>((SUMIFS($M$7:$M$24,$C$7:$C$24,"=18",$H$7:$H$24,"=9")))*($AC$14)</f>
        <v>0</v>
      </c>
      <c r="AU14" s="1169">
        <f>((SUMIFS($M$7:$M$24,$C$7:$C$24,"=19",$H$7:$H$24,"=9")))*($AC$14)</f>
        <v>0</v>
      </c>
      <c r="AV14" s="1169">
        <f>((SUMIFS($M$7:$M$24,$C$7:$C$24,"=20",$H$7:$H$24,"=9")))*($AC$14)</f>
        <v>0</v>
      </c>
      <c r="AW14" s="1169">
        <f>((SUMIFS($M$7:$M$24,$C$7:$C$24,"=21",$H$7:$H$24,"=9")))*($AC$14)</f>
        <v>0</v>
      </c>
    </row>
    <row r="15" spans="3:49" ht="15.75" customHeight="1" x14ac:dyDescent="0.2">
      <c r="C15" s="293">
        <v>1</v>
      </c>
      <c r="D15" s="1"/>
      <c r="E15" s="147">
        <f>VLOOKUP(C15,Dados!$A$14:$AR$81,44)</f>
        <v>0</v>
      </c>
      <c r="F15" s="28"/>
      <c r="G15" s="120">
        <f t="shared" si="0"/>
        <v>0</v>
      </c>
      <c r="H15" s="3">
        <v>1</v>
      </c>
      <c r="I15" s="30">
        <v>1</v>
      </c>
      <c r="J15" s="148">
        <f>IF(H15=1,0,VLOOKUP(H15,Rebanho!$AN$45:$AV$72,4)*I15)</f>
        <v>0</v>
      </c>
      <c r="K15" s="155">
        <f>IF(H15=1,0,(VLOOKUP(H15,Rebanho!$AN$45:$AV$72,7))*I15/450)</f>
        <v>0</v>
      </c>
      <c r="L15" s="139"/>
      <c r="M15" s="1057"/>
      <c r="N15" s="1055">
        <f t="shared" si="1"/>
        <v>0</v>
      </c>
      <c r="O15" s="1056">
        <f t="shared" si="2"/>
        <v>0</v>
      </c>
      <c r="P15" s="77">
        <f t="shared" si="3"/>
        <v>0</v>
      </c>
      <c r="Q15" s="3">
        <v>1</v>
      </c>
      <c r="R15" s="3">
        <v>1</v>
      </c>
      <c r="AB15" s="1161" t="str">
        <f>Rebanho!C57</f>
        <v>Novilhas sobreano</v>
      </c>
      <c r="AC15" s="1198">
        <f>IF(Rebanho!$E$57&gt;0,1,0)</f>
        <v>0</v>
      </c>
      <c r="AD15" s="1169">
        <f>((SUMIFS($M$7:$M$24,$C$7:$C$24,"=2",$H$7:$H$24,"=10")))*($AC$15)</f>
        <v>0</v>
      </c>
      <c r="AE15" s="1169">
        <f>((SUMIFS($M$7:$M$24,$C$7:$C$24,"=3",$H$7:$H$24,"=10")))*($AC$15)</f>
        <v>0</v>
      </c>
      <c r="AF15" s="1169">
        <f>((SUMIFS($M$7:$M$24,$C$7:$C$24,"=4",$H$7:$H$24,"=10")))*($AC$15)</f>
        <v>0</v>
      </c>
      <c r="AG15" s="1169">
        <f>((SUMIFS($M$7:$M$24,$C$7:$C$24,"=5",$H$7:$H$24,"=10")))*($AC$15)</f>
        <v>0</v>
      </c>
      <c r="AH15" s="1169">
        <f>((SUMIFS($M$7:$M$24,$C$7:$C$24,"=6",$H$7:$H$24,"=10")))*($AC$15)</f>
        <v>0</v>
      </c>
      <c r="AI15" s="1169">
        <f>((SUMIFS($M$7:$M$24,$C$7:$C$24,"=7",$H$7:$H$24,"=10")))*($AC$15)</f>
        <v>0</v>
      </c>
      <c r="AJ15" s="1169">
        <f>((SUMIFS($M$7:$M$24,$C$7:$C$24,"=8",$H$7:$H$24,"=10")))*($AC$15)</f>
        <v>0</v>
      </c>
      <c r="AK15" s="1169">
        <f>((SUMIFS($M$7:$M$24,$C$7:$C$24,"=9",$H$7:$H$24,"=10")))*($AC$15)</f>
        <v>0</v>
      </c>
      <c r="AL15" s="1169">
        <f>((SUMIFS($M$7:$M$24,$C$7:$C$24,"=10",$H$7:$H$24,"=10")))*($AC$15)</f>
        <v>0</v>
      </c>
      <c r="AM15" s="1169">
        <f>((SUMIFS($M$7:$M$24,$C$7:$C$24,"=11",$H$7:$H$24,"=10")))*($AC$15)</f>
        <v>0</v>
      </c>
      <c r="AN15" s="1169">
        <f>((SUMIFS($M$7:$M$24,$C$7:$C$24,"=12",$H$7:$H$24,"=10")))*($AC$15)</f>
        <v>0</v>
      </c>
      <c r="AO15" s="1169">
        <f>((SUMIFS($M$7:$M$24,$C$7:$C$24,"=13",$H$7:$H$24,"=10")))*($AC$15)</f>
        <v>0</v>
      </c>
      <c r="AP15" s="1169">
        <f>((SUMIFS($M$7:$M$24,$C$7:$C$24,"=14",$H$7:$H$24,"=10")))*($AC$15)</f>
        <v>0</v>
      </c>
      <c r="AQ15" s="1169">
        <f>((SUMIFS($M$7:$M$24,$C$7:$C$24,"=15",$H$7:$H$24,"=10")))*($AC$15)</f>
        <v>0</v>
      </c>
      <c r="AR15" s="1169">
        <f>((SUMIFS($M$7:$M$24,$C$7:$C$24,"=16",$H$7:$H$24,"=10")))*($AC$15)</f>
        <v>0</v>
      </c>
      <c r="AS15" s="1169">
        <f>((SUMIFS($M$7:$M$24,$C$7:$C$24,"=17",$H$7:$H$24,"=10")))*($AC$15)</f>
        <v>0</v>
      </c>
      <c r="AT15" s="1169">
        <f>((SUMIFS($M$7:$M$24,$C$7:$C$24,"=18",$H$7:$H$24,"=10")))*($AC$15)</f>
        <v>0</v>
      </c>
      <c r="AU15" s="1169">
        <f>((SUMIFS($M$7:$M$24,$C$7:$C$24,"=19",$H$7:$H$24,"=10")))*($AC$15)</f>
        <v>0</v>
      </c>
      <c r="AV15" s="1169">
        <f>((SUMIFS($M$7:$M$24,$C$7:$C$24,"=20",$H$7:$H$24,"=10")))*($AC$15)</f>
        <v>0</v>
      </c>
      <c r="AW15" s="1169">
        <f>((SUMIFS($M$7:$M$24,$C$7:$C$24,"=21",$H$7:$H$24,"=10")))*($AC$15)</f>
        <v>0</v>
      </c>
    </row>
    <row r="16" spans="3:49" ht="15.75" customHeight="1" x14ac:dyDescent="0.2">
      <c r="C16" s="6">
        <v>1</v>
      </c>
      <c r="D16" s="90"/>
      <c r="E16" s="147">
        <f>VLOOKUP(C16,Dados!$A$14:$AR$81,44)</f>
        <v>0</v>
      </c>
      <c r="F16" s="28"/>
      <c r="G16" s="120">
        <f t="shared" si="0"/>
        <v>0</v>
      </c>
      <c r="H16" s="6">
        <v>1</v>
      </c>
      <c r="I16" s="30">
        <v>1</v>
      </c>
      <c r="J16" s="148">
        <f>IF(H16=1,0,VLOOKUP(H16,Rebanho!$AN$45:$AV$72,4)*I16)</f>
        <v>0</v>
      </c>
      <c r="K16" s="155">
        <f>IF(H16=1,0,(VLOOKUP(H16,Rebanho!$AN$45:$AV$72,7))*I16/450)</f>
        <v>0</v>
      </c>
      <c r="L16" s="139"/>
      <c r="M16" s="1057"/>
      <c r="N16" s="1055">
        <f t="shared" si="1"/>
        <v>0</v>
      </c>
      <c r="O16" s="1056">
        <f t="shared" si="2"/>
        <v>0</v>
      </c>
      <c r="P16" s="77">
        <f t="shared" si="3"/>
        <v>0</v>
      </c>
      <c r="Q16" s="93">
        <v>1</v>
      </c>
      <c r="R16" s="93">
        <v>1</v>
      </c>
      <c r="AB16" s="1161" t="str">
        <f>Rebanho!C58</f>
        <v>Novilhas preenhe</v>
      </c>
      <c r="AC16" s="1198">
        <f>IF(Rebanho!$E$58&gt;0,1,0)</f>
        <v>0</v>
      </c>
      <c r="AD16" s="1169">
        <f>((SUMIFS($M$7:$M$24,$C$7:$C$24,"=2",$H$7:$H$24,"=11")))*($AC$16)</f>
        <v>0</v>
      </c>
      <c r="AE16" s="1169">
        <f>((SUMIFS($M$7:$M$24,$C$7:$C$24,"=3",$H$7:$H$24,"=11")))*($AC$16)</f>
        <v>0</v>
      </c>
      <c r="AF16" s="1169">
        <f>((SUMIFS($M$7:$M$24,$C$7:$C$24,"=4",$H$7:$H$24,"=11")))*($AC$16)</f>
        <v>0</v>
      </c>
      <c r="AG16" s="1169">
        <f>((SUMIFS($M$7:$M$24,$C$7:$C$24,"=5",$H$7:$H$24,"=11")))*($AC$16)</f>
        <v>0</v>
      </c>
      <c r="AH16" s="1169">
        <f>((SUMIFS($M$7:$M$24,$C$7:$C$24,"=6",$H$7:$H$24,"=11")))*($AC$16)</f>
        <v>0</v>
      </c>
      <c r="AI16" s="1169">
        <f>((SUMIFS($M$7:$M$24,$C$7:$C$24,"=7",$H$7:$H$24,"=11")))*($AC$16)</f>
        <v>0</v>
      </c>
      <c r="AJ16" s="1169">
        <f>((SUMIFS($M$7:$M$24,$C$7:$C$24,"=8",$H$7:$H$24,"=11")))*($AC$16)</f>
        <v>0</v>
      </c>
      <c r="AK16" s="1169">
        <f>((SUMIFS($M$7:$M$24,$C$7:$C$24,"=9",$H$7:$H$24,"=11")))*($AC$16)</f>
        <v>0</v>
      </c>
      <c r="AL16" s="1169">
        <f>((SUMIFS($M$7:$M$24,$C$7:$C$24,"=10",$H$7:$H$24,"=11")))*($AC$16)</f>
        <v>0</v>
      </c>
      <c r="AM16" s="1169">
        <f>((SUMIFS($M$7:$M$24,$C$7:$C$24,"=11",$H$7:$H$24,"=11")))*($AC$16)</f>
        <v>0</v>
      </c>
      <c r="AN16" s="1169">
        <f>((SUMIFS($M$7:$M$24,$C$7:$C$24,"=12",$H$7:$H$24,"=11")))*($AC$16)</f>
        <v>0</v>
      </c>
      <c r="AO16" s="1169">
        <f>((SUMIFS($M$7:$M$24,$C$7:$C$24,"=13",$H$7:$H$24,"=11")))*($AC$16)</f>
        <v>0</v>
      </c>
      <c r="AP16" s="1169">
        <f>((SUMIFS($M$7:$M$24,$C$7:$C$24,"=14",$H$7:$H$24,"=11")))*($AC$16)</f>
        <v>0</v>
      </c>
      <c r="AQ16" s="1169">
        <f>((SUMIFS($M$7:$M$24,$C$7:$C$24,"=15",$H$7:$H$24,"=11")))*($AC$16)</f>
        <v>0</v>
      </c>
      <c r="AR16" s="1169">
        <f>((SUMIFS($M$7:$M$24,$C$7:$C$24,"=16",$H$7:$H$24,"=11")))*($AC$16)</f>
        <v>0</v>
      </c>
      <c r="AS16" s="1169">
        <f>((SUMIFS($M$7:$M$24,$C$7:$C$24,"=17",$H$7:$H$24,"=11")))*($AC$16)</f>
        <v>0</v>
      </c>
      <c r="AT16" s="1169">
        <f>((SUMIFS($M$7:$M$24,$C$7:$C$24,"=18",$H$7:$H$24,"=11")))*($AC$16)</f>
        <v>0</v>
      </c>
      <c r="AU16" s="1169">
        <f>((SUMIFS($M$7:$M$24,$C$7:$C$24,"=19",$H$7:$H$24,"=11")))*($AC$16)</f>
        <v>0</v>
      </c>
      <c r="AV16" s="1169">
        <f>((SUMIFS($M$7:$M$24,$C$7:$C$24,"=20",$H$7:$H$24,"=11")))*($AC$16)</f>
        <v>0</v>
      </c>
      <c r="AW16" s="1169">
        <f>((SUMIFS($M$7:$M$24,$C$7:$C$24,"=21",$H$7:$H$24,"=11")))*($AC$16)</f>
        <v>0</v>
      </c>
    </row>
    <row r="17" spans="3:49" ht="15.75" customHeight="1" x14ac:dyDescent="0.2">
      <c r="C17" s="6">
        <v>1</v>
      </c>
      <c r="D17" s="1"/>
      <c r="E17" s="147">
        <f>VLOOKUP(C17,Dados!$A$14:$AR$81,44)</f>
        <v>0</v>
      </c>
      <c r="F17" s="28"/>
      <c r="G17" s="120">
        <f>IF(E17=0,0,F17/E17)</f>
        <v>0</v>
      </c>
      <c r="H17" s="6">
        <v>1</v>
      </c>
      <c r="I17" s="30">
        <v>1</v>
      </c>
      <c r="J17" s="148">
        <f>IF(H17=1,0,VLOOKUP(H17,Rebanho!$AN$45:$AV$72,4)*I17)</f>
        <v>0</v>
      </c>
      <c r="K17" s="155">
        <f>IF(H17=1,0,(VLOOKUP(H17,Rebanho!$AN$45:$AV$72,7))*I17/450)</f>
        <v>0</v>
      </c>
      <c r="L17" s="139"/>
      <c r="M17" s="1057"/>
      <c r="N17" s="1055">
        <f t="shared" si="1"/>
        <v>0</v>
      </c>
      <c r="O17" s="1056">
        <f t="shared" si="2"/>
        <v>0</v>
      </c>
      <c r="P17" s="77">
        <f t="shared" si="3"/>
        <v>0</v>
      </c>
      <c r="Q17" s="93">
        <v>1</v>
      </c>
      <c r="R17" s="93">
        <v>1</v>
      </c>
      <c r="AB17" s="1161" t="str">
        <f>Rebanho!C59</f>
        <v>Vacas primíparas</v>
      </c>
      <c r="AC17" s="1198">
        <f>IF(Rebanho!$E$59&gt;0,1,0)</f>
        <v>0</v>
      </c>
      <c r="AD17" s="1169">
        <f>((SUMIFS($M$7:$M$24,$C$7:$C$24,"=2",$H$7:$H$24,"=12")))*($AC$17)</f>
        <v>0</v>
      </c>
      <c r="AE17" s="1169">
        <f>((SUMIFS($M$7:$M$24,$C$7:$C$24,"=3",$H$7:$H$24,"=12")))*($AC$17)</f>
        <v>0</v>
      </c>
      <c r="AF17" s="1169">
        <f>((SUMIFS($M$7:$M$24,$C$7:$C$24,"=4",$H$7:$H$24,"=12")))*($AC$17)</f>
        <v>0</v>
      </c>
      <c r="AG17" s="1169">
        <f>((SUMIFS($M$7:$M$24,$C$7:$C$24,"=5",$H$7:$H$24,"=12")))*($AC$17)</f>
        <v>0</v>
      </c>
      <c r="AH17" s="1169">
        <f>((SUMIFS($M$7:$M$24,$C$7:$C$24,"=6",$H$7:$H$24,"=12")))*($AC$17)</f>
        <v>0</v>
      </c>
      <c r="AI17" s="1169">
        <f>((SUMIFS($M$7:$M$24,$C$7:$C$24,"=7",$H$7:$H$24,"=12")))*($AC$17)</f>
        <v>0</v>
      </c>
      <c r="AJ17" s="1169">
        <f>((SUMIFS($M$7:$M$24,$C$7:$C$24,"=8",$H$7:$H$24,"=12")))*($AC$17)</f>
        <v>0</v>
      </c>
      <c r="AK17" s="1169">
        <f>((SUMIFS($M$7:$M$24,$C$7:$C$24,"=9",$H$7:$H$24,"=12")))*($AC$17)</f>
        <v>0</v>
      </c>
      <c r="AL17" s="1169">
        <f>((SUMIFS($M$7:$M$24,$C$7:$C$24,"=10",$H$7:$H$24,"=12")))*($AC$17)</f>
        <v>0</v>
      </c>
      <c r="AM17" s="1169">
        <f>((SUMIFS($M$7:$M$24,$C$7:$C$24,"=11",$H$7:$H$24,"=12")))*($AC$17)</f>
        <v>0</v>
      </c>
      <c r="AN17" s="1169">
        <f>((SUMIFS($M$7:$M$24,$C$7:$C$24,"=12",$H$7:$H$24,"=12")))*($AC$17)</f>
        <v>0</v>
      </c>
      <c r="AO17" s="1169">
        <f>((SUMIFS($M$7:$M$24,$C$7:$C$24,"=13",$H$7:$H$24,"=12")))*($AC$17)</f>
        <v>0</v>
      </c>
      <c r="AP17" s="1169">
        <f>((SUMIFS($M$7:$M$24,$C$7:$C$24,"=14",$H$7:$H$24,"=12")))*($AC$17)</f>
        <v>0</v>
      </c>
      <c r="AQ17" s="1169">
        <f>((SUMIFS($M$7:$M$24,$C$7:$C$24,"=15",$H$7:$H$24,"=12")))*($AC$17)</f>
        <v>0</v>
      </c>
      <c r="AR17" s="1169">
        <f>((SUMIFS($M$7:$M$24,$C$7:$C$24,"=16",$H$7:$H$24,"=12")))*($AC$17)</f>
        <v>0</v>
      </c>
      <c r="AS17" s="1169">
        <f>((SUMIFS($M$7:$M$24,$C$7:$C$24,"=17",$H$7:$H$24,"=12")))*($AC$17)</f>
        <v>0</v>
      </c>
      <c r="AT17" s="1169">
        <f>((SUMIFS($M$7:$M$24,$C$7:$C$24,"=18",$H$7:$H$24,"=12")))*($AC$17)</f>
        <v>0</v>
      </c>
      <c r="AU17" s="1169">
        <f>((SUMIFS($M$7:$M$24,$C$7:$C$24,"=19",$H$7:$H$24,"=12")))*($AC$17)</f>
        <v>0</v>
      </c>
      <c r="AV17" s="1169">
        <f>((SUMIFS($M$7:$M$24,$C$7:$C$24,"=20",$H$7:$H$24,"=12")))*($AC$17)</f>
        <v>0</v>
      </c>
      <c r="AW17" s="1169">
        <f>((SUMIFS($M$7:$M$24,$C$7:$C$24,"=21",$H$7:$H$24,"=12")))*($AC$17)</f>
        <v>0</v>
      </c>
    </row>
    <row r="18" spans="3:49" ht="15.75" customHeight="1" x14ac:dyDescent="0.2">
      <c r="C18" s="6">
        <v>1</v>
      </c>
      <c r="D18" s="1"/>
      <c r="E18" s="147">
        <f>VLOOKUP(C18,Dados!$A$14:$AR$81,44)</f>
        <v>0</v>
      </c>
      <c r="F18" s="28"/>
      <c r="G18" s="120">
        <f t="shared" si="0"/>
        <v>0</v>
      </c>
      <c r="H18" s="6">
        <v>1</v>
      </c>
      <c r="I18" s="30">
        <v>1</v>
      </c>
      <c r="J18" s="148">
        <f>IF(H18=1,0,VLOOKUP(H18,Rebanho!$AN$45:$AV$72,4)*I18)</f>
        <v>0</v>
      </c>
      <c r="K18" s="155">
        <f>IF(H18=1,0,(VLOOKUP(H18,Rebanho!$AN$45:$AV$72,7))*I18/450)</f>
        <v>0</v>
      </c>
      <c r="L18" s="139"/>
      <c r="M18" s="1057"/>
      <c r="N18" s="1055">
        <f t="shared" si="1"/>
        <v>0</v>
      </c>
      <c r="O18" s="1056">
        <f t="shared" si="2"/>
        <v>0</v>
      </c>
      <c r="P18" s="77">
        <f t="shared" si="3"/>
        <v>0</v>
      </c>
      <c r="Q18" s="93">
        <v>1</v>
      </c>
      <c r="R18" s="93">
        <v>1</v>
      </c>
      <c r="AB18" s="1161" t="str">
        <f>Rebanho!C60</f>
        <v>Vacas em lactação multiparas</v>
      </c>
      <c r="AC18" s="1198">
        <f>IF(Rebanho!$E$60&gt;0,1,0)</f>
        <v>0</v>
      </c>
      <c r="AD18" s="1169">
        <f>((SUMIFS($M$7:$M$24,$C$7:$C$24,"=2",$H$7:$H$24,"=13")))*($AC$18)</f>
        <v>0</v>
      </c>
      <c r="AE18" s="1169">
        <f>((SUMIFS($M$7:$M$24,$C$7:$C$24,"=3",$H$7:$H$24,"=13")))*($AC$18)</f>
        <v>0</v>
      </c>
      <c r="AF18" s="1169">
        <f>((SUMIFS($M$7:$M$24,$C$7:$C$24,"=4",$H$7:$H$24,"=13")))*($AC$18)</f>
        <v>0</v>
      </c>
      <c r="AG18" s="1169">
        <f>((SUMIFS($M$7:$M$24,$C$7:$C$24,"=5",$H$7:$H$24,"=13")))*($AC$18)</f>
        <v>0</v>
      </c>
      <c r="AH18" s="1169">
        <f>((SUMIFS($M$7:$M$24,$C$7:$C$24,"=6",$H$7:$H$24,"=13")))*($AC$18)</f>
        <v>0</v>
      </c>
      <c r="AI18" s="1169">
        <f>((SUMIFS($M$7:$M$24,$C$7:$C$24,"=7",$H$7:$H$24,"=13")))*($AC$18)</f>
        <v>0</v>
      </c>
      <c r="AJ18" s="1169">
        <f>((SUMIFS($M$7:$M$24,$C$7:$C$24,"=8",$H$7:$H$24,"=13")))*($AC$18)</f>
        <v>0</v>
      </c>
      <c r="AK18" s="1169">
        <f>((SUMIFS($M$7:$M$24,$C$7:$C$24,"=9",$H$7:$H$24,"=13")))*($AC$18)</f>
        <v>0</v>
      </c>
      <c r="AL18" s="1169">
        <f>((SUMIFS($M$7:$M$24,$C$7:$C$24,"=10",$H$7:$H$24,"=13")))*($AC$18)</f>
        <v>0</v>
      </c>
      <c r="AM18" s="1169">
        <f>((SUMIFS($M$7:$M$24,$C$7:$C$24,"=11",$H$7:$H$24,"=13")))*($AC$18)</f>
        <v>0</v>
      </c>
      <c r="AN18" s="1169">
        <f>((SUMIFS($M$7:$M$24,$C$7:$C$24,"=12",$H$7:$H$24,"=13")))*($AC$18)</f>
        <v>0</v>
      </c>
      <c r="AO18" s="1169">
        <f>((SUMIFS($M$7:$M$24,$C$7:$C$24,"=13",$H$7:$H$24,"=13")))*($AC$18)</f>
        <v>0</v>
      </c>
      <c r="AP18" s="1169">
        <f>((SUMIFS($M$7:$M$24,$C$7:$C$24,"=14",$H$7:$H$24,"=13")))*($AC$18)</f>
        <v>0</v>
      </c>
      <c r="AQ18" s="1169">
        <f>((SUMIFS($M$7:$M$24,$C$7:$C$24,"=15",$H$7:$H$24,"=13")))*($AC$18)</f>
        <v>0</v>
      </c>
      <c r="AR18" s="1169">
        <f>((SUMIFS($M$7:$M$24,$C$7:$C$24,"=16",$H$7:$H$24,"=13")))*($AC$18)</f>
        <v>0</v>
      </c>
      <c r="AS18" s="1169">
        <f>((SUMIFS($M$7:$M$24,$C$7:$C$24,"=17",$H$7:$H$24,"=13")))*($AC$18)</f>
        <v>0</v>
      </c>
      <c r="AT18" s="1169">
        <f>((SUMIFS($M$7:$M$24,$C$7:$C$24,"=18",$H$7:$H$24,"=13")))*($AC$18)</f>
        <v>0</v>
      </c>
      <c r="AU18" s="1169">
        <f>((SUMIFS($M$7:$M$24,$C$7:$C$24,"=19",$H$7:$H$24,"=13")))*($AC$18)</f>
        <v>0</v>
      </c>
      <c r="AV18" s="1169">
        <f>((SUMIFS($M$7:$M$24,$C$7:$C$24,"=20",$H$7:$H$24,"=13")))*($AC$18)</f>
        <v>0</v>
      </c>
      <c r="AW18" s="1169">
        <f>((SUMIFS($M$7:$M$24,$C$7:$C$24,"=21",$H$7:$H$24,"=13")))*($AC$18)</f>
        <v>0</v>
      </c>
    </row>
    <row r="19" spans="3:49" ht="15.75" customHeight="1" x14ac:dyDescent="0.2">
      <c r="C19" s="6">
        <v>1</v>
      </c>
      <c r="D19" s="1"/>
      <c r="E19" s="147">
        <f>VLOOKUP(C19,Dados!$A$14:$AR$81,44)</f>
        <v>0</v>
      </c>
      <c r="F19" s="28"/>
      <c r="G19" s="120">
        <f t="shared" si="0"/>
        <v>0</v>
      </c>
      <c r="H19" s="6">
        <v>1</v>
      </c>
      <c r="I19" s="30">
        <v>1</v>
      </c>
      <c r="J19" s="148">
        <f>IF(H19=1,0,VLOOKUP(H19,Rebanho!$AN$45:$AV$72,4)*I19)</f>
        <v>0</v>
      </c>
      <c r="K19" s="155">
        <f>IF(H19=1,0,(VLOOKUP(H19,Rebanho!$AN$45:$AV$72,7))*I19/450)</f>
        <v>0</v>
      </c>
      <c r="L19" s="139"/>
      <c r="M19" s="1057"/>
      <c r="N19" s="1055">
        <f t="shared" si="1"/>
        <v>0</v>
      </c>
      <c r="O19" s="1056">
        <f t="shared" si="2"/>
        <v>0</v>
      </c>
      <c r="P19" s="77">
        <f t="shared" si="3"/>
        <v>0</v>
      </c>
      <c r="Q19" s="93">
        <v>1</v>
      </c>
      <c r="R19" s="93">
        <v>1</v>
      </c>
      <c r="AB19" s="1161" t="str">
        <f>Rebanho!C61</f>
        <v>Vacas solteiras secas</v>
      </c>
      <c r="AC19" s="1198">
        <f>IF(Rebanho!$E$61&gt;0,1,0)</f>
        <v>0</v>
      </c>
      <c r="AD19" s="1169">
        <f>((SUMIFS($M$7:$M$24,$C$7:$C$24,"=2",$H$7:$H$24,"=14")))*($AC$19)</f>
        <v>0</v>
      </c>
      <c r="AE19" s="1169">
        <f>((SUMIFS($M$7:$M$24,$C$7:$C$24,"=3",$H$7:$H$24,"=14")))*($AC$19)</f>
        <v>0</v>
      </c>
      <c r="AF19" s="1169">
        <f>((SUMIFS($M$7:$M$24,$C$7:$C$24,"=4",$H$7:$H$24,"=14")))*($AC$19)</f>
        <v>0</v>
      </c>
      <c r="AG19" s="1169">
        <f>((SUMIFS($M$7:$M$24,$C$7:$C$24,"=5",$H$7:$H$24,"=14")))*($AC$19)</f>
        <v>0</v>
      </c>
      <c r="AH19" s="1169">
        <f>((SUMIFS($M$7:$M$24,$C$7:$C$24,"=6",$H$7:$H$24,"=14")))*($AC$19)</f>
        <v>0</v>
      </c>
      <c r="AI19" s="1169">
        <f>((SUMIFS($M$7:$M$24,$C$7:$C$24,"=7",$H$7:$H$24,"=14")))*($AC$19)</f>
        <v>0</v>
      </c>
      <c r="AJ19" s="1169">
        <f>((SUMIFS($M$7:$M$24,$C$7:$C$24,"=8",$H$7:$H$24,"=14")))*($AC$19)</f>
        <v>0</v>
      </c>
      <c r="AK19" s="1169">
        <f>((SUMIFS($M$7:$M$24,$C$7:$C$24,"=9",$H$7:$H$24,"=14")))*($AC$19)</f>
        <v>0</v>
      </c>
      <c r="AL19" s="1169">
        <f>((SUMIFS($M$7:$M$24,$C$7:$C$24,"=10",$H$7:$H$24,"=14")))*($AC$19)</f>
        <v>0</v>
      </c>
      <c r="AM19" s="1169">
        <f>((SUMIFS($M$7:$M$24,$C$7:$C$24,"=11",$H$7:$H$24,"=14")))*($AC$19)</f>
        <v>0</v>
      </c>
      <c r="AN19" s="1169">
        <f>((SUMIFS($M$7:$M$24,$C$7:$C$24,"=12",$H$7:$H$24,"=14")))*($AC$19)</f>
        <v>0</v>
      </c>
      <c r="AO19" s="1169">
        <f>((SUMIFS($M$7:$M$24,$C$7:$C$24,"=13",$H$7:$H$24,"=14")))*($AC$19)</f>
        <v>0</v>
      </c>
      <c r="AP19" s="1169">
        <f>((SUMIFS($M$7:$M$24,$C$7:$C$24,"=14",$H$7:$H$24,"=14")))*($AC$19)</f>
        <v>0</v>
      </c>
      <c r="AQ19" s="1169">
        <f>((SUMIFS($M$7:$M$24,$C$7:$C$24,"=15",$H$7:$H$24,"=14")))*($AC$19)</f>
        <v>0</v>
      </c>
      <c r="AR19" s="1169">
        <f>((SUMIFS($M$7:$M$24,$C$7:$C$24,"=16",$H$7:$H$24,"=14")))*($AC$19)</f>
        <v>0</v>
      </c>
      <c r="AS19" s="1169">
        <f>((SUMIFS($M$7:$M$24,$C$7:$C$24,"=17",$H$7:$H$24,"=14")))*($AC$19)</f>
        <v>0</v>
      </c>
      <c r="AT19" s="1169">
        <f>((SUMIFS($M$7:$M$24,$C$7:$C$24,"=18",$H$7:$H$24,"=14")))*($AC$19)</f>
        <v>0</v>
      </c>
      <c r="AU19" s="1169">
        <f>((SUMIFS($M$7:$M$24,$C$7:$C$24,"=19",$H$7:$H$24,"=14")))*($AC$19)</f>
        <v>0</v>
      </c>
      <c r="AV19" s="1169">
        <f>((SUMIFS($M$7:$M$24,$C$7:$C$24,"=20",$H$7:$H$24,"=14")))*($AC$19)</f>
        <v>0</v>
      </c>
      <c r="AW19" s="1169">
        <f>((SUMIFS($M$7:$M$24,$C$7:$C$24,"=21",$H$7:$H$24,"=14")))*($AC$19)</f>
        <v>0</v>
      </c>
    </row>
    <row r="20" spans="3:49" ht="15.75" customHeight="1" x14ac:dyDescent="0.2">
      <c r="C20" s="6">
        <v>1</v>
      </c>
      <c r="D20" s="1"/>
      <c r="E20" s="147">
        <f>VLOOKUP(C20,Dados!$A$14:$AR$81,44)</f>
        <v>0</v>
      </c>
      <c r="F20" s="28"/>
      <c r="G20" s="120">
        <f t="shared" si="0"/>
        <v>0</v>
      </c>
      <c r="H20" s="6">
        <v>1</v>
      </c>
      <c r="I20" s="30">
        <v>1</v>
      </c>
      <c r="J20" s="148">
        <f>IF(H20=1,0,VLOOKUP(H20,Rebanho!$AN$45:$AV$72,4)*I20)</f>
        <v>0</v>
      </c>
      <c r="K20" s="155">
        <f>IF(H20=1,0,(VLOOKUP(H20,Rebanho!$AN$45:$AV$72,7))*I20/450)</f>
        <v>0</v>
      </c>
      <c r="L20" s="139"/>
      <c r="M20" s="1057"/>
      <c r="N20" s="1055">
        <f t="shared" si="1"/>
        <v>0</v>
      </c>
      <c r="O20" s="1056">
        <f t="shared" si="2"/>
        <v>0</v>
      </c>
      <c r="P20" s="77">
        <f t="shared" si="3"/>
        <v>0</v>
      </c>
      <c r="Q20" s="93">
        <v>1</v>
      </c>
      <c r="R20" s="93">
        <v>1</v>
      </c>
      <c r="AB20" s="1161" t="str">
        <f>Rebanho!C62</f>
        <v>Bezerras em aleitamento (Engorda)</v>
      </c>
      <c r="AC20" s="1198">
        <f>IF(Rebanho!$E$62&gt;0,1,0)</f>
        <v>0</v>
      </c>
      <c r="AD20" s="1169">
        <f>((SUMIFS($M$7:$M$24,$C$7:$C$24,"=2",$H$7:$H$24,"=15")))*($AC$20)</f>
        <v>0</v>
      </c>
      <c r="AE20" s="1169">
        <f>((SUMIFS($M$7:$M$24,$C$7:$C$24,"=3",$H$7:$H$24,"=15")))*($AC$20)</f>
        <v>0</v>
      </c>
      <c r="AF20" s="1169">
        <f>((SUMIFS($M$7:$M$24,$C$7:$C$24,"=4",$H$7:$H$24,"=15")))*($AC$20)</f>
        <v>0</v>
      </c>
      <c r="AG20" s="1169">
        <f>((SUMIFS($M$7:$M$24,$C$7:$C$24,"=5",$H$7:$H$24,"=15")))*($AC$20)</f>
        <v>0</v>
      </c>
      <c r="AH20" s="1169">
        <f>((SUMIFS($M$7:$M$24,$C$7:$C$24,"=6",$H$7:$H$24,"=15")))*($AC$20)</f>
        <v>0</v>
      </c>
      <c r="AI20" s="1169">
        <f>((SUMIFS($M$7:$M$24,$C$7:$C$24,"=7",$H$7:$H$24,"=15")))*($AC$20)</f>
        <v>0</v>
      </c>
      <c r="AJ20" s="1169">
        <f>((SUMIFS($M$7:$M$24,$C$7:$C$24,"=8",$H$7:$H$24,"=15")))*($AC$20)</f>
        <v>0</v>
      </c>
      <c r="AK20" s="1169">
        <f>((SUMIFS($M$7:$M$24,$C$7:$C$24,"=9",$H$7:$H$24,"=15")))*($AC$20)</f>
        <v>0</v>
      </c>
      <c r="AL20" s="1169">
        <f>((SUMIFS($M$7:$M$24,$C$7:$C$24,"=10",$H$7:$H$24,"=15")))*($AC$20)</f>
        <v>0</v>
      </c>
      <c r="AM20" s="1169">
        <f>((SUMIFS($M$7:$M$24,$C$7:$C$24,"=11",$H$7:$H$24,"=15")))*($AC$20)</f>
        <v>0</v>
      </c>
      <c r="AN20" s="1169">
        <f>((SUMIFS($M$7:$M$24,$C$7:$C$24,"=12",$H$7:$H$24,"=15")))*($AC$20)</f>
        <v>0</v>
      </c>
      <c r="AO20" s="1169">
        <f>((SUMIFS($M$7:$M$24,$C$7:$C$24,"=13",$H$7:$H$24,"=15")))*($AC$20)</f>
        <v>0</v>
      </c>
      <c r="AP20" s="1169">
        <f>((SUMIFS($M$7:$M$24,$C$7:$C$24,"=14",$H$7:$H$24,"=15")))*($AC$20)</f>
        <v>0</v>
      </c>
      <c r="AQ20" s="1169">
        <f>((SUMIFS($M$7:$M$24,$C$7:$C$24,"=15",$H$7:$H$24,"=15")))*($AC$20)</f>
        <v>0</v>
      </c>
      <c r="AR20" s="1169">
        <f>((SUMIFS($M$7:$M$24,$C$7:$C$24,"=16",$H$7:$H$24,"=15")))*($AC$20)</f>
        <v>0</v>
      </c>
      <c r="AS20" s="1169">
        <f>((SUMIFS($M$7:$M$24,$C$7:$C$24,"=17",$H$7:$H$24,"=15")))*($AC$20)</f>
        <v>0</v>
      </c>
      <c r="AT20" s="1169">
        <f>((SUMIFS($M$7:$M$24,$C$7:$C$24,"=18",$H$7:$H$24,"=15")))*($AC$20)</f>
        <v>0</v>
      </c>
      <c r="AU20" s="1169">
        <f>((SUMIFS($M$7:$M$24,$C$7:$C$24,"=19",$H$7:$H$24,"=15")))*($AC$20)</f>
        <v>0</v>
      </c>
      <c r="AV20" s="1169">
        <f>((SUMIFS($M$7:$M$24,$C$7:$C$24,"=20",$H$7:$H$24,"=15")))*($AC$20)</f>
        <v>0</v>
      </c>
      <c r="AW20" s="1169">
        <f>((SUMIFS($M$7:$M$24,$C$7:$C$24,"=21",$H$7:$H$24,"=15")))*($AC$20)</f>
        <v>0</v>
      </c>
    </row>
    <row r="21" spans="3:49" ht="15.75" customHeight="1" x14ac:dyDescent="0.2">
      <c r="C21" s="6">
        <v>1</v>
      </c>
      <c r="D21" s="1"/>
      <c r="E21" s="147">
        <f>VLOOKUP(C21,Dados!$A$14:$AR$81,44)</f>
        <v>0</v>
      </c>
      <c r="F21" s="28"/>
      <c r="G21" s="120">
        <f t="shared" si="0"/>
        <v>0</v>
      </c>
      <c r="H21" s="6">
        <v>1</v>
      </c>
      <c r="I21" s="30">
        <v>1</v>
      </c>
      <c r="J21" s="148">
        <f>IF(H21=1,0,VLOOKUP(H21,Rebanho!$AN$45:$AV$72,4)*I21)</f>
        <v>0</v>
      </c>
      <c r="K21" s="155">
        <f>IF(H21=1,0,(VLOOKUP(H21,Rebanho!$AN$45:$AV$72,7))*I21/450)</f>
        <v>0</v>
      </c>
      <c r="L21" s="139"/>
      <c r="M21" s="1057"/>
      <c r="N21" s="1055">
        <f t="shared" si="1"/>
        <v>0</v>
      </c>
      <c r="O21" s="1056">
        <f t="shared" si="2"/>
        <v>0</v>
      </c>
      <c r="P21" s="77">
        <f t="shared" si="3"/>
        <v>0</v>
      </c>
      <c r="Q21" s="93">
        <v>1</v>
      </c>
      <c r="R21" s="93">
        <v>1</v>
      </c>
      <c r="AB21" s="1161" t="str">
        <f>Rebanho!C63</f>
        <v>Bezerras desmamadas (Engorda)</v>
      </c>
      <c r="AC21" s="1198">
        <f>IF(Rebanho!E63&gt;0,1,0)</f>
        <v>0</v>
      </c>
      <c r="AD21" s="1169">
        <f>((SUMIFS($M$7:$M$24,$C$7:$C$24,"=2",$H$7:$H$24,"=16")))*($AC$21)</f>
        <v>0</v>
      </c>
      <c r="AE21" s="1169">
        <f>((SUMIFS($M$7:$M$24,$C$7:$C$24,"=3",$H$7:$H$24,"=16")))*($AC$21)</f>
        <v>0</v>
      </c>
      <c r="AF21" s="1169">
        <f>((SUMIFS($M$7:$M$24,$C$7:$C$24,"=4",$H$7:$H$24,"=16")))*($AC$21)</f>
        <v>0</v>
      </c>
      <c r="AG21" s="1169">
        <f>((SUMIFS($M$7:$M$24,$C$7:$C$24,"=5",$H$7:$H$24,"=16")))*($AC$21)</f>
        <v>0</v>
      </c>
      <c r="AH21" s="1169">
        <f>((SUMIFS($M$7:$M$24,$C$7:$C$24,"=6",$H$7:$H$24,"=16")))*($AC$21)</f>
        <v>0</v>
      </c>
      <c r="AI21" s="1169">
        <f>((SUMIFS($M$7:$M$24,$C$7:$C$24,"=7",$H$7:$H$24,"=16")))*($AC$21)</f>
        <v>0</v>
      </c>
      <c r="AJ21" s="1169">
        <f>((SUMIFS($M$7:$M$24,$C$7:$C$24,"=8",$H$7:$H$24,"=16")))*($AC$21)</f>
        <v>0</v>
      </c>
      <c r="AK21" s="1169">
        <f>((SUMIFS($M$7:$M$24,$C$7:$C$24,"=9",$H$7:$H$24,"=16")))*($AC$21)</f>
        <v>0</v>
      </c>
      <c r="AL21" s="1169">
        <f>((SUMIFS($M$7:$M$24,$C$7:$C$24,"=10",$H$7:$H$24,"=16")))*($AC$21)</f>
        <v>0</v>
      </c>
      <c r="AM21" s="1169">
        <f>((SUMIFS($M$7:$M$24,$C$7:$C$24,"=11",$H$7:$H$24,"=16")))*($AC$21)</f>
        <v>0</v>
      </c>
      <c r="AN21" s="1169">
        <f>((SUMIFS($M$7:$M$24,$C$7:$C$24,"=12",$H$7:$H$24,"=16")))*($AC$21)</f>
        <v>0</v>
      </c>
      <c r="AO21" s="1169">
        <f>((SUMIFS($M$7:$M$24,$C$7:$C$24,"=13",$H$7:$H$24,"=16")))*($AC$21)</f>
        <v>0</v>
      </c>
      <c r="AP21" s="1169">
        <f>((SUMIFS($M$7:$M$24,$C$7:$C$24,"=14",$H$7:$H$24,"=16")))*($AC$21)</f>
        <v>0</v>
      </c>
      <c r="AQ21" s="1169">
        <f>((SUMIFS($M$7:$M$24,$C$7:$C$24,"=15",$H$7:$H$24,"=16")))*($AC$21)</f>
        <v>0</v>
      </c>
      <c r="AR21" s="1169">
        <f>((SUMIFS($M$7:$M$24,$C$7:$C$24,"=16",$H$7:$H$24,"=16")))*($AC$21)</f>
        <v>0</v>
      </c>
      <c r="AS21" s="1169">
        <f>((SUMIFS($M$7:$M$24,$C$7:$C$24,"=17",$H$7:$H$24,"=16")))*($AC$21)</f>
        <v>0</v>
      </c>
      <c r="AT21" s="1169">
        <f>((SUMIFS($M$7:$M$24,$C$7:$C$24,"=18",$H$7:$H$24,"=16")))*($AC$21)</f>
        <v>0</v>
      </c>
      <c r="AU21" s="1169">
        <f>((SUMIFS($M$7:$M$24,$C$7:$C$24,"=19",$H$7:$H$24,"=16")))*($AC$21)</f>
        <v>0</v>
      </c>
      <c r="AV21" s="1169">
        <f>((SUMIFS($M$7:$M$24,$C$7:$C$24,"=20",$H$7:$H$24,"=16")))*($AC$21)</f>
        <v>0</v>
      </c>
      <c r="AW21" s="1169">
        <f>((SUMIFS($M$7:$M$24,$C$7:$C$24,"=21",$H$7:$H$24,"=16")))*($AC$21)</f>
        <v>0</v>
      </c>
    </row>
    <row r="22" spans="3:49" ht="15.75" customHeight="1" x14ac:dyDescent="0.2">
      <c r="C22" s="6">
        <v>1</v>
      </c>
      <c r="D22" s="1"/>
      <c r="E22" s="147">
        <f>VLOOKUP(C22,Dados!$A$14:$AR$81,44)</f>
        <v>0</v>
      </c>
      <c r="F22" s="28"/>
      <c r="G22" s="120">
        <f t="shared" si="0"/>
        <v>0</v>
      </c>
      <c r="H22" s="6">
        <v>1</v>
      </c>
      <c r="I22" s="30">
        <v>1</v>
      </c>
      <c r="J22" s="148">
        <f>IF(H22=1,0,VLOOKUP(H22,Rebanho!$AN$45:$AV$72,4)*I22)</f>
        <v>0</v>
      </c>
      <c r="K22" s="155">
        <f>IF(H22=1,0,(VLOOKUP(H22,Rebanho!$AN$45:$AV$72,7))*I22/450)</f>
        <v>0</v>
      </c>
      <c r="L22" s="139"/>
      <c r="M22" s="1057"/>
      <c r="N22" s="1055">
        <f t="shared" si="1"/>
        <v>0</v>
      </c>
      <c r="O22" s="1056">
        <f t="shared" si="2"/>
        <v>0</v>
      </c>
      <c r="P22" s="77">
        <f t="shared" si="3"/>
        <v>0</v>
      </c>
      <c r="Q22" s="93">
        <v>1</v>
      </c>
      <c r="R22" s="93">
        <v>1</v>
      </c>
      <c r="AB22" s="1161" t="str">
        <f>Rebanho!C64</f>
        <v>Novilhas sobreano (Engorda)</v>
      </c>
      <c r="AC22" s="1198">
        <f>IF(Rebanho!$E$64&gt;0,1,0)</f>
        <v>0</v>
      </c>
      <c r="AD22" s="1169">
        <f>((SUMIFS($M$7:$M$24,$C$7:$C$24,"=2",$H$7:$H$24,"=17")))*($AC$22)</f>
        <v>0</v>
      </c>
      <c r="AE22" s="1169">
        <f>((SUMIFS($M$7:$M$24,$C$7:$C$24,"=3",$H$7:$H$24,"=17")))*($AC$22)</f>
        <v>0</v>
      </c>
      <c r="AF22" s="1169">
        <f>((SUMIFS($M$7:$M$24,$C$7:$C$24,"=4",$H$7:$H$24,"=17")))*($AC$22)</f>
        <v>0</v>
      </c>
      <c r="AG22" s="1169">
        <f>((SUMIFS($M$7:$M$24,$C$7:$C$24,"=5",$H$7:$H$24,"=17")))*($AC$22)</f>
        <v>0</v>
      </c>
      <c r="AH22" s="1169">
        <f>((SUMIFS($M$7:$M$24,$C$7:$C$24,"=6",$H$7:$H$24,"=17")))*($AC$22)</f>
        <v>0</v>
      </c>
      <c r="AI22" s="1169">
        <f>((SUMIFS($M$7:$M$24,$C$7:$C$24,"=7",$H$7:$H$24,"=17")))*($AC$22)</f>
        <v>0</v>
      </c>
      <c r="AJ22" s="1169">
        <f>((SUMIFS($M$7:$M$24,$C$7:$C$24,"=8",$H$7:$H$24,"=17")))*($AC$22)</f>
        <v>0</v>
      </c>
      <c r="AK22" s="1169">
        <f>((SUMIFS($M$7:$M$24,$C$7:$C$24,"=9",$H$7:$H$24,"=17")))*($AC$22)</f>
        <v>0</v>
      </c>
      <c r="AL22" s="1169">
        <f>((SUMIFS($M$7:$M$24,$C$7:$C$24,"=10",$H$7:$H$24,"=17")))*($AC$22)</f>
        <v>0</v>
      </c>
      <c r="AM22" s="1169">
        <f>((SUMIFS($M$7:$M$24,$C$7:$C$24,"=11",$H$7:$H$24,"=17")))*($AC$22)</f>
        <v>0</v>
      </c>
      <c r="AN22" s="1169">
        <f>((SUMIFS($M$7:$M$24,$C$7:$C$24,"=12",$H$7:$H$24,"=17")))*($AC$22)</f>
        <v>0</v>
      </c>
      <c r="AO22" s="1169">
        <f>((SUMIFS($M$7:$M$24,$C$7:$C$24,"=13",$H$7:$H$24,"=17")))*($AC$22)</f>
        <v>0</v>
      </c>
      <c r="AP22" s="1169">
        <f>((SUMIFS($M$7:$M$24,$C$7:$C$24,"=14",$H$7:$H$24,"=17")))*($AC$22)</f>
        <v>0</v>
      </c>
      <c r="AQ22" s="1169">
        <f>((SUMIFS($M$7:$M$24,$C$7:$C$24,"=15",$H$7:$H$24,"=17")))*($AC$22)</f>
        <v>0</v>
      </c>
      <c r="AR22" s="1169">
        <f>((SUMIFS($M$7:$M$24,$C$7:$C$24,"=16",$H$7:$H$24,"=17")))*($AC$22)</f>
        <v>0</v>
      </c>
      <c r="AS22" s="1169">
        <f>((SUMIFS($M$7:$M$24,$C$7:$C$24,"=17",$H$7:$H$24,"=17")))*($AC$22)</f>
        <v>0</v>
      </c>
      <c r="AT22" s="1169">
        <f>((SUMIFS($M$7:$M$24,$C$7:$C$24,"=18",$H$7:$H$24,"=17")))*($AC$22)</f>
        <v>0</v>
      </c>
      <c r="AU22" s="1169">
        <f>((SUMIFS($M$7:$M$24,$C$7:$C$24,"=19",$H$7:$H$24,"=17")))*($AC$22)</f>
        <v>0</v>
      </c>
      <c r="AV22" s="1169">
        <f>((SUMIFS($M$7:$M$24,$C$7:$C$24,"=20",$H$7:$H$24,"=17")))*($AC$22)</f>
        <v>0</v>
      </c>
      <c r="AW22" s="1169">
        <f>((SUMIFS($M$7:$M$24,$C$7:$C$24,"=21",$H$7:$H$24,"=17")))*($AC$22)</f>
        <v>0</v>
      </c>
    </row>
    <row r="23" spans="3:49" ht="15.75" customHeight="1" thickBot="1" x14ac:dyDescent="0.25">
      <c r="C23" s="6">
        <v>1</v>
      </c>
      <c r="D23" s="1"/>
      <c r="E23" s="147">
        <f>VLOOKUP(C23,Dados!$A$14:$AR$81,44)</f>
        <v>0</v>
      </c>
      <c r="F23" s="28"/>
      <c r="G23" s="120">
        <f t="shared" si="0"/>
        <v>0</v>
      </c>
      <c r="H23" s="6">
        <v>1</v>
      </c>
      <c r="I23" s="30">
        <v>1</v>
      </c>
      <c r="J23" s="148">
        <f>IF(H23=1,0,VLOOKUP(H23,Rebanho!$AN$45:$AV$72,4)*I23)</f>
        <v>0</v>
      </c>
      <c r="K23" s="155">
        <f>IF(H23=1,0,(VLOOKUP(H23,Rebanho!$AN$45:$AV$72,7))*I23/450)</f>
        <v>0</v>
      </c>
      <c r="L23" s="139"/>
      <c r="M23" s="1057"/>
      <c r="N23" s="1055">
        <f t="shared" si="1"/>
        <v>0</v>
      </c>
      <c r="O23" s="1056">
        <f t="shared" si="2"/>
        <v>0</v>
      </c>
      <c r="P23" s="77">
        <f t="shared" si="3"/>
        <v>0</v>
      </c>
      <c r="Q23" s="93">
        <v>1</v>
      </c>
      <c r="R23" s="93">
        <v>1</v>
      </c>
      <c r="AB23" s="1162" t="str">
        <f>Rebanho!C65</f>
        <v>Vaca (Engorda)</v>
      </c>
      <c r="AC23" s="1201">
        <f>IF(Rebanho!$E$65&gt;0,1,0)</f>
        <v>0</v>
      </c>
      <c r="AD23" s="1170">
        <f>((SUMIFS($M$7:$M$24,$C$7:$C$24,"=2",$H$7:$H$24,"=18")))*($AC$23)</f>
        <v>0</v>
      </c>
      <c r="AE23" s="1170">
        <f>((SUMIFS($M$7:$M$24,$C$7:$C$24,"=3",$H$7:$H$24,"=18")))*($AC$23)</f>
        <v>0</v>
      </c>
      <c r="AF23" s="1170">
        <f>((SUMIFS($M$7:$M$24,$C$7:$C$24,"=4",$H$7:$H$24,"=18")))*($AC$23)</f>
        <v>0</v>
      </c>
      <c r="AG23" s="1170">
        <f>((SUMIFS($M$7:$M$24,$C$7:$C$24,"=5",$H$7:$H$24,"=18")))*($AC$23)</f>
        <v>0</v>
      </c>
      <c r="AH23" s="1170">
        <f>((SUMIFS($M$7:$M$24,$C$7:$C$24,"=6",$H$7:$H$24,"=18")))*($AC$23)</f>
        <v>0</v>
      </c>
      <c r="AI23" s="1170">
        <f>((SUMIFS($M$7:$M$24,$C$7:$C$24,"=7",$H$7:$H$24,"=18")))*($AC$23)</f>
        <v>0</v>
      </c>
      <c r="AJ23" s="1170">
        <f>((SUMIFS($M$7:$M$24,$C$7:$C$24,"=8",$H$7:$H$24,"=18")))*($AC$23)</f>
        <v>0</v>
      </c>
      <c r="AK23" s="1170">
        <f>((SUMIFS($M$7:$M$24,$C$7:$C$24,"=9",$H$7:$H$24,"=18")))*($AC$23)</f>
        <v>0</v>
      </c>
      <c r="AL23" s="1170">
        <f>((SUMIFS($M$7:$M$24,$C$7:$C$24,"=10",$H$7:$H$24,"=18")))*($AC$23)</f>
        <v>0</v>
      </c>
      <c r="AM23" s="1170">
        <f>((SUMIFS($M$7:$M$24,$C$7:$C$24,"=11",$H$7:$H$24,"=18")))*($AC$23)</f>
        <v>0</v>
      </c>
      <c r="AN23" s="1170">
        <f>((SUMIFS($M$7:$M$24,$C$7:$C$24,"=12",$H$7:$H$24,"=18")))*($AC$23)</f>
        <v>0</v>
      </c>
      <c r="AO23" s="1170">
        <f>((SUMIFS($M$7:$M$24,$C$7:$C$24,"=13",$H$7:$H$24,"=18")))*($AC$23)</f>
        <v>0</v>
      </c>
      <c r="AP23" s="1170">
        <f>((SUMIFS($M$7:$M$24,$C$7:$C$24,"=14",$H$7:$H$24,"=18")))*($AC$23)</f>
        <v>0</v>
      </c>
      <c r="AQ23" s="1170">
        <f>((SUMIFS($M$7:$M$24,$C$7:$C$24,"=15",$H$7:$H$24,"=18")))*($AC$23)</f>
        <v>0</v>
      </c>
      <c r="AR23" s="1170">
        <f>((SUMIFS($M$7:$M$24,$C$7:$C$24,"=16",$H$7:$H$24,"=18")))*($AC$23)</f>
        <v>0</v>
      </c>
      <c r="AS23" s="1170">
        <f>((SUMIFS($M$7:$M$24,$C$7:$C$24,"=17",$H$7:$H$24,"=18")))*($AC$23)</f>
        <v>0</v>
      </c>
      <c r="AT23" s="1170">
        <f>((SUMIFS($M$7:$M$24,$C$7:$C$24,"=18",$H$7:$H$24,"=18")))*($AC$23)</f>
        <v>0</v>
      </c>
      <c r="AU23" s="1170">
        <f>((SUMIFS($M$7:$M$24,$C$7:$C$24,"=19",$H$7:$H$24,"=18")))*($AC$23)</f>
        <v>0</v>
      </c>
      <c r="AV23" s="1170">
        <f>((SUMIFS($M$7:$M$24,$C$7:$C$24,"=20",$H$7:$H$24,"=18")))*($AC$23)</f>
        <v>0</v>
      </c>
      <c r="AW23" s="1170">
        <f>((SUMIFS($M$7:$M$24,$C$7:$C$24,"=21",$H$7:$H$24,"=18")))*($AC$23)</f>
        <v>0</v>
      </c>
    </row>
    <row r="24" spans="3:49" ht="15.75" customHeight="1" thickBot="1" x14ac:dyDescent="0.25">
      <c r="C24" s="7">
        <v>1</v>
      </c>
      <c r="D24" s="997"/>
      <c r="E24" s="1061">
        <f>VLOOKUP(C24,Dados!$A$14:$AR$81,44)</f>
        <v>0</v>
      </c>
      <c r="F24" s="1062"/>
      <c r="G24" s="1063">
        <f t="shared" si="0"/>
        <v>0</v>
      </c>
      <c r="H24" s="7">
        <v>1</v>
      </c>
      <c r="I24" s="1064">
        <v>1</v>
      </c>
      <c r="J24" s="1065">
        <f>IF(H24=1,0,VLOOKUP(H24,Rebanho!$AN$45:$AV$72,4)*I24)</f>
        <v>0</v>
      </c>
      <c r="K24" s="1066">
        <f>IF(H24=1,0,(VLOOKUP(H24,Rebanho!$AN$45:$AV$72,7))*I24/450)</f>
        <v>0</v>
      </c>
      <c r="L24" s="1067"/>
      <c r="M24" s="1068"/>
      <c r="N24" s="1069">
        <f t="shared" si="1"/>
        <v>0</v>
      </c>
      <c r="O24" s="1070">
        <f t="shared" si="2"/>
        <v>0</v>
      </c>
      <c r="P24" s="741">
        <f t="shared" si="3"/>
        <v>0</v>
      </c>
      <c r="Q24" s="93">
        <v>1</v>
      </c>
      <c r="R24" s="93">
        <v>1</v>
      </c>
      <c r="AC24" s="1199"/>
    </row>
    <row r="25" spans="3:49" ht="15.75" customHeight="1" thickBot="1" x14ac:dyDescent="0.25">
      <c r="N25" s="1058" t="s">
        <v>77</v>
      </c>
      <c r="O25" s="1059">
        <f>SUM(O7:O24)</f>
        <v>110427.87896336001</v>
      </c>
      <c r="P25" s="1060">
        <f>SUM(P7:P24)</f>
        <v>210941.50709333335</v>
      </c>
      <c r="AB25" s="2710"/>
      <c r="AC25" s="1197"/>
      <c r="AD25" s="2707" t="s">
        <v>1238</v>
      </c>
      <c r="AE25" s="2708"/>
      <c r="AF25" s="2708"/>
      <c r="AG25" s="2708"/>
      <c r="AH25" s="2708"/>
      <c r="AI25" s="2708"/>
      <c r="AJ25" s="2708"/>
      <c r="AK25" s="2708"/>
      <c r="AL25" s="2708"/>
      <c r="AM25" s="2708"/>
      <c r="AN25" s="2708"/>
      <c r="AO25" s="2708"/>
      <c r="AP25" s="2708"/>
      <c r="AQ25" s="2708"/>
      <c r="AR25" s="2708"/>
      <c r="AS25" s="2708"/>
      <c r="AT25" s="2708"/>
      <c r="AU25" s="2708"/>
      <c r="AV25" s="2708"/>
      <c r="AW25" s="2709"/>
    </row>
    <row r="26" spans="3:49" ht="13.5" thickBot="1" x14ac:dyDescent="0.25">
      <c r="AB26" s="2711"/>
      <c r="AC26" s="1196"/>
      <c r="AD26" s="1165" t="str">
        <f>Dados!AQ15</f>
        <v>Soja</v>
      </c>
      <c r="AE26" s="1166" t="str">
        <f>Dados!AQ16</f>
        <v>Farelo Soja</v>
      </c>
      <c r="AF26" s="1166" t="str">
        <f>Dados!AQ17</f>
        <v>Milho</v>
      </c>
      <c r="AG26" s="1166" t="str">
        <f>Dados!AQ18</f>
        <v>Farelo Milho</v>
      </c>
      <c r="AH26" s="1166" t="str">
        <f>Dados!AQ19</f>
        <v>Concentrado Comercial</v>
      </c>
      <c r="AI26" s="1166" t="str">
        <f>Dados!AQ20</f>
        <v>Ração</v>
      </c>
      <c r="AJ26" s="1166" t="str">
        <f>Dados!AQ21</f>
        <v>Ração</v>
      </c>
      <c r="AK26" s="1166" t="str">
        <f>Dados!AQ22</f>
        <v>Caroço de algodão</v>
      </c>
      <c r="AL26" s="1166" t="str">
        <f>Dados!AQ23</f>
        <v>Farelo de Trigo</v>
      </c>
      <c r="AM26" s="1166" t="str">
        <f>Dados!AQ24</f>
        <v>Farelo de Arroz</v>
      </c>
      <c r="AN26" s="1166" t="str">
        <f>Dados!AQ25</f>
        <v>Farelo de algodão</v>
      </c>
      <c r="AO26" s="1166" t="str">
        <f>Dados!AQ26</f>
        <v>Resíduo de Cervejaria</v>
      </c>
      <c r="AP26" s="1166" t="str">
        <f>Dados!AQ27</f>
        <v>Resíduo de mandioca</v>
      </c>
      <c r="AQ26" s="1166" t="str">
        <f>Dados!AQ28</f>
        <v>Uréia</v>
      </c>
      <c r="AR26" s="1166" t="str">
        <f>Dados!AQ29</f>
        <v xml:space="preserve">Concentrado Bezerro </v>
      </c>
      <c r="AS26" s="1166" t="str">
        <f>Dados!AQ30</f>
        <v>Concentrado Bezerra</v>
      </c>
      <c r="AT26" s="1166" t="str">
        <f>Dados!AQ31</f>
        <v>Cama de frango</v>
      </c>
      <c r="AU26" s="1166" t="str">
        <f>Dados!AQ32</f>
        <v>Poupa cítrica</v>
      </c>
      <c r="AV26" s="1166">
        <f>Dados!AQ33</f>
        <v>0</v>
      </c>
      <c r="AW26" s="1167">
        <f>Dados!AQ34</f>
        <v>0</v>
      </c>
    </row>
    <row r="27" spans="3:49" x14ac:dyDescent="0.2">
      <c r="I27" s="2630" t="s">
        <v>494</v>
      </c>
      <c r="J27" s="2631"/>
      <c r="K27" s="89"/>
      <c r="V27" s="2704" t="s">
        <v>1266</v>
      </c>
      <c r="W27" s="2705"/>
      <c r="X27" s="2706"/>
      <c r="AB27" s="1179" t="str">
        <f>AB7</f>
        <v>Bezerro em aleitamento</v>
      </c>
      <c r="AC27" s="1202"/>
      <c r="AD27" s="1172">
        <f>((SUMIFS($G$7:$G$24,$C$7:$C$24,"=2",$H$7:$H$24,"=2"))*($AC$7))</f>
        <v>0</v>
      </c>
      <c r="AE27" s="1172">
        <f>((SUMIFS($G$7:$G$24,$C$7:$C$24,"=3",$H$7:$H$24,"=2"))*($AC$7))</f>
        <v>0</v>
      </c>
      <c r="AF27" s="1172">
        <f>((SUMIFS($G$7:$G$24,$C$7:$C$24,"=4",$H$7:$H$24,"=2"))*($AC$7))</f>
        <v>0</v>
      </c>
      <c r="AG27" s="1172">
        <f>((SUMIFS($G$7:$G$24,$C$7:$C$24,"=5",$H$7:$H$24,"=2"))*($AC$7))</f>
        <v>0</v>
      </c>
      <c r="AH27" s="1172">
        <f>((SUMIFS($G$7:$G$24,$C$7:$C$24,"=6",$H$7:$H$24,"=2"))*($AC$7))</f>
        <v>0</v>
      </c>
      <c r="AI27" s="1172">
        <f>((SUMIFS($G$7:$G$24,$C$7:$C$24,"=7",$H$7:$H$24,"=2"))*($AC$7))</f>
        <v>0</v>
      </c>
      <c r="AJ27" s="1172">
        <f>((SUMIFS($G$7:$G$24,$C$7:$C$24,"=8",$H$7:$H$24,"=2"))*($AC$7))</f>
        <v>0</v>
      </c>
      <c r="AK27" s="1172">
        <f>((SUMIFS($G$7:$G$24,$C$7:$C$24,"=9",$H$7:$H$24,"=2"))*($AC$7))</f>
        <v>0</v>
      </c>
      <c r="AL27" s="1172">
        <f>((SUMIFS($G$7:$G$24,$C$7:$C$24,"=10",$H$7:$H$24,"=2"))*($AC$7))</f>
        <v>0</v>
      </c>
      <c r="AM27" s="1172">
        <f>((SUMIFS($G$7:$G$24,$C$7:$C$24,"=11",$H$7:$H$24,"=2"))*($AC$7))</f>
        <v>0</v>
      </c>
      <c r="AN27" s="1172">
        <f>((SUMIFS($G$7:$G$24,$C$7:$C$24,"=12",$H$7:$H$24,"=2"))*($AC$7))</f>
        <v>0</v>
      </c>
      <c r="AO27" s="1172">
        <f>((SUMIFS($G$7:$G$24,$C$7:$C$24,"=13",$H$7:$H$24,"=2"))*($AC$7))</f>
        <v>0</v>
      </c>
      <c r="AP27" s="1172">
        <f>((SUMIFS($G$7:$G$24,$C$7:$C$24,"=14",$H$7:$H$24,"=2"))*($AC$7))</f>
        <v>0</v>
      </c>
      <c r="AQ27" s="1172">
        <f>((SUMIFS($G$7:$G$24,$C$7:$C$24,"=15",$H$7:$H$24,"=2"))*($AC$7))</f>
        <v>0</v>
      </c>
      <c r="AR27" s="1172">
        <f>((SUMIFS($G$7:$G$24,$C$7:$C$24,"=16",$H$7:$H$24,"=2"))*($AC$7))</f>
        <v>0</v>
      </c>
      <c r="AS27" s="1172">
        <f>((SUMIFS($G$7:$G$24,$C$7:$C$24,"=17",$H$7:$H$24,"=2"))*($AC$7))</f>
        <v>0</v>
      </c>
      <c r="AT27" s="1172">
        <f>((SUMIFS($G$7:$G$24,$C$7:$C$24,"=18",$H$7:$H$24,"=2"))*($AC$7))</f>
        <v>0</v>
      </c>
      <c r="AU27" s="1172">
        <f>((SUMIFS($G$7:$G$24,$C$7:$C$24,"=19",$H$7:$H$24,"=2"))*($AC$7))</f>
        <v>0</v>
      </c>
      <c r="AV27" s="1172">
        <f>((SUMIFS($G$7:$G$24,$C$7:$C$24,"=20",$H$7:$H$24,"=2"))*($AC$7))</f>
        <v>0</v>
      </c>
      <c r="AW27" s="1172">
        <f>((SUMIFS($G$7:$G$24,$C$7:$C$24,"=21",$H$7:$H$24,"=2"))*($AC$7))</f>
        <v>0</v>
      </c>
    </row>
    <row r="28" spans="3:49" ht="26.25" customHeight="1" x14ac:dyDescent="0.2">
      <c r="C28" s="858" t="s">
        <v>40</v>
      </c>
      <c r="D28" s="854" t="s">
        <v>41</v>
      </c>
      <c r="E28" s="854" t="s">
        <v>1064</v>
      </c>
      <c r="F28" s="854" t="s">
        <v>1058</v>
      </c>
      <c r="G28" s="854" t="s">
        <v>493</v>
      </c>
      <c r="H28" s="874" t="s">
        <v>422</v>
      </c>
      <c r="I28" s="117" t="s">
        <v>292</v>
      </c>
      <c r="J28" s="99" t="s">
        <v>80</v>
      </c>
      <c r="K28" s="538"/>
      <c r="L28" s="6"/>
      <c r="V28" s="1352" t="s">
        <v>1273</v>
      </c>
      <c r="W28" s="1350" t="s">
        <v>1271</v>
      </c>
      <c r="X28" s="1350" t="s">
        <v>1272</v>
      </c>
      <c r="AB28" s="1160" t="str">
        <f t="shared" ref="AB28:AB43" si="4">AB8</f>
        <v>Bezerro Desmamados</v>
      </c>
      <c r="AC28" s="1198"/>
      <c r="AD28" s="1173">
        <f>((SUMIFS($G$7:$G$24,$C$7:$C$24,"=2",$H$7:$H$24,"=3")))*($AC$8)</f>
        <v>0</v>
      </c>
      <c r="AE28" s="1173">
        <f>((SUMIFS($G$7:$G$24,$C$7:$C$24,"=3",$H$7:$H$24,"=3")))*($AC$8)</f>
        <v>0</v>
      </c>
      <c r="AF28" s="1173">
        <f>((SUMIFS($G$7:$G$24,$C$7:$C$24,"=4",$H$7:$H$24,"=3")))*($AC$8)</f>
        <v>0</v>
      </c>
      <c r="AG28" s="1173">
        <f>((SUMIFS($G$7:$G$24,$C$7:$C$24,"=5",$H$7:$H$24,"=3")))*($AC$8)</f>
        <v>0</v>
      </c>
      <c r="AH28" s="1173">
        <f>((SUMIFS($G$7:$G$24,$C$7:$C$24,"=6",$H$7:$H$24,"=3")))*($AC$8)</f>
        <v>0</v>
      </c>
      <c r="AI28" s="1173">
        <f>((SUMIFS($G$7:$G$24,$C$7:$C$24,"=7",$H$7:$H$24,"=3")))*($AC$8)</f>
        <v>0</v>
      </c>
      <c r="AJ28" s="1173">
        <f>((SUMIFS($G$7:$G$24,$C$7:$C$24,"=8",$H$7:$H$24,"=3")))*($AC$8)</f>
        <v>0</v>
      </c>
      <c r="AK28" s="1173">
        <f>((SUMIFS($G$7:$G$24,$C$7:$C$24,"=9",$H$7:$H$24,"=3")))*($AC$8)</f>
        <v>0</v>
      </c>
      <c r="AL28" s="1173">
        <f>((SUMIFS($G$7:$G$24,$C$7:$C$24,"=10",$H$7:$H$24,"=3")))*($AC$8)</f>
        <v>0</v>
      </c>
      <c r="AM28" s="1173">
        <f>((SUMIFS($G$7:$G$24,$C$7:$C$24,"=11",$H$7:$H$24,"=3")))*($AC$8)</f>
        <v>0</v>
      </c>
      <c r="AN28" s="1173">
        <f>((SUMIFS($G$7:$G$24,$C$7:$C$24,"=12",$H$7:$H$24,"=3")))*($AC$8)</f>
        <v>0</v>
      </c>
      <c r="AO28" s="1173">
        <f>((SUMIFS($G$7:$G$24,$C$7:$C$24,"=13",$H$7:$H$24,"=3")))*($AC$8)</f>
        <v>0</v>
      </c>
      <c r="AP28" s="1173">
        <f>((SUMIFS($G$7:$G$24,$C$7:$C$24,"=14",$H$7:$H$24,"=3")))*($AC$8)</f>
        <v>0</v>
      </c>
      <c r="AQ28" s="1173">
        <f>((SUMIFS($G$7:$G$24,$C$7:$C$24,"=15",$H$7:$H$24,"=3")))*($AC$8)</f>
        <v>0</v>
      </c>
      <c r="AR28" s="1173">
        <f>((SUMIFS($G$7:$G$24,$C$7:$C$24,"=16",$H$7:$H$24,"=3")))*($AC$8)</f>
        <v>0</v>
      </c>
      <c r="AS28" s="1173">
        <f>((SUMIFS($G$7:$G$24,$C$7:$C$24,"=17",$H$7:$H$24,"=3")))*($AC$8)</f>
        <v>0</v>
      </c>
      <c r="AT28" s="1173">
        <f>((SUMIFS($G$7:$G$24,$C$7:$C$24,"=18",$H$7:$H$24,"=3")))*($AC$8)</f>
        <v>0</v>
      </c>
      <c r="AU28" s="1173">
        <f>((SUMIFS($G$7:$G$24,$C$7:$C$24,"=19",$H$7:$H$24,"=3")))*($AC$8)</f>
        <v>0</v>
      </c>
      <c r="AV28" s="1173">
        <f>((SUMIFS($G$7:$G$24,$C$7:$C$24,"=20",$H$7:$H$24,"=3")))*($AC$8)</f>
        <v>0</v>
      </c>
      <c r="AW28" s="1173">
        <f>((SUMIFS($G$7:$G$24,$C$7:$C$24,"=21",$H$7:$H$24,"=3")))*($AC$8)</f>
        <v>0</v>
      </c>
    </row>
    <row r="29" spans="3:49" ht="15.75" customHeight="1" x14ac:dyDescent="0.2">
      <c r="C29" s="3">
        <v>3</v>
      </c>
      <c r="D29" s="855">
        <v>4</v>
      </c>
      <c r="E29" s="94">
        <f>VLOOKUP(C29,Inventário!$AA$32:$AC$42,3)+VLOOKUP(D29,Inventário!$AA$51:$AC$71,3)</f>
        <v>19.604166666666668</v>
      </c>
      <c r="F29" s="94">
        <f>VLOOKUP(C29,Inventário!$AA$32:$AD$42,4)</f>
        <v>23.79</v>
      </c>
      <c r="G29" s="20">
        <f>2*90</f>
        <v>180</v>
      </c>
      <c r="H29" s="872">
        <f>G29*(E29+F29)</f>
        <v>7810.95</v>
      </c>
      <c r="I29" s="871">
        <v>1</v>
      </c>
      <c r="J29" s="3">
        <v>1</v>
      </c>
      <c r="K29" s="869"/>
      <c r="L29" s="6"/>
      <c r="V29" s="1351" t="s">
        <v>1267</v>
      </c>
      <c r="W29" s="1347">
        <f>E29*G29</f>
        <v>3528.75</v>
      </c>
      <c r="X29" s="1347">
        <f>F29*G29</f>
        <v>4282.2</v>
      </c>
      <c r="AB29" s="1160" t="str">
        <f t="shared" si="4"/>
        <v>Garrotes</v>
      </c>
      <c r="AC29" s="1198"/>
      <c r="AD29" s="1173">
        <f>((SUMIFS($G$7:$G$24,$C$7:$C$24,"=2",$H$7:$H$24,"=4")))*($AC$9)</f>
        <v>0</v>
      </c>
      <c r="AE29" s="1173">
        <f>((SUMIFS($G$7:$G$24,$C$7:$C$24,"=3",$H$7:$H$24,"=4")))*($AC$9)</f>
        <v>0</v>
      </c>
      <c r="AF29" s="1173">
        <f>((SUMIFS($G$7:$G$24,$C$7:$C$24,"=4",$H$7:$H$24,"=4")))*($AC$9)</f>
        <v>0</v>
      </c>
      <c r="AG29" s="1173">
        <f>((SUMIFS($G$7:$G$24,$C$7:$C$24,"=5",$H$7:$H$24,"=4")))*($AC$9)</f>
        <v>0</v>
      </c>
      <c r="AH29" s="1173">
        <f>((SUMIFS($G$7:$G$24,$C$7:$C$24,"=6",$H$7:$H$24,"=4")))*($AC$9)</f>
        <v>0</v>
      </c>
      <c r="AI29" s="1173">
        <f>((SUMIFS($G$7:$G$24,$C$7:$C$24,"=7",$H$7:$H$24,"=4")))*($AC$9)</f>
        <v>0</v>
      </c>
      <c r="AJ29" s="1173">
        <f>((SUMIFS($G$7:$G$24,$C$7:$C$24,"=8",$H$7:$H$24,"=4")))*($AC$9)</f>
        <v>0</v>
      </c>
      <c r="AK29" s="1173">
        <f>((SUMIFS($G$7:$G$24,$C$7:$C$24,"=9",$H$7:$H$24,"=4")))*($AC$9)</f>
        <v>0</v>
      </c>
      <c r="AL29" s="1173">
        <f>((SUMIFS($G$7:$G$24,$C$7:$C$24,"=10",$H$7:$H$24,"=4")))*($AC$9)</f>
        <v>0</v>
      </c>
      <c r="AM29" s="1173">
        <f>((SUMIFS($G$7:$G$24,$C$7:$C$24,"=11",$H$7:$H$24,"=4")))*($AC$9)</f>
        <v>0</v>
      </c>
      <c r="AN29" s="1173">
        <f>((SUMIFS($G$7:$G$24,$C$7:$C$24,"=12",$H$7:$H$24,"=4")))*($AC$9)</f>
        <v>0</v>
      </c>
      <c r="AO29" s="1173">
        <f>((SUMIFS($G$7:$G$24,$C$7:$C$24,"=13",$H$7:$H$24,"=4")))*($AC$9)</f>
        <v>0</v>
      </c>
      <c r="AP29" s="1173">
        <f>((SUMIFS($G$7:$G$24,$C$7:$C$24,"=14",$H$7:$H$24,"=4")))*($AC$9)</f>
        <v>0</v>
      </c>
      <c r="AQ29" s="1173">
        <f>((SUMIFS($G$7:$G$24,$C$7:$C$24,"=15",$H$7:$H$24,"=4")))*($AC$9)</f>
        <v>0</v>
      </c>
      <c r="AR29" s="1173">
        <f>((SUMIFS($G$7:$G$24,$C$7:$C$24,"=16",$H$7:$H$24,"=4")))*($AC$9)</f>
        <v>0</v>
      </c>
      <c r="AS29" s="1173">
        <f>((SUMIFS($G$7:$G$24,$C$7:$C$24,"=17",$H$7:$H$24,"=4")))*($AC$9)</f>
        <v>0</v>
      </c>
      <c r="AT29" s="1173">
        <f>((SUMIFS($G$7:$G$24,$C$7:$C$24,"=18",$H$7:$H$24,"=4")))*($AC$9)</f>
        <v>0</v>
      </c>
      <c r="AU29" s="1173">
        <f>((SUMIFS($G$7:$G$24,$C$7:$C$24,"=19",$H$7:$H$24,"=4")))*($AC$9)</f>
        <v>0</v>
      </c>
      <c r="AV29" s="1173">
        <f>((SUMIFS($G$7:$G$24,$C$7:$C$24,"=20",$H$7:$H$24,"=4")))*($AC$9)</f>
        <v>0</v>
      </c>
      <c r="AW29" s="1173">
        <f>((SUMIFS($G$7:$G$24,$C$7:$C$24,"=21",$H$7:$H$24,"=4")))*($AC$9)</f>
        <v>0</v>
      </c>
    </row>
    <row r="30" spans="3:49" ht="15.75" customHeight="1" x14ac:dyDescent="0.2">
      <c r="C30" s="3">
        <v>1</v>
      </c>
      <c r="D30" s="855">
        <v>1</v>
      </c>
      <c r="E30" s="94">
        <f>VLOOKUP(C30,Inventário!$AA$32:$AC$42,3)+VLOOKUP(D30,Inventário!$AA$51:$AC$71,3)</f>
        <v>0</v>
      </c>
      <c r="F30" s="94">
        <f>VLOOKUP(C30,Inventário!$AA$32:$AD$42,4)</f>
        <v>0</v>
      </c>
      <c r="G30" s="20"/>
      <c r="H30" s="872">
        <f>G30*(E30+F30)</f>
        <v>0</v>
      </c>
      <c r="I30" s="871">
        <v>1</v>
      </c>
      <c r="J30" s="3">
        <v>1</v>
      </c>
      <c r="K30" s="869"/>
      <c r="L30" s="6"/>
      <c r="V30" s="1351" t="s">
        <v>1268</v>
      </c>
      <c r="W30" s="1347">
        <f>E30*G30</f>
        <v>0</v>
      </c>
      <c r="X30" s="1347">
        <f>F30*G30</f>
        <v>0</v>
      </c>
      <c r="AB30" s="1160" t="str">
        <f t="shared" si="4"/>
        <v>Boi magro</v>
      </c>
      <c r="AC30" s="1198"/>
      <c r="AD30" s="1173">
        <f>((SUMIFS($G$7:$G$24,$C$7:$C$24,"=2",$H$7:$H$24,"=5")))*($AC$10)</f>
        <v>0</v>
      </c>
      <c r="AE30" s="1173">
        <f>((SUMIFS($G$7:$G$24,$C$7:$C$24,"=3",$H$7:$H$24,"=5")))*($AC$10)</f>
        <v>0</v>
      </c>
      <c r="AF30" s="1173">
        <f>((SUMIFS($G$7:$G$24,$C$7:$C$24,"=4",$H$7:$H$24,"=5")))*($AC$10)</f>
        <v>0</v>
      </c>
      <c r="AG30" s="1173">
        <f>((SUMIFS($G$7:$G$24,$C$7:$C$24,"=5",$H$7:$H$24,"=5")))*($AC$10)</f>
        <v>0</v>
      </c>
      <c r="AH30" s="1173">
        <f>((SUMIFS($G$7:$G$24,$C$7:$C$24,"=6",$H$7:$H$24,"=5")))*($AC$10)</f>
        <v>0</v>
      </c>
      <c r="AI30" s="1173">
        <f>((SUMIFS($G$7:$G$24,$C$7:$C$24,"=7",$H$7:$H$24,"=5")))*($AC$10)</f>
        <v>0</v>
      </c>
      <c r="AJ30" s="1173">
        <f>((SUMIFS($G$7:$G$24,$C$7:$C$24,"=8",$H$7:$H$24,"=5")))*($AC$10)</f>
        <v>0</v>
      </c>
      <c r="AK30" s="1173">
        <f>((SUMIFS($G$7:$G$24,$C$7:$C$24,"=9",$H$7:$H$24,"=5")))*($AC$10)</f>
        <v>0</v>
      </c>
      <c r="AL30" s="1173">
        <f>((SUMIFS($G$7:$G$24,$C$7:$C$24,"=10",$H$7:$H$24,"=5")))*($AC$10)</f>
        <v>0</v>
      </c>
      <c r="AM30" s="1173">
        <f>((SUMIFS($G$7:$G$24,$C$7:$C$24,"=11",$H$7:$H$24,"=5")))*($AC$10)</f>
        <v>0</v>
      </c>
      <c r="AN30" s="1173">
        <f>((SUMIFS($G$7:$G$24,$C$7:$C$24,"=12",$H$7:$H$24,"=5")))*($AC$10)</f>
        <v>0</v>
      </c>
      <c r="AO30" s="1173">
        <f>((SUMIFS($G$7:$G$24,$C$7:$C$24,"=13",$H$7:$H$24,"=5")))*($AC$10)</f>
        <v>0</v>
      </c>
      <c r="AP30" s="1173">
        <f>((SUMIFS($G$7:$G$24,$C$7:$C$24,"=14",$H$7:$H$24,"=5")))*($AC$10)</f>
        <v>0</v>
      </c>
      <c r="AQ30" s="1173">
        <f>((SUMIFS($G$7:$G$24,$C$7:$C$24,"=15",$H$7:$H$24,"=5")))*($AC$10)</f>
        <v>0</v>
      </c>
      <c r="AR30" s="1173">
        <f>((SUMIFS($G$7:$G$24,$C$7:$C$24,"=16",$H$7:$H$24,"=5")))*($AC$10)</f>
        <v>0</v>
      </c>
      <c r="AS30" s="1173">
        <f>((SUMIFS($G$7:$G$24,$C$7:$C$24,"=17",$H$7:$H$24,"=5")))*($AC$10)</f>
        <v>0</v>
      </c>
      <c r="AT30" s="1173">
        <f>((SUMIFS($G$7:$G$24,$C$7:$C$24,"=18",$H$7:$H$24,"=5")))*($AC$10)</f>
        <v>0</v>
      </c>
      <c r="AU30" s="1173">
        <f>((SUMIFS($G$7:$G$24,$C$7:$C$24,"=19",$H$7:$H$24,"=5")))*($AC$10)</f>
        <v>0</v>
      </c>
      <c r="AV30" s="1173">
        <f>((SUMIFS($G$7:$G$24,$C$7:$C$24,"=20",$H$7:$H$24,"=5")))*($AC$10)</f>
        <v>0</v>
      </c>
      <c r="AW30" s="1173">
        <f>((SUMIFS($G$7:$G$24,$C$7:$C$24,"=21",$H$7:$H$24,"=5")))*($AC$10)</f>
        <v>0</v>
      </c>
    </row>
    <row r="31" spans="3:49" ht="15.75" customHeight="1" x14ac:dyDescent="0.2">
      <c r="C31" s="3">
        <v>1</v>
      </c>
      <c r="D31" s="855">
        <v>1</v>
      </c>
      <c r="E31" s="94">
        <f>VLOOKUP(C31,Inventário!$AA$32:$AC$42,3)+VLOOKUP(D31,Inventário!$AA$51:$AC$71,3)</f>
        <v>0</v>
      </c>
      <c r="F31" s="94">
        <f>VLOOKUP(C31,Inventário!$AA$32:$AD$42,4)</f>
        <v>0</v>
      </c>
      <c r="G31" s="119"/>
      <c r="H31" s="872">
        <f>G31*(E31+F31)</f>
        <v>0</v>
      </c>
      <c r="I31" s="871">
        <v>1</v>
      </c>
      <c r="J31" s="3">
        <v>1</v>
      </c>
      <c r="K31" s="869"/>
      <c r="L31" s="6"/>
      <c r="V31" s="1351" t="s">
        <v>1269</v>
      </c>
      <c r="W31" s="1347">
        <f>E31*G31</f>
        <v>0</v>
      </c>
      <c r="X31" s="1347">
        <f>F31*G31</f>
        <v>0</v>
      </c>
      <c r="AB31" s="1160" t="str">
        <f t="shared" si="4"/>
        <v>Boi gordo</v>
      </c>
      <c r="AC31" s="1198"/>
      <c r="AD31" s="1173">
        <f>((SUMIFS($G$7:$G$24,$C$7:$C$24,"=2",$H$7:$H$24,"=6")))*($AC$11)</f>
        <v>0</v>
      </c>
      <c r="AE31" s="1173">
        <f>((SUMIFS($G$7:$G$24,$C$7:$C$24,"=3",$H$7:$H$24,"=6")))*($AC$11)</f>
        <v>0</v>
      </c>
      <c r="AF31" s="1173">
        <f>((SUMIFS($G$7:$G$24,$C$7:$C$24,"=4",$H$7:$H$24,"=6")))*($AC$11)</f>
        <v>0</v>
      </c>
      <c r="AG31" s="1173">
        <f>((SUMIFS($G$7:$G$24,$C$7:$C$24,"=5",$H$7:$H$24,"=6")))*($AC$11)</f>
        <v>0</v>
      </c>
      <c r="AH31" s="1173">
        <f>((SUMIFS($G$7:$G$24,$C$7:$C$24,"=6",$H$7:$H$24,"=6")))*($AC$11)</f>
        <v>0</v>
      </c>
      <c r="AI31" s="1173">
        <f>((SUMIFS($G$7:$G$24,$C$7:$C$24,"=7",$H$7:$H$24,"=6")))*($AC$11)</f>
        <v>0</v>
      </c>
      <c r="AJ31" s="1173">
        <f>((SUMIFS($G$7:$G$24,$C$7:$C$24,"=8",$H$7:$H$24,"=6")))*($AC$11)</f>
        <v>0.63673989175421841</v>
      </c>
      <c r="AK31" s="1173">
        <f>((SUMIFS($G$7:$G$24,$C$7:$C$24,"=9",$H$7:$H$24,"=6")))*($AC$11)</f>
        <v>0</v>
      </c>
      <c r="AL31" s="1173">
        <f>((SUMIFS($G$7:$G$24,$C$7:$C$24,"=10",$H$7:$H$24,"=6")))*($AC$11)</f>
        <v>0</v>
      </c>
      <c r="AM31" s="1173">
        <f>((SUMIFS($G$7:$G$24,$C$7:$C$24,"=11",$H$7:$H$24,"=6")))*($AC$11)</f>
        <v>0</v>
      </c>
      <c r="AN31" s="1173">
        <f>((SUMIFS($G$7:$G$24,$C$7:$C$24,"=12",$H$7:$H$24,"=6")))*($AC$11)</f>
        <v>0</v>
      </c>
      <c r="AO31" s="1173">
        <f>((SUMIFS($G$7:$G$24,$C$7:$C$24,"=13",$H$7:$H$24,"=6")))*($AC$11)</f>
        <v>0</v>
      </c>
      <c r="AP31" s="1173">
        <f>((SUMIFS($G$7:$G$24,$C$7:$C$24,"=14",$H$7:$H$24,"=6")))*($AC$11)</f>
        <v>0</v>
      </c>
      <c r="AQ31" s="1173">
        <f>((SUMIFS($G$7:$G$24,$C$7:$C$24,"=15",$H$7:$H$24,"=6")))*($AC$11)</f>
        <v>0</v>
      </c>
      <c r="AR31" s="1173">
        <f>((SUMIFS($G$7:$G$24,$C$7:$C$24,"=16",$H$7:$H$24,"=6")))*($AC$11)</f>
        <v>0</v>
      </c>
      <c r="AS31" s="1173">
        <f>((SUMIFS($G$7:$G$24,$C$7:$C$24,"=17",$H$7:$H$24,"=6")))*($AC$11)</f>
        <v>0</v>
      </c>
      <c r="AT31" s="1173">
        <f>((SUMIFS($G$7:$G$24,$C$7:$C$24,"=18",$H$7:$H$24,"=6")))*($AC$11)</f>
        <v>0</v>
      </c>
      <c r="AU31" s="1173">
        <f>((SUMIFS($G$7:$G$24,$C$7:$C$24,"=19",$H$7:$H$24,"=6")))*($AC$11)</f>
        <v>0</v>
      </c>
      <c r="AV31" s="1173">
        <f>((SUMIFS($G$7:$G$24,$C$7:$C$24,"=20",$H$7:$H$24,"=6")))*($AC$11)</f>
        <v>0</v>
      </c>
      <c r="AW31" s="1173">
        <f>((SUMIFS($G$7:$G$24,$C$7:$C$24,"=21",$H$7:$H$24,"=6")))*($AC$11)</f>
        <v>0</v>
      </c>
    </row>
    <row r="32" spans="3:49" ht="15.75" customHeight="1" thickBot="1" x14ac:dyDescent="0.25">
      <c r="C32" s="739">
        <v>1</v>
      </c>
      <c r="D32" s="857">
        <v>1</v>
      </c>
      <c r="E32" s="764">
        <f>VLOOKUP(C32,Inventário!$AA$32:$AC$42,3)+VLOOKUP(D32,Inventário!$AA$51:$AC$71,3)</f>
        <v>0</v>
      </c>
      <c r="F32" s="764">
        <f>VLOOKUP(C32,Inventário!$AA$32:$AD$42,4)</f>
        <v>0</v>
      </c>
      <c r="G32" s="765"/>
      <c r="H32" s="873">
        <f>G32*(E32+F32)</f>
        <v>0</v>
      </c>
      <c r="I32" s="871">
        <v>1</v>
      </c>
      <c r="J32" s="3">
        <v>1</v>
      </c>
      <c r="K32" s="869"/>
      <c r="L32" s="6"/>
      <c r="V32" s="1351" t="s">
        <v>1270</v>
      </c>
      <c r="W32" s="1347">
        <f>E32*G32</f>
        <v>0</v>
      </c>
      <c r="X32" s="1347">
        <f>F32*G32</f>
        <v>0</v>
      </c>
      <c r="AB32" s="1160" t="str">
        <f t="shared" si="4"/>
        <v>Touro</v>
      </c>
      <c r="AC32" s="1198"/>
      <c r="AD32" s="1173">
        <f>((SUMIFS($G$7:$G$24,$C$7:$C$24,"=2",$H$7:$H$24,"=7")))*($AC$12)</f>
        <v>0</v>
      </c>
      <c r="AE32" s="1173">
        <f>((SUMIFS($G$7:$G$24,$C$7:$C$24,"=3",$H$7:$H$24,"=7")))*($AC$12)</f>
        <v>0</v>
      </c>
      <c r="AF32" s="1173">
        <f>((SUMIFS($G$7:$G$24,$C$7:$C$24,"=4",$H$7:$H$24,"=7")))*($AC$12)</f>
        <v>0</v>
      </c>
      <c r="AG32" s="1173">
        <f>((SUMIFS($G$7:$G$24,$C$7:$C$24,"=5",$H$7:$H$24,"=7")))*($AC$12)</f>
        <v>0</v>
      </c>
      <c r="AH32" s="1173">
        <f>((SUMIFS($G$7:$G$24,$C$7:$C$24,"=6",$H$7:$H$24,"=7")))*($AC$12)</f>
        <v>0</v>
      </c>
      <c r="AI32" s="1173">
        <f>((SUMIFS($G$7:$G$24,$C$7:$C$24,"=7",$H$7:$H$24,"=7")))*($AC$12)</f>
        <v>0</v>
      </c>
      <c r="AJ32" s="1173">
        <f>((SUMIFS($G$7:$G$24,$C$7:$C$24,"=8",$H$7:$H$24,"=7")))*($AC$12)</f>
        <v>0</v>
      </c>
      <c r="AK32" s="1173">
        <f>((SUMIFS($G$7:$G$24,$C$7:$C$24,"=9",$H$7:$H$24,"=7")))*($AC$12)</f>
        <v>0</v>
      </c>
      <c r="AL32" s="1173">
        <f>((SUMIFS($G$7:$G$24,$C$7:$C$24,"=10",$H$7:$H$24,"=7")))*($AC$12)</f>
        <v>0</v>
      </c>
      <c r="AM32" s="1173">
        <f>((SUMIFS($G$7:$G$24,$C$7:$C$24,"=11",$H$7:$H$24,"=7")))*($AC$12)</f>
        <v>0</v>
      </c>
      <c r="AN32" s="1173">
        <f>((SUMIFS($G$7:$G$24,$C$7:$C$24,"=12",$H$7:$H$24,"=7")))*($AC$12)</f>
        <v>0</v>
      </c>
      <c r="AO32" s="1173">
        <f>((SUMIFS($G$7:$G$24,$C$7:$C$24,"=13",$H$7:$H$24,"=7")))*($AC$12)</f>
        <v>0</v>
      </c>
      <c r="AP32" s="1173">
        <f>((SUMIFS($G$7:$G$24,$C$7:$C$24,"=14",$H$7:$H$24,"=7")))*($AC$12)</f>
        <v>0</v>
      </c>
      <c r="AQ32" s="1173">
        <f>((SUMIFS($G$7:$G$24,$C$7:$C$24,"=15",$H$7:$H$24,"=7")))*($AC$12)</f>
        <v>0</v>
      </c>
      <c r="AR32" s="1173">
        <f>((SUMIFS($G$7:$G$24,$C$7:$C$24,"=16",$H$7:$H$24,"=7")))*($AC$12)</f>
        <v>0</v>
      </c>
      <c r="AS32" s="1173">
        <f>((SUMIFS($G$7:$G$24,$C$7:$C$24,"=17",$H$7:$H$24,"=7")))*($AC$12)</f>
        <v>0</v>
      </c>
      <c r="AT32" s="1173">
        <f>((SUMIFS($G$7:$G$24,$C$7:$C$24,"=18",$H$7:$H$24,"=7")))*($AC$12)</f>
        <v>0</v>
      </c>
      <c r="AU32" s="1173">
        <f>((SUMIFS($G$7:$G$24,$C$7:$C$24,"=19",$H$7:$H$24,"=7")))*($AC$12)</f>
        <v>0</v>
      </c>
      <c r="AV32" s="1173">
        <f>((SUMIFS($G$7:$G$24,$C$7:$C$24,"=20",$H$7:$H$24,"=7")))*($AC$12)</f>
        <v>0</v>
      </c>
      <c r="AW32" s="1173">
        <f>((SUMIFS($G$7:$G$24,$C$7:$C$24,"=21",$H$7:$H$24,"=7")))*($AC$12)</f>
        <v>0</v>
      </c>
    </row>
    <row r="33" spans="1:49" ht="15.75" customHeight="1" x14ac:dyDescent="0.2">
      <c r="D33" s="738"/>
      <c r="E33" s="740"/>
      <c r="F33" s="740"/>
      <c r="G33" s="866"/>
      <c r="H33" s="740"/>
      <c r="J33" s="870"/>
      <c r="K33" s="870"/>
      <c r="L33" s="6"/>
      <c r="M33" s="118"/>
      <c r="V33" s="1348" t="s">
        <v>2</v>
      </c>
      <c r="W33" s="1349">
        <f>SUM(W29:W32)</f>
        <v>3528.75</v>
      </c>
      <c r="X33" s="1349">
        <f>SUM(X29:X32)</f>
        <v>4282.2</v>
      </c>
      <c r="AB33" s="1160" t="str">
        <f t="shared" si="4"/>
        <v>Bezerras em aleitamento</v>
      </c>
      <c r="AC33" s="1198"/>
      <c r="AD33" s="1173">
        <f>((SUMIFS($G$7:$G$24,$C$7:$C$24,"=2",$H$7:$H$24,"=8")))*($AC$13)</f>
        <v>0</v>
      </c>
      <c r="AE33" s="1173">
        <f>((SUMIFS($G$7:$G$24,$C$7:$C$24,"=3",$H$7:$H$24,"=8")))*($AC$13)</f>
        <v>0</v>
      </c>
      <c r="AF33" s="1173">
        <f>((SUMIFS($G$7:$G$24,$C$7:$C$24,"=4",$H$7:$H$24,"=8")))*($AC$13)</f>
        <v>0</v>
      </c>
      <c r="AG33" s="1173">
        <f>((SUMIFS($G$7:$G$24,$C$7:$C$24,"=5",$H$7:$H$24,"=8")))*($AC$13)</f>
        <v>0</v>
      </c>
      <c r="AH33" s="1173">
        <f>((SUMIFS($G$7:$G$24,$C$7:$C$24,"=6",$H$7:$H$24,"=8")))*($AC$13)</f>
        <v>0</v>
      </c>
      <c r="AI33" s="1173">
        <f>((SUMIFS($G$7:$G$24,$C$7:$C$24,"=7",$H$7:$H$24,"=8")))*($AC$13)</f>
        <v>0</v>
      </c>
      <c r="AJ33" s="1173">
        <f>((SUMIFS($G$7:$G$24,$C$7:$C$24,"=8",$H$7:$H$24,"=8")))*($AC$13)</f>
        <v>0</v>
      </c>
      <c r="AK33" s="1173">
        <f>((SUMIFS($G$7:$G$24,$C$7:$C$24,"=9",$H$7:$H$24,"=8")))*($AC$13)</f>
        <v>0</v>
      </c>
      <c r="AL33" s="1173">
        <f>((SUMIFS($G$7:$G$24,$C$7:$C$24,"=10",$H$7:$H$24,"=8")))*($AC$13)</f>
        <v>0</v>
      </c>
      <c r="AM33" s="1173">
        <f>((SUMIFS($G$7:$G$24,$C$7:$C$24,"=11",$H$7:$H$24,"=8")))*($AC$13)</f>
        <v>0</v>
      </c>
      <c r="AN33" s="1173">
        <f>((SUMIFS($G$7:$G$24,$C$7:$C$24,"=12",$H$7:$H$24,"=8")))*($AC$13)</f>
        <v>0</v>
      </c>
      <c r="AO33" s="1173">
        <f>((SUMIFS($G$7:$G$24,$C$7:$C$24,"=13",$H$7:$H$24,"=8")))*($AC$13)</f>
        <v>0</v>
      </c>
      <c r="AP33" s="1173">
        <f>((SUMIFS($G$7:$G$24,$C$7:$C$24,"=14",$H$7:$H$24,"=8")))*($AC$13)</f>
        <v>0</v>
      </c>
      <c r="AQ33" s="1173">
        <f>((SUMIFS($G$7:$G$24,$C$7:$C$24,"=15",$H$7:$H$24,"=8")))*($AC$13)</f>
        <v>0</v>
      </c>
      <c r="AR33" s="1173">
        <f>((SUMIFS($G$7:$G$24,$C$7:$C$24,"=16",$H$7:$H$24,"=8")))*($AC$13)</f>
        <v>0</v>
      </c>
      <c r="AS33" s="1173">
        <f>((SUMIFS($G$7:$G$24,$C$7:$C$24,"=17",$H$7:$H$24,"=8")))*($AC$13)</f>
        <v>0</v>
      </c>
      <c r="AT33" s="1173">
        <f>((SUMIFS($G$7:$G$24,$C$7:$C$24,"=18",$H$7:$H$24,"=8")))*($AC$13)</f>
        <v>0</v>
      </c>
      <c r="AU33" s="1173">
        <f>((SUMIFS($G$7:$G$24,$C$7:$C$24,"=19",$H$7:$H$24,"=8")))*($AC$13)</f>
        <v>0</v>
      </c>
      <c r="AV33" s="1173">
        <f>((SUMIFS($G$7:$G$24,$C$7:$C$24,"=20",$H$7:$H$24,"=8")))*($AC$13)</f>
        <v>0</v>
      </c>
      <c r="AW33" s="1173">
        <f>((SUMIFS($G$7:$G$24,$C$7:$C$24,"=21",$H$7:$H$24,"=8")))*($AC$13)</f>
        <v>0</v>
      </c>
    </row>
    <row r="34" spans="1:49" ht="15.75" customHeight="1" x14ac:dyDescent="0.2">
      <c r="J34" s="6"/>
      <c r="K34" s="118"/>
      <c r="M34" s="118"/>
      <c r="AB34" s="1160" t="str">
        <f t="shared" si="4"/>
        <v>Bezerras desmamadas</v>
      </c>
      <c r="AC34" s="1198"/>
      <c r="AD34" s="1173">
        <f>((SUMIFS($G$7:$G$24,$C$7:$C$24,"=2",$H$7:$H$24,"=9")))*($AC$14)</f>
        <v>0</v>
      </c>
      <c r="AE34" s="1173">
        <f>((SUMIFS($G$7:$G$24,$C$7:$C$24,"=3",$H$7:$H$24,"=9")))*($AC$14)</f>
        <v>0</v>
      </c>
      <c r="AF34" s="1173">
        <f>((SUMIFS($G$7:$G$24,$C$7:$C$24,"=4",$H$7:$H$24,"=9")))*($AC$14)</f>
        <v>0</v>
      </c>
      <c r="AG34" s="1173">
        <f>((SUMIFS($G$7:$G$24,$C$7:$C$24,"=5",$H$7:$H$24,"=9")))*($AC$14)</f>
        <v>0</v>
      </c>
      <c r="AH34" s="1173">
        <f>((SUMIFS($G$7:$G$24,$C$7:$C$24,"=6",$H$7:$H$24,"=9")))*($AC$14)</f>
        <v>0</v>
      </c>
      <c r="AI34" s="1173">
        <f>((SUMIFS($G$7:$G$24,$C$7:$C$24,"=7",$H$7:$H$24,"=9")))*($AC$14)</f>
        <v>0</v>
      </c>
      <c r="AJ34" s="1173">
        <f>((SUMIFS($G$7:$G$24,$C$7:$C$24,"=8",$H$7:$H$24,"=9")))*($AC$14)</f>
        <v>0</v>
      </c>
      <c r="AK34" s="1173">
        <f>((SUMIFS($G$7:$G$24,$C$7:$C$24,"=9",$H$7:$H$24,"=9")))*($AC$14)</f>
        <v>0</v>
      </c>
      <c r="AL34" s="1173">
        <f>((SUMIFS($G$7:$G$24,$C$7:$C$24,"=10",$H$7:$H$24,"=9")))*($AC$14)</f>
        <v>0</v>
      </c>
      <c r="AM34" s="1173">
        <f>((SUMIFS($G$7:$G$24,$C$7:$C$24,"=11",$H$7:$H$24,"=9")))*($AC$14)</f>
        <v>0</v>
      </c>
      <c r="AN34" s="1173">
        <f>((SUMIFS($G$7:$G$24,$C$7:$C$24,"=12",$H$7:$H$24,"=9")))*($AC$14)</f>
        <v>0</v>
      </c>
      <c r="AO34" s="1173">
        <f>((SUMIFS($G$7:$G$24,$C$7:$C$24,"=13",$H$7:$H$24,"=9")))*($AC$14)</f>
        <v>0</v>
      </c>
      <c r="AP34" s="1173">
        <f>((SUMIFS($G$7:$G$24,$C$7:$C$24,"=14",$H$7:$H$24,"=9")))*($AC$14)</f>
        <v>0</v>
      </c>
      <c r="AQ34" s="1173">
        <f>((SUMIFS($G$7:$G$24,$C$7:$C$24,"=15",$H$7:$H$24,"=9")))*($AC$14)</f>
        <v>0</v>
      </c>
      <c r="AR34" s="1173">
        <f>((SUMIFS($G$7:$G$24,$C$7:$C$24,"=16",$H$7:$H$24,"=9")))*($AC$14)</f>
        <v>0</v>
      </c>
      <c r="AS34" s="1173">
        <f>((SUMIFS($G$7:$G$24,$C$7:$C$24,"=17",$H$7:$H$24,"=9")))*($AC$14)</f>
        <v>0</v>
      </c>
      <c r="AT34" s="1173">
        <f>((SUMIFS($G$7:$G$24,$C$7:$C$24,"=18",$H$7:$H$24,"=9")))*($AC$14)</f>
        <v>0</v>
      </c>
      <c r="AU34" s="1173">
        <f>((SUMIFS($G$7:$G$24,$C$7:$C$24,"=19",$H$7:$H$24,"=9")))*($AC$14)</f>
        <v>0</v>
      </c>
      <c r="AV34" s="1173">
        <f>((SUMIFS($G$7:$G$24,$C$7:$C$24,"=20",$H$7:$H$24,"=9")))*($AC$14)</f>
        <v>0</v>
      </c>
      <c r="AW34" s="1173">
        <f>((SUMIFS($G$7:$G$24,$C$7:$C$24,"=21",$H$7:$H$24,"=9")))*($AC$14)</f>
        <v>0</v>
      </c>
    </row>
    <row r="35" spans="1:49" ht="15.75" customHeight="1" x14ac:dyDescent="0.2">
      <c r="I35" s="2625" t="s">
        <v>494</v>
      </c>
      <c r="J35" s="2625"/>
      <c r="K35" s="6"/>
      <c r="AB35" s="1160" t="str">
        <f t="shared" si="4"/>
        <v>Novilhas sobreano</v>
      </c>
      <c r="AC35" s="1198"/>
      <c r="AD35" s="1173">
        <f>((SUMIFS($G$7:$G$24,$C$7:$C$24,"=2",$H$7:$H$24,"=10")))*($AC$15)</f>
        <v>0</v>
      </c>
      <c r="AE35" s="1173">
        <f>((SUMIFS($G$7:$G$24,$C$7:$C$24,"=3",$H$7:$H$24,"=10")))*($AC$15)</f>
        <v>0</v>
      </c>
      <c r="AF35" s="1173">
        <f>((SUMIFS($G$7:$G$24,$C$7:$C$24,"=4",$H$7:$H$24,"=10")))*($AC$15)</f>
        <v>0</v>
      </c>
      <c r="AG35" s="1173">
        <f>((SUMIFS($G$7:$G$24,$C$7:$C$24,"=5",$H$7:$H$24,"=10")))*($AC$15)</f>
        <v>0</v>
      </c>
      <c r="AH35" s="1173">
        <f>((SUMIFS($G$7:$G$24,$C$7:$C$24,"=6",$H$7:$H$24,"=10")))*($AC$15)</f>
        <v>0</v>
      </c>
      <c r="AI35" s="1173">
        <f>((SUMIFS($G$7:$G$24,$C$7:$C$24,"=7",$H$7:$H$24,"=10")))*($AC$15)</f>
        <v>0</v>
      </c>
      <c r="AJ35" s="1173">
        <f>((SUMIFS($G$7:$G$24,$C$7:$C$24,"=8",$H$7:$H$24,"=10")))*($AC$15)</f>
        <v>0</v>
      </c>
      <c r="AK35" s="1173">
        <f>((SUMIFS($G$7:$G$24,$C$7:$C$24,"=9",$H$7:$H$24,"=10")))*($AC$15)</f>
        <v>0</v>
      </c>
      <c r="AL35" s="1173">
        <f>((SUMIFS($G$7:$G$24,$C$7:$C$24,"=10",$H$7:$H$24,"=10")))*($AC$15)</f>
        <v>0</v>
      </c>
      <c r="AM35" s="1173">
        <f>((SUMIFS($G$7:$G$24,$C$7:$C$24,"=11",$H$7:$H$24,"=10")))*($AC$15)</f>
        <v>0</v>
      </c>
      <c r="AN35" s="1173">
        <f>((SUMIFS($G$7:$G$24,$C$7:$C$24,"=12",$H$7:$H$24,"=10")))*($AC$15)</f>
        <v>0</v>
      </c>
      <c r="AO35" s="1173">
        <f>((SUMIFS($G$7:$G$24,$C$7:$C$24,"=13",$H$7:$H$24,"=10")))*($AC$15)</f>
        <v>0</v>
      </c>
      <c r="AP35" s="1173">
        <f>((SUMIFS($G$7:$G$24,$C$7:$C$24,"=14",$H$7:$H$24,"=10")))*($AC$15)</f>
        <v>0</v>
      </c>
      <c r="AQ35" s="1173">
        <f>((SUMIFS($G$7:$G$24,$C$7:$C$24,"=15",$H$7:$H$24,"=10")))*($AC$15)</f>
        <v>0</v>
      </c>
      <c r="AR35" s="1173">
        <f>((SUMIFS($G$7:$G$24,$C$7:$C$24,"=16",$H$7:$H$24,"=10")))*($AC$15)</f>
        <v>0</v>
      </c>
      <c r="AS35" s="1173">
        <f>((SUMIFS($G$7:$G$24,$C$7:$C$24,"=17",$H$7:$H$24,"=10")))*($AC$15)</f>
        <v>0</v>
      </c>
      <c r="AT35" s="1173">
        <f>((SUMIFS($G$7:$G$24,$C$7:$C$24,"=18",$H$7:$H$24,"=10")))*($AC$15)</f>
        <v>0</v>
      </c>
      <c r="AU35" s="1173">
        <f>((SUMIFS($G$7:$G$24,$C$7:$C$24,"=19",$H$7:$H$24,"=10")))*($AC$15)</f>
        <v>0</v>
      </c>
      <c r="AV35" s="1173">
        <f>((SUMIFS($G$7:$G$24,$C$7:$C$24,"=20",$H$7:$H$24,"=10")))*($AC$15)</f>
        <v>0</v>
      </c>
      <c r="AW35" s="1173">
        <f>((SUMIFS($G$7:$G$24,$C$7:$C$24,"=21",$H$7:$H$24,"=10")))*($AC$15)</f>
        <v>0</v>
      </c>
    </row>
    <row r="36" spans="1:49" ht="15.75" customHeight="1" x14ac:dyDescent="0.2">
      <c r="D36" s="98" t="s">
        <v>301</v>
      </c>
      <c r="E36" s="2625" t="s">
        <v>583</v>
      </c>
      <c r="F36" s="2625"/>
      <c r="G36" s="98" t="s">
        <v>424</v>
      </c>
      <c r="H36" s="99" t="s">
        <v>412</v>
      </c>
      <c r="I36" s="99" t="s">
        <v>292</v>
      </c>
      <c r="J36" s="99" t="s">
        <v>80</v>
      </c>
      <c r="K36" s="6"/>
      <c r="AB36" s="1160" t="str">
        <f t="shared" si="4"/>
        <v>Novilhas preenhe</v>
      </c>
      <c r="AC36" s="1198"/>
      <c r="AD36" s="1173">
        <f>((SUMIFS($G$7:$G$24,$C$7:$C$24,"=2",$H$7:$H$24,"=11")))*($AC$16)</f>
        <v>0</v>
      </c>
      <c r="AE36" s="1173">
        <f>((SUMIFS($G$7:$G$24,$C$7:$C$24,"=3",$H$7:$H$24,"=11")))*($AC$16)</f>
        <v>0</v>
      </c>
      <c r="AF36" s="1173">
        <f>((SUMIFS($G$7:$G$24,$C$7:$C$24,"=4",$H$7:$H$24,"=11")))*($AC$16)</f>
        <v>0</v>
      </c>
      <c r="AG36" s="1173">
        <f>((SUMIFS($G$7:$G$24,$C$7:$C$24,"=5",$H$7:$H$24,"=11")))*($AC$16)</f>
        <v>0</v>
      </c>
      <c r="AH36" s="1173">
        <f>((SUMIFS($G$7:$G$24,$C$7:$C$24,"=6",$H$7:$H$24,"=11")))*($AC$16)</f>
        <v>0</v>
      </c>
      <c r="AI36" s="1173">
        <f>((SUMIFS($G$7:$G$24,$C$7:$C$24,"=7",$H$7:$H$24,"=11")))*($AC$16)</f>
        <v>0</v>
      </c>
      <c r="AJ36" s="1173">
        <f>((SUMIFS($G$7:$G$24,$C$7:$C$24,"=8",$H$7:$H$24,"=11")))*($AC$16)</f>
        <v>0</v>
      </c>
      <c r="AK36" s="1173">
        <f>((SUMIFS($G$7:$G$24,$C$7:$C$24,"=9",$H$7:$H$24,"=11")))*($AC$16)</f>
        <v>0</v>
      </c>
      <c r="AL36" s="1173">
        <f>((SUMIFS($G$7:$G$24,$C$7:$C$24,"=10",$H$7:$H$24,"=11")))*($AC$16)</f>
        <v>0</v>
      </c>
      <c r="AM36" s="1173">
        <f>((SUMIFS($G$7:$G$24,$C$7:$C$24,"=11",$H$7:$H$24,"=11")))*($AC$16)</f>
        <v>0</v>
      </c>
      <c r="AN36" s="1173">
        <f>((SUMIFS($G$7:$G$24,$C$7:$C$24,"=12",$H$7:$H$24,"=11")))*($AC$16)</f>
        <v>0</v>
      </c>
      <c r="AO36" s="1173">
        <f>((SUMIFS($G$7:$G$24,$C$7:$C$24,"=13",$H$7:$H$24,"=11")))*($AC$16)</f>
        <v>0</v>
      </c>
      <c r="AP36" s="1173">
        <f>((SUMIFS($G$7:$G$24,$C$7:$C$24,"=14",$H$7:$H$24,"=11")))*($AC$16)</f>
        <v>0</v>
      </c>
      <c r="AQ36" s="1173">
        <f>((SUMIFS($G$7:$G$24,$C$7:$C$24,"=15",$H$7:$H$24,"=11")))*($AC$16)</f>
        <v>0</v>
      </c>
      <c r="AR36" s="1173">
        <f>((SUMIFS($G$7:$G$24,$C$7:$C$24,"=16",$H$7:$H$24,"=11")))*($AC$16)</f>
        <v>0</v>
      </c>
      <c r="AS36" s="1173">
        <f>((SUMIFS($G$7:$G$24,$C$7:$C$24,"=17",$H$7:$H$24,"=11")))*($AC$16)</f>
        <v>0</v>
      </c>
      <c r="AT36" s="1173">
        <f>((SUMIFS($G$7:$G$24,$C$7:$C$24,"=18",$H$7:$H$24,"=11")))*($AC$16)</f>
        <v>0</v>
      </c>
      <c r="AU36" s="1173">
        <f>((SUMIFS($G$7:$G$24,$C$7:$C$24,"=19",$H$7:$H$24,"=11")))*($AC$16)</f>
        <v>0</v>
      </c>
      <c r="AV36" s="1173">
        <f>((SUMIFS($G$7:$G$24,$C$7:$C$24,"=20",$H$7:$H$24,"=11")))*($AC$16)</f>
        <v>0</v>
      </c>
      <c r="AW36" s="1173">
        <f>((SUMIFS($G$7:$G$24,$C$7:$C$24,"=21",$H$7:$H$24,"=11")))*($AC$16)</f>
        <v>0</v>
      </c>
    </row>
    <row r="37" spans="1:49" ht="15.75" customHeight="1" x14ac:dyDescent="0.2">
      <c r="A37" s="93">
        <f>IF(D37=1,0,E37)</f>
        <v>0</v>
      </c>
      <c r="D37" s="3">
        <v>1</v>
      </c>
      <c r="E37" s="2713"/>
      <c r="F37" s="2713"/>
      <c r="G37" s="94">
        <f>VLOOKUP(D37,'Mão-de-obra'!$CJ$10:$CL$29,3)</f>
        <v>0</v>
      </c>
      <c r="H37" s="106">
        <f>E37*G37</f>
        <v>0</v>
      </c>
      <c r="I37" s="3">
        <v>1</v>
      </c>
      <c r="J37" s="3">
        <v>1</v>
      </c>
      <c r="K37" s="6"/>
      <c r="AB37" s="1160" t="str">
        <f t="shared" si="4"/>
        <v>Vacas primíparas</v>
      </c>
      <c r="AC37" s="1198"/>
      <c r="AD37" s="1173">
        <f>((SUMIFS($G$7:$G$24,$C$7:$C$24,"=2",$H$7:$H$24,"=12")))*($AC$17)</f>
        <v>0</v>
      </c>
      <c r="AE37" s="1173">
        <f>((SUMIFS($G$7:$G$24,$C$7:$C$24,"=3",$H$7:$H$24,"=12")))*($AC$17)</f>
        <v>0</v>
      </c>
      <c r="AF37" s="1173">
        <f>((SUMIFS($G$7:$G$24,$C$7:$C$24,"=4",$H$7:$H$24,"=12")))*($AC$17)</f>
        <v>0</v>
      </c>
      <c r="AG37" s="1173">
        <f>((SUMIFS($G$7:$G$24,$C$7:$C$24,"=5",$H$7:$H$24,"=12")))*($AC$17)</f>
        <v>0</v>
      </c>
      <c r="AH37" s="1173">
        <f>((SUMIFS($G$7:$G$24,$C$7:$C$24,"=6",$H$7:$H$24,"=12")))*($AC$17)</f>
        <v>0</v>
      </c>
      <c r="AI37" s="1173">
        <f>((SUMIFS($G$7:$G$24,$C$7:$C$24,"=7",$H$7:$H$24,"=12")))*($AC$17)</f>
        <v>0</v>
      </c>
      <c r="AJ37" s="1173">
        <f>((SUMIFS($G$7:$G$24,$C$7:$C$24,"=8",$H$7:$H$24,"=12")))*($AC$17)</f>
        <v>0</v>
      </c>
      <c r="AK37" s="1173">
        <f>((SUMIFS($G$7:$G$24,$C$7:$C$24,"=9",$H$7:$H$24,"=12")))*($AC$17)</f>
        <v>0</v>
      </c>
      <c r="AL37" s="1173">
        <f>((SUMIFS($G$7:$G$24,$C$7:$C$24,"=10",$H$7:$H$24,"=12")))*($AC$17)</f>
        <v>0</v>
      </c>
      <c r="AM37" s="1173">
        <f>((SUMIFS($G$7:$G$24,$C$7:$C$24,"=11",$H$7:$H$24,"=12")))*($AC$17)</f>
        <v>0</v>
      </c>
      <c r="AN37" s="1173">
        <f>((SUMIFS($G$7:$G$24,$C$7:$C$24,"=12",$H$7:$H$24,"=12")))*($AC$17)</f>
        <v>0</v>
      </c>
      <c r="AO37" s="1173">
        <f>((SUMIFS($G$7:$G$24,$C$7:$C$24,"=13",$H$7:$H$24,"=12")))*($AC$17)</f>
        <v>0</v>
      </c>
      <c r="AP37" s="1173">
        <f>((SUMIFS($G$7:$G$24,$C$7:$C$24,"=14",$H$7:$H$24,"=12")))*($AC$17)</f>
        <v>0</v>
      </c>
      <c r="AQ37" s="1173">
        <f>((SUMIFS($G$7:$G$24,$C$7:$C$24,"=15",$H$7:$H$24,"=12")))*($AC$17)</f>
        <v>0</v>
      </c>
      <c r="AR37" s="1173">
        <f>((SUMIFS($G$7:$G$24,$C$7:$C$24,"=16",$H$7:$H$24,"=12")))*($AC$17)</f>
        <v>0</v>
      </c>
      <c r="AS37" s="1173">
        <f>((SUMIFS($G$7:$G$24,$C$7:$C$24,"=17",$H$7:$H$24,"=12")))*($AC$17)</f>
        <v>0</v>
      </c>
      <c r="AT37" s="1173">
        <f>((SUMIFS($G$7:$G$24,$C$7:$C$24,"=18",$H$7:$H$24,"=12")))*($AC$17)</f>
        <v>0</v>
      </c>
      <c r="AU37" s="1173">
        <f>((SUMIFS($G$7:$G$24,$C$7:$C$24,"=19",$H$7:$H$24,"=12")))*($AC$17)</f>
        <v>0</v>
      </c>
      <c r="AV37" s="1173">
        <f>((SUMIFS($G$7:$G$24,$C$7:$C$24,"=20",$H$7:$H$24,"=12")))*($AC$17)</f>
        <v>0</v>
      </c>
      <c r="AW37" s="1173">
        <f>((SUMIFS($G$7:$G$24,$C$7:$C$24,"=21",$H$7:$H$24,"=12")))*($AC$17)</f>
        <v>0</v>
      </c>
    </row>
    <row r="38" spans="1:49" ht="15.75" customHeight="1" x14ac:dyDescent="0.2">
      <c r="A38" s="93">
        <f>IF(D38=1,0,E38)</f>
        <v>0</v>
      </c>
      <c r="D38" s="3">
        <v>1</v>
      </c>
      <c r="E38" s="2713"/>
      <c r="F38" s="2713"/>
      <c r="G38" s="94">
        <f>VLOOKUP(D38,'Mão-de-obra'!$CJ$10:$CL$29,3)</f>
        <v>0</v>
      </c>
      <c r="H38" s="106">
        <f>E38*G38</f>
        <v>0</v>
      </c>
      <c r="I38" s="3">
        <v>1</v>
      </c>
      <c r="J38" s="3">
        <v>1</v>
      </c>
      <c r="K38" s="6"/>
      <c r="AB38" s="1160" t="str">
        <f t="shared" si="4"/>
        <v>Vacas em lactação multiparas</v>
      </c>
      <c r="AC38" s="1198"/>
      <c r="AD38" s="1173">
        <f>((SUMIFS($G$7:$G$24,$C$7:$C$24,"=2",$H$7:$H$24,"=13")))*($AC$18)</f>
        <v>0</v>
      </c>
      <c r="AE38" s="1173">
        <f>((SUMIFS($G$7:$G$24,$C$7:$C$24,"=3",$H$7:$H$24,"=13")))*($AC$18)</f>
        <v>0</v>
      </c>
      <c r="AF38" s="1173">
        <f>((SUMIFS($G$7:$G$24,$C$7:$C$24,"=4",$H$7:$H$24,"=13")))*($AC$18)</f>
        <v>0</v>
      </c>
      <c r="AG38" s="1173">
        <f>((SUMIFS($G$7:$G$24,$C$7:$C$24,"=5",$H$7:$H$24,"=13")))*($AC$18)</f>
        <v>0</v>
      </c>
      <c r="AH38" s="1173">
        <f>((SUMIFS($G$7:$G$24,$C$7:$C$24,"=6",$H$7:$H$24,"=13")))*($AC$18)</f>
        <v>0</v>
      </c>
      <c r="AI38" s="1173">
        <f>((SUMIFS($G$7:$G$24,$C$7:$C$24,"=7",$H$7:$H$24,"=13")))*($AC$18)</f>
        <v>0</v>
      </c>
      <c r="AJ38" s="1173">
        <f>((SUMIFS($G$7:$G$24,$C$7:$C$24,"=8",$H$7:$H$24,"=13")))*($AC$18)</f>
        <v>0</v>
      </c>
      <c r="AK38" s="1173">
        <f>((SUMIFS($G$7:$G$24,$C$7:$C$24,"=9",$H$7:$H$24,"=13")))*($AC$18)</f>
        <v>0</v>
      </c>
      <c r="AL38" s="1173">
        <f>((SUMIFS($G$7:$G$24,$C$7:$C$24,"=10",$H$7:$H$24,"=13")))*($AC$18)</f>
        <v>0</v>
      </c>
      <c r="AM38" s="1173">
        <f>((SUMIFS($G$7:$G$24,$C$7:$C$24,"=11",$H$7:$H$24,"=13")))*($AC$18)</f>
        <v>0</v>
      </c>
      <c r="AN38" s="1173">
        <f>((SUMIFS($G$7:$G$24,$C$7:$C$24,"=12",$H$7:$H$24,"=13")))*($AC$18)</f>
        <v>0</v>
      </c>
      <c r="AO38" s="1173">
        <f>((SUMIFS($G$7:$G$24,$C$7:$C$24,"=13",$H$7:$H$24,"=13")))*($AC$18)</f>
        <v>0</v>
      </c>
      <c r="AP38" s="1173">
        <f>((SUMIFS($G$7:$G$24,$C$7:$C$24,"=14",$H$7:$H$24,"=13")))*($AC$18)</f>
        <v>0</v>
      </c>
      <c r="AQ38" s="1173">
        <f>((SUMIFS($G$7:$G$24,$C$7:$C$24,"=15",$H$7:$H$24,"=13")))*($AC$18)</f>
        <v>0</v>
      </c>
      <c r="AR38" s="1173">
        <f>((SUMIFS($G$7:$G$24,$C$7:$C$24,"=16",$H$7:$H$24,"=13")))*($AC$18)</f>
        <v>0</v>
      </c>
      <c r="AS38" s="1173">
        <f>((SUMIFS($G$7:$G$24,$C$7:$C$24,"=17",$H$7:$H$24,"=13")))*($AC$18)</f>
        <v>0</v>
      </c>
      <c r="AT38" s="1173">
        <f>((SUMIFS($G$7:$G$24,$C$7:$C$24,"=18",$H$7:$H$24,"=13")))*($AC$18)</f>
        <v>0</v>
      </c>
      <c r="AU38" s="1173">
        <f>((SUMIFS($G$7:$G$24,$C$7:$C$24,"=19",$H$7:$H$24,"=13")))*($AC$18)</f>
        <v>0</v>
      </c>
      <c r="AV38" s="1173">
        <f>((SUMIFS($G$7:$G$24,$C$7:$C$24,"=20",$H$7:$H$24,"=13")))*($AC$18)</f>
        <v>0</v>
      </c>
      <c r="AW38" s="1173">
        <f>((SUMIFS($G$7:$G$24,$C$7:$C$24,"=21",$H$7:$H$24,"=13")))*($AC$18)</f>
        <v>0</v>
      </c>
    </row>
    <row r="39" spans="1:49" ht="15.75" customHeight="1" x14ac:dyDescent="0.2">
      <c r="A39" s="93">
        <f>IF(D39=1,0,E39)</f>
        <v>0</v>
      </c>
      <c r="D39" s="3">
        <v>1</v>
      </c>
      <c r="E39" s="2713"/>
      <c r="F39" s="2713"/>
      <c r="G39" s="94">
        <f>VLOOKUP(D39,'Mão-de-obra'!$CJ$10:$CL$29,3)</f>
        <v>0</v>
      </c>
      <c r="H39" s="106">
        <f>E39*G39</f>
        <v>0</v>
      </c>
      <c r="I39" s="3">
        <v>1</v>
      </c>
      <c r="J39" s="3">
        <v>1</v>
      </c>
      <c r="K39" s="6"/>
      <c r="AB39" s="1160" t="str">
        <f t="shared" si="4"/>
        <v>Vacas solteiras secas</v>
      </c>
      <c r="AC39" s="1198"/>
      <c r="AD39" s="1173">
        <f>((SUMIFS($G$7:$G$24,$C$7:$C$24,"=2",$H$7:$H$24,"=14")))*($AC$19)</f>
        <v>0</v>
      </c>
      <c r="AE39" s="1173">
        <f>((SUMIFS($G$7:$G$24,$C$7:$C$24,"=3",$H$7:$H$24,"=14")))*($AC$19)</f>
        <v>0</v>
      </c>
      <c r="AF39" s="1173">
        <f>((SUMIFS($G$7:$G$24,$C$7:$C$24,"=4",$H$7:$H$24,"=14")))*($AC$19)</f>
        <v>0</v>
      </c>
      <c r="AG39" s="1173">
        <f>((SUMIFS($G$7:$G$24,$C$7:$C$24,"=5",$H$7:$H$24,"=14")))*($AC$19)</f>
        <v>0</v>
      </c>
      <c r="AH39" s="1173">
        <f>((SUMIFS($G$7:$G$24,$C$7:$C$24,"=6",$H$7:$H$24,"=14")))*($AC$19)</f>
        <v>0</v>
      </c>
      <c r="AI39" s="1173">
        <f>((SUMIFS($G$7:$G$24,$C$7:$C$24,"=7",$H$7:$H$24,"=14")))*($AC$19)</f>
        <v>0</v>
      </c>
      <c r="AJ39" s="1173">
        <f>((SUMIFS($G$7:$G$24,$C$7:$C$24,"=8",$H$7:$H$24,"=14")))*($AC$19)</f>
        <v>0</v>
      </c>
      <c r="AK39" s="1173">
        <f>((SUMIFS($G$7:$G$24,$C$7:$C$24,"=9",$H$7:$H$24,"=14")))*($AC$19)</f>
        <v>0</v>
      </c>
      <c r="AL39" s="1173">
        <f>((SUMIFS($G$7:$G$24,$C$7:$C$24,"=10",$H$7:$H$24,"=14")))*($AC$19)</f>
        <v>0</v>
      </c>
      <c r="AM39" s="1173">
        <f>((SUMIFS($G$7:$G$24,$C$7:$C$24,"=11",$H$7:$H$24,"=14")))*($AC$19)</f>
        <v>0</v>
      </c>
      <c r="AN39" s="1173">
        <f>((SUMIFS($G$7:$G$24,$C$7:$C$24,"=12",$H$7:$H$24,"=14")))*($AC$19)</f>
        <v>0</v>
      </c>
      <c r="AO39" s="1173">
        <f>((SUMIFS($G$7:$G$24,$C$7:$C$24,"=13",$H$7:$H$24,"=14")))*($AC$19)</f>
        <v>0</v>
      </c>
      <c r="AP39" s="1173">
        <f>((SUMIFS($G$7:$G$24,$C$7:$C$24,"=14",$H$7:$H$24,"=14")))*($AC$19)</f>
        <v>0</v>
      </c>
      <c r="AQ39" s="1173">
        <f>((SUMIFS($G$7:$G$24,$C$7:$C$24,"=15",$H$7:$H$24,"=14")))*($AC$19)</f>
        <v>0</v>
      </c>
      <c r="AR39" s="1173">
        <f>((SUMIFS($G$7:$G$24,$C$7:$C$24,"=16",$H$7:$H$24,"=14")))*($AC$19)</f>
        <v>0</v>
      </c>
      <c r="AS39" s="1173">
        <f>((SUMIFS($G$7:$G$24,$C$7:$C$24,"=17",$H$7:$H$24,"=14")))*($AC$19)</f>
        <v>0</v>
      </c>
      <c r="AT39" s="1173">
        <f>((SUMIFS($G$7:$G$24,$C$7:$C$24,"=18",$H$7:$H$24,"=14")))*($AC$19)</f>
        <v>0</v>
      </c>
      <c r="AU39" s="1173">
        <f>((SUMIFS($G$7:$G$24,$C$7:$C$24,"=19",$H$7:$H$24,"=14")))*($AC$19)</f>
        <v>0</v>
      </c>
      <c r="AV39" s="1173">
        <f>((SUMIFS($G$7:$G$24,$C$7:$C$24,"=20",$H$7:$H$24,"=14")))*($AC$19)</f>
        <v>0</v>
      </c>
      <c r="AW39" s="1173">
        <f>((SUMIFS($G$7:$G$24,$C$7:$C$24,"=21",$H$7:$H$24,"=14")))*($AC$19)</f>
        <v>0</v>
      </c>
    </row>
    <row r="40" spans="1:49" ht="15.75" customHeight="1" x14ac:dyDescent="0.2">
      <c r="A40" s="93">
        <f>IF(D40=1,0,E40)</f>
        <v>0</v>
      </c>
      <c r="D40" s="3">
        <v>1</v>
      </c>
      <c r="E40" s="2713"/>
      <c r="F40" s="2713"/>
      <c r="G40" s="94">
        <f>VLOOKUP(D40,'Mão-de-obra'!$CJ$10:$CL$29,3)</f>
        <v>0</v>
      </c>
      <c r="H40" s="106">
        <f>E40*G40</f>
        <v>0</v>
      </c>
      <c r="I40" s="3">
        <v>1</v>
      </c>
      <c r="J40" s="3">
        <v>1</v>
      </c>
      <c r="K40" s="6"/>
      <c r="AB40" s="1160" t="str">
        <f t="shared" si="4"/>
        <v>Bezerras em aleitamento (Engorda)</v>
      </c>
      <c r="AC40" s="1198"/>
      <c r="AD40" s="1173">
        <f>((SUMIFS($G$7:$G$24,$C$7:$C$24,"=2",$H$7:$H$24,"=15")))*($AC$20)</f>
        <v>0</v>
      </c>
      <c r="AE40" s="1173">
        <f>((SUMIFS($G$7:$G$24,$C$7:$C$24,"=3",$H$7:$H$24,"=15")))*($AC$20)</f>
        <v>0</v>
      </c>
      <c r="AF40" s="1173">
        <f>((SUMIFS($G$7:$G$24,$C$7:$C$24,"=4",$H$7:$H$24,"=15")))*($AC$20)</f>
        <v>0</v>
      </c>
      <c r="AG40" s="1173">
        <f>((SUMIFS($G$7:$G$24,$C$7:$C$24,"=5",$H$7:$H$24,"=15")))*($AC$20)</f>
        <v>0</v>
      </c>
      <c r="AH40" s="1173">
        <f>((SUMIFS($G$7:$G$24,$C$7:$C$24,"=6",$H$7:$H$24,"=15")))*($AC$20)</f>
        <v>0</v>
      </c>
      <c r="AI40" s="1173">
        <f>((SUMIFS($G$7:$G$24,$C$7:$C$24,"=7",$H$7:$H$24,"=15")))*($AC$20)</f>
        <v>0</v>
      </c>
      <c r="AJ40" s="1173">
        <f>((SUMIFS($G$7:$G$24,$C$7:$C$24,"=8",$H$7:$H$24,"=15")))*($AC$20)</f>
        <v>0</v>
      </c>
      <c r="AK40" s="1173">
        <f>((SUMIFS($G$7:$G$24,$C$7:$C$24,"=9",$H$7:$H$24,"=15")))*($AC$20)</f>
        <v>0</v>
      </c>
      <c r="AL40" s="1173">
        <f>((SUMIFS($G$7:$G$24,$C$7:$C$24,"=10",$H$7:$H$24,"=15")))*($AC$20)</f>
        <v>0</v>
      </c>
      <c r="AM40" s="1173">
        <f>((SUMIFS($G$7:$G$24,$C$7:$C$24,"=11",$H$7:$H$24,"=15")))*($AC$20)</f>
        <v>0</v>
      </c>
      <c r="AN40" s="1173">
        <f>((SUMIFS($G$7:$G$24,$C$7:$C$24,"=12",$H$7:$H$24,"=15")))*($AC$20)</f>
        <v>0</v>
      </c>
      <c r="AO40" s="1173">
        <f>((SUMIFS($G$7:$G$24,$C$7:$C$24,"=13",$H$7:$H$24,"=15")))*($AC$20)</f>
        <v>0</v>
      </c>
      <c r="AP40" s="1173">
        <f>((SUMIFS($G$7:$G$24,$C$7:$C$24,"=14",$H$7:$H$24,"=15")))*($AC$20)</f>
        <v>0</v>
      </c>
      <c r="AQ40" s="1173">
        <f>((SUMIFS($G$7:$G$24,$C$7:$C$24,"=15",$H$7:$H$24,"=15")))*($AC$20)</f>
        <v>0</v>
      </c>
      <c r="AR40" s="1173">
        <f>((SUMIFS($G$7:$G$24,$C$7:$C$24,"=16",$H$7:$H$24,"=15")))*($AC$20)</f>
        <v>0</v>
      </c>
      <c r="AS40" s="1173">
        <f>((SUMIFS($G$7:$G$24,$C$7:$C$24,"=17",$H$7:$H$24,"=15")))*($AC$20)</f>
        <v>0</v>
      </c>
      <c r="AT40" s="1173">
        <f>((SUMIFS($G$7:$G$24,$C$7:$C$24,"=18",$H$7:$H$24,"=15")))*($AC$20)</f>
        <v>0</v>
      </c>
      <c r="AU40" s="1173">
        <f>((SUMIFS($G$7:$G$24,$C$7:$C$24,"=19",$H$7:$H$24,"=15")))*($AC$20)</f>
        <v>0</v>
      </c>
      <c r="AV40" s="1173">
        <f>((SUMIFS($G$7:$G$24,$C$7:$C$24,"=20",$H$7:$H$24,"=15")))*($AC$20)</f>
        <v>0</v>
      </c>
      <c r="AW40" s="1173">
        <f>((SUMIFS($G$7:$G$24,$C$7:$C$24,"=21",$H$7:$H$24,"=15")))*($AC$20)</f>
        <v>0</v>
      </c>
    </row>
    <row r="41" spans="1:49" ht="15.75" customHeight="1" thickBot="1" x14ac:dyDescent="0.25">
      <c r="A41" s="93">
        <f>IF(D41=1,0,E41)</f>
        <v>0</v>
      </c>
      <c r="D41" s="739">
        <v>1</v>
      </c>
      <c r="E41" s="2712"/>
      <c r="F41" s="2712"/>
      <c r="G41" s="764">
        <f>VLOOKUP(D41,'Mão-de-obra'!$CJ$10:$CL$29,3)</f>
        <v>0</v>
      </c>
      <c r="H41" s="868">
        <f>E41*G41</f>
        <v>0</v>
      </c>
      <c r="I41" s="3">
        <v>1</v>
      </c>
      <c r="J41" s="3">
        <v>1</v>
      </c>
      <c r="K41" s="6"/>
      <c r="AB41" s="1160" t="str">
        <f t="shared" si="4"/>
        <v>Bezerras desmamadas (Engorda)</v>
      </c>
      <c r="AC41" s="1198"/>
      <c r="AD41" s="1173">
        <f>((SUMIFS($G$7:$G$24,$C$7:$C$24,"=2",$H$7:$H$24,"=16")))*($AC$21)</f>
        <v>0</v>
      </c>
      <c r="AE41" s="1173">
        <f>((SUMIFS($G$7:$G$24,$C$7:$C$24,"=3",$H$7:$H$24,"=16")))*($AC$21)</f>
        <v>0</v>
      </c>
      <c r="AF41" s="1173">
        <f>((SUMIFS($G$7:$G$24,$C$7:$C$24,"=4",$H$7:$H$24,"=16")))*($AC$21)</f>
        <v>0</v>
      </c>
      <c r="AG41" s="1173">
        <f>((SUMIFS($G$7:$G$24,$C$7:$C$24,"=5",$H$7:$H$24,"=16")))*($AC$21)</f>
        <v>0</v>
      </c>
      <c r="AH41" s="1173">
        <f>((SUMIFS($G$7:$G$24,$C$7:$C$24,"=6",$H$7:$H$24,"=16")))*($AC$21)</f>
        <v>0</v>
      </c>
      <c r="AI41" s="1173">
        <f>((SUMIFS($G$7:$G$24,$C$7:$C$24,"=7",$H$7:$H$24,"=16")))*($AC$21)</f>
        <v>0</v>
      </c>
      <c r="AJ41" s="1173">
        <f>((SUMIFS($G$7:$G$24,$C$7:$C$24,"=8",$H$7:$H$24,"=16")))*($AC$21)</f>
        <v>0</v>
      </c>
      <c r="AK41" s="1173">
        <f>((SUMIFS($G$7:$G$24,$C$7:$C$24,"=9",$H$7:$H$24,"=16")))*($AC$21)</f>
        <v>0</v>
      </c>
      <c r="AL41" s="1173">
        <f>((SUMIFS($G$7:$G$24,$C$7:$C$24,"=10",$H$7:$H$24,"=16")))*($AC$21)</f>
        <v>0</v>
      </c>
      <c r="AM41" s="1173">
        <f>((SUMIFS($G$7:$G$24,$C$7:$C$24,"=11",$H$7:$H$24,"=16")))*($AC$21)</f>
        <v>0</v>
      </c>
      <c r="AN41" s="1173">
        <f>((SUMIFS($G$7:$G$24,$C$7:$C$24,"=12",$H$7:$H$24,"=16")))*($AC$21)</f>
        <v>0</v>
      </c>
      <c r="AO41" s="1173">
        <f>((SUMIFS($G$7:$G$24,$C$7:$C$24,"=13",$H$7:$H$24,"=16")))*($AC$21)</f>
        <v>0</v>
      </c>
      <c r="AP41" s="1173">
        <f>((SUMIFS($G$7:$G$24,$C$7:$C$24,"=14",$H$7:$H$24,"=16")))*($AC$21)</f>
        <v>0</v>
      </c>
      <c r="AQ41" s="1173">
        <f>((SUMIFS($G$7:$G$24,$C$7:$C$24,"=15",$H$7:$H$24,"=16")))*($AC$21)</f>
        <v>0</v>
      </c>
      <c r="AR41" s="1173">
        <f>((SUMIFS($G$7:$G$24,$C$7:$C$24,"=16",$H$7:$H$24,"=16")))*($AC$21)</f>
        <v>0</v>
      </c>
      <c r="AS41" s="1173">
        <f>((SUMIFS($G$7:$G$24,$C$7:$C$24,"=17",$H$7:$H$24,"=16")))*($AC$21)</f>
        <v>0</v>
      </c>
      <c r="AT41" s="1173">
        <f>((SUMIFS($G$7:$G$24,$C$7:$C$24,"=18",$H$7:$H$24,"=16")))*($AC$21)</f>
        <v>0</v>
      </c>
      <c r="AU41" s="1173">
        <f>((SUMIFS($G$7:$G$24,$C$7:$C$24,"=19",$H$7:$H$24,"=16")))*($AC$21)</f>
        <v>0</v>
      </c>
      <c r="AV41" s="1173">
        <f>((SUMIFS($G$7:$G$24,$C$7:$C$24,"=20",$H$7:$H$24,"=16")))*($AC$21)</f>
        <v>0</v>
      </c>
      <c r="AW41" s="1173">
        <f>((SUMIFS($G$7:$G$24,$C$7:$C$24,"=21",$H$7:$H$24,"=16")))*($AC$21)</f>
        <v>0</v>
      </c>
    </row>
    <row r="42" spans="1:49" ht="15.75" customHeight="1" x14ac:dyDescent="0.2">
      <c r="A42" s="93">
        <f>SUM(A37:A41)</f>
        <v>0</v>
      </c>
      <c r="G42" s="738" t="s">
        <v>2</v>
      </c>
      <c r="H42" s="740">
        <f>SUM(H37:H41)</f>
        <v>0</v>
      </c>
      <c r="AB42" s="1160" t="str">
        <f t="shared" si="4"/>
        <v>Novilhas sobreano (Engorda)</v>
      </c>
      <c r="AC42" s="1198"/>
      <c r="AD42" s="1173">
        <f>((SUMIFS($G$7:$G$24,$C$7:$C$24,"=2",$H$7:$H$24,"=17")))*($AC$22)</f>
        <v>0</v>
      </c>
      <c r="AE42" s="1173">
        <f>((SUMIFS($G$7:$G$24,$C$7:$C$24,"=3",$H$7:$H$24,"=17")))*($AC$22)</f>
        <v>0</v>
      </c>
      <c r="AF42" s="1173">
        <f>((SUMIFS($G$7:$G$24,$C$7:$C$24,"=4",$H$7:$H$24,"=17")))*($AC$22)</f>
        <v>0</v>
      </c>
      <c r="AG42" s="1173">
        <f>((SUMIFS($G$7:$G$24,$C$7:$C$24,"=5",$H$7:$H$24,"=17")))*($AC$22)</f>
        <v>0</v>
      </c>
      <c r="AH42" s="1173">
        <f>((SUMIFS($G$7:$G$24,$C$7:$C$24,"=6",$H$7:$H$24,"=17")))*($AC$22)</f>
        <v>0</v>
      </c>
      <c r="AI42" s="1173">
        <f>((SUMIFS($G$7:$G$24,$C$7:$C$24,"=7",$H$7:$H$24,"=17")))*($AC$22)</f>
        <v>0</v>
      </c>
      <c r="AJ42" s="1173">
        <f>((SUMIFS($G$7:$G$24,$C$7:$C$24,"=8",$H$7:$H$24,"=17")))*($AC$22)</f>
        <v>0</v>
      </c>
      <c r="AK42" s="1173">
        <f>((SUMIFS($G$7:$G$24,$C$7:$C$24,"=9",$H$7:$H$24,"=17")))*($AC$22)</f>
        <v>0</v>
      </c>
      <c r="AL42" s="1173">
        <f>((SUMIFS($G$7:$G$24,$C$7:$C$24,"=10",$H$7:$H$24,"=17")))*($AC$22)</f>
        <v>0</v>
      </c>
      <c r="AM42" s="1173">
        <f>((SUMIFS($G$7:$G$24,$C$7:$C$24,"=11",$H$7:$H$24,"=17")))*($AC$22)</f>
        <v>0</v>
      </c>
      <c r="AN42" s="1173">
        <f>((SUMIFS($G$7:$G$24,$C$7:$C$24,"=12",$H$7:$H$24,"=17")))*($AC$22)</f>
        <v>0</v>
      </c>
      <c r="AO42" s="1173">
        <f>((SUMIFS($G$7:$G$24,$C$7:$C$24,"=13",$H$7:$H$24,"=17")))*($AC$22)</f>
        <v>0</v>
      </c>
      <c r="AP42" s="1173">
        <f>((SUMIFS($G$7:$G$24,$C$7:$C$24,"=14",$H$7:$H$24,"=17")))*($AC$22)</f>
        <v>0</v>
      </c>
      <c r="AQ42" s="1173">
        <f>((SUMIFS($G$7:$G$24,$C$7:$C$24,"=15",$H$7:$H$24,"=17")))*($AC$22)</f>
        <v>0</v>
      </c>
      <c r="AR42" s="1173">
        <f>((SUMIFS($G$7:$G$24,$C$7:$C$24,"=16",$H$7:$H$24,"=17")))*($AC$22)</f>
        <v>0</v>
      </c>
      <c r="AS42" s="1173">
        <f>((SUMIFS($G$7:$G$24,$C$7:$C$24,"=17",$H$7:$H$24,"=17")))*($AC$22)</f>
        <v>0</v>
      </c>
      <c r="AT42" s="1173">
        <f>((SUMIFS($G$7:$G$24,$C$7:$C$24,"=18",$H$7:$H$24,"=17")))*($AC$22)</f>
        <v>0</v>
      </c>
      <c r="AU42" s="1173">
        <f>((SUMIFS($G$7:$G$24,$C$7:$C$24,"=19",$H$7:$H$24,"=17")))*($AC$22)</f>
        <v>0</v>
      </c>
      <c r="AV42" s="1173">
        <f>((SUMIFS($G$7:$G$24,$C$7:$C$24,"=20",$H$7:$H$24,"=17")))*($AC$22)</f>
        <v>0</v>
      </c>
      <c r="AW42" s="1173">
        <f>((SUMIFS($G$7:$G$24,$C$7:$C$24,"=21",$H$7:$H$24,"=17")))*($AC$22)</f>
        <v>0</v>
      </c>
    </row>
    <row r="43" spans="1:49" ht="15.75" customHeight="1" thickBot="1" x14ac:dyDescent="0.25">
      <c r="AB43" s="1181" t="str">
        <f t="shared" si="4"/>
        <v>Vaca (Engorda)</v>
      </c>
      <c r="AC43" s="1201"/>
      <c r="AD43" s="1174">
        <f>((SUMIFS($G$7:$G$24,$C$7:$C$24,"=2",$H$7:$H$24,"=18")))*($AC$23)</f>
        <v>0</v>
      </c>
      <c r="AE43" s="1174">
        <f>((SUMIFS($G$7:$G$24,$C$7:$C$24,"=3",$H$7:$H$24,"=18")))*($AC$23)</f>
        <v>0</v>
      </c>
      <c r="AF43" s="1174">
        <f>((SUMIFS($G$7:$G$24,$C$7:$C$24,"=4",$H$7:$H$24,"=18")))*($AC$23)</f>
        <v>0</v>
      </c>
      <c r="AG43" s="1174">
        <f>((SUMIFS($G$7:$G$24,$C$7:$C$24,"=5",$H$7:$H$24,"=18")))*($AC$23)</f>
        <v>0</v>
      </c>
      <c r="AH43" s="1174">
        <f>((SUMIFS($G$7:$G$24,$C$7:$C$24,"=6",$H$7:$H$24,"=18")))*($AC$23)</f>
        <v>0</v>
      </c>
      <c r="AI43" s="1174">
        <f>((SUMIFS($G$7:$G$24,$C$7:$C$24,"=7",$H$7:$H$24,"=18")))*($AC$23)</f>
        <v>0</v>
      </c>
      <c r="AJ43" s="1174">
        <f>((SUMIFS($G$7:$G$24,$C$7:$C$24,"=8",$H$7:$H$24,"=18")))*($AC$23)</f>
        <v>0</v>
      </c>
      <c r="AK43" s="1174">
        <f>((SUMIFS($G$7:$G$24,$C$7:$C$24,"=9",$H$7:$H$24,"=18")))*($AC$23)</f>
        <v>0</v>
      </c>
      <c r="AL43" s="1174">
        <f>((SUMIFS($G$7:$G$24,$C$7:$C$24,"=10",$H$7:$H$24,"=18")))*($AC$23)</f>
        <v>0</v>
      </c>
      <c r="AM43" s="1174">
        <f>((SUMIFS($G$7:$G$24,$C$7:$C$24,"=11",$H$7:$H$24,"=18")))*($AC$23)</f>
        <v>0</v>
      </c>
      <c r="AN43" s="1174">
        <f>((SUMIFS($G$7:$G$24,$C$7:$C$24,"=12",$H$7:$H$24,"=18")))*($AC$23)</f>
        <v>0</v>
      </c>
      <c r="AO43" s="1174">
        <f>((SUMIFS($G$7:$G$24,$C$7:$C$24,"=13",$H$7:$H$24,"=18")))*($AC$23)</f>
        <v>0</v>
      </c>
      <c r="AP43" s="1174">
        <f>((SUMIFS($G$7:$G$24,$C$7:$C$24,"=14",$H$7:$H$24,"=18")))*($AC$23)</f>
        <v>0</v>
      </c>
      <c r="AQ43" s="1174">
        <f>((SUMIFS($G$7:$G$24,$C$7:$C$24,"=15",$H$7:$H$24,"=18")))*($AC$23)</f>
        <v>0</v>
      </c>
      <c r="AR43" s="1174">
        <f>((SUMIFS($G$7:$G$24,$C$7:$C$24,"=16",$H$7:$H$24,"=18")))*($AC$23)</f>
        <v>0</v>
      </c>
      <c r="AS43" s="1174">
        <f>((SUMIFS($G$7:$G$24,$C$7:$C$24,"=17",$H$7:$H$24,"=18")))*($AC$23)</f>
        <v>0</v>
      </c>
      <c r="AT43" s="1174">
        <f>((SUMIFS($G$7:$G$24,$C$7:$C$24,"=18",$H$7:$H$24,"=18")))*($AC$23)</f>
        <v>0</v>
      </c>
      <c r="AU43" s="1174">
        <f>((SUMIFS($G$7:$G$24,$C$7:$C$24,"=19",$H$7:$H$24,"=18")))*($AC$23)</f>
        <v>0</v>
      </c>
      <c r="AV43" s="1174">
        <f>((SUMIFS($G$7:$G$24,$C$7:$C$24,"=20",$H$7:$H$24,"=18")))*($AC$23)</f>
        <v>0</v>
      </c>
      <c r="AW43" s="1174">
        <f>((SUMIFS($G$7:$G$24,$C$7:$C$24,"=21",$H$7:$H$24,"=18")))*($AC$23)</f>
        <v>0</v>
      </c>
    </row>
    <row r="44" spans="1:49" s="6" customFormat="1" ht="15.75" customHeight="1" thickBot="1" x14ac:dyDescent="0.3">
      <c r="D44" s="121"/>
      <c r="AC44" s="1200"/>
    </row>
    <row r="45" spans="1:49" ht="15.75" customHeight="1" thickBot="1" x14ac:dyDescent="0.25">
      <c r="AB45" s="2710"/>
      <c r="AC45" s="1197"/>
      <c r="AD45" s="2707" t="s">
        <v>1239</v>
      </c>
      <c r="AE45" s="2708"/>
      <c r="AF45" s="2708"/>
      <c r="AG45" s="2708"/>
      <c r="AH45" s="2708"/>
      <c r="AI45" s="2708"/>
      <c r="AJ45" s="2708"/>
      <c r="AK45" s="2708"/>
      <c r="AL45" s="2708"/>
      <c r="AM45" s="2708"/>
      <c r="AN45" s="2708"/>
      <c r="AO45" s="2708"/>
      <c r="AP45" s="2708"/>
      <c r="AQ45" s="2708"/>
      <c r="AR45" s="2708"/>
      <c r="AS45" s="2708"/>
      <c r="AT45" s="2708"/>
      <c r="AU45" s="2708"/>
      <c r="AV45" s="2708"/>
      <c r="AW45" s="2709"/>
    </row>
    <row r="46" spans="1:49" ht="15.75" customHeight="1" thickBot="1" x14ac:dyDescent="0.25">
      <c r="D46" s="91"/>
      <c r="E46" s="2698"/>
      <c r="F46" s="2698"/>
      <c r="G46" s="6"/>
      <c r="H46" s="89"/>
      <c r="I46" s="91"/>
      <c r="J46" s="89"/>
      <c r="K46" s="89"/>
      <c r="L46" s="6"/>
      <c r="AB46" s="2711"/>
      <c r="AC46" s="1196"/>
      <c r="AD46" s="1165" t="str">
        <f>AD6</f>
        <v>Soja</v>
      </c>
      <c r="AE46" s="1165" t="str">
        <f t="shared" ref="AE46:AW46" si="5">AE6</f>
        <v>Farelo Soja</v>
      </c>
      <c r="AF46" s="1165" t="str">
        <f t="shared" si="5"/>
        <v>Milho</v>
      </c>
      <c r="AG46" s="1165" t="str">
        <f t="shared" si="5"/>
        <v>Farelo Milho</v>
      </c>
      <c r="AH46" s="1165" t="str">
        <f t="shared" si="5"/>
        <v>Concentrado Comercial</v>
      </c>
      <c r="AI46" s="1165" t="str">
        <f t="shared" si="5"/>
        <v>Ração</v>
      </c>
      <c r="AJ46" s="1165" t="str">
        <f t="shared" si="5"/>
        <v>Ração</v>
      </c>
      <c r="AK46" s="1165" t="str">
        <f t="shared" si="5"/>
        <v>Caroço de algodão</v>
      </c>
      <c r="AL46" s="1165" t="str">
        <f t="shared" si="5"/>
        <v>Farelo de Trigo</v>
      </c>
      <c r="AM46" s="1165" t="str">
        <f t="shared" si="5"/>
        <v>Farelo de Arroz</v>
      </c>
      <c r="AN46" s="1165" t="str">
        <f t="shared" si="5"/>
        <v>Farelo de algodão</v>
      </c>
      <c r="AO46" s="1165" t="str">
        <f t="shared" si="5"/>
        <v>Resíduo de Cervejaria</v>
      </c>
      <c r="AP46" s="1165" t="str">
        <f t="shared" si="5"/>
        <v>Resíduo de mandioca</v>
      </c>
      <c r="AQ46" s="1165" t="str">
        <f t="shared" si="5"/>
        <v>Uréia</v>
      </c>
      <c r="AR46" s="1165" t="str">
        <f t="shared" si="5"/>
        <v xml:space="preserve">Concentrado Bezerro </v>
      </c>
      <c r="AS46" s="1165" t="str">
        <f t="shared" si="5"/>
        <v>Concentrado Bezerra</v>
      </c>
      <c r="AT46" s="1165" t="str">
        <f t="shared" si="5"/>
        <v>Cama de frango</v>
      </c>
      <c r="AU46" s="1165" t="str">
        <f t="shared" si="5"/>
        <v>Poupa cítrica</v>
      </c>
      <c r="AV46" s="1165">
        <f t="shared" si="5"/>
        <v>0</v>
      </c>
      <c r="AW46" s="1165">
        <f t="shared" si="5"/>
        <v>0</v>
      </c>
    </row>
    <row r="47" spans="1:49" ht="15.75" customHeight="1" x14ac:dyDescent="0.2">
      <c r="D47" s="6"/>
      <c r="E47" s="2697"/>
      <c r="F47" s="2697"/>
      <c r="G47" s="6"/>
      <c r="H47" s="6"/>
      <c r="I47" s="146"/>
      <c r="J47" s="145"/>
      <c r="K47" s="145"/>
      <c r="L47" s="6"/>
      <c r="AB47" s="1179" t="str">
        <f>AB7</f>
        <v>Bezerro em aleitamento</v>
      </c>
      <c r="AC47" s="1202"/>
      <c r="AD47" s="1175">
        <f>((SUMIFS($L$7:$L$24,$C$7:$C$24,"=2",$H$7:$H$24,"=2"))*($AC$7))</f>
        <v>0</v>
      </c>
      <c r="AE47" s="1175">
        <f>((SUMIFS($L$7:$L$24,$C$7:$C$24,"=3",$H$7:$H$24,"=2"))*($AC$7))</f>
        <v>0</v>
      </c>
      <c r="AF47" s="1175">
        <f>((SUMIFS($L$7:$L$24,$C$7:$C$24,"=4",$H$7:$H$24,"=2"))*($AC$7))</f>
        <v>0</v>
      </c>
      <c r="AG47" s="1175">
        <f>((SUMIFS($L$7:$L$24,$C$7:$C$24,"=5",$H$7:$H$24,"=2"))*($AC$7))</f>
        <v>0</v>
      </c>
      <c r="AH47" s="1175">
        <f>((SUMIFS($L$7:$L$24,$C$7:$C$24,"=6",$H$7:$H$24,"=2"))*($AC$7))</f>
        <v>0</v>
      </c>
      <c r="AI47" s="1175">
        <f>((SUMIFS($L$7:$L$24,$C$7:$C$24,"=7",$H$7:$H$24,"=2"))*($AC$7))</f>
        <v>0</v>
      </c>
      <c r="AJ47" s="1175">
        <f>((SUMIFS($L$7:$L$24,$C$7:$C$24,"=8",$H$7:$H$24,"=2"))*($AC$7))</f>
        <v>0</v>
      </c>
      <c r="AK47" s="1175">
        <f>((SUMIFS($L$7:$L$24,$C$7:$C$24,"=9",$H$7:$H$24,"=2"))*($AC$7))</f>
        <v>0</v>
      </c>
      <c r="AL47" s="1175">
        <f>((SUMIFS($L$7:$L$24,$C$7:$C$24,"=10",$H$7:$H$24,"=2"))*($AC$7))</f>
        <v>0</v>
      </c>
      <c r="AM47" s="1175">
        <f>((SUMIFS($L$7:$L$24,$C$7:$C$24,"=11",$H$7:$H$24,"=2"))*($AC$7))</f>
        <v>0</v>
      </c>
      <c r="AN47" s="1175">
        <f>((SUMIFS($L$7:$L$24,$C$7:$C$24,"=12",$H$7:$H$24,"=2"))*($AC$7))</f>
        <v>0</v>
      </c>
      <c r="AO47" s="1175">
        <f>((SUMIFS($L$7:$L$24,$C$7:$C$24,"=13",$H$7:$H$24,"=2"))*($AC$7))</f>
        <v>0</v>
      </c>
      <c r="AP47" s="1175">
        <f>((SUMIFS($L$7:$L$24,$C$7:$C$24,"=14",$H$7:$H$24,"=2"))*($AC$7))</f>
        <v>0</v>
      </c>
      <c r="AQ47" s="1175">
        <f>((SUMIFS($L$7:$L$24,$C$7:$C$24,"=15",$H$7:$H$24,"=2"))*($AC$7))</f>
        <v>0</v>
      </c>
      <c r="AR47" s="1175">
        <f>((SUMIFS($L$7:$L$24,$C$7:$C$24,"=16",$H$7:$H$24,"=2"))*($AC$7))</f>
        <v>0</v>
      </c>
      <c r="AS47" s="1175">
        <f>((SUMIFS($L$7:$L$24,$C$7:$C$24,"=17",$H$7:$H$24,"=2"))*($AC$7))</f>
        <v>0</v>
      </c>
      <c r="AT47" s="1175">
        <f>((SUMIFS($L$7:$L$24,$C$7:$C$24,"=18",$H$7:$H$24,"=2"))*($AC$7))</f>
        <v>0</v>
      </c>
      <c r="AU47" s="1175">
        <f>((SUMIFS($L$7:$L$24,$C$7:$C$24,"=19",$H$7:$H$24,"=2"))*($AC$7))</f>
        <v>0</v>
      </c>
      <c r="AV47" s="1175">
        <f>((SUMIFS($L$7:$L$24,$C$7:$C$24,"=20",$H$7:$H$24,"=2"))*($AC$7))</f>
        <v>0</v>
      </c>
      <c r="AW47" s="1175">
        <f>((SUMIFS($L$7:$L$24,$C$7:$C$24,"=21",$H$7:$H$24,"=2"))*($AC$7))</f>
        <v>0</v>
      </c>
    </row>
    <row r="48" spans="1:49" ht="15.75" customHeight="1" x14ac:dyDescent="0.2">
      <c r="D48" s="6"/>
      <c r="E48" s="2697"/>
      <c r="F48" s="2697"/>
      <c r="G48" s="6"/>
      <c r="H48" s="6"/>
      <c r="I48" s="6"/>
      <c r="J48" s="6"/>
      <c r="K48" s="6"/>
      <c r="L48" s="6"/>
      <c r="AB48" s="1160" t="str">
        <f t="shared" ref="AB48:AB63" si="6">AB8</f>
        <v>Bezerro Desmamados</v>
      </c>
      <c r="AC48" s="1198"/>
      <c r="AD48" s="1176">
        <f>((SUMIFS($L$7:$L$24,$C$7:$C$24,"=2",$H$7:$H$24,"=3")))*($AC$8)</f>
        <v>0</v>
      </c>
      <c r="AE48" s="1176">
        <f>((SUMIFS($L$7:$L$24,$C$7:$C$24,"=3",$H$7:$H$24,"=3")))*($AC$8)</f>
        <v>0</v>
      </c>
      <c r="AF48" s="1176">
        <f>((SUMIFS($L$7:$L$24,$C$7:$C$24,"=4",$H$7:$H$24,"=3")))*($AC$8)</f>
        <v>0</v>
      </c>
      <c r="AG48" s="1176">
        <f>((SUMIFS($L$7:$L$24,$C$7:$C$24,"=5",$H$7:$H$24,"=3")))*($AC$8)</f>
        <v>0</v>
      </c>
      <c r="AH48" s="1176">
        <f>((SUMIFS($L$7:$L$24,$C$7:$C$24,"=6",$H$7:$H$24,"=3")))*($AC$8)</f>
        <v>0</v>
      </c>
      <c r="AI48" s="1176">
        <f>((SUMIFS($L$7:$L$24,$C$7:$C$24,"=7",$H$7:$H$24,"=3")))*($AC$8)</f>
        <v>0</v>
      </c>
      <c r="AJ48" s="1176">
        <f>((SUMIFS($L$7:$L$24,$C$7:$C$24,"=8",$H$7:$H$24,"=3")))*($AC$8)</f>
        <v>0</v>
      </c>
      <c r="AK48" s="1176">
        <f>((SUMIFS($L$7:$L$24,$C$7:$C$24,"=9",$H$7:$H$24,"=3")))*($AC$8)</f>
        <v>0</v>
      </c>
      <c r="AL48" s="1176">
        <f>((SUMIFS($L$7:$L$24,$C$7:$C$24,"=10",$H$7:$H$24,"=3")))*($AC$8)</f>
        <v>0</v>
      </c>
      <c r="AM48" s="1176">
        <f>((SUMIFS($L$7:$L$24,$C$7:$C$24,"=11",$H$7:$H$24,"=3")))*($AC$8)</f>
        <v>0</v>
      </c>
      <c r="AN48" s="1176">
        <f>((SUMIFS($L$7:$L$24,$C$7:$C$24,"=12",$H$7:$H$24,"=3")))*($AC$8)</f>
        <v>0</v>
      </c>
      <c r="AO48" s="1176">
        <f>((SUMIFS($L$7:$L$24,$C$7:$C$24,"=13",$H$7:$H$24,"=3")))*($AC$8)</f>
        <v>0</v>
      </c>
      <c r="AP48" s="1176">
        <f>((SUMIFS($L$7:$L$24,$C$7:$C$24,"=14",$H$7:$H$24,"=3")))*($AC$8)</f>
        <v>0</v>
      </c>
      <c r="AQ48" s="1176">
        <f>((SUMIFS($L$7:$L$24,$C$7:$C$24,"=15",$H$7:$H$24,"=3")))*($AC$8)</f>
        <v>0</v>
      </c>
      <c r="AR48" s="1176">
        <f>((SUMIFS($L$7:$L$24,$C$7:$C$24,"=16",$H$7:$H$24,"=3")))*($AC$8)</f>
        <v>0</v>
      </c>
      <c r="AS48" s="1176">
        <f>((SUMIFS($L$7:$L$24,$C$7:$C$24,"=17",$H$7:$H$24,"=3")))*($AC$8)</f>
        <v>0</v>
      </c>
      <c r="AT48" s="1176">
        <f>((SUMIFS($L$7:$L$24,$C$7:$C$24,"=18",$H$7:$H$24,"=3")))*($AC$8)</f>
        <v>0</v>
      </c>
      <c r="AU48" s="1176">
        <f>((SUMIFS($L$7:$L$24,$C$7:$C$24,"=19",$H$7:$H$24,"=3")))*($AC$8)</f>
        <v>0</v>
      </c>
      <c r="AV48" s="1176">
        <f>((SUMIFS($L$7:$L$24,$C$7:$C$24,"=20",$H$7:$H$24,"=3")))*($AC$8)</f>
        <v>0</v>
      </c>
      <c r="AW48" s="1176">
        <f>((SUMIFS($L$7:$L$24,$C$7:$C$24,"=21",$H$7:$H$24,"=3")))*($AC$8)</f>
        <v>0</v>
      </c>
    </row>
    <row r="49" spans="4:49" ht="15.75" customHeight="1" x14ac:dyDescent="0.2">
      <c r="D49" s="6"/>
      <c r="E49" s="2697"/>
      <c r="F49" s="2697"/>
      <c r="G49" s="6"/>
      <c r="H49" s="6"/>
      <c r="I49" s="6"/>
      <c r="J49" s="6"/>
      <c r="K49" s="6"/>
      <c r="L49" s="6"/>
      <c r="AB49" s="1160" t="str">
        <f t="shared" si="6"/>
        <v>Garrotes</v>
      </c>
      <c r="AC49" s="1198"/>
      <c r="AD49" s="1176">
        <f>((SUMIFS($L$7:$L$24,$C$7:$C$24,"=2",$H$7:$H$24,"=4")))*($AC$9)</f>
        <v>0</v>
      </c>
      <c r="AE49" s="1176">
        <f>((SUMIFS($L$7:$L$24,$C$7:$C$24,"=3",$H$7:$H$24,"=4")))*($AC$9)</f>
        <v>0</v>
      </c>
      <c r="AF49" s="1176">
        <f>((SUMIFS($L$7:$L$24,$C$7:$C$24,"=4",$H$7:$H$24,"=4")))*($AC$9)</f>
        <v>0</v>
      </c>
      <c r="AG49" s="1176">
        <f>((SUMIFS($L$7:$L$24,$C$7:$C$24,"=5",$H$7:$H$24,"=4")))*($AC$9)</f>
        <v>0</v>
      </c>
      <c r="AH49" s="1176">
        <f>((SUMIFS($L$7:$L$24,$C$7:$C$24,"=6",$H$7:$H$24,"=4")))*($AC$9)</f>
        <v>0</v>
      </c>
      <c r="AI49" s="1176">
        <f>((SUMIFS($L$7:$L$24,$C$7:$C$24,"=7",$H$7:$H$24,"=4")))*($AC$9)</f>
        <v>0</v>
      </c>
      <c r="AJ49" s="1176">
        <f>((SUMIFS($L$7:$L$24,$C$7:$C$24,"=8",$H$7:$H$24,"=4")))*($AC$9)</f>
        <v>0</v>
      </c>
      <c r="AK49" s="1176">
        <f>((SUMIFS($L$7:$L$24,$C$7:$C$24,"=9",$H$7:$H$24,"=4")))*($AC$9)</f>
        <v>0</v>
      </c>
      <c r="AL49" s="1176">
        <f>((SUMIFS($L$7:$L$24,$C$7:$C$24,"=10",$H$7:$H$24,"=4")))*($AC$9)</f>
        <v>0</v>
      </c>
      <c r="AM49" s="1176">
        <f>((SUMIFS($L$7:$L$24,$C$7:$C$24,"=11",$H$7:$H$24,"=4")))*($AC$9)</f>
        <v>0</v>
      </c>
      <c r="AN49" s="1176">
        <f>((SUMIFS($L$7:$L$24,$C$7:$C$24,"=12",$H$7:$H$24,"=4")))*($AC$9)</f>
        <v>0</v>
      </c>
      <c r="AO49" s="1176">
        <f>((SUMIFS($L$7:$L$24,$C$7:$C$24,"=13",$H$7:$H$24,"=4")))*($AC$9)</f>
        <v>0</v>
      </c>
      <c r="AP49" s="1176">
        <f>((SUMIFS($L$7:$L$24,$C$7:$C$24,"=14",$H$7:$H$24,"=4")))*($AC$9)</f>
        <v>0</v>
      </c>
      <c r="AQ49" s="1176">
        <f>((SUMIFS($L$7:$L$24,$C$7:$C$24,"=15",$H$7:$H$24,"=4")))*($AC$9)</f>
        <v>0</v>
      </c>
      <c r="AR49" s="1176">
        <f>((SUMIFS($L$7:$L$24,$C$7:$C$24,"=16",$H$7:$H$24,"=4")))*($AC$9)</f>
        <v>0</v>
      </c>
      <c r="AS49" s="1176">
        <f>((SUMIFS($L$7:$L$24,$C$7:$C$24,"=17",$H$7:$H$24,"=4")))*($AC$9)</f>
        <v>0</v>
      </c>
      <c r="AT49" s="1176">
        <f>((SUMIFS($L$7:$L$24,$C$7:$C$24,"=18",$H$7:$H$24,"=4")))*($AC$9)</f>
        <v>0</v>
      </c>
      <c r="AU49" s="1176">
        <f>((SUMIFS($L$7:$L$24,$C$7:$C$24,"=19",$H$7:$H$24,"=4")))*($AC$9)</f>
        <v>0</v>
      </c>
      <c r="AV49" s="1176">
        <f>((SUMIFS($L$7:$L$24,$C$7:$C$24,"=20",$H$7:$H$24,"=4")))*($AC$9)</f>
        <v>0</v>
      </c>
      <c r="AW49" s="1176">
        <f>((SUMIFS($L$7:$L$24,$C$7:$C$24,"=21",$H$7:$H$24,"=4")))*($AC$9)</f>
        <v>0</v>
      </c>
    </row>
    <row r="50" spans="4:49" ht="15.75" customHeight="1" x14ac:dyDescent="0.2">
      <c r="D50" s="6"/>
      <c r="E50" s="2697"/>
      <c r="F50" s="2697"/>
      <c r="G50" s="6"/>
      <c r="H50" s="6"/>
      <c r="I50" s="6"/>
      <c r="J50" s="6"/>
      <c r="K50" s="6"/>
      <c r="L50" s="6"/>
      <c r="AB50" s="1160" t="str">
        <f t="shared" si="6"/>
        <v>Boi magro</v>
      </c>
      <c r="AC50" s="1198"/>
      <c r="AD50" s="1176">
        <f>((SUMIFS($L$7:$L$24,$C$7:$C$24,"=2",$H$7:$H$24,"=5")))*($AC$10)</f>
        <v>0</v>
      </c>
      <c r="AE50" s="1176">
        <f>((SUMIFS($L$7:$L$24,$C$7:$C$24,"=3",$H$7:$H$24,"=5")))*($AC$10)</f>
        <v>0</v>
      </c>
      <c r="AF50" s="1176">
        <f>((SUMIFS($L$7:$L$24,$C$7:$C$24,"=4",$H$7:$H$24,"=5")))*($AC$10)</f>
        <v>0</v>
      </c>
      <c r="AG50" s="1176">
        <f>((SUMIFS($L$7:$L$24,$C$7:$C$24,"=5",$H$7:$H$24,"=5")))*($AC$10)</f>
        <v>0</v>
      </c>
      <c r="AH50" s="1176">
        <f>((SUMIFS($L$7:$L$24,$C$7:$C$24,"=6",$H$7:$H$24,"=5")))*($AC$10)</f>
        <v>0</v>
      </c>
      <c r="AI50" s="1176">
        <f>((SUMIFS($L$7:$L$24,$C$7:$C$24,"=7",$H$7:$H$24,"=5")))*($AC$10)</f>
        <v>0</v>
      </c>
      <c r="AJ50" s="1176">
        <f>((SUMIFS($L$7:$L$24,$C$7:$C$24,"=8",$H$7:$H$24,"=5")))*($AC$10)</f>
        <v>0</v>
      </c>
      <c r="AK50" s="1176">
        <f>((SUMIFS($L$7:$L$24,$C$7:$C$24,"=9",$H$7:$H$24,"=5")))*($AC$10)</f>
        <v>0</v>
      </c>
      <c r="AL50" s="1176">
        <f>((SUMIFS($L$7:$L$24,$C$7:$C$24,"=10",$H$7:$H$24,"=5")))*($AC$10)</f>
        <v>0</v>
      </c>
      <c r="AM50" s="1176">
        <f>((SUMIFS($L$7:$L$24,$C$7:$C$24,"=11",$H$7:$H$24,"=5")))*($AC$10)</f>
        <v>0</v>
      </c>
      <c r="AN50" s="1176">
        <f>((SUMIFS($L$7:$L$24,$C$7:$C$24,"=12",$H$7:$H$24,"=5")))*($AC$10)</f>
        <v>0</v>
      </c>
      <c r="AO50" s="1176">
        <f>((SUMIFS($L$7:$L$24,$C$7:$C$24,"=13",$H$7:$H$24,"=5")))*($AC$10)</f>
        <v>0</v>
      </c>
      <c r="AP50" s="1176">
        <f>((SUMIFS($L$7:$L$24,$C$7:$C$24,"=14",$H$7:$H$24,"=5")))*($AC$10)</f>
        <v>0</v>
      </c>
      <c r="AQ50" s="1176">
        <f>((SUMIFS($L$7:$L$24,$C$7:$C$24,"=15",$H$7:$H$24,"=5")))*($AC$10)</f>
        <v>0</v>
      </c>
      <c r="AR50" s="1176">
        <f>((SUMIFS($L$7:$L$24,$C$7:$C$24,"=16",$H$7:$H$24,"=5")))*($AC$10)</f>
        <v>0</v>
      </c>
      <c r="AS50" s="1176">
        <f>((SUMIFS($L$7:$L$24,$C$7:$C$24,"=17",$H$7:$H$24,"=5")))*($AC$10)</f>
        <v>0</v>
      </c>
      <c r="AT50" s="1176">
        <f>((SUMIFS($L$7:$L$24,$C$7:$C$24,"=18",$H$7:$H$24,"=5")))*($AC$10)</f>
        <v>0</v>
      </c>
      <c r="AU50" s="1176">
        <f>((SUMIFS($L$7:$L$24,$C$7:$C$24,"=19",$H$7:$H$24,"=5")))*($AC$10)</f>
        <v>0</v>
      </c>
      <c r="AV50" s="1176">
        <f>((SUMIFS($L$7:$L$24,$C$7:$C$24,"=20",$H$7:$H$24,"=5")))*($AC$10)</f>
        <v>0</v>
      </c>
      <c r="AW50" s="1176">
        <f>((SUMIFS($L$7:$L$24,$C$7:$C$24,"=21",$H$7:$H$24,"=5")))*($AC$10)</f>
        <v>0</v>
      </c>
    </row>
    <row r="51" spans="4:49" ht="15.75" customHeight="1" x14ac:dyDescent="0.2">
      <c r="D51" s="6"/>
      <c r="E51" s="6"/>
      <c r="F51" s="6"/>
      <c r="G51" s="6"/>
      <c r="H51" s="6"/>
      <c r="I51" s="6"/>
      <c r="J51" s="6"/>
      <c r="K51" s="6"/>
      <c r="L51" s="6"/>
      <c r="AB51" s="1160" t="str">
        <f t="shared" si="6"/>
        <v>Boi gordo</v>
      </c>
      <c r="AC51" s="1198"/>
      <c r="AD51" s="1176">
        <f>((SUMIFS($L$7:$L$24,$C$7:$C$24,"=2",$H$7:$H$24,"=6")))*($AC$11)</f>
        <v>0</v>
      </c>
      <c r="AE51" s="1176">
        <f>((SUMIFS($L$7:$L$24,$C$7:$C$24,"=3",$H$7:$H$24,"=6")))*($AC$11)</f>
        <v>0</v>
      </c>
      <c r="AF51" s="1176">
        <f>((SUMIFS($L$7:$L$24,$C$7:$C$24,"=4",$H$7:$H$24,"=6")))*($AC$11)</f>
        <v>0</v>
      </c>
      <c r="AG51" s="1176">
        <f>((SUMIFS($L$7:$L$24,$C$7:$C$24,"=5",$H$7:$H$24,"=6")))*($AC$11)</f>
        <v>0</v>
      </c>
      <c r="AH51" s="1176">
        <f>((SUMIFS($L$7:$L$24,$C$7:$C$24,"=6",$H$7:$H$24,"=6")))*($AC$11)</f>
        <v>0</v>
      </c>
      <c r="AI51" s="1176">
        <f>((SUMIFS($L$7:$L$24,$C$7:$C$24,"=7",$H$7:$H$24,"=6")))*($AC$11)</f>
        <v>0</v>
      </c>
      <c r="AJ51" s="1176">
        <f>((SUMIFS($L$7:$L$24,$C$7:$C$24,"=8",$H$7:$H$24,"=6")))*($AC$11)</f>
        <v>3</v>
      </c>
      <c r="AK51" s="1176">
        <f>((SUMIFS($L$7:$L$24,$C$7:$C$24,"=9",$H$7:$H$24,"=6")))*($AC$11)</f>
        <v>0</v>
      </c>
      <c r="AL51" s="1176">
        <f>((SUMIFS($L$7:$L$24,$C$7:$C$24,"=10",$H$7:$H$24,"=6")))*($AC$11)</f>
        <v>0</v>
      </c>
      <c r="AM51" s="1176">
        <f>((SUMIFS($L$7:$L$24,$C$7:$C$24,"=11",$H$7:$H$24,"=6")))*($AC$11)</f>
        <v>0</v>
      </c>
      <c r="AN51" s="1176">
        <f>((SUMIFS($L$7:$L$24,$C$7:$C$24,"=12",$H$7:$H$24,"=6")))*($AC$11)</f>
        <v>0</v>
      </c>
      <c r="AO51" s="1176">
        <f>((SUMIFS($L$7:$L$24,$C$7:$C$24,"=13",$H$7:$H$24,"=6")))*($AC$11)</f>
        <v>0</v>
      </c>
      <c r="AP51" s="1176">
        <f>((SUMIFS($L$7:$L$24,$C$7:$C$24,"=14",$H$7:$H$24,"=6")))*($AC$11)</f>
        <v>0</v>
      </c>
      <c r="AQ51" s="1176">
        <f>((SUMIFS($L$7:$L$24,$C$7:$C$24,"=15",$H$7:$H$24,"=6")))*($AC$11)</f>
        <v>0</v>
      </c>
      <c r="AR51" s="1176">
        <f>((SUMIFS($L$7:$L$24,$C$7:$C$24,"=16",$H$7:$H$24,"=6")))*($AC$11)</f>
        <v>0</v>
      </c>
      <c r="AS51" s="1176">
        <f>((SUMIFS($L$7:$L$24,$C$7:$C$24,"=17",$H$7:$H$24,"=6")))*($AC$11)</f>
        <v>0</v>
      </c>
      <c r="AT51" s="1176">
        <f>((SUMIFS($L$7:$L$24,$C$7:$C$24,"=18",$H$7:$H$24,"=6")))*($AC$11)</f>
        <v>0</v>
      </c>
      <c r="AU51" s="1176">
        <f>((SUMIFS($L$7:$L$24,$C$7:$C$24,"=19",$H$7:$H$24,"=6")))*($AC$11)</f>
        <v>0</v>
      </c>
      <c r="AV51" s="1176">
        <f>((SUMIFS($L$7:$L$24,$C$7:$C$24,"=20",$H$7:$H$24,"=6")))*($AC$11)</f>
        <v>0</v>
      </c>
      <c r="AW51" s="1176">
        <f>((SUMIFS($L$7:$L$24,$C$7:$C$24,"=21",$H$7:$H$24,"=6")))*($AC$11)</f>
        <v>0</v>
      </c>
    </row>
    <row r="52" spans="4:49" ht="15.75" customHeight="1" x14ac:dyDescent="0.2">
      <c r="AB52" s="1160" t="str">
        <f t="shared" si="6"/>
        <v>Touro</v>
      </c>
      <c r="AC52" s="1198"/>
      <c r="AD52" s="1176">
        <f>((SUMIFS($L$7:$L$24,$C$7:$C$24,"=2",$H$7:$H$24,"=7")))*($AC$12)</f>
        <v>0</v>
      </c>
      <c r="AE52" s="1176">
        <f>((SUMIFS($L$7:$L$24,$C$7:$C$24,"=3",$H$7:$H$24,"=7")))*($AC$12)</f>
        <v>0</v>
      </c>
      <c r="AF52" s="1176">
        <f>((SUMIFS($L$7:$L$24,$C$7:$C$24,"=4",$H$7:$H$24,"=7")))*($AC$12)</f>
        <v>0</v>
      </c>
      <c r="AG52" s="1176">
        <f>((SUMIFS($L$7:$L$24,$C$7:$C$24,"=5",$H$7:$H$24,"=7")))*($AC$12)</f>
        <v>0</v>
      </c>
      <c r="AH52" s="1176">
        <f>((SUMIFS($L$7:$L$24,$C$7:$C$24,"=6",$H$7:$H$24,"=7")))*($AC$12)</f>
        <v>0</v>
      </c>
      <c r="AI52" s="1176">
        <f>((SUMIFS($L$7:$L$24,$C$7:$C$24,"=7",$H$7:$H$24,"=7")))*($AC$12)</f>
        <v>0</v>
      </c>
      <c r="AJ52" s="1176">
        <f>((SUMIFS($L$7:$L$24,$C$7:$C$24,"=8",$H$7:$H$24,"=7")))*($AC$12)</f>
        <v>0</v>
      </c>
      <c r="AK52" s="1176">
        <f>((SUMIFS($L$7:$L$24,$C$7:$C$24,"=9",$H$7:$H$24,"=7")))*($AC$12)</f>
        <v>0</v>
      </c>
      <c r="AL52" s="1176">
        <f>((SUMIFS($L$7:$L$24,$C$7:$C$24,"=10",$H$7:$H$24,"=7")))*($AC$12)</f>
        <v>0</v>
      </c>
      <c r="AM52" s="1176">
        <f>((SUMIFS($L$7:$L$24,$C$7:$C$24,"=11",$H$7:$H$24,"=7")))*($AC$12)</f>
        <v>0</v>
      </c>
      <c r="AN52" s="1176">
        <f>((SUMIFS($L$7:$L$24,$C$7:$C$24,"=12",$H$7:$H$24,"=7")))*($AC$12)</f>
        <v>0</v>
      </c>
      <c r="AO52" s="1176">
        <f>((SUMIFS($L$7:$L$24,$C$7:$C$24,"=13",$H$7:$H$24,"=7")))*($AC$12)</f>
        <v>0</v>
      </c>
      <c r="AP52" s="1176">
        <f>((SUMIFS($L$7:$L$24,$C$7:$C$24,"=14",$H$7:$H$24,"=7")))*($AC$12)</f>
        <v>0</v>
      </c>
      <c r="AQ52" s="1176">
        <f>((SUMIFS($L$7:$L$24,$C$7:$C$24,"=15",$H$7:$H$24,"=7")))*($AC$12)</f>
        <v>0</v>
      </c>
      <c r="AR52" s="1176">
        <f>((SUMIFS($L$7:$L$24,$C$7:$C$24,"=16",$H$7:$H$24,"=7")))*($AC$12)</f>
        <v>0</v>
      </c>
      <c r="AS52" s="1176">
        <f>((SUMIFS($L$7:$L$24,$C$7:$C$24,"=17",$H$7:$H$24,"=7")))*($AC$12)</f>
        <v>0</v>
      </c>
      <c r="AT52" s="1176">
        <f>((SUMIFS($L$7:$L$24,$C$7:$C$24,"=18",$H$7:$H$24,"=7")))*($AC$12)</f>
        <v>0</v>
      </c>
      <c r="AU52" s="1176">
        <f>((SUMIFS($L$7:$L$24,$C$7:$C$24,"=19",$H$7:$H$24,"=7")))*($AC$12)</f>
        <v>0</v>
      </c>
      <c r="AV52" s="1176">
        <f>((SUMIFS($L$7:$L$24,$C$7:$C$24,"=20",$H$7:$H$24,"=7")))*($AC$12)</f>
        <v>0</v>
      </c>
      <c r="AW52" s="1176">
        <f>((SUMIFS($L$7:$L$24,$C$7:$C$24,"=21",$H$7:$H$24,"=7")))*($AC$12)</f>
        <v>0</v>
      </c>
    </row>
    <row r="53" spans="4:49" ht="15.75" customHeight="1" x14ac:dyDescent="0.2">
      <c r="AB53" s="1160" t="str">
        <f t="shared" si="6"/>
        <v>Bezerras em aleitamento</v>
      </c>
      <c r="AC53" s="1198"/>
      <c r="AD53" s="1176">
        <f>((SUMIFS($L$7:$L$24,$C$7:$C$24,"=2",$H$7:$H$24,"=8")))*($AC$13)</f>
        <v>0</v>
      </c>
      <c r="AE53" s="1176">
        <f>((SUMIFS($L$7:$L$24,$C$7:$C$24,"=3",$H$7:$H$24,"=8")))*($AC$13)</f>
        <v>0</v>
      </c>
      <c r="AF53" s="1176">
        <f>((SUMIFS($L$7:$L$24,$C$7:$C$24,"=4",$H$7:$H$24,"=8")))*($AC$13)</f>
        <v>0</v>
      </c>
      <c r="AG53" s="1176">
        <f>((SUMIFS($L$7:$L$24,$C$7:$C$24,"=5",$H$7:$H$24,"=8")))*($AC$13)</f>
        <v>0</v>
      </c>
      <c r="AH53" s="1176">
        <f>((SUMIFS($L$7:$L$24,$C$7:$C$24,"=6",$H$7:$H$24,"=8")))*($AC$13)</f>
        <v>0</v>
      </c>
      <c r="AI53" s="1176">
        <f>((SUMIFS($L$7:$L$24,$C$7:$C$24,"=7",$H$7:$H$24,"=8")))*($AC$13)</f>
        <v>0</v>
      </c>
      <c r="AJ53" s="1176">
        <f>((SUMIFS($L$7:$L$24,$C$7:$C$24,"=8",$H$7:$H$24,"=8")))*($AC$13)</f>
        <v>0</v>
      </c>
      <c r="AK53" s="1176">
        <f>((SUMIFS($L$7:$L$24,$C$7:$C$24,"=9",$H$7:$H$24,"=8")))*($AC$13)</f>
        <v>0</v>
      </c>
      <c r="AL53" s="1176">
        <f>((SUMIFS($L$7:$L$24,$C$7:$C$24,"=10",$H$7:$H$24,"=8")))*($AC$13)</f>
        <v>0</v>
      </c>
      <c r="AM53" s="1176">
        <f>((SUMIFS($L$7:$L$24,$C$7:$C$24,"=11",$H$7:$H$24,"=8")))*($AC$13)</f>
        <v>0</v>
      </c>
      <c r="AN53" s="1176">
        <f>((SUMIFS($L$7:$L$24,$C$7:$C$24,"=12",$H$7:$H$24,"=8")))*($AC$13)</f>
        <v>0</v>
      </c>
      <c r="AO53" s="1176">
        <f>((SUMIFS($L$7:$L$24,$C$7:$C$24,"=13",$H$7:$H$24,"=8")))*($AC$13)</f>
        <v>0</v>
      </c>
      <c r="AP53" s="1176">
        <f>((SUMIFS($L$7:$L$24,$C$7:$C$24,"=14",$H$7:$H$24,"=8")))*($AC$13)</f>
        <v>0</v>
      </c>
      <c r="AQ53" s="1176">
        <f>((SUMIFS($L$7:$L$24,$C$7:$C$24,"=15",$H$7:$H$24,"=8")))*($AC$13)</f>
        <v>0</v>
      </c>
      <c r="AR53" s="1176">
        <f>((SUMIFS($L$7:$L$24,$C$7:$C$24,"=16",$H$7:$H$24,"=8")))*($AC$13)</f>
        <v>0</v>
      </c>
      <c r="AS53" s="1176">
        <f>((SUMIFS($L$7:$L$24,$C$7:$C$24,"=17",$H$7:$H$24,"=8")))*($AC$13)</f>
        <v>0</v>
      </c>
      <c r="AT53" s="1176">
        <f>((SUMIFS($L$7:$L$24,$C$7:$C$24,"=18",$H$7:$H$24,"=8")))*($AC$13)</f>
        <v>0</v>
      </c>
      <c r="AU53" s="1176">
        <f>((SUMIFS($L$7:$L$24,$C$7:$C$24,"=19",$H$7:$H$24,"=8")))*($AC$13)</f>
        <v>0</v>
      </c>
      <c r="AV53" s="1176">
        <f>((SUMIFS($L$7:$L$24,$C$7:$C$24,"=20",$H$7:$H$24,"=8")))*($AC$13)</f>
        <v>0</v>
      </c>
      <c r="AW53" s="1176">
        <f>((SUMIFS($L$7:$L$24,$C$7:$C$24,"=21",$H$7:$H$24,"=8")))*($AC$13)</f>
        <v>0</v>
      </c>
    </row>
    <row r="54" spans="4:49" ht="15.75" customHeight="1" x14ac:dyDescent="0.2">
      <c r="AB54" s="1160" t="str">
        <f t="shared" si="6"/>
        <v>Bezerras desmamadas</v>
      </c>
      <c r="AC54" s="1198"/>
      <c r="AD54" s="1176">
        <f>((SUMIFS($L$7:$L$24,$C$7:$C$24,"=2",$H$7:$H$24,"=9")))*($AC$14)</f>
        <v>0</v>
      </c>
      <c r="AE54" s="1176">
        <f>((SUMIFS($L$7:$L$24,$C$7:$C$24,"=3",$H$7:$H$24,"=9")))*($AC$14)</f>
        <v>0</v>
      </c>
      <c r="AF54" s="1176">
        <f>((SUMIFS($L$7:$L$24,$C$7:$C$24,"=4",$H$7:$H$24,"=9")))*($AC$14)</f>
        <v>0</v>
      </c>
      <c r="AG54" s="1176">
        <f>((SUMIFS($L$7:$L$24,$C$7:$C$24,"=5",$H$7:$H$24,"=9")))*($AC$14)</f>
        <v>0</v>
      </c>
      <c r="AH54" s="1176">
        <f>((SUMIFS($L$7:$L$24,$C$7:$C$24,"=6",$H$7:$H$24,"=9")))*($AC$14)</f>
        <v>0</v>
      </c>
      <c r="AI54" s="1176">
        <f>((SUMIFS($L$7:$L$24,$C$7:$C$24,"=7",$H$7:$H$24,"=9")))*($AC$14)</f>
        <v>0</v>
      </c>
      <c r="AJ54" s="1176">
        <f>((SUMIFS($L$7:$L$24,$C$7:$C$24,"=8",$H$7:$H$24,"=9")))*($AC$14)</f>
        <v>0</v>
      </c>
      <c r="AK54" s="1176">
        <f>((SUMIFS($L$7:$L$24,$C$7:$C$24,"=9",$H$7:$H$24,"=9")))*($AC$14)</f>
        <v>0</v>
      </c>
      <c r="AL54" s="1176">
        <f>((SUMIFS($L$7:$L$24,$C$7:$C$24,"=10",$H$7:$H$24,"=9")))*($AC$14)</f>
        <v>0</v>
      </c>
      <c r="AM54" s="1176">
        <f>((SUMIFS($L$7:$L$24,$C$7:$C$24,"=11",$H$7:$H$24,"=9")))*($AC$14)</f>
        <v>0</v>
      </c>
      <c r="AN54" s="1176">
        <f>((SUMIFS($L$7:$L$24,$C$7:$C$24,"=12",$H$7:$H$24,"=9")))*($AC$14)</f>
        <v>0</v>
      </c>
      <c r="AO54" s="1176">
        <f>((SUMIFS($L$7:$L$24,$C$7:$C$24,"=13",$H$7:$H$24,"=9")))*($AC$14)</f>
        <v>0</v>
      </c>
      <c r="AP54" s="1176">
        <f>((SUMIFS($L$7:$L$24,$C$7:$C$24,"=14",$H$7:$H$24,"=9")))*($AC$14)</f>
        <v>0</v>
      </c>
      <c r="AQ54" s="1176">
        <f>((SUMIFS($L$7:$L$24,$C$7:$C$24,"=15",$H$7:$H$24,"=9")))*($AC$14)</f>
        <v>0</v>
      </c>
      <c r="AR54" s="1176">
        <f>((SUMIFS($L$7:$L$24,$C$7:$C$24,"=16",$H$7:$H$24,"=9")))*($AC$14)</f>
        <v>0</v>
      </c>
      <c r="AS54" s="1176">
        <f>((SUMIFS($L$7:$L$24,$C$7:$C$24,"=17",$H$7:$H$24,"=9")))*($AC$14)</f>
        <v>0</v>
      </c>
      <c r="AT54" s="1176">
        <f>((SUMIFS($L$7:$L$24,$C$7:$C$24,"=18",$H$7:$H$24,"=9")))*($AC$14)</f>
        <v>0</v>
      </c>
      <c r="AU54" s="1176">
        <f>((SUMIFS($L$7:$L$24,$C$7:$C$24,"=19",$H$7:$H$24,"=9")))*($AC$14)</f>
        <v>0</v>
      </c>
      <c r="AV54" s="1176">
        <f>((SUMIFS($L$7:$L$24,$C$7:$C$24,"=20",$H$7:$H$24,"=9")))*($AC$14)</f>
        <v>0</v>
      </c>
      <c r="AW54" s="1176">
        <f>((SUMIFS($L$7:$L$24,$C$7:$C$24,"=21",$H$7:$H$24,"=9")))*($AC$14)</f>
        <v>0</v>
      </c>
    </row>
    <row r="55" spans="4:49" ht="15.75" customHeight="1" x14ac:dyDescent="0.2">
      <c r="AB55" s="1160" t="str">
        <f t="shared" si="6"/>
        <v>Novilhas sobreano</v>
      </c>
      <c r="AC55" s="1198"/>
      <c r="AD55" s="1176">
        <f>((SUMIFS($L$7:$L$24,$C$7:$C$24,"=2",$H$7:$H$24,"=10")))*($AC$15)</f>
        <v>0</v>
      </c>
      <c r="AE55" s="1176">
        <f>((SUMIFS($L$7:$L$24,$C$7:$C$24,"=3",$H$7:$H$24,"=10")))*($AC$15)</f>
        <v>0</v>
      </c>
      <c r="AF55" s="1176">
        <f>((SUMIFS($L$7:$L$24,$C$7:$C$24,"=4",$H$7:$H$24,"=10")))*($AC$15)</f>
        <v>0</v>
      </c>
      <c r="AG55" s="1176">
        <f>((SUMIFS($L$7:$L$24,$C$7:$C$24,"=5",$H$7:$H$24,"=10")))*($AC$15)</f>
        <v>0</v>
      </c>
      <c r="AH55" s="1176">
        <f>((SUMIFS($L$7:$L$24,$C$7:$C$24,"=6",$H$7:$H$24,"=10")))*($AC$15)</f>
        <v>0</v>
      </c>
      <c r="AI55" s="1176">
        <f>((SUMIFS($L$7:$L$24,$C$7:$C$24,"=7",$H$7:$H$24,"=10")))*($AC$15)</f>
        <v>0</v>
      </c>
      <c r="AJ55" s="1176">
        <f>((SUMIFS($L$7:$L$24,$C$7:$C$24,"=8",$H$7:$H$24,"=10")))*($AC$15)</f>
        <v>0</v>
      </c>
      <c r="AK55" s="1176">
        <f>((SUMIFS($L$7:$L$24,$C$7:$C$24,"=9",$H$7:$H$24,"=10")))*($AC$15)</f>
        <v>0</v>
      </c>
      <c r="AL55" s="1176">
        <f>((SUMIFS($L$7:$L$24,$C$7:$C$24,"=10",$H$7:$H$24,"=10")))*($AC$15)</f>
        <v>0</v>
      </c>
      <c r="AM55" s="1176">
        <f>((SUMIFS($L$7:$L$24,$C$7:$C$24,"=11",$H$7:$H$24,"=10")))*($AC$15)</f>
        <v>0</v>
      </c>
      <c r="AN55" s="1176">
        <f>((SUMIFS($L$7:$L$24,$C$7:$C$24,"=12",$H$7:$H$24,"=10")))*($AC$15)</f>
        <v>0</v>
      </c>
      <c r="AO55" s="1176">
        <f>((SUMIFS($L$7:$L$24,$C$7:$C$24,"=13",$H$7:$H$24,"=10")))*($AC$15)</f>
        <v>0</v>
      </c>
      <c r="AP55" s="1176">
        <f>((SUMIFS($L$7:$L$24,$C$7:$C$24,"=14",$H$7:$H$24,"=10")))*($AC$15)</f>
        <v>0</v>
      </c>
      <c r="AQ55" s="1176">
        <f>((SUMIFS($L$7:$L$24,$C$7:$C$24,"=15",$H$7:$H$24,"=10")))*($AC$15)</f>
        <v>0</v>
      </c>
      <c r="AR55" s="1176">
        <f>((SUMIFS($L$7:$L$24,$C$7:$C$24,"=16",$H$7:$H$24,"=10")))*($AC$15)</f>
        <v>0</v>
      </c>
      <c r="AS55" s="1176">
        <f>((SUMIFS($L$7:$L$24,$C$7:$C$24,"=17",$H$7:$H$24,"=10")))*($AC$15)</f>
        <v>0</v>
      </c>
      <c r="AT55" s="1176">
        <f>((SUMIFS($L$7:$L$24,$C$7:$C$24,"=18",$H$7:$H$24,"=10")))*($AC$15)</f>
        <v>0</v>
      </c>
      <c r="AU55" s="1176">
        <f>((SUMIFS($L$7:$L$24,$C$7:$C$24,"=19",$H$7:$H$24,"=10")))*($AC$15)</f>
        <v>0</v>
      </c>
      <c r="AV55" s="1176">
        <f>((SUMIFS($L$7:$L$24,$C$7:$C$24,"=20",$H$7:$H$24,"=10")))*($AC$15)</f>
        <v>0</v>
      </c>
      <c r="AW55" s="1176">
        <f>((SUMIFS($L$7:$L$24,$C$7:$C$24,"=21",$H$7:$H$24,"=10")))*($AC$15)</f>
        <v>0</v>
      </c>
    </row>
    <row r="56" spans="4:49" ht="15.75" customHeight="1" x14ac:dyDescent="0.2">
      <c r="AB56" s="1160" t="str">
        <f t="shared" si="6"/>
        <v>Novilhas preenhe</v>
      </c>
      <c r="AC56" s="1198"/>
      <c r="AD56" s="1176">
        <f>((SUMIFS($L$7:$L$24,$C$7:$C$24,"=2",$H$7:$H$24,"=11")))*($AC$16)</f>
        <v>0</v>
      </c>
      <c r="AE56" s="1176">
        <f>((SUMIFS($L$7:$L$24,$C$7:$C$24,"=3",$H$7:$H$24,"=11")))*($AC$16)</f>
        <v>0</v>
      </c>
      <c r="AF56" s="1176">
        <f>((SUMIFS($L$7:$L$24,$C$7:$C$24,"=4",$H$7:$H$24,"=11")))*($AC$16)</f>
        <v>0</v>
      </c>
      <c r="AG56" s="1176">
        <f>((SUMIFS($L$7:$L$24,$C$7:$C$24,"=5",$H$7:$H$24,"=11")))*($AC$16)</f>
        <v>0</v>
      </c>
      <c r="AH56" s="1176">
        <f>((SUMIFS($L$7:$L$24,$C$7:$C$24,"=6",$H$7:$H$24,"=11")))*($AC$16)</f>
        <v>0</v>
      </c>
      <c r="AI56" s="1176">
        <f>((SUMIFS($L$7:$L$24,$C$7:$C$24,"=7",$H$7:$H$24,"=11")))*($AC$16)</f>
        <v>0</v>
      </c>
      <c r="AJ56" s="1176">
        <f>((SUMIFS($L$7:$L$24,$C$7:$C$24,"=8",$H$7:$H$24,"=11")))*($AC$16)</f>
        <v>0</v>
      </c>
      <c r="AK56" s="1176">
        <f>((SUMIFS($L$7:$L$24,$C$7:$C$24,"=9",$H$7:$H$24,"=11")))*($AC$16)</f>
        <v>0</v>
      </c>
      <c r="AL56" s="1176">
        <f>((SUMIFS($L$7:$L$24,$C$7:$C$24,"=10",$H$7:$H$24,"=11")))*($AC$16)</f>
        <v>0</v>
      </c>
      <c r="AM56" s="1176">
        <f>((SUMIFS($L$7:$L$24,$C$7:$C$24,"=11",$H$7:$H$24,"=11")))*($AC$16)</f>
        <v>0</v>
      </c>
      <c r="AN56" s="1176">
        <f>((SUMIFS($L$7:$L$24,$C$7:$C$24,"=12",$H$7:$H$24,"=11")))*($AC$16)</f>
        <v>0</v>
      </c>
      <c r="AO56" s="1176">
        <f>((SUMIFS($L$7:$L$24,$C$7:$C$24,"=13",$H$7:$H$24,"=11")))*($AC$16)</f>
        <v>0</v>
      </c>
      <c r="AP56" s="1176">
        <f>((SUMIFS($L$7:$L$24,$C$7:$C$24,"=14",$H$7:$H$24,"=11")))*($AC$16)</f>
        <v>0</v>
      </c>
      <c r="AQ56" s="1176">
        <f>((SUMIFS($L$7:$L$24,$C$7:$C$24,"=15",$H$7:$H$24,"=11")))*($AC$16)</f>
        <v>0</v>
      </c>
      <c r="AR56" s="1176">
        <f>((SUMIFS($L$7:$L$24,$C$7:$C$24,"=16",$H$7:$H$24,"=11")))*($AC$16)</f>
        <v>0</v>
      </c>
      <c r="AS56" s="1176">
        <f>((SUMIFS($L$7:$L$24,$C$7:$C$24,"=17",$H$7:$H$24,"=11")))*($AC$16)</f>
        <v>0</v>
      </c>
      <c r="AT56" s="1176">
        <f>((SUMIFS($L$7:$L$24,$C$7:$C$24,"=18",$H$7:$H$24,"=11")))*($AC$16)</f>
        <v>0</v>
      </c>
      <c r="AU56" s="1176">
        <f>((SUMIFS($L$7:$L$24,$C$7:$C$24,"=19",$H$7:$H$24,"=11")))*($AC$16)</f>
        <v>0</v>
      </c>
      <c r="AV56" s="1176">
        <f>((SUMIFS($L$7:$L$24,$C$7:$C$24,"=20",$H$7:$H$24,"=11")))*($AC$16)</f>
        <v>0</v>
      </c>
      <c r="AW56" s="1176">
        <f>((SUMIFS($L$7:$L$24,$C$7:$C$24,"=21",$H$7:$H$24,"=11")))*($AC$16)</f>
        <v>0</v>
      </c>
    </row>
    <row r="57" spans="4:49" ht="15.75" customHeight="1" x14ac:dyDescent="0.2">
      <c r="AB57" s="1160" t="str">
        <f t="shared" si="6"/>
        <v>Vacas primíparas</v>
      </c>
      <c r="AC57" s="1198"/>
      <c r="AD57" s="1176">
        <f>((SUMIFS($L$7:$L$24,$C$7:$C$24,"=2",$H$7:$H$24,"=12")))*($AC$17)</f>
        <v>0</v>
      </c>
      <c r="AE57" s="1176">
        <f>((SUMIFS($L$7:$L$24,$C$7:$C$24,"=3",$H$7:$H$24,"=12")))*($AC$17)</f>
        <v>0</v>
      </c>
      <c r="AF57" s="1176">
        <f>((SUMIFS($L$7:$L$24,$C$7:$C$24,"=4",$H$7:$H$24,"=12")))*($AC$17)</f>
        <v>0</v>
      </c>
      <c r="AG57" s="1176">
        <f>((SUMIFS($L$7:$L$24,$C$7:$C$24,"=5",$H$7:$H$24,"=12")))*($AC$17)</f>
        <v>0</v>
      </c>
      <c r="AH57" s="1176">
        <f>((SUMIFS($L$7:$L$24,$C$7:$C$24,"=6",$H$7:$H$24,"=12")))*($AC$17)</f>
        <v>0</v>
      </c>
      <c r="AI57" s="1176">
        <f>((SUMIFS($L$7:$L$24,$C$7:$C$24,"=7",$H$7:$H$24,"=12")))*($AC$17)</f>
        <v>0</v>
      </c>
      <c r="AJ57" s="1176">
        <f>((SUMIFS($L$7:$L$24,$C$7:$C$24,"=8",$H$7:$H$24,"=12")))*($AC$17)</f>
        <v>0</v>
      </c>
      <c r="AK57" s="1176">
        <f>((SUMIFS($L$7:$L$24,$C$7:$C$24,"=9",$H$7:$H$24,"=12")))*($AC$17)</f>
        <v>0</v>
      </c>
      <c r="AL57" s="1176">
        <f>((SUMIFS($L$7:$L$24,$C$7:$C$24,"=10",$H$7:$H$24,"=12")))*($AC$17)</f>
        <v>0</v>
      </c>
      <c r="AM57" s="1176">
        <f>((SUMIFS($L$7:$L$24,$C$7:$C$24,"=11",$H$7:$H$24,"=12")))*($AC$17)</f>
        <v>0</v>
      </c>
      <c r="AN57" s="1176">
        <f>((SUMIFS($L$7:$L$24,$C$7:$C$24,"=12",$H$7:$H$24,"=12")))*($AC$17)</f>
        <v>0</v>
      </c>
      <c r="AO57" s="1176">
        <f>((SUMIFS($L$7:$L$24,$C$7:$C$24,"=13",$H$7:$H$24,"=12")))*($AC$17)</f>
        <v>0</v>
      </c>
      <c r="AP57" s="1176">
        <f>((SUMIFS($L$7:$L$24,$C$7:$C$24,"=14",$H$7:$H$24,"=12")))*($AC$17)</f>
        <v>0</v>
      </c>
      <c r="AQ57" s="1176">
        <f>((SUMIFS($L$7:$L$24,$C$7:$C$24,"=15",$H$7:$H$24,"=12")))*($AC$17)</f>
        <v>0</v>
      </c>
      <c r="AR57" s="1176">
        <f>((SUMIFS($L$7:$L$24,$C$7:$C$24,"=16",$H$7:$H$24,"=12")))*($AC$17)</f>
        <v>0</v>
      </c>
      <c r="AS57" s="1176">
        <f>((SUMIFS($L$7:$L$24,$C$7:$C$24,"=17",$H$7:$H$24,"=12")))*($AC$17)</f>
        <v>0</v>
      </c>
      <c r="AT57" s="1176">
        <f>((SUMIFS($L$7:$L$24,$C$7:$C$24,"=18",$H$7:$H$24,"=12")))*($AC$17)</f>
        <v>0</v>
      </c>
      <c r="AU57" s="1176">
        <f>((SUMIFS($L$7:$L$24,$C$7:$C$24,"=19",$H$7:$H$24,"=12")))*($AC$17)</f>
        <v>0</v>
      </c>
      <c r="AV57" s="1176">
        <f>((SUMIFS($L$7:$L$24,$C$7:$C$24,"=20",$H$7:$H$24,"=12")))*($AC$17)</f>
        <v>0</v>
      </c>
      <c r="AW57" s="1176">
        <f>((SUMIFS($L$7:$L$24,$C$7:$C$24,"=21",$H$7:$H$24,"=12")))*($AC$17)</f>
        <v>0</v>
      </c>
    </row>
    <row r="58" spans="4:49" ht="15.75" customHeight="1" x14ac:dyDescent="0.2">
      <c r="AB58" s="1160" t="str">
        <f t="shared" si="6"/>
        <v>Vacas em lactação multiparas</v>
      </c>
      <c r="AC58" s="1198"/>
      <c r="AD58" s="1176">
        <f>((SUMIFS($L$7:$L$24,$C$7:$C$24,"=2",$H$7:$H$24,"=13")))*($AC$18)</f>
        <v>0</v>
      </c>
      <c r="AE58" s="1176">
        <f>((SUMIFS($L$7:$L$24,$C$7:$C$24,"=3",$H$7:$H$24,"=13")))*($AC$18)</f>
        <v>0</v>
      </c>
      <c r="AF58" s="1176">
        <f>((SUMIFS($L$7:$L$24,$C$7:$C$24,"=4",$H$7:$H$24,"=13")))*($AC$18)</f>
        <v>0</v>
      </c>
      <c r="AG58" s="1176">
        <f>((SUMIFS($L$7:$L$24,$C$7:$C$24,"=5",$H$7:$H$24,"=13")))*($AC$18)</f>
        <v>0</v>
      </c>
      <c r="AH58" s="1176">
        <f>((SUMIFS($L$7:$L$24,$C$7:$C$24,"=6",$H$7:$H$24,"=13")))*($AC$18)</f>
        <v>0</v>
      </c>
      <c r="AI58" s="1176">
        <f>((SUMIFS($L$7:$L$24,$C$7:$C$24,"=7",$H$7:$H$24,"=13")))*($AC$18)</f>
        <v>0</v>
      </c>
      <c r="AJ58" s="1176">
        <f>((SUMIFS($L$7:$L$24,$C$7:$C$24,"=8",$H$7:$H$24,"=13")))*($AC$18)</f>
        <v>0</v>
      </c>
      <c r="AK58" s="1176">
        <f>((SUMIFS($L$7:$L$24,$C$7:$C$24,"=9",$H$7:$H$24,"=13")))*($AC$18)</f>
        <v>0</v>
      </c>
      <c r="AL58" s="1176">
        <f>((SUMIFS($L$7:$L$24,$C$7:$C$24,"=10",$H$7:$H$24,"=13")))*($AC$18)</f>
        <v>0</v>
      </c>
      <c r="AM58" s="1176">
        <f>((SUMIFS($L$7:$L$24,$C$7:$C$24,"=11",$H$7:$H$24,"=13")))*($AC$18)</f>
        <v>0</v>
      </c>
      <c r="AN58" s="1176">
        <f>((SUMIFS($L$7:$L$24,$C$7:$C$24,"=12",$H$7:$H$24,"=13")))*($AC$18)</f>
        <v>0</v>
      </c>
      <c r="AO58" s="1176">
        <f>((SUMIFS($L$7:$L$24,$C$7:$C$24,"=13",$H$7:$H$24,"=13")))*($AC$18)</f>
        <v>0</v>
      </c>
      <c r="AP58" s="1176">
        <f>((SUMIFS($L$7:$L$24,$C$7:$C$24,"=14",$H$7:$H$24,"=13")))*($AC$18)</f>
        <v>0</v>
      </c>
      <c r="AQ58" s="1176">
        <f>((SUMIFS($L$7:$L$24,$C$7:$C$24,"=15",$H$7:$H$24,"=13")))*($AC$18)</f>
        <v>0</v>
      </c>
      <c r="AR58" s="1176">
        <f>((SUMIFS($L$7:$L$24,$C$7:$C$24,"=16",$H$7:$H$24,"=13")))*($AC$18)</f>
        <v>0</v>
      </c>
      <c r="AS58" s="1176">
        <f>((SUMIFS($L$7:$L$24,$C$7:$C$24,"=17",$H$7:$H$24,"=13")))*($AC$18)</f>
        <v>0</v>
      </c>
      <c r="AT58" s="1176">
        <f>((SUMIFS($L$7:$L$24,$C$7:$C$24,"=18",$H$7:$H$24,"=13")))*($AC$18)</f>
        <v>0</v>
      </c>
      <c r="AU58" s="1176">
        <f>((SUMIFS($L$7:$L$24,$C$7:$C$24,"=19",$H$7:$H$24,"=13")))*($AC$18)</f>
        <v>0</v>
      </c>
      <c r="AV58" s="1176">
        <f>((SUMIFS($L$7:$L$24,$C$7:$C$24,"=20",$H$7:$H$24,"=13")))*($AC$18)</f>
        <v>0</v>
      </c>
      <c r="AW58" s="1176">
        <f>((SUMIFS($L$7:$L$24,$C$7:$C$24,"=21",$H$7:$H$24,"=13")))*($AC$18)</f>
        <v>0</v>
      </c>
    </row>
    <row r="59" spans="4:49" ht="15.75" customHeight="1" x14ac:dyDescent="0.2">
      <c r="AB59" s="1160" t="str">
        <f t="shared" si="6"/>
        <v>Vacas solteiras secas</v>
      </c>
      <c r="AC59" s="1198"/>
      <c r="AD59" s="1176">
        <f>((SUMIFS($L$7:$L$24,$C$7:$C$24,"=2",$H$7:$H$24,"=14")))*($AC$19)</f>
        <v>0</v>
      </c>
      <c r="AE59" s="1176">
        <f>((SUMIFS($L$7:$L$24,$C$7:$C$24,"=3",$H$7:$H$24,"=14")))*($AC$19)</f>
        <v>0</v>
      </c>
      <c r="AF59" s="1176">
        <f>((SUMIFS($L$7:$L$24,$C$7:$C$24,"=4",$H$7:$H$24,"=14")))*($AC$19)</f>
        <v>0</v>
      </c>
      <c r="AG59" s="1176">
        <f>((SUMIFS($L$7:$L$24,$C$7:$C$24,"=5",$H$7:$H$24,"=14")))*($AC$19)</f>
        <v>0</v>
      </c>
      <c r="AH59" s="1176">
        <f>((SUMIFS($L$7:$L$24,$C$7:$C$24,"=6",$H$7:$H$24,"=14")))*($AC$19)</f>
        <v>0</v>
      </c>
      <c r="AI59" s="1176">
        <f>((SUMIFS($L$7:$L$24,$C$7:$C$24,"=7",$H$7:$H$24,"=14")))*($AC$19)</f>
        <v>0</v>
      </c>
      <c r="AJ59" s="1176">
        <f>((SUMIFS($L$7:$L$24,$C$7:$C$24,"=8",$H$7:$H$24,"=14")))*($AC$19)</f>
        <v>0</v>
      </c>
      <c r="AK59" s="1176">
        <f>((SUMIFS($L$7:$L$24,$C$7:$C$24,"=9",$H$7:$H$24,"=14")))*($AC$19)</f>
        <v>0</v>
      </c>
      <c r="AL59" s="1176">
        <f>((SUMIFS($L$7:$L$24,$C$7:$C$24,"=10",$H$7:$H$24,"=14")))*($AC$19)</f>
        <v>0</v>
      </c>
      <c r="AM59" s="1176">
        <f>((SUMIFS($L$7:$L$24,$C$7:$C$24,"=11",$H$7:$H$24,"=14")))*($AC$19)</f>
        <v>0</v>
      </c>
      <c r="AN59" s="1176">
        <f>((SUMIFS($L$7:$L$24,$C$7:$C$24,"=12",$H$7:$H$24,"=14")))*($AC$19)</f>
        <v>0</v>
      </c>
      <c r="AO59" s="1176">
        <f>((SUMIFS($L$7:$L$24,$C$7:$C$24,"=13",$H$7:$H$24,"=14")))*($AC$19)</f>
        <v>0</v>
      </c>
      <c r="AP59" s="1176">
        <f>((SUMIFS($L$7:$L$24,$C$7:$C$24,"=14",$H$7:$H$24,"=14")))*($AC$19)</f>
        <v>0</v>
      </c>
      <c r="AQ59" s="1176">
        <f>((SUMIFS($L$7:$L$24,$C$7:$C$24,"=15",$H$7:$H$24,"=14")))*($AC$19)</f>
        <v>0</v>
      </c>
      <c r="AR59" s="1176">
        <f>((SUMIFS($L$7:$L$24,$C$7:$C$24,"=16",$H$7:$H$24,"=14")))*($AC$19)</f>
        <v>0</v>
      </c>
      <c r="AS59" s="1176">
        <f>((SUMIFS($L$7:$L$24,$C$7:$C$24,"=17",$H$7:$H$24,"=14")))*($AC$19)</f>
        <v>0</v>
      </c>
      <c r="AT59" s="1176">
        <f>((SUMIFS($L$7:$L$24,$C$7:$C$24,"=18",$H$7:$H$24,"=14")))*($AC$19)</f>
        <v>0</v>
      </c>
      <c r="AU59" s="1176">
        <f>((SUMIFS($L$7:$L$24,$C$7:$C$24,"=19",$H$7:$H$24,"=14")))*($AC$19)</f>
        <v>0</v>
      </c>
      <c r="AV59" s="1176">
        <f>((SUMIFS($L$7:$L$24,$C$7:$C$24,"=20",$H$7:$H$24,"=14")))*($AC$19)</f>
        <v>0</v>
      </c>
      <c r="AW59" s="1176">
        <f>((SUMIFS($L$7:$L$24,$C$7:$C$24,"=21",$H$7:$H$24,"=14")))*($AC$19)</f>
        <v>0</v>
      </c>
    </row>
    <row r="60" spans="4:49" ht="15.75" customHeight="1" x14ac:dyDescent="0.2">
      <c r="AB60" s="1160" t="str">
        <f t="shared" si="6"/>
        <v>Bezerras em aleitamento (Engorda)</v>
      </c>
      <c r="AC60" s="1198"/>
      <c r="AD60" s="1176">
        <f>((SUMIFS($L$7:$L$24,$C$7:$C$24,"=2",$H$7:$H$24,"=15")))*($AC$20)</f>
        <v>0</v>
      </c>
      <c r="AE60" s="1176">
        <f>((SUMIFS($L$7:$L$24,$C$7:$C$24,"=3",$H$7:$H$24,"=15")))*($AC$20)</f>
        <v>0</v>
      </c>
      <c r="AF60" s="1176">
        <f>((SUMIFS($L$7:$L$24,$C$7:$C$24,"=4",$H$7:$H$24,"=15")))*($AC$20)</f>
        <v>0</v>
      </c>
      <c r="AG60" s="1176">
        <f>((SUMIFS($L$7:$L$24,$C$7:$C$24,"=5",$H$7:$H$24,"=15")))*($AC$20)</f>
        <v>0</v>
      </c>
      <c r="AH60" s="1176">
        <f>((SUMIFS($L$7:$L$24,$C$7:$C$24,"=6",$H$7:$H$24,"=15")))*($AC$20)</f>
        <v>0</v>
      </c>
      <c r="AI60" s="1176">
        <f>((SUMIFS($L$7:$L$24,$C$7:$C$24,"=7",$H$7:$H$24,"=15")))*($AC$20)</f>
        <v>0</v>
      </c>
      <c r="AJ60" s="1176">
        <f>((SUMIFS($L$7:$L$24,$C$7:$C$24,"=8",$H$7:$H$24,"=15")))*($AC$20)</f>
        <v>0</v>
      </c>
      <c r="AK60" s="1176">
        <f>((SUMIFS($L$7:$L$24,$C$7:$C$24,"=9",$H$7:$H$24,"=15")))*($AC$20)</f>
        <v>0</v>
      </c>
      <c r="AL60" s="1176">
        <f>((SUMIFS($L$7:$L$24,$C$7:$C$24,"=10",$H$7:$H$24,"=15")))*($AC$20)</f>
        <v>0</v>
      </c>
      <c r="AM60" s="1176">
        <f>((SUMIFS($L$7:$L$24,$C$7:$C$24,"=11",$H$7:$H$24,"=15")))*($AC$20)</f>
        <v>0</v>
      </c>
      <c r="AN60" s="1176">
        <f>((SUMIFS($L$7:$L$24,$C$7:$C$24,"=12",$H$7:$H$24,"=15")))*($AC$20)</f>
        <v>0</v>
      </c>
      <c r="AO60" s="1176">
        <f>((SUMIFS($L$7:$L$24,$C$7:$C$24,"=13",$H$7:$H$24,"=15")))*($AC$20)</f>
        <v>0</v>
      </c>
      <c r="AP60" s="1176">
        <f>((SUMIFS($L$7:$L$24,$C$7:$C$24,"=14",$H$7:$H$24,"=15")))*($AC$20)</f>
        <v>0</v>
      </c>
      <c r="AQ60" s="1176">
        <f>((SUMIFS($L$7:$L$24,$C$7:$C$24,"=15",$H$7:$H$24,"=15")))*($AC$20)</f>
        <v>0</v>
      </c>
      <c r="AR60" s="1176">
        <f>((SUMIFS($L$7:$L$24,$C$7:$C$24,"=16",$H$7:$H$24,"=15")))*($AC$20)</f>
        <v>0</v>
      </c>
      <c r="AS60" s="1176">
        <f>((SUMIFS($L$7:$L$24,$C$7:$C$24,"=17",$H$7:$H$24,"=15")))*($AC$20)</f>
        <v>0</v>
      </c>
      <c r="AT60" s="1176">
        <f>((SUMIFS($L$7:$L$24,$C$7:$C$24,"=18",$H$7:$H$24,"=15")))*($AC$20)</f>
        <v>0</v>
      </c>
      <c r="AU60" s="1176">
        <f>((SUMIFS($L$7:$L$24,$C$7:$C$24,"=19",$H$7:$H$24,"=15")))*($AC$20)</f>
        <v>0</v>
      </c>
      <c r="AV60" s="1176">
        <f>((SUMIFS($L$7:$L$24,$C$7:$C$24,"=20",$H$7:$H$24,"=15")))*($AC$20)</f>
        <v>0</v>
      </c>
      <c r="AW60" s="1176">
        <f>((SUMIFS($L$7:$L$24,$C$7:$C$24,"=21",$H$7:$H$24,"=15")))*($AC$20)</f>
        <v>0</v>
      </c>
    </row>
    <row r="61" spans="4:49" ht="15.75" customHeight="1" x14ac:dyDescent="0.2">
      <c r="AB61" s="1160" t="str">
        <f t="shared" si="6"/>
        <v>Bezerras desmamadas (Engorda)</v>
      </c>
      <c r="AC61" s="1198"/>
      <c r="AD61" s="1176">
        <f>((SUMIFS($L$7:$L$24,$C$7:$C$24,"=2",$H$7:$H$24,"=16")))*($AC$21)</f>
        <v>0</v>
      </c>
      <c r="AE61" s="1176">
        <f>((SUMIFS($L$7:$L$24,$C$7:$C$24,"=3",$H$7:$H$24,"=16")))*($AC$21)</f>
        <v>0</v>
      </c>
      <c r="AF61" s="1176">
        <f>((SUMIFS($L$7:$L$24,$C$7:$C$24,"=4",$H$7:$H$24,"=16")))*($AC$21)</f>
        <v>0</v>
      </c>
      <c r="AG61" s="1176">
        <f>((SUMIFS($L$7:$L$24,$C$7:$C$24,"=5",$H$7:$H$24,"=16")))*($AC$21)</f>
        <v>0</v>
      </c>
      <c r="AH61" s="1176">
        <f>((SUMIFS($L$7:$L$24,$C$7:$C$24,"=6",$H$7:$H$24,"=16")))*($AC$21)</f>
        <v>0</v>
      </c>
      <c r="AI61" s="1176">
        <f>((SUMIFS($L$7:$L$24,$C$7:$C$24,"=7",$H$7:$H$24,"=16")))*($AC$21)</f>
        <v>0</v>
      </c>
      <c r="AJ61" s="1176">
        <f>((SUMIFS($L$7:$L$24,$C$7:$C$24,"=8",$H$7:$H$24,"=16")))*($AC$21)</f>
        <v>0</v>
      </c>
      <c r="AK61" s="1176">
        <f>((SUMIFS($L$7:$L$24,$C$7:$C$24,"=9",$H$7:$H$24,"=16")))*($AC$21)</f>
        <v>0</v>
      </c>
      <c r="AL61" s="1176">
        <f>((SUMIFS($L$7:$L$24,$C$7:$C$24,"=10",$H$7:$H$24,"=16")))*($AC$21)</f>
        <v>0</v>
      </c>
      <c r="AM61" s="1176">
        <f>((SUMIFS($L$7:$L$24,$C$7:$C$24,"=11",$H$7:$H$24,"=16")))*($AC$21)</f>
        <v>0</v>
      </c>
      <c r="AN61" s="1176">
        <f>((SUMIFS($L$7:$L$24,$C$7:$C$24,"=12",$H$7:$H$24,"=16")))*($AC$21)</f>
        <v>0</v>
      </c>
      <c r="AO61" s="1176">
        <f>((SUMIFS($L$7:$L$24,$C$7:$C$24,"=13",$H$7:$H$24,"=16")))*($AC$21)</f>
        <v>0</v>
      </c>
      <c r="AP61" s="1176">
        <f>((SUMIFS($L$7:$L$24,$C$7:$C$24,"=14",$H$7:$H$24,"=16")))*($AC$21)</f>
        <v>0</v>
      </c>
      <c r="AQ61" s="1176">
        <f>((SUMIFS($L$7:$L$24,$C$7:$C$24,"=15",$H$7:$H$24,"=16")))*($AC$21)</f>
        <v>0</v>
      </c>
      <c r="AR61" s="1176">
        <f>((SUMIFS($L$7:$L$24,$C$7:$C$24,"=16",$H$7:$H$24,"=16")))*($AC$21)</f>
        <v>0</v>
      </c>
      <c r="AS61" s="1176">
        <f>((SUMIFS($L$7:$L$24,$C$7:$C$24,"=17",$H$7:$H$24,"=16")))*($AC$21)</f>
        <v>0</v>
      </c>
      <c r="AT61" s="1176">
        <f>((SUMIFS($L$7:$L$24,$C$7:$C$24,"=18",$H$7:$H$24,"=16")))*($AC$21)</f>
        <v>0</v>
      </c>
      <c r="AU61" s="1176">
        <f>((SUMIFS($L$7:$L$24,$C$7:$C$24,"=19",$H$7:$H$24,"=16")))*($AC$21)</f>
        <v>0</v>
      </c>
      <c r="AV61" s="1176">
        <f>((SUMIFS($L$7:$L$24,$C$7:$C$24,"=20",$H$7:$H$24,"=16")))*($AC$21)</f>
        <v>0</v>
      </c>
      <c r="AW61" s="1176">
        <f>((SUMIFS($L$7:$L$24,$C$7:$C$24,"=21",$H$7:$H$24,"=16")))*($AC$21)</f>
        <v>0</v>
      </c>
    </row>
    <row r="62" spans="4:49" ht="15.75" customHeight="1" x14ac:dyDescent="0.2">
      <c r="AB62" s="1160" t="str">
        <f t="shared" si="6"/>
        <v>Novilhas sobreano (Engorda)</v>
      </c>
      <c r="AC62" s="1198"/>
      <c r="AD62" s="1176">
        <f>((SUMIFS($L$7:$L$24,$C$7:$C$24,"=2",$H$7:$H$24,"=17")))*($AC$22)</f>
        <v>0</v>
      </c>
      <c r="AE62" s="1176">
        <f>((SUMIFS($L$7:$L$24,$C$7:$C$24,"=3",$H$7:$H$24,"=17")))*($AC$22)</f>
        <v>0</v>
      </c>
      <c r="AF62" s="1176">
        <f>((SUMIFS($L$7:$L$24,$C$7:$C$24,"=4",$H$7:$H$24,"=17")))*($AC$22)</f>
        <v>0</v>
      </c>
      <c r="AG62" s="1176">
        <f>((SUMIFS($L$7:$L$24,$C$7:$C$24,"=5",$H$7:$H$24,"=17")))*($AC$22)</f>
        <v>0</v>
      </c>
      <c r="AH62" s="1176">
        <f>((SUMIFS($L$7:$L$24,$C$7:$C$24,"=6",$H$7:$H$24,"=17")))*($AC$22)</f>
        <v>0</v>
      </c>
      <c r="AI62" s="1176">
        <f>((SUMIFS($L$7:$L$24,$C$7:$C$24,"=7",$H$7:$H$24,"=17")))*($AC$22)</f>
        <v>0</v>
      </c>
      <c r="AJ62" s="1176">
        <f>((SUMIFS($L$7:$L$24,$C$7:$C$24,"=8",$H$7:$H$24,"=17")))*($AC$22)</f>
        <v>0</v>
      </c>
      <c r="AK62" s="1176">
        <f>((SUMIFS($L$7:$L$24,$C$7:$C$24,"=9",$H$7:$H$24,"=17")))*($AC$22)</f>
        <v>0</v>
      </c>
      <c r="AL62" s="1176">
        <f>((SUMIFS($L$7:$L$24,$C$7:$C$24,"=10",$H$7:$H$24,"=17")))*($AC$22)</f>
        <v>0</v>
      </c>
      <c r="AM62" s="1176">
        <f>((SUMIFS($L$7:$L$24,$C$7:$C$24,"=11",$H$7:$H$24,"=17")))*($AC$22)</f>
        <v>0</v>
      </c>
      <c r="AN62" s="1176">
        <f>((SUMIFS($L$7:$L$24,$C$7:$C$24,"=12",$H$7:$H$24,"=17")))*($AC$22)</f>
        <v>0</v>
      </c>
      <c r="AO62" s="1176">
        <f>((SUMIFS($L$7:$L$24,$C$7:$C$24,"=13",$H$7:$H$24,"=17")))*($AC$22)</f>
        <v>0</v>
      </c>
      <c r="AP62" s="1176">
        <f>((SUMIFS($L$7:$L$24,$C$7:$C$24,"=14",$H$7:$H$24,"=17")))*($AC$22)</f>
        <v>0</v>
      </c>
      <c r="AQ62" s="1176">
        <f>((SUMIFS($L$7:$L$24,$C$7:$C$24,"=15",$H$7:$H$24,"=17")))*($AC$22)</f>
        <v>0</v>
      </c>
      <c r="AR62" s="1176">
        <f>((SUMIFS($L$7:$L$24,$C$7:$C$24,"=16",$H$7:$H$24,"=17")))*($AC$22)</f>
        <v>0</v>
      </c>
      <c r="AS62" s="1176">
        <f>((SUMIFS($L$7:$L$24,$C$7:$C$24,"=17",$H$7:$H$24,"=17")))*($AC$22)</f>
        <v>0</v>
      </c>
      <c r="AT62" s="1176">
        <f>((SUMIFS($L$7:$L$24,$C$7:$C$24,"=18",$H$7:$H$24,"=17")))*($AC$22)</f>
        <v>0</v>
      </c>
      <c r="AU62" s="1176">
        <f>((SUMIFS($L$7:$L$24,$C$7:$C$24,"=19",$H$7:$H$24,"=17")))*($AC$22)</f>
        <v>0</v>
      </c>
      <c r="AV62" s="1176">
        <f>((SUMIFS($L$7:$L$24,$C$7:$C$24,"=20",$H$7:$H$24,"=17")))*($AC$22)</f>
        <v>0</v>
      </c>
      <c r="AW62" s="1176">
        <f>((SUMIFS($L$7:$L$24,$C$7:$C$24,"=21",$H$7:$H$24,"=17")))*($AC$22)</f>
        <v>0</v>
      </c>
    </row>
    <row r="63" spans="4:49" ht="15.75" customHeight="1" thickBot="1" x14ac:dyDescent="0.25">
      <c r="AB63" s="1181" t="str">
        <f t="shared" si="6"/>
        <v>Vaca (Engorda)</v>
      </c>
      <c r="AC63" s="1201"/>
      <c r="AD63" s="1177">
        <f>((SUMIFS($L$7:$L$24,$C$7:$C$24,"=2",$H$7:$H$24,"=18")))*($AC$23)</f>
        <v>0</v>
      </c>
      <c r="AE63" s="1177">
        <f>((SUMIFS($L$7:$L$24,$C$7:$C$24,"=3",$H$7:$H$24,"=18")))*($AC$23)</f>
        <v>0</v>
      </c>
      <c r="AF63" s="1177">
        <f>((SUMIFS($L$7:$L$24,$C$7:$C$24,"=4",$H$7:$H$24,"=18")))*($AC$23)</f>
        <v>0</v>
      </c>
      <c r="AG63" s="1177">
        <f>((SUMIFS($L$7:$L$24,$C$7:$C$24,"=5",$H$7:$H$24,"=18")))*($AC$23)</f>
        <v>0</v>
      </c>
      <c r="AH63" s="1177">
        <f>((SUMIFS($L$7:$L$24,$C$7:$C$24,"=6",$H$7:$H$24,"=18")))*($AC$23)</f>
        <v>0</v>
      </c>
      <c r="AI63" s="1177">
        <f>((SUMIFS($L$7:$L$24,$C$7:$C$24,"=7",$H$7:$H$24,"=18")))*($AC$23)</f>
        <v>0</v>
      </c>
      <c r="AJ63" s="1177">
        <f>((SUMIFS($L$7:$L$24,$C$7:$C$24,"=8",$H$7:$H$24,"=18")))*($AC$23)</f>
        <v>0</v>
      </c>
      <c r="AK63" s="1177">
        <f>((SUMIFS($L$7:$L$24,$C$7:$C$24,"=9",$H$7:$H$24,"=18")))*($AC$23)</f>
        <v>0</v>
      </c>
      <c r="AL63" s="1177">
        <f>((SUMIFS($L$7:$L$24,$C$7:$C$24,"=10",$H$7:$H$24,"=18")))*($AC$23)</f>
        <v>0</v>
      </c>
      <c r="AM63" s="1177">
        <f>((SUMIFS($L$7:$L$24,$C$7:$C$24,"=11",$H$7:$H$24,"=18")))*($AC$23)</f>
        <v>0</v>
      </c>
      <c r="AN63" s="1177">
        <f>((SUMIFS($L$7:$L$24,$C$7:$C$24,"=12",$H$7:$H$24,"=18")))*($AC$23)</f>
        <v>0</v>
      </c>
      <c r="AO63" s="1177">
        <f>((SUMIFS($L$7:$L$24,$C$7:$C$24,"=13",$H$7:$H$24,"=18")))*($AC$23)</f>
        <v>0</v>
      </c>
      <c r="AP63" s="1177">
        <f>((SUMIFS($L$7:$L$24,$C$7:$C$24,"=14",$H$7:$H$24,"=18")))*($AC$23)</f>
        <v>0</v>
      </c>
      <c r="AQ63" s="1177">
        <f>((SUMIFS($L$7:$L$24,$C$7:$C$24,"=15",$H$7:$H$24,"=18")))*($AC$23)</f>
        <v>0</v>
      </c>
      <c r="AR63" s="1177">
        <f>((SUMIFS($L$7:$L$24,$C$7:$C$24,"=16",$H$7:$H$24,"=18")))*($AC$23)</f>
        <v>0</v>
      </c>
      <c r="AS63" s="1177">
        <f>((SUMIFS($L$7:$L$24,$C$7:$C$24,"=17",$H$7:$H$24,"=18")))*($AC$23)</f>
        <v>0</v>
      </c>
      <c r="AT63" s="1177">
        <f>((SUMIFS($L$7:$L$24,$C$7:$C$24,"=18",$H$7:$H$24,"=18")))*($AC$23)</f>
        <v>0</v>
      </c>
      <c r="AU63" s="1177">
        <f>((SUMIFS($L$7:$L$24,$C$7:$C$24,"=19",$H$7:$H$24,"=18")))*($AC$23)</f>
        <v>0</v>
      </c>
      <c r="AV63" s="1177">
        <f>((SUMIFS($L$7:$L$24,$C$7:$C$24,"=20",$H$7:$H$24,"=18")))*($AC$23)</f>
        <v>0</v>
      </c>
      <c r="AW63" s="1177">
        <f>((SUMIFS($L$7:$L$24,$C$7:$C$24,"=21",$H$7:$H$24,"=18")))*($AC$23)</f>
        <v>0</v>
      </c>
    </row>
    <row r="64" spans="4:49" ht="15.75" customHeight="1" thickBot="1" x14ac:dyDescent="0.25">
      <c r="AC64" s="1199"/>
    </row>
    <row r="65" spans="28:49" ht="15.75" customHeight="1" thickBot="1" x14ac:dyDescent="0.25">
      <c r="AB65" s="2710"/>
      <c r="AC65" s="1197"/>
      <c r="AD65" s="2707" t="s">
        <v>1240</v>
      </c>
      <c r="AE65" s="2708"/>
      <c r="AF65" s="2708"/>
      <c r="AG65" s="2708"/>
      <c r="AH65" s="2708"/>
      <c r="AI65" s="2708"/>
      <c r="AJ65" s="2708"/>
      <c r="AK65" s="2708"/>
      <c r="AL65" s="2708"/>
      <c r="AM65" s="2708"/>
      <c r="AN65" s="2708"/>
      <c r="AO65" s="2708"/>
      <c r="AP65" s="2708"/>
      <c r="AQ65" s="2708"/>
      <c r="AR65" s="2708"/>
      <c r="AS65" s="2708"/>
      <c r="AT65" s="2708"/>
      <c r="AU65" s="2708"/>
      <c r="AV65" s="2708"/>
      <c r="AW65" s="2709"/>
    </row>
    <row r="66" spans="28:49" ht="15.75" customHeight="1" thickBot="1" x14ac:dyDescent="0.25">
      <c r="AB66" s="2711"/>
      <c r="AC66" s="1196"/>
      <c r="AD66" s="1165" t="str">
        <f>AD6</f>
        <v>Soja</v>
      </c>
      <c r="AE66" s="1165" t="str">
        <f t="shared" ref="AE66:AW66" si="7">AE6</f>
        <v>Farelo Soja</v>
      </c>
      <c r="AF66" s="1165" t="str">
        <f t="shared" si="7"/>
        <v>Milho</v>
      </c>
      <c r="AG66" s="1165" t="str">
        <f t="shared" si="7"/>
        <v>Farelo Milho</v>
      </c>
      <c r="AH66" s="1165" t="str">
        <f t="shared" si="7"/>
        <v>Concentrado Comercial</v>
      </c>
      <c r="AI66" s="1165" t="str">
        <f t="shared" si="7"/>
        <v>Ração</v>
      </c>
      <c r="AJ66" s="1165" t="str">
        <f t="shared" si="7"/>
        <v>Ração</v>
      </c>
      <c r="AK66" s="1165" t="str">
        <f t="shared" si="7"/>
        <v>Caroço de algodão</v>
      </c>
      <c r="AL66" s="1165" t="str">
        <f t="shared" si="7"/>
        <v>Farelo de Trigo</v>
      </c>
      <c r="AM66" s="1165" t="str">
        <f t="shared" si="7"/>
        <v>Farelo de Arroz</v>
      </c>
      <c r="AN66" s="1165" t="str">
        <f t="shared" si="7"/>
        <v>Farelo de algodão</v>
      </c>
      <c r="AO66" s="1165" t="str">
        <f t="shared" si="7"/>
        <v>Resíduo de Cervejaria</v>
      </c>
      <c r="AP66" s="1165" t="str">
        <f t="shared" si="7"/>
        <v>Resíduo de mandioca</v>
      </c>
      <c r="AQ66" s="1165" t="str">
        <f t="shared" si="7"/>
        <v>Uréia</v>
      </c>
      <c r="AR66" s="1165" t="str">
        <f t="shared" si="7"/>
        <v xml:space="preserve">Concentrado Bezerro </v>
      </c>
      <c r="AS66" s="1165" t="str">
        <f t="shared" si="7"/>
        <v>Concentrado Bezerra</v>
      </c>
      <c r="AT66" s="1165" t="str">
        <f t="shared" si="7"/>
        <v>Cama de frango</v>
      </c>
      <c r="AU66" s="1165" t="str">
        <f t="shared" si="7"/>
        <v>Poupa cítrica</v>
      </c>
      <c r="AV66" s="1165">
        <f t="shared" si="7"/>
        <v>0</v>
      </c>
      <c r="AW66" s="1203">
        <f t="shared" si="7"/>
        <v>0</v>
      </c>
    </row>
    <row r="67" spans="28:49" ht="15.75" customHeight="1" x14ac:dyDescent="0.2">
      <c r="AB67" s="1179" t="str">
        <f>AB7</f>
        <v>Bezerro em aleitamento</v>
      </c>
      <c r="AC67" s="1202"/>
      <c r="AD67" s="1178">
        <f>AD7*AD27*AD47*30.5</f>
        <v>0</v>
      </c>
      <c r="AE67" s="1178">
        <f t="shared" ref="AE67:AW81" si="8">AE7*AE27*AE47*30.5</f>
        <v>0</v>
      </c>
      <c r="AF67" s="1178">
        <f t="shared" si="8"/>
        <v>0</v>
      </c>
      <c r="AG67" s="1178">
        <f t="shared" si="8"/>
        <v>0</v>
      </c>
      <c r="AH67" s="1178">
        <f t="shared" si="8"/>
        <v>0</v>
      </c>
      <c r="AI67" s="1178">
        <f t="shared" si="8"/>
        <v>0</v>
      </c>
      <c r="AJ67" s="1178">
        <f t="shared" si="8"/>
        <v>0</v>
      </c>
      <c r="AK67" s="1178">
        <f t="shared" si="8"/>
        <v>0</v>
      </c>
      <c r="AL67" s="1178">
        <f t="shared" si="8"/>
        <v>0</v>
      </c>
      <c r="AM67" s="1178">
        <f t="shared" si="8"/>
        <v>0</v>
      </c>
      <c r="AN67" s="1178">
        <f t="shared" si="8"/>
        <v>0</v>
      </c>
      <c r="AO67" s="1178">
        <f t="shared" si="8"/>
        <v>0</v>
      </c>
      <c r="AP67" s="1178">
        <f t="shared" si="8"/>
        <v>0</v>
      </c>
      <c r="AQ67" s="1178">
        <f t="shared" si="8"/>
        <v>0</v>
      </c>
      <c r="AR67" s="1178">
        <f t="shared" si="8"/>
        <v>0</v>
      </c>
      <c r="AS67" s="1178">
        <f t="shared" si="8"/>
        <v>0</v>
      </c>
      <c r="AT67" s="1178">
        <f t="shared" si="8"/>
        <v>0</v>
      </c>
      <c r="AU67" s="1178">
        <f t="shared" si="8"/>
        <v>0</v>
      </c>
      <c r="AV67" s="1178">
        <f t="shared" si="8"/>
        <v>0</v>
      </c>
      <c r="AW67" s="1180">
        <f t="shared" si="8"/>
        <v>0</v>
      </c>
    </row>
    <row r="68" spans="28:49" ht="15.75" customHeight="1" x14ac:dyDescent="0.2">
      <c r="AB68" s="1160" t="str">
        <f t="shared" ref="AB68:AB83" si="9">AB8</f>
        <v>Bezerro Desmamados</v>
      </c>
      <c r="AC68" s="1198"/>
      <c r="AD68" s="1178">
        <f t="shared" ref="AD68:AS83" si="10">AD8*AD28*AD48*30.5</f>
        <v>0</v>
      </c>
      <c r="AE68" s="1178">
        <f t="shared" si="10"/>
        <v>0</v>
      </c>
      <c r="AF68" s="1178">
        <f t="shared" si="10"/>
        <v>0</v>
      </c>
      <c r="AG68" s="1178">
        <f t="shared" si="10"/>
        <v>0</v>
      </c>
      <c r="AH68" s="1178">
        <f t="shared" si="10"/>
        <v>0</v>
      </c>
      <c r="AI68" s="1178">
        <f t="shared" si="10"/>
        <v>0</v>
      </c>
      <c r="AJ68" s="1178">
        <f t="shared" si="10"/>
        <v>0</v>
      </c>
      <c r="AK68" s="1178">
        <f t="shared" si="10"/>
        <v>0</v>
      </c>
      <c r="AL68" s="1178">
        <f t="shared" si="10"/>
        <v>0</v>
      </c>
      <c r="AM68" s="1178">
        <f t="shared" si="10"/>
        <v>0</v>
      </c>
      <c r="AN68" s="1178">
        <f t="shared" si="10"/>
        <v>0</v>
      </c>
      <c r="AO68" s="1178">
        <f t="shared" si="10"/>
        <v>0</v>
      </c>
      <c r="AP68" s="1178">
        <f t="shared" si="10"/>
        <v>0</v>
      </c>
      <c r="AQ68" s="1178">
        <f t="shared" si="10"/>
        <v>0</v>
      </c>
      <c r="AR68" s="1178">
        <f t="shared" si="10"/>
        <v>0</v>
      </c>
      <c r="AS68" s="1178">
        <f t="shared" si="10"/>
        <v>0</v>
      </c>
      <c r="AT68" s="1178">
        <f t="shared" si="8"/>
        <v>0</v>
      </c>
      <c r="AU68" s="1178">
        <f t="shared" si="8"/>
        <v>0</v>
      </c>
      <c r="AV68" s="1178">
        <f t="shared" si="8"/>
        <v>0</v>
      </c>
      <c r="AW68" s="1180">
        <f t="shared" si="8"/>
        <v>0</v>
      </c>
    </row>
    <row r="69" spans="28:49" ht="15.75" customHeight="1" x14ac:dyDescent="0.2">
      <c r="AB69" s="1160" t="str">
        <f t="shared" si="9"/>
        <v>Garrotes</v>
      </c>
      <c r="AC69" s="1198"/>
      <c r="AD69" s="1178">
        <f t="shared" si="10"/>
        <v>0</v>
      </c>
      <c r="AE69" s="1178">
        <f t="shared" si="8"/>
        <v>0</v>
      </c>
      <c r="AF69" s="1178">
        <f t="shared" si="8"/>
        <v>0</v>
      </c>
      <c r="AG69" s="1178">
        <f t="shared" si="8"/>
        <v>0</v>
      </c>
      <c r="AH69" s="1178">
        <f t="shared" si="8"/>
        <v>0</v>
      </c>
      <c r="AI69" s="1178">
        <f t="shared" si="8"/>
        <v>0</v>
      </c>
      <c r="AJ69" s="1178">
        <f t="shared" si="8"/>
        <v>0</v>
      </c>
      <c r="AK69" s="1178">
        <f t="shared" si="8"/>
        <v>0</v>
      </c>
      <c r="AL69" s="1178">
        <f t="shared" si="8"/>
        <v>0</v>
      </c>
      <c r="AM69" s="1178">
        <f t="shared" si="8"/>
        <v>0</v>
      </c>
      <c r="AN69" s="1178">
        <f t="shared" si="8"/>
        <v>0</v>
      </c>
      <c r="AO69" s="1178">
        <f t="shared" si="8"/>
        <v>0</v>
      </c>
      <c r="AP69" s="1178">
        <f t="shared" si="8"/>
        <v>0</v>
      </c>
      <c r="AQ69" s="1178">
        <f t="shared" si="8"/>
        <v>0</v>
      </c>
      <c r="AR69" s="1178">
        <f t="shared" si="8"/>
        <v>0</v>
      </c>
      <c r="AS69" s="1178">
        <f t="shared" si="8"/>
        <v>0</v>
      </c>
      <c r="AT69" s="1178">
        <f t="shared" si="8"/>
        <v>0</v>
      </c>
      <c r="AU69" s="1178">
        <f t="shared" si="8"/>
        <v>0</v>
      </c>
      <c r="AV69" s="1178">
        <f t="shared" si="8"/>
        <v>0</v>
      </c>
      <c r="AW69" s="1180">
        <f t="shared" si="8"/>
        <v>0</v>
      </c>
    </row>
    <row r="70" spans="28:49" ht="15.75" customHeight="1" x14ac:dyDescent="0.2">
      <c r="AB70" s="1160" t="str">
        <f t="shared" si="9"/>
        <v>Boi magro</v>
      </c>
      <c r="AC70" s="1198"/>
      <c r="AD70" s="1178">
        <f t="shared" si="10"/>
        <v>0</v>
      </c>
      <c r="AE70" s="1178">
        <f t="shared" si="8"/>
        <v>0</v>
      </c>
      <c r="AF70" s="1178">
        <f t="shared" si="8"/>
        <v>0</v>
      </c>
      <c r="AG70" s="1178">
        <f t="shared" si="8"/>
        <v>0</v>
      </c>
      <c r="AH70" s="1178">
        <f t="shared" si="8"/>
        <v>0</v>
      </c>
      <c r="AI70" s="1178">
        <f t="shared" si="8"/>
        <v>0</v>
      </c>
      <c r="AJ70" s="1178">
        <f t="shared" si="8"/>
        <v>0</v>
      </c>
      <c r="AK70" s="1178">
        <f t="shared" si="8"/>
        <v>0</v>
      </c>
      <c r="AL70" s="1178">
        <f>AL10*AL30*AL50*30.5</f>
        <v>0</v>
      </c>
      <c r="AM70" s="1178">
        <f t="shared" si="8"/>
        <v>0</v>
      </c>
      <c r="AN70" s="1178">
        <f t="shared" si="8"/>
        <v>0</v>
      </c>
      <c r="AO70" s="1178">
        <f t="shared" si="8"/>
        <v>0</v>
      </c>
      <c r="AP70" s="1178">
        <f t="shared" si="8"/>
        <v>0</v>
      </c>
      <c r="AQ70" s="1178">
        <f t="shared" si="8"/>
        <v>0</v>
      </c>
      <c r="AR70" s="1178">
        <f t="shared" si="8"/>
        <v>0</v>
      </c>
      <c r="AS70" s="1178">
        <f t="shared" si="8"/>
        <v>0</v>
      </c>
      <c r="AT70" s="1178">
        <f t="shared" si="8"/>
        <v>0</v>
      </c>
      <c r="AU70" s="1178">
        <f t="shared" si="8"/>
        <v>0</v>
      </c>
      <c r="AV70" s="1178">
        <f t="shared" si="8"/>
        <v>0</v>
      </c>
      <c r="AW70" s="1180">
        <f t="shared" si="8"/>
        <v>0</v>
      </c>
    </row>
    <row r="71" spans="28:49" ht="15.75" customHeight="1" x14ac:dyDescent="0.2">
      <c r="AB71" s="1160" t="str">
        <f t="shared" si="9"/>
        <v>Boi gordo</v>
      </c>
      <c r="AC71" s="1198"/>
      <c r="AD71" s="1178">
        <f t="shared" si="10"/>
        <v>0</v>
      </c>
      <c r="AE71" s="1178">
        <f t="shared" si="8"/>
        <v>0</v>
      </c>
      <c r="AF71" s="1178">
        <f t="shared" si="8"/>
        <v>0</v>
      </c>
      <c r="AG71" s="1178">
        <f t="shared" si="8"/>
        <v>0</v>
      </c>
      <c r="AH71" s="1178">
        <f t="shared" si="8"/>
        <v>0</v>
      </c>
      <c r="AI71" s="1178">
        <f t="shared" si="8"/>
        <v>0</v>
      </c>
      <c r="AJ71" s="1178">
        <f t="shared" si="8"/>
        <v>274.5</v>
      </c>
      <c r="AK71" s="1178">
        <f t="shared" si="8"/>
        <v>0</v>
      </c>
      <c r="AL71" s="1178">
        <f t="shared" si="8"/>
        <v>0</v>
      </c>
      <c r="AM71" s="1178">
        <f t="shared" si="8"/>
        <v>0</v>
      </c>
      <c r="AN71" s="1178">
        <f t="shared" si="8"/>
        <v>0</v>
      </c>
      <c r="AO71" s="1178">
        <f t="shared" si="8"/>
        <v>0</v>
      </c>
      <c r="AP71" s="1178">
        <f t="shared" si="8"/>
        <v>0</v>
      </c>
      <c r="AQ71" s="1178">
        <f t="shared" si="8"/>
        <v>0</v>
      </c>
      <c r="AR71" s="1178">
        <f t="shared" si="8"/>
        <v>0</v>
      </c>
      <c r="AS71" s="1178">
        <f t="shared" si="8"/>
        <v>0</v>
      </c>
      <c r="AT71" s="1178">
        <f t="shared" si="8"/>
        <v>0</v>
      </c>
      <c r="AU71" s="1178">
        <f t="shared" si="8"/>
        <v>0</v>
      </c>
      <c r="AV71" s="1178">
        <f t="shared" si="8"/>
        <v>0</v>
      </c>
      <c r="AW71" s="1180">
        <f t="shared" si="8"/>
        <v>0</v>
      </c>
    </row>
    <row r="72" spans="28:49" ht="15.75" customHeight="1" x14ac:dyDescent="0.2">
      <c r="AB72" s="1160" t="str">
        <f t="shared" si="9"/>
        <v>Touro</v>
      </c>
      <c r="AC72" s="1198"/>
      <c r="AD72" s="1178">
        <f t="shared" si="10"/>
        <v>0</v>
      </c>
      <c r="AE72" s="1178">
        <f t="shared" si="8"/>
        <v>0</v>
      </c>
      <c r="AF72" s="1178">
        <f t="shared" si="8"/>
        <v>0</v>
      </c>
      <c r="AG72" s="1178">
        <f t="shared" si="8"/>
        <v>0</v>
      </c>
      <c r="AH72" s="1178">
        <f t="shared" si="8"/>
        <v>0</v>
      </c>
      <c r="AI72" s="1178">
        <f t="shared" si="8"/>
        <v>0</v>
      </c>
      <c r="AJ72" s="1178">
        <f t="shared" si="8"/>
        <v>0</v>
      </c>
      <c r="AK72" s="1178">
        <f t="shared" si="8"/>
        <v>0</v>
      </c>
      <c r="AL72" s="1178">
        <f t="shared" si="8"/>
        <v>0</v>
      </c>
      <c r="AM72" s="1178">
        <f t="shared" si="8"/>
        <v>0</v>
      </c>
      <c r="AN72" s="1178">
        <f t="shared" si="8"/>
        <v>0</v>
      </c>
      <c r="AO72" s="1178">
        <f t="shared" si="8"/>
        <v>0</v>
      </c>
      <c r="AP72" s="1178">
        <f t="shared" si="8"/>
        <v>0</v>
      </c>
      <c r="AQ72" s="1178">
        <f t="shared" si="8"/>
        <v>0</v>
      </c>
      <c r="AR72" s="1178">
        <f t="shared" si="8"/>
        <v>0</v>
      </c>
      <c r="AS72" s="1178">
        <f t="shared" si="8"/>
        <v>0</v>
      </c>
      <c r="AT72" s="1178">
        <f t="shared" si="8"/>
        <v>0</v>
      </c>
      <c r="AU72" s="1178">
        <f t="shared" si="8"/>
        <v>0</v>
      </c>
      <c r="AV72" s="1178">
        <f t="shared" si="8"/>
        <v>0</v>
      </c>
      <c r="AW72" s="1180">
        <f t="shared" si="8"/>
        <v>0</v>
      </c>
    </row>
    <row r="73" spans="28:49" ht="15.75" customHeight="1" x14ac:dyDescent="0.2">
      <c r="AB73" s="1160" t="str">
        <f t="shared" si="9"/>
        <v>Bezerras em aleitamento</v>
      </c>
      <c r="AC73" s="1198"/>
      <c r="AD73" s="1178">
        <f t="shared" si="10"/>
        <v>0</v>
      </c>
      <c r="AE73" s="1178">
        <f>AE13*AE33*AE53*30.5</f>
        <v>0</v>
      </c>
      <c r="AF73" s="1178">
        <f t="shared" si="8"/>
        <v>0</v>
      </c>
      <c r="AG73" s="1178">
        <f t="shared" si="8"/>
        <v>0</v>
      </c>
      <c r="AH73" s="1178">
        <f t="shared" si="8"/>
        <v>0</v>
      </c>
      <c r="AI73" s="1178">
        <f t="shared" si="8"/>
        <v>0</v>
      </c>
      <c r="AJ73" s="1178">
        <f t="shared" si="8"/>
        <v>0</v>
      </c>
      <c r="AK73" s="1178">
        <f t="shared" si="8"/>
        <v>0</v>
      </c>
      <c r="AL73" s="1178">
        <f t="shared" si="8"/>
        <v>0</v>
      </c>
      <c r="AM73" s="1178">
        <f t="shared" si="8"/>
        <v>0</v>
      </c>
      <c r="AN73" s="1178">
        <f t="shared" si="8"/>
        <v>0</v>
      </c>
      <c r="AO73" s="1178">
        <f t="shared" si="8"/>
        <v>0</v>
      </c>
      <c r="AP73" s="1178">
        <f t="shared" si="8"/>
        <v>0</v>
      </c>
      <c r="AQ73" s="1178">
        <f t="shared" si="8"/>
        <v>0</v>
      </c>
      <c r="AR73" s="1178">
        <f t="shared" si="8"/>
        <v>0</v>
      </c>
      <c r="AS73" s="1178">
        <f t="shared" si="8"/>
        <v>0</v>
      </c>
      <c r="AT73" s="1178">
        <f t="shared" si="8"/>
        <v>0</v>
      </c>
      <c r="AU73" s="1178">
        <f t="shared" si="8"/>
        <v>0</v>
      </c>
      <c r="AV73" s="1178">
        <f t="shared" si="8"/>
        <v>0</v>
      </c>
      <c r="AW73" s="1180">
        <f t="shared" si="8"/>
        <v>0</v>
      </c>
    </row>
    <row r="74" spans="28:49" ht="15.75" customHeight="1" x14ac:dyDescent="0.2">
      <c r="AB74" s="1160" t="str">
        <f t="shared" si="9"/>
        <v>Bezerras desmamadas</v>
      </c>
      <c r="AC74" s="1198"/>
      <c r="AD74" s="1178">
        <f t="shared" si="10"/>
        <v>0</v>
      </c>
      <c r="AE74" s="1178">
        <f t="shared" si="8"/>
        <v>0</v>
      </c>
      <c r="AF74" s="1178">
        <f t="shared" si="8"/>
        <v>0</v>
      </c>
      <c r="AG74" s="1178">
        <f t="shared" si="8"/>
        <v>0</v>
      </c>
      <c r="AH74" s="1178">
        <f t="shared" si="8"/>
        <v>0</v>
      </c>
      <c r="AI74" s="1178">
        <f t="shared" si="8"/>
        <v>0</v>
      </c>
      <c r="AJ74" s="1178">
        <f t="shared" si="8"/>
        <v>0</v>
      </c>
      <c r="AK74" s="1178">
        <f t="shared" si="8"/>
        <v>0</v>
      </c>
      <c r="AL74" s="1178">
        <f t="shared" si="8"/>
        <v>0</v>
      </c>
      <c r="AM74" s="1178">
        <f t="shared" si="8"/>
        <v>0</v>
      </c>
      <c r="AN74" s="1178">
        <f t="shared" si="8"/>
        <v>0</v>
      </c>
      <c r="AO74" s="1178">
        <f t="shared" si="8"/>
        <v>0</v>
      </c>
      <c r="AP74" s="1178">
        <f t="shared" si="8"/>
        <v>0</v>
      </c>
      <c r="AQ74" s="1178">
        <f t="shared" si="8"/>
        <v>0</v>
      </c>
      <c r="AR74" s="1178">
        <f t="shared" si="8"/>
        <v>0</v>
      </c>
      <c r="AS74" s="1178">
        <f t="shared" si="8"/>
        <v>0</v>
      </c>
      <c r="AT74" s="1178">
        <f t="shared" si="8"/>
        <v>0</v>
      </c>
      <c r="AU74" s="1178">
        <f t="shared" si="8"/>
        <v>0</v>
      </c>
      <c r="AV74" s="1178">
        <f t="shared" si="8"/>
        <v>0</v>
      </c>
      <c r="AW74" s="1180">
        <f t="shared" si="8"/>
        <v>0</v>
      </c>
    </row>
    <row r="75" spans="28:49" ht="15.75" customHeight="1" x14ac:dyDescent="0.2">
      <c r="AB75" s="1160" t="str">
        <f t="shared" si="9"/>
        <v>Novilhas sobreano</v>
      </c>
      <c r="AC75" s="1198"/>
      <c r="AD75" s="1178">
        <f t="shared" si="10"/>
        <v>0</v>
      </c>
      <c r="AE75" s="1178">
        <f t="shared" si="8"/>
        <v>0</v>
      </c>
      <c r="AF75" s="1178">
        <f t="shared" si="8"/>
        <v>0</v>
      </c>
      <c r="AG75" s="1178">
        <f t="shared" si="8"/>
        <v>0</v>
      </c>
      <c r="AH75" s="1178">
        <f t="shared" si="8"/>
        <v>0</v>
      </c>
      <c r="AI75" s="1178">
        <f t="shared" si="8"/>
        <v>0</v>
      </c>
      <c r="AJ75" s="1178">
        <f t="shared" si="8"/>
        <v>0</v>
      </c>
      <c r="AK75" s="1178">
        <f t="shared" si="8"/>
        <v>0</v>
      </c>
      <c r="AL75" s="1178">
        <f t="shared" si="8"/>
        <v>0</v>
      </c>
      <c r="AM75" s="1178">
        <f t="shared" si="8"/>
        <v>0</v>
      </c>
      <c r="AN75" s="1178">
        <f t="shared" si="8"/>
        <v>0</v>
      </c>
      <c r="AO75" s="1178">
        <f t="shared" si="8"/>
        <v>0</v>
      </c>
      <c r="AP75" s="1178">
        <f t="shared" si="8"/>
        <v>0</v>
      </c>
      <c r="AQ75" s="1178">
        <f t="shared" si="8"/>
        <v>0</v>
      </c>
      <c r="AR75" s="1178">
        <f t="shared" si="8"/>
        <v>0</v>
      </c>
      <c r="AS75" s="1178">
        <f t="shared" si="8"/>
        <v>0</v>
      </c>
      <c r="AT75" s="1178">
        <f t="shared" si="8"/>
        <v>0</v>
      </c>
      <c r="AU75" s="1178">
        <f t="shared" si="8"/>
        <v>0</v>
      </c>
      <c r="AV75" s="1178">
        <f t="shared" si="8"/>
        <v>0</v>
      </c>
      <c r="AW75" s="1180">
        <f t="shared" si="8"/>
        <v>0</v>
      </c>
    </row>
    <row r="76" spans="28:49" ht="15.75" customHeight="1" x14ac:dyDescent="0.2">
      <c r="AB76" s="1160" t="str">
        <f t="shared" si="9"/>
        <v>Novilhas preenhe</v>
      </c>
      <c r="AC76" s="1198"/>
      <c r="AD76" s="1178">
        <f t="shared" si="10"/>
        <v>0</v>
      </c>
      <c r="AE76" s="1178">
        <f t="shared" si="8"/>
        <v>0</v>
      </c>
      <c r="AF76" s="1178">
        <f t="shared" si="8"/>
        <v>0</v>
      </c>
      <c r="AG76" s="1178">
        <f t="shared" si="8"/>
        <v>0</v>
      </c>
      <c r="AH76" s="1178">
        <f t="shared" si="8"/>
        <v>0</v>
      </c>
      <c r="AI76" s="1178">
        <f t="shared" si="8"/>
        <v>0</v>
      </c>
      <c r="AJ76" s="1178">
        <f t="shared" si="8"/>
        <v>0</v>
      </c>
      <c r="AK76" s="1178">
        <f t="shared" si="8"/>
        <v>0</v>
      </c>
      <c r="AL76" s="1178">
        <f t="shared" si="8"/>
        <v>0</v>
      </c>
      <c r="AM76" s="1178">
        <f t="shared" si="8"/>
        <v>0</v>
      </c>
      <c r="AN76" s="1178">
        <f t="shared" si="8"/>
        <v>0</v>
      </c>
      <c r="AO76" s="1178">
        <f t="shared" si="8"/>
        <v>0</v>
      </c>
      <c r="AP76" s="1178">
        <f t="shared" si="8"/>
        <v>0</v>
      </c>
      <c r="AQ76" s="1178">
        <f t="shared" si="8"/>
        <v>0</v>
      </c>
      <c r="AR76" s="1178">
        <f t="shared" si="8"/>
        <v>0</v>
      </c>
      <c r="AS76" s="1178">
        <f t="shared" si="8"/>
        <v>0</v>
      </c>
      <c r="AT76" s="1178">
        <f t="shared" si="8"/>
        <v>0</v>
      </c>
      <c r="AU76" s="1178">
        <f t="shared" si="8"/>
        <v>0</v>
      </c>
      <c r="AV76" s="1178">
        <f t="shared" si="8"/>
        <v>0</v>
      </c>
      <c r="AW76" s="1180">
        <f t="shared" si="8"/>
        <v>0</v>
      </c>
    </row>
    <row r="77" spans="28:49" ht="15.75" customHeight="1" x14ac:dyDescent="0.2">
      <c r="AB77" s="1160" t="str">
        <f t="shared" si="9"/>
        <v>Vacas primíparas</v>
      </c>
      <c r="AC77" s="1198"/>
      <c r="AD77" s="1178">
        <f t="shared" si="10"/>
        <v>0</v>
      </c>
      <c r="AE77" s="1178">
        <f t="shared" si="8"/>
        <v>0</v>
      </c>
      <c r="AF77" s="1178">
        <f t="shared" si="8"/>
        <v>0</v>
      </c>
      <c r="AG77" s="1178">
        <f t="shared" si="8"/>
        <v>0</v>
      </c>
      <c r="AH77" s="1178">
        <f t="shared" si="8"/>
        <v>0</v>
      </c>
      <c r="AI77" s="1178">
        <f t="shared" si="8"/>
        <v>0</v>
      </c>
      <c r="AJ77" s="1178">
        <f t="shared" si="8"/>
        <v>0</v>
      </c>
      <c r="AK77" s="1178">
        <f t="shared" si="8"/>
        <v>0</v>
      </c>
      <c r="AL77" s="1178">
        <f t="shared" si="8"/>
        <v>0</v>
      </c>
      <c r="AM77" s="1178">
        <f t="shared" si="8"/>
        <v>0</v>
      </c>
      <c r="AN77" s="1178">
        <f t="shared" si="8"/>
        <v>0</v>
      </c>
      <c r="AO77" s="1178">
        <f t="shared" si="8"/>
        <v>0</v>
      </c>
      <c r="AP77" s="1178">
        <f t="shared" si="8"/>
        <v>0</v>
      </c>
      <c r="AQ77" s="1178">
        <f t="shared" si="8"/>
        <v>0</v>
      </c>
      <c r="AR77" s="1178">
        <f t="shared" si="8"/>
        <v>0</v>
      </c>
      <c r="AS77" s="1178">
        <f t="shared" si="8"/>
        <v>0</v>
      </c>
      <c r="AT77" s="1178">
        <f t="shared" si="8"/>
        <v>0</v>
      </c>
      <c r="AU77" s="1178">
        <f t="shared" si="8"/>
        <v>0</v>
      </c>
      <c r="AV77" s="1178">
        <f t="shared" si="8"/>
        <v>0</v>
      </c>
      <c r="AW77" s="1180">
        <f t="shared" si="8"/>
        <v>0</v>
      </c>
    </row>
    <row r="78" spans="28:49" ht="15.75" customHeight="1" x14ac:dyDescent="0.2">
      <c r="AB78" s="1160" t="str">
        <f t="shared" si="9"/>
        <v>Vacas em lactação multiparas</v>
      </c>
      <c r="AC78" s="1198"/>
      <c r="AD78" s="1178">
        <f t="shared" si="10"/>
        <v>0</v>
      </c>
      <c r="AE78" s="1178">
        <f t="shared" si="8"/>
        <v>0</v>
      </c>
      <c r="AF78" s="1178">
        <f t="shared" si="8"/>
        <v>0</v>
      </c>
      <c r="AG78" s="1178">
        <f t="shared" si="8"/>
        <v>0</v>
      </c>
      <c r="AH78" s="1178">
        <f t="shared" si="8"/>
        <v>0</v>
      </c>
      <c r="AI78" s="1178">
        <f t="shared" si="8"/>
        <v>0</v>
      </c>
      <c r="AJ78" s="1178">
        <f t="shared" si="8"/>
        <v>0</v>
      </c>
      <c r="AK78" s="1178">
        <f t="shared" si="8"/>
        <v>0</v>
      </c>
      <c r="AL78" s="1178">
        <f t="shared" si="8"/>
        <v>0</v>
      </c>
      <c r="AM78" s="1178">
        <f t="shared" si="8"/>
        <v>0</v>
      </c>
      <c r="AN78" s="1178">
        <f t="shared" si="8"/>
        <v>0</v>
      </c>
      <c r="AO78" s="1178">
        <f t="shared" si="8"/>
        <v>0</v>
      </c>
      <c r="AP78" s="1178">
        <f t="shared" si="8"/>
        <v>0</v>
      </c>
      <c r="AQ78" s="1178">
        <f t="shared" si="8"/>
        <v>0</v>
      </c>
      <c r="AR78" s="1178">
        <f t="shared" si="8"/>
        <v>0</v>
      </c>
      <c r="AS78" s="1178">
        <f t="shared" si="8"/>
        <v>0</v>
      </c>
      <c r="AT78" s="1178">
        <f t="shared" si="8"/>
        <v>0</v>
      </c>
      <c r="AU78" s="1178">
        <f t="shared" si="8"/>
        <v>0</v>
      </c>
      <c r="AV78" s="1178">
        <f t="shared" si="8"/>
        <v>0</v>
      </c>
      <c r="AW78" s="1180">
        <f t="shared" si="8"/>
        <v>0</v>
      </c>
    </row>
    <row r="79" spans="28:49" ht="15.75" customHeight="1" x14ac:dyDescent="0.2">
      <c r="AB79" s="1160" t="str">
        <f t="shared" si="9"/>
        <v>Vacas solteiras secas</v>
      </c>
      <c r="AC79" s="1198"/>
      <c r="AD79" s="1178">
        <f t="shared" si="10"/>
        <v>0</v>
      </c>
      <c r="AE79" s="1178">
        <f t="shared" si="8"/>
        <v>0</v>
      </c>
      <c r="AF79" s="1178">
        <f t="shared" si="8"/>
        <v>0</v>
      </c>
      <c r="AG79" s="1178">
        <f t="shared" si="8"/>
        <v>0</v>
      </c>
      <c r="AH79" s="1178">
        <f t="shared" si="8"/>
        <v>0</v>
      </c>
      <c r="AI79" s="1178">
        <f t="shared" si="8"/>
        <v>0</v>
      </c>
      <c r="AJ79" s="1178">
        <f t="shared" si="8"/>
        <v>0</v>
      </c>
      <c r="AK79" s="1178">
        <f t="shared" si="8"/>
        <v>0</v>
      </c>
      <c r="AL79" s="1178">
        <f t="shared" si="8"/>
        <v>0</v>
      </c>
      <c r="AM79" s="1178">
        <f t="shared" si="8"/>
        <v>0</v>
      </c>
      <c r="AN79" s="1178">
        <f t="shared" si="8"/>
        <v>0</v>
      </c>
      <c r="AO79" s="1178">
        <f t="shared" si="8"/>
        <v>0</v>
      </c>
      <c r="AP79" s="1178">
        <f t="shared" si="8"/>
        <v>0</v>
      </c>
      <c r="AQ79" s="1178">
        <f t="shared" si="8"/>
        <v>0</v>
      </c>
      <c r="AR79" s="1178">
        <f t="shared" si="8"/>
        <v>0</v>
      </c>
      <c r="AS79" s="1178">
        <f t="shared" si="8"/>
        <v>0</v>
      </c>
      <c r="AT79" s="1178">
        <f t="shared" si="8"/>
        <v>0</v>
      </c>
      <c r="AU79" s="1178">
        <f t="shared" si="8"/>
        <v>0</v>
      </c>
      <c r="AV79" s="1178">
        <f t="shared" si="8"/>
        <v>0</v>
      </c>
      <c r="AW79" s="1180">
        <f t="shared" si="8"/>
        <v>0</v>
      </c>
    </row>
    <row r="80" spans="28:49" ht="15.75" customHeight="1" x14ac:dyDescent="0.2">
      <c r="AB80" s="1160" t="str">
        <f t="shared" si="9"/>
        <v>Bezerras em aleitamento (Engorda)</v>
      </c>
      <c r="AC80" s="1198"/>
      <c r="AD80" s="1178">
        <f t="shared" si="10"/>
        <v>0</v>
      </c>
      <c r="AE80" s="1178">
        <f t="shared" si="8"/>
        <v>0</v>
      </c>
      <c r="AF80" s="1178">
        <f t="shared" si="8"/>
        <v>0</v>
      </c>
      <c r="AG80" s="1178">
        <f t="shared" si="8"/>
        <v>0</v>
      </c>
      <c r="AH80" s="1178">
        <f t="shared" si="8"/>
        <v>0</v>
      </c>
      <c r="AI80" s="1178">
        <f t="shared" si="8"/>
        <v>0</v>
      </c>
      <c r="AJ80" s="1178">
        <f t="shared" si="8"/>
        <v>0</v>
      </c>
      <c r="AK80" s="1178">
        <f t="shared" si="8"/>
        <v>0</v>
      </c>
      <c r="AL80" s="1178">
        <f t="shared" si="8"/>
        <v>0</v>
      </c>
      <c r="AM80" s="1178">
        <f t="shared" si="8"/>
        <v>0</v>
      </c>
      <c r="AN80" s="1178">
        <f t="shared" si="8"/>
        <v>0</v>
      </c>
      <c r="AO80" s="1178">
        <f t="shared" si="8"/>
        <v>0</v>
      </c>
      <c r="AP80" s="1178">
        <f t="shared" si="8"/>
        <v>0</v>
      </c>
      <c r="AQ80" s="1178">
        <f t="shared" si="8"/>
        <v>0</v>
      </c>
      <c r="AR80" s="1178">
        <f t="shared" si="8"/>
        <v>0</v>
      </c>
      <c r="AS80" s="1178">
        <f t="shared" si="8"/>
        <v>0</v>
      </c>
      <c r="AT80" s="1178">
        <f t="shared" si="8"/>
        <v>0</v>
      </c>
      <c r="AU80" s="1178">
        <f t="shared" si="8"/>
        <v>0</v>
      </c>
      <c r="AV80" s="1178">
        <f t="shared" si="8"/>
        <v>0</v>
      </c>
      <c r="AW80" s="1180">
        <f t="shared" si="8"/>
        <v>0</v>
      </c>
    </row>
    <row r="81" spans="25:49" ht="15.75" customHeight="1" x14ac:dyDescent="0.2">
      <c r="AB81" s="1160" t="str">
        <f t="shared" si="9"/>
        <v>Bezerras desmamadas (Engorda)</v>
      </c>
      <c r="AC81" s="1198"/>
      <c r="AD81" s="1178">
        <f t="shared" si="10"/>
        <v>0</v>
      </c>
      <c r="AE81" s="1178">
        <f t="shared" si="8"/>
        <v>0</v>
      </c>
      <c r="AF81" s="1178">
        <f t="shared" si="8"/>
        <v>0</v>
      </c>
      <c r="AG81" s="1178">
        <f t="shared" si="8"/>
        <v>0</v>
      </c>
      <c r="AH81" s="1178">
        <f t="shared" si="8"/>
        <v>0</v>
      </c>
      <c r="AI81" s="1178">
        <f t="shared" ref="AE81:AW83" si="11">AI21*AI41*AI61*30.5</f>
        <v>0</v>
      </c>
      <c r="AJ81" s="1178">
        <f t="shared" si="11"/>
        <v>0</v>
      </c>
      <c r="AK81" s="1178">
        <f t="shared" si="11"/>
        <v>0</v>
      </c>
      <c r="AL81" s="1178">
        <f t="shared" si="11"/>
        <v>0</v>
      </c>
      <c r="AM81" s="1178">
        <f t="shared" si="11"/>
        <v>0</v>
      </c>
      <c r="AN81" s="1178">
        <f t="shared" si="11"/>
        <v>0</v>
      </c>
      <c r="AO81" s="1178">
        <f t="shared" si="11"/>
        <v>0</v>
      </c>
      <c r="AP81" s="1178">
        <f t="shared" si="11"/>
        <v>0</v>
      </c>
      <c r="AQ81" s="1178">
        <f t="shared" si="11"/>
        <v>0</v>
      </c>
      <c r="AR81" s="1178">
        <f t="shared" si="11"/>
        <v>0</v>
      </c>
      <c r="AS81" s="1178">
        <f t="shared" si="11"/>
        <v>0</v>
      </c>
      <c r="AT81" s="1178">
        <f t="shared" si="11"/>
        <v>0</v>
      </c>
      <c r="AU81" s="1178">
        <f t="shared" si="11"/>
        <v>0</v>
      </c>
      <c r="AV81" s="1178">
        <f t="shared" si="11"/>
        <v>0</v>
      </c>
      <c r="AW81" s="1180">
        <f t="shared" si="11"/>
        <v>0</v>
      </c>
    </row>
    <row r="82" spans="25:49" ht="15.75" customHeight="1" x14ac:dyDescent="0.2">
      <c r="AB82" s="1160" t="str">
        <f t="shared" si="9"/>
        <v>Novilhas sobreano (Engorda)</v>
      </c>
      <c r="AC82" s="1198"/>
      <c r="AD82" s="1178">
        <f t="shared" si="10"/>
        <v>0</v>
      </c>
      <c r="AE82" s="1178">
        <f t="shared" si="11"/>
        <v>0</v>
      </c>
      <c r="AF82" s="1178">
        <f t="shared" si="11"/>
        <v>0</v>
      </c>
      <c r="AG82" s="1178">
        <f t="shared" si="11"/>
        <v>0</v>
      </c>
      <c r="AH82" s="1178">
        <f t="shared" si="11"/>
        <v>0</v>
      </c>
      <c r="AI82" s="1178">
        <f t="shared" si="11"/>
        <v>0</v>
      </c>
      <c r="AJ82" s="1178">
        <f t="shared" si="11"/>
        <v>0</v>
      </c>
      <c r="AK82" s="1178">
        <f t="shared" si="11"/>
        <v>0</v>
      </c>
      <c r="AL82" s="1178">
        <f t="shared" si="11"/>
        <v>0</v>
      </c>
      <c r="AM82" s="1178">
        <f t="shared" si="11"/>
        <v>0</v>
      </c>
      <c r="AN82" s="1178">
        <f t="shared" si="11"/>
        <v>0</v>
      </c>
      <c r="AO82" s="1178">
        <f t="shared" si="11"/>
        <v>0</v>
      </c>
      <c r="AP82" s="1178">
        <f t="shared" si="11"/>
        <v>0</v>
      </c>
      <c r="AQ82" s="1178">
        <f t="shared" si="11"/>
        <v>0</v>
      </c>
      <c r="AR82" s="1178">
        <f t="shared" si="11"/>
        <v>0</v>
      </c>
      <c r="AS82" s="1178">
        <f t="shared" si="11"/>
        <v>0</v>
      </c>
      <c r="AT82" s="1178">
        <f t="shared" si="11"/>
        <v>0</v>
      </c>
      <c r="AU82" s="1178">
        <f t="shared" si="11"/>
        <v>0</v>
      </c>
      <c r="AV82" s="1178">
        <f t="shared" si="11"/>
        <v>0</v>
      </c>
      <c r="AW82" s="1180">
        <f t="shared" si="11"/>
        <v>0</v>
      </c>
    </row>
    <row r="83" spans="25:49" ht="15.75" customHeight="1" thickBot="1" x14ac:dyDescent="0.25">
      <c r="AB83" s="1181" t="str">
        <f t="shared" si="9"/>
        <v>Vaca (Engorda)</v>
      </c>
      <c r="AC83" s="1201"/>
      <c r="AD83" s="1204">
        <f t="shared" si="10"/>
        <v>0</v>
      </c>
      <c r="AE83" s="1204">
        <f t="shared" si="11"/>
        <v>0</v>
      </c>
      <c r="AF83" s="1204">
        <f t="shared" si="11"/>
        <v>0</v>
      </c>
      <c r="AG83" s="1204">
        <f t="shared" si="11"/>
        <v>0</v>
      </c>
      <c r="AH83" s="1204">
        <f t="shared" si="11"/>
        <v>0</v>
      </c>
      <c r="AI83" s="1204">
        <f t="shared" si="11"/>
        <v>0</v>
      </c>
      <c r="AJ83" s="1204">
        <f t="shared" si="11"/>
        <v>0</v>
      </c>
      <c r="AK83" s="1204">
        <f t="shared" si="11"/>
        <v>0</v>
      </c>
      <c r="AL83" s="1204">
        <f t="shared" si="11"/>
        <v>0</v>
      </c>
      <c r="AM83" s="1204">
        <f t="shared" si="11"/>
        <v>0</v>
      </c>
      <c r="AN83" s="1204">
        <f t="shared" si="11"/>
        <v>0</v>
      </c>
      <c r="AO83" s="1204">
        <f t="shared" si="11"/>
        <v>0</v>
      </c>
      <c r="AP83" s="1204">
        <f t="shared" si="11"/>
        <v>0</v>
      </c>
      <c r="AQ83" s="1204">
        <f t="shared" si="11"/>
        <v>0</v>
      </c>
      <c r="AR83" s="1204">
        <f t="shared" si="11"/>
        <v>0</v>
      </c>
      <c r="AS83" s="1204">
        <f t="shared" si="11"/>
        <v>0</v>
      </c>
      <c r="AT83" s="1204">
        <f t="shared" si="11"/>
        <v>0</v>
      </c>
      <c r="AU83" s="1204">
        <f t="shared" si="11"/>
        <v>0</v>
      </c>
      <c r="AV83" s="1204">
        <f t="shared" si="11"/>
        <v>0</v>
      </c>
      <c r="AW83" s="1182">
        <f t="shared" si="11"/>
        <v>0</v>
      </c>
    </row>
    <row r="84" spans="25:49" ht="15.75" customHeight="1" x14ac:dyDescent="0.2"/>
    <row r="85" spans="25:49" ht="15.75" customHeight="1" thickBot="1" x14ac:dyDescent="0.25"/>
    <row r="86" spans="25:49" ht="15.75" customHeight="1" x14ac:dyDescent="0.2">
      <c r="Y86" s="2714" t="s">
        <v>1241</v>
      </c>
      <c r="Z86" s="2716" t="s">
        <v>1242</v>
      </c>
    </row>
    <row r="87" spans="25:49" ht="15.75" customHeight="1" thickBot="1" x14ac:dyDescent="0.25">
      <c r="Y87" s="2715"/>
      <c r="Z87" s="2717"/>
    </row>
    <row r="88" spans="25:49" ht="15.75" customHeight="1" x14ac:dyDescent="0.2">
      <c r="Y88" s="1179" t="str">
        <f t="shared" ref="Y88:Y104" si="12">AB7</f>
        <v>Bezerro em aleitamento</v>
      </c>
      <c r="Z88" s="1183">
        <f t="shared" ref="Z88:Z104" si="13">SUM(AD67:AW67)</f>
        <v>0</v>
      </c>
    </row>
    <row r="89" spans="25:49" ht="15.75" customHeight="1" x14ac:dyDescent="0.2">
      <c r="Y89" s="1160" t="str">
        <f t="shared" si="12"/>
        <v>Bezerro Desmamados</v>
      </c>
      <c r="Z89" s="1184">
        <f t="shared" si="13"/>
        <v>0</v>
      </c>
    </row>
    <row r="90" spans="25:49" ht="15.75" customHeight="1" x14ac:dyDescent="0.2">
      <c r="Y90" s="1160" t="str">
        <f t="shared" si="12"/>
        <v>Garrotes</v>
      </c>
      <c r="Z90" s="1184">
        <f t="shared" si="13"/>
        <v>0</v>
      </c>
    </row>
    <row r="91" spans="25:49" ht="15.75" customHeight="1" x14ac:dyDescent="0.2">
      <c r="Y91" s="1160" t="str">
        <f t="shared" si="12"/>
        <v>Boi magro</v>
      </c>
      <c r="Z91" s="1184">
        <f t="shared" si="13"/>
        <v>0</v>
      </c>
    </row>
    <row r="92" spans="25:49" ht="15.75" customHeight="1" x14ac:dyDescent="0.2">
      <c r="Y92" s="1160" t="str">
        <f t="shared" si="12"/>
        <v>Boi gordo</v>
      </c>
      <c r="Z92" s="1184">
        <f t="shared" si="13"/>
        <v>274.5</v>
      </c>
    </row>
    <row r="93" spans="25:49" ht="15.75" customHeight="1" x14ac:dyDescent="0.2">
      <c r="Y93" s="1160" t="str">
        <f t="shared" si="12"/>
        <v>Touro</v>
      </c>
      <c r="Z93" s="1184">
        <f t="shared" si="13"/>
        <v>0</v>
      </c>
    </row>
    <row r="94" spans="25:49" ht="15.75" customHeight="1" x14ac:dyDescent="0.2">
      <c r="Y94" s="1160" t="str">
        <f t="shared" si="12"/>
        <v>Bezerras em aleitamento</v>
      </c>
      <c r="Z94" s="1184">
        <f t="shared" si="13"/>
        <v>0</v>
      </c>
    </row>
    <row r="95" spans="25:49" ht="15.75" customHeight="1" x14ac:dyDescent="0.2">
      <c r="Y95" s="1160" t="str">
        <f t="shared" si="12"/>
        <v>Bezerras desmamadas</v>
      </c>
      <c r="Z95" s="1184">
        <f t="shared" si="13"/>
        <v>0</v>
      </c>
    </row>
    <row r="96" spans="25:49" ht="15.75" customHeight="1" x14ac:dyDescent="0.2">
      <c r="Y96" s="1160" t="str">
        <f t="shared" si="12"/>
        <v>Novilhas sobreano</v>
      </c>
      <c r="Z96" s="1184">
        <f t="shared" si="13"/>
        <v>0</v>
      </c>
    </row>
    <row r="97" spans="25:26" ht="15.75" customHeight="1" x14ac:dyDescent="0.2">
      <c r="Y97" s="1160" t="str">
        <f t="shared" si="12"/>
        <v>Novilhas preenhe</v>
      </c>
      <c r="Z97" s="1184">
        <f t="shared" si="13"/>
        <v>0</v>
      </c>
    </row>
    <row r="98" spans="25:26" ht="15.75" customHeight="1" x14ac:dyDescent="0.2">
      <c r="Y98" s="1160" t="str">
        <f t="shared" si="12"/>
        <v>Vacas primíparas</v>
      </c>
      <c r="Z98" s="1184">
        <f t="shared" si="13"/>
        <v>0</v>
      </c>
    </row>
    <row r="99" spans="25:26" ht="15.75" customHeight="1" x14ac:dyDescent="0.2">
      <c r="Y99" s="1160" t="str">
        <f t="shared" si="12"/>
        <v>Vacas em lactação multiparas</v>
      </c>
      <c r="Z99" s="1184">
        <f t="shared" si="13"/>
        <v>0</v>
      </c>
    </row>
    <row r="100" spans="25:26" ht="15.75" customHeight="1" x14ac:dyDescent="0.2">
      <c r="Y100" s="1160" t="str">
        <f t="shared" si="12"/>
        <v>Vacas solteiras secas</v>
      </c>
      <c r="Z100" s="1184">
        <f t="shared" si="13"/>
        <v>0</v>
      </c>
    </row>
    <row r="101" spans="25:26" ht="15.75" customHeight="1" x14ac:dyDescent="0.2">
      <c r="Y101" s="1160" t="str">
        <f t="shared" si="12"/>
        <v>Bezerras em aleitamento (Engorda)</v>
      </c>
      <c r="Z101" s="1184">
        <f t="shared" si="13"/>
        <v>0</v>
      </c>
    </row>
    <row r="102" spans="25:26" ht="15.75" customHeight="1" x14ac:dyDescent="0.2">
      <c r="Y102" s="1160" t="str">
        <f t="shared" si="12"/>
        <v>Bezerras desmamadas (Engorda)</v>
      </c>
      <c r="Z102" s="1184">
        <f t="shared" si="13"/>
        <v>0</v>
      </c>
    </row>
    <row r="103" spans="25:26" ht="15.75" customHeight="1" x14ac:dyDescent="0.2">
      <c r="Y103" s="1160" t="str">
        <f t="shared" si="12"/>
        <v>Novilhas sobreano (Engorda)</v>
      </c>
      <c r="Z103" s="1184">
        <f t="shared" si="13"/>
        <v>0</v>
      </c>
    </row>
    <row r="104" spans="25:26" ht="15.75" customHeight="1" thickBot="1" x14ac:dyDescent="0.25">
      <c r="Y104" s="1181" t="str">
        <f t="shared" si="12"/>
        <v>Vaca (Engorda)</v>
      </c>
      <c r="Z104" s="1185">
        <f t="shared" si="13"/>
        <v>0</v>
      </c>
    </row>
    <row r="105" spans="25:26" ht="15.75" customHeight="1" x14ac:dyDescent="0.2"/>
    <row r="106" spans="25:26" ht="15.75" customHeight="1" x14ac:dyDescent="0.2"/>
    <row r="107" spans="25:26" ht="15.75" customHeight="1" x14ac:dyDescent="0.2"/>
    <row r="108" spans="25:26" ht="15.75" customHeight="1" x14ac:dyDescent="0.2"/>
    <row r="109" spans="25:26" ht="15.75" customHeight="1" x14ac:dyDescent="0.2"/>
    <row r="110" spans="25:26" ht="15.75" customHeight="1" x14ac:dyDescent="0.2"/>
    <row r="111" spans="25:26" ht="15.75" customHeight="1" x14ac:dyDescent="0.2"/>
    <row r="112" spans="25:26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</sheetData>
  <mergeCells count="29">
    <mergeCell ref="AB45:AB46"/>
    <mergeCell ref="AD45:AW45"/>
    <mergeCell ref="AB65:AB66"/>
    <mergeCell ref="AD65:AW65"/>
    <mergeCell ref="Y86:Y87"/>
    <mergeCell ref="Z86:Z87"/>
    <mergeCell ref="AD5:AW5"/>
    <mergeCell ref="AB25:AB26"/>
    <mergeCell ref="AD25:AW25"/>
    <mergeCell ref="E49:F49"/>
    <mergeCell ref="E50:F50"/>
    <mergeCell ref="E41:F41"/>
    <mergeCell ref="E46:F46"/>
    <mergeCell ref="E47:F47"/>
    <mergeCell ref="E48:F48"/>
    <mergeCell ref="E37:F37"/>
    <mergeCell ref="E38:F38"/>
    <mergeCell ref="E39:F39"/>
    <mergeCell ref="E40:F40"/>
    <mergeCell ref="I35:J35"/>
    <mergeCell ref="E36:F36"/>
    <mergeCell ref="P5:P6"/>
    <mergeCell ref="V27:X27"/>
    <mergeCell ref="Q5:R5"/>
    <mergeCell ref="I27:J27"/>
    <mergeCell ref="L5:L6"/>
    <mergeCell ref="O5:O6"/>
    <mergeCell ref="M5:M6"/>
    <mergeCell ref="N5:N6"/>
  </mergeCells>
  <phoneticPr fontId="0" type="noConversion"/>
  <conditionalFormatting sqref="E37:F41">
    <cfRule type="expression" dxfId="488" priority="16" stopIfTrue="1">
      <formula>$D37=1</formula>
    </cfRule>
  </conditionalFormatting>
  <conditionalFormatting sqref="I7:P24">
    <cfRule type="expression" dxfId="487" priority="15" stopIfTrue="1">
      <formula>$H7=1</formula>
    </cfRule>
  </conditionalFormatting>
  <conditionalFormatting sqref="F7:F24">
    <cfRule type="expression" dxfId="486" priority="13" stopIfTrue="1">
      <formula>$C7=1</formula>
    </cfRule>
  </conditionalFormatting>
  <conditionalFormatting sqref="N7:N24">
    <cfRule type="expression" dxfId="485" priority="12" stopIfTrue="1">
      <formula>$H7&gt;1</formula>
    </cfRule>
  </conditionalFormatting>
  <conditionalFormatting sqref="N7:N24">
    <cfRule type="expression" dxfId="484" priority="11" stopIfTrue="1">
      <formula>$H7&gt;1</formula>
    </cfRule>
  </conditionalFormatting>
  <conditionalFormatting sqref="N7:N24">
    <cfRule type="expression" dxfId="483" priority="10" stopIfTrue="1">
      <formula>$H7&gt;1</formula>
    </cfRule>
  </conditionalFormatting>
  <conditionalFormatting sqref="P25">
    <cfRule type="expression" dxfId="482" priority="9" stopIfTrue="1">
      <formula>$H25=1</formula>
    </cfRule>
  </conditionalFormatting>
  <conditionalFormatting sqref="AD67:AW83 Z88:Z104">
    <cfRule type="expression" dxfId="481" priority="8" stopIfTrue="1">
      <formula>$AD$7&gt;0</formula>
    </cfRule>
  </conditionalFormatting>
  <pageMargins left="0.78740157499999996" right="0.78740157499999996" top="0.984251969" bottom="0.984251969" header="0.5" footer="0.5"/>
  <pageSetup scale="7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937" r:id="rId4" name="Drop Down 1">
              <controlPr defaultSize="0" autoLine="0" autoPict="0">
                <anchor moveWithCells="1">
                  <from>
                    <xdr:col>7</xdr:col>
                    <xdr:colOff>0</xdr:colOff>
                    <xdr:row>6</xdr:row>
                    <xdr:rowOff>0</xdr:rowOff>
                  </from>
                  <to>
                    <xdr:col>7</xdr:col>
                    <xdr:colOff>1419225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38" r:id="rId5" name="Drop Down 2">
              <controlPr defaultSize="0" autoLine="0" autoPict="0">
                <anchor moveWithCells="1">
                  <from>
                    <xdr:col>2</xdr:col>
                    <xdr:colOff>0</xdr:colOff>
                    <xdr:row>28</xdr:row>
                    <xdr:rowOff>0</xdr:rowOff>
                  </from>
                  <to>
                    <xdr:col>3</xdr:col>
                    <xdr:colOff>28575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39" r:id="rId6" name="Drop Down 3">
              <controlPr defaultSize="0" autoLine="0" autoPict="0">
                <anchor moveWithCells="1">
                  <from>
                    <xdr:col>3</xdr:col>
                    <xdr:colOff>9525</xdr:colOff>
                    <xdr:row>28</xdr:row>
                    <xdr:rowOff>9525</xdr:rowOff>
                  </from>
                  <to>
                    <xdr:col>4</xdr:col>
                    <xdr:colOff>0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40" r:id="rId7" name="Drop Down 4">
              <controlPr defaultSize="0" autoLine="0" autoPict="0">
                <anchor moveWithCells="1">
                  <from>
                    <xdr:col>3</xdr:col>
                    <xdr:colOff>0</xdr:colOff>
                    <xdr:row>36</xdr:row>
                    <xdr:rowOff>0</xdr:rowOff>
                  </from>
                  <to>
                    <xdr:col>4</xdr:col>
                    <xdr:colOff>28575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41" r:id="rId8" name="Drop Down 5">
              <controlPr defaultSize="0" autoLine="0" autoPict="0">
                <anchor moveWithCells="1">
                  <from>
                    <xdr:col>3</xdr:col>
                    <xdr:colOff>0</xdr:colOff>
                    <xdr:row>37</xdr:row>
                    <xdr:rowOff>0</xdr:rowOff>
                  </from>
                  <to>
                    <xdr:col>4</xdr:col>
                    <xdr:colOff>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42" r:id="rId9" name="Drop Down 6">
              <controlPr defaultSize="0" autoLine="0" autoPict="0">
                <anchor moveWithCells="1">
                  <from>
                    <xdr:col>3</xdr:col>
                    <xdr:colOff>0</xdr:colOff>
                    <xdr:row>38</xdr:row>
                    <xdr:rowOff>0</xdr:rowOff>
                  </from>
                  <to>
                    <xdr:col>4</xdr:col>
                    <xdr:colOff>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43" r:id="rId10" name="Drop Down 7">
              <controlPr defaultSize="0" autoLine="0" autoPict="0">
                <anchor moveWithCells="1">
                  <from>
                    <xdr:col>3</xdr:col>
                    <xdr:colOff>0</xdr:colOff>
                    <xdr:row>39</xdr:row>
                    <xdr:rowOff>0</xdr:rowOff>
                  </from>
                  <to>
                    <xdr:col>4</xdr:col>
                    <xdr:colOff>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44" r:id="rId11" name="Drop Down 8">
              <controlPr defaultSize="0" autoLine="0" autoPict="0">
                <anchor moveWithCells="1">
                  <from>
                    <xdr:col>3</xdr:col>
                    <xdr:colOff>0</xdr:colOff>
                    <xdr:row>40</xdr:row>
                    <xdr:rowOff>0</xdr:rowOff>
                  </from>
                  <to>
                    <xdr:col>4</xdr:col>
                    <xdr:colOff>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45" r:id="rId12" name="Drop Down 9">
              <controlPr defaultSize="0" autoLine="0" autoPict="0">
                <anchor moveWithCells="1">
                  <from>
                    <xdr:col>2</xdr:col>
                    <xdr:colOff>0</xdr:colOff>
                    <xdr:row>29</xdr:row>
                    <xdr:rowOff>0</xdr:rowOff>
                  </from>
                  <to>
                    <xdr:col>3</xdr:col>
                    <xdr:colOff>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46" r:id="rId13" name="Drop Down 10">
              <controlPr defaultSize="0" autoLine="0" autoPict="0">
                <anchor moveWithCells="1">
                  <from>
                    <xdr:col>2</xdr:col>
                    <xdr:colOff>0</xdr:colOff>
                    <xdr:row>30</xdr:row>
                    <xdr:rowOff>0</xdr:rowOff>
                  </from>
                  <to>
                    <xdr:col>3</xdr:col>
                    <xdr:colOff>0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47" r:id="rId14" name="Drop Down 11">
              <controlPr defaultSize="0" autoLine="0" autoPict="0">
                <anchor moveWithCells="1">
                  <from>
                    <xdr:col>2</xdr:col>
                    <xdr:colOff>0</xdr:colOff>
                    <xdr:row>31</xdr:row>
                    <xdr:rowOff>9525</xdr:rowOff>
                  </from>
                  <to>
                    <xdr:col>3</xdr:col>
                    <xdr:colOff>28575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48" r:id="rId15" name="Drop Down 12">
              <controlPr defaultSize="0" autoLine="0" autoPict="0">
                <anchor moveWithCells="1">
                  <from>
                    <xdr:col>3</xdr:col>
                    <xdr:colOff>0</xdr:colOff>
                    <xdr:row>29</xdr:row>
                    <xdr:rowOff>9525</xdr:rowOff>
                  </from>
                  <to>
                    <xdr:col>4</xdr:col>
                    <xdr:colOff>0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49" r:id="rId16" name="Drop Down 13">
              <controlPr defaultSize="0" autoLine="0" autoPict="0">
                <anchor moveWithCells="1">
                  <from>
                    <xdr:col>3</xdr:col>
                    <xdr:colOff>0</xdr:colOff>
                    <xdr:row>30</xdr:row>
                    <xdr:rowOff>0</xdr:rowOff>
                  </from>
                  <to>
                    <xdr:col>4</xdr:col>
                    <xdr:colOff>0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50" r:id="rId17" name="Drop Down 14">
              <controlPr defaultSize="0" autoLine="0" autoPict="0">
                <anchor moveWithCells="1">
                  <from>
                    <xdr:col>3</xdr:col>
                    <xdr:colOff>0</xdr:colOff>
                    <xdr:row>30</xdr:row>
                    <xdr:rowOff>200025</xdr:rowOff>
                  </from>
                  <to>
                    <xdr:col>4</xdr:col>
                    <xdr:colOff>0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51" r:id="rId18" name="Drop Down 15">
              <controlPr defaultSize="0" autoLine="0" autoPict="0">
                <anchor moveWithCells="1">
                  <from>
                    <xdr:col>2</xdr:col>
                    <xdr:colOff>0</xdr:colOff>
                    <xdr:row>6</xdr:row>
                    <xdr:rowOff>0</xdr:rowOff>
                  </from>
                  <to>
                    <xdr:col>3</xdr:col>
                    <xdr:colOff>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52" r:id="rId19" name="Drop Down 16">
              <controlPr defaultSize="0" autoLine="0" autoPict="0">
                <anchor moveWithCells="1">
                  <from>
                    <xdr:col>2</xdr:col>
                    <xdr:colOff>0</xdr:colOff>
                    <xdr:row>7</xdr:row>
                    <xdr:rowOff>0</xdr:rowOff>
                  </from>
                  <to>
                    <xdr:col>3</xdr:col>
                    <xdr:colOff>0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53" r:id="rId20" name="Drop Down 17">
              <controlPr defaultSize="0" autoLine="0" autoPict="0">
                <anchor moveWithCells="1">
                  <from>
                    <xdr:col>2</xdr:col>
                    <xdr:colOff>0</xdr:colOff>
                    <xdr:row>8</xdr:row>
                    <xdr:rowOff>9525</xdr:rowOff>
                  </from>
                  <to>
                    <xdr:col>3</xdr:col>
                    <xdr:colOff>0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54" r:id="rId21" name="Drop Down 18">
              <controlPr defaultSize="0" autoLine="0" autoPict="0">
                <anchor moveWithCells="1">
                  <from>
                    <xdr:col>2</xdr:col>
                    <xdr:colOff>0</xdr:colOff>
                    <xdr:row>9</xdr:row>
                    <xdr:rowOff>9525</xdr:rowOff>
                  </from>
                  <to>
                    <xdr:col>3</xdr:col>
                    <xdr:colOff>0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55" r:id="rId22" name="Drop Down 19">
              <controlPr defaultSize="0" autoLine="0" autoPict="0">
                <anchor moveWithCells="1">
                  <from>
                    <xdr:col>2</xdr:col>
                    <xdr:colOff>0</xdr:colOff>
                    <xdr:row>10</xdr:row>
                    <xdr:rowOff>9525</xdr:rowOff>
                  </from>
                  <to>
                    <xdr:col>3</xdr:col>
                    <xdr:colOff>0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56" r:id="rId23" name="Drop Down 20">
              <controlPr defaultSize="0" autoLine="0" autoPict="0">
                <anchor moveWithCells="1">
                  <from>
                    <xdr:col>2</xdr:col>
                    <xdr:colOff>0</xdr:colOff>
                    <xdr:row>11</xdr:row>
                    <xdr:rowOff>9525</xdr:rowOff>
                  </from>
                  <to>
                    <xdr:col>3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57" r:id="rId24" name="Drop Down 21">
              <controlPr defaultSize="0" autoLine="0" autoPict="0">
                <anchor moveWithCells="1">
                  <from>
                    <xdr:col>2</xdr:col>
                    <xdr:colOff>0</xdr:colOff>
                    <xdr:row>12</xdr:row>
                    <xdr:rowOff>9525</xdr:rowOff>
                  </from>
                  <to>
                    <xdr:col>3</xdr:col>
                    <xdr:colOff>0</xdr:colOff>
                    <xdr:row>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58" r:id="rId25" name="Drop Down 22">
              <controlPr defaultSize="0" autoLine="0" autoPict="0">
                <anchor moveWithCells="1">
                  <from>
                    <xdr:col>2</xdr:col>
                    <xdr:colOff>0</xdr:colOff>
                    <xdr:row>13</xdr:row>
                    <xdr:rowOff>9525</xdr:rowOff>
                  </from>
                  <to>
                    <xdr:col>3</xdr:col>
                    <xdr:colOff>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59" r:id="rId26" name="Drop Down 23">
              <controlPr defaultSize="0" autoLine="0" autoPict="0">
                <anchor moveWithCells="1">
                  <from>
                    <xdr:col>2</xdr:col>
                    <xdr:colOff>0</xdr:colOff>
                    <xdr:row>14</xdr:row>
                    <xdr:rowOff>9525</xdr:rowOff>
                  </from>
                  <to>
                    <xdr:col>3</xdr:col>
                    <xdr:colOff>0</xdr:colOff>
                    <xdr:row>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60" r:id="rId27" name="Drop Down 24">
              <controlPr defaultSize="0" autoLine="0" autoPict="0">
                <anchor moveWithCells="1">
                  <from>
                    <xdr:col>16</xdr:col>
                    <xdr:colOff>0</xdr:colOff>
                    <xdr:row>6</xdr:row>
                    <xdr:rowOff>0</xdr:rowOff>
                  </from>
                  <to>
                    <xdr:col>17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61" r:id="rId28" name="Drop Down 25">
              <controlPr defaultSize="0" autoLine="0" autoPict="0">
                <anchor moveWithCells="1">
                  <from>
                    <xdr:col>17</xdr:col>
                    <xdr:colOff>0</xdr:colOff>
                    <xdr:row>6</xdr:row>
                    <xdr:rowOff>0</xdr:rowOff>
                  </from>
                  <to>
                    <xdr:col>18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62" r:id="rId29" name="Drop Down 26">
              <controlPr defaultSize="0" autoLine="0" autoPict="0">
                <anchor moveWithCells="1">
                  <from>
                    <xdr:col>16</xdr:col>
                    <xdr:colOff>0</xdr:colOff>
                    <xdr:row>7</xdr:row>
                    <xdr:rowOff>0</xdr:rowOff>
                  </from>
                  <to>
                    <xdr:col>17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63" r:id="rId30" name="Drop Down 27">
              <controlPr defaultSize="0" autoLine="0" autoPict="0">
                <anchor moveWithCells="1">
                  <from>
                    <xdr:col>16</xdr:col>
                    <xdr:colOff>0</xdr:colOff>
                    <xdr:row>8</xdr:row>
                    <xdr:rowOff>0</xdr:rowOff>
                  </from>
                  <to>
                    <xdr:col>17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64" r:id="rId31" name="Drop Down 28">
              <controlPr defaultSize="0" autoLine="0" autoPict="0">
                <anchor moveWithCells="1">
                  <from>
                    <xdr:col>16</xdr:col>
                    <xdr:colOff>0</xdr:colOff>
                    <xdr:row>9</xdr:row>
                    <xdr:rowOff>0</xdr:rowOff>
                  </from>
                  <to>
                    <xdr:col>17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65" r:id="rId32" name="Drop Down 29">
              <controlPr defaultSize="0" autoLine="0" autoPict="0">
                <anchor moveWithCells="1">
                  <from>
                    <xdr:col>16</xdr:col>
                    <xdr:colOff>0</xdr:colOff>
                    <xdr:row>10</xdr:row>
                    <xdr:rowOff>0</xdr:rowOff>
                  </from>
                  <to>
                    <xdr:col>17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66" r:id="rId33" name="Drop Down 30">
              <controlPr defaultSize="0" autoLine="0" autoPict="0">
                <anchor moveWithCells="1">
                  <from>
                    <xdr:col>16</xdr:col>
                    <xdr:colOff>0</xdr:colOff>
                    <xdr:row>11</xdr:row>
                    <xdr:rowOff>0</xdr:rowOff>
                  </from>
                  <to>
                    <xdr:col>17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67" r:id="rId34" name="Drop Down 31">
              <controlPr defaultSize="0" autoLine="0" autoPict="0">
                <anchor moveWithCells="1">
                  <from>
                    <xdr:col>16</xdr:col>
                    <xdr:colOff>0</xdr:colOff>
                    <xdr:row>12</xdr:row>
                    <xdr:rowOff>0</xdr:rowOff>
                  </from>
                  <to>
                    <xdr:col>17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68" r:id="rId35" name="Drop Down 32">
              <controlPr defaultSize="0" autoLine="0" autoPict="0">
                <anchor moveWithCells="1">
                  <from>
                    <xdr:col>16</xdr:col>
                    <xdr:colOff>0</xdr:colOff>
                    <xdr:row>13</xdr:row>
                    <xdr:rowOff>0</xdr:rowOff>
                  </from>
                  <to>
                    <xdr:col>17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69" r:id="rId36" name="Drop Down 33">
              <controlPr defaultSize="0" autoLine="0" autoPict="0">
                <anchor moveWithCells="1">
                  <from>
                    <xdr:col>16</xdr:col>
                    <xdr:colOff>0</xdr:colOff>
                    <xdr:row>14</xdr:row>
                    <xdr:rowOff>0</xdr:rowOff>
                  </from>
                  <to>
                    <xdr:col>17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70" r:id="rId37" name="Drop Down 34">
              <controlPr defaultSize="0" autoLine="0" autoPict="0">
                <anchor moveWithCells="1">
                  <from>
                    <xdr:col>17</xdr:col>
                    <xdr:colOff>0</xdr:colOff>
                    <xdr:row>7</xdr:row>
                    <xdr:rowOff>0</xdr:rowOff>
                  </from>
                  <to>
                    <xdr:col>18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71" r:id="rId38" name="Drop Down 35">
              <controlPr defaultSize="0" autoLine="0" autoPict="0">
                <anchor moveWithCells="1">
                  <from>
                    <xdr:col>17</xdr:col>
                    <xdr:colOff>0</xdr:colOff>
                    <xdr:row>8</xdr:row>
                    <xdr:rowOff>0</xdr:rowOff>
                  </from>
                  <to>
                    <xdr:col>18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72" r:id="rId39" name="Drop Down 36">
              <controlPr defaultSize="0" autoLine="0" autoPict="0">
                <anchor moveWithCells="1">
                  <from>
                    <xdr:col>17</xdr:col>
                    <xdr:colOff>0</xdr:colOff>
                    <xdr:row>9</xdr:row>
                    <xdr:rowOff>0</xdr:rowOff>
                  </from>
                  <to>
                    <xdr:col>18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73" r:id="rId40" name="Drop Down 37">
              <controlPr defaultSize="0" autoLine="0" autoPict="0">
                <anchor moveWithCells="1">
                  <from>
                    <xdr:col>17</xdr:col>
                    <xdr:colOff>0</xdr:colOff>
                    <xdr:row>10</xdr:row>
                    <xdr:rowOff>0</xdr:rowOff>
                  </from>
                  <to>
                    <xdr:col>18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74" r:id="rId41" name="Drop Down 38">
              <controlPr defaultSize="0" autoLine="0" autoPict="0">
                <anchor moveWithCells="1">
                  <from>
                    <xdr:col>17</xdr:col>
                    <xdr:colOff>0</xdr:colOff>
                    <xdr:row>11</xdr:row>
                    <xdr:rowOff>0</xdr:rowOff>
                  </from>
                  <to>
                    <xdr:col>18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75" r:id="rId42" name="Drop Down 39">
              <controlPr defaultSize="0" autoLine="0" autoPict="0">
                <anchor moveWithCells="1">
                  <from>
                    <xdr:col>17</xdr:col>
                    <xdr:colOff>0</xdr:colOff>
                    <xdr:row>12</xdr:row>
                    <xdr:rowOff>0</xdr:rowOff>
                  </from>
                  <to>
                    <xdr:col>18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76" r:id="rId43" name="Drop Down 40">
              <controlPr defaultSize="0" autoLine="0" autoPict="0">
                <anchor moveWithCells="1">
                  <from>
                    <xdr:col>17</xdr:col>
                    <xdr:colOff>0</xdr:colOff>
                    <xdr:row>13</xdr:row>
                    <xdr:rowOff>0</xdr:rowOff>
                  </from>
                  <to>
                    <xdr:col>18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77" r:id="rId44" name="Drop Down 41">
              <controlPr defaultSize="0" autoLine="0" autoPict="0">
                <anchor moveWithCells="1">
                  <from>
                    <xdr:col>17</xdr:col>
                    <xdr:colOff>0</xdr:colOff>
                    <xdr:row>14</xdr:row>
                    <xdr:rowOff>0</xdr:rowOff>
                  </from>
                  <to>
                    <xdr:col>18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78" r:id="rId45" name="Drop Down 42">
              <controlPr defaultSize="0" autoLine="0" autoPict="0">
                <anchor moveWithCells="1">
                  <from>
                    <xdr:col>8</xdr:col>
                    <xdr:colOff>0</xdr:colOff>
                    <xdr:row>28</xdr:row>
                    <xdr:rowOff>0</xdr:rowOff>
                  </from>
                  <to>
                    <xdr:col>9</xdr:col>
                    <xdr:colOff>0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79" r:id="rId46" name="Drop Down 43">
              <controlPr defaultSize="0" autoLine="0" autoPict="0">
                <anchor moveWithCells="1">
                  <from>
                    <xdr:col>9</xdr:col>
                    <xdr:colOff>0</xdr:colOff>
                    <xdr:row>28</xdr:row>
                    <xdr:rowOff>0</xdr:rowOff>
                  </from>
                  <to>
                    <xdr:col>10</xdr:col>
                    <xdr:colOff>28575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80" r:id="rId47" name="Drop Down 44">
              <controlPr defaultSize="0" autoLine="0" autoPict="0">
                <anchor moveWithCells="1">
                  <from>
                    <xdr:col>8</xdr:col>
                    <xdr:colOff>0</xdr:colOff>
                    <xdr:row>29</xdr:row>
                    <xdr:rowOff>0</xdr:rowOff>
                  </from>
                  <to>
                    <xdr:col>9</xdr:col>
                    <xdr:colOff>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81" r:id="rId48" name="Drop Down 45">
              <controlPr defaultSize="0" autoLine="0" autoPict="0">
                <anchor moveWithCells="1">
                  <from>
                    <xdr:col>8</xdr:col>
                    <xdr:colOff>0</xdr:colOff>
                    <xdr:row>30</xdr:row>
                    <xdr:rowOff>0</xdr:rowOff>
                  </from>
                  <to>
                    <xdr:col>9</xdr:col>
                    <xdr:colOff>0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82" r:id="rId49" name="Drop Down 46">
              <controlPr defaultSize="0" autoLine="0" autoPict="0">
                <anchor moveWithCells="1">
                  <from>
                    <xdr:col>8</xdr:col>
                    <xdr:colOff>0</xdr:colOff>
                    <xdr:row>31</xdr:row>
                    <xdr:rowOff>0</xdr:rowOff>
                  </from>
                  <to>
                    <xdr:col>9</xdr:col>
                    <xdr:colOff>0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83" r:id="rId50" name="Drop Down 47">
              <controlPr defaultSize="0" autoLine="0" autoPict="0">
                <anchor moveWithCells="1">
                  <from>
                    <xdr:col>9</xdr:col>
                    <xdr:colOff>0</xdr:colOff>
                    <xdr:row>29</xdr:row>
                    <xdr:rowOff>0</xdr:rowOff>
                  </from>
                  <to>
                    <xdr:col>10</xdr:col>
                    <xdr:colOff>28575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84" r:id="rId51" name="Drop Down 48">
              <controlPr defaultSize="0" autoLine="0" autoPict="0">
                <anchor moveWithCells="1">
                  <from>
                    <xdr:col>9</xdr:col>
                    <xdr:colOff>0</xdr:colOff>
                    <xdr:row>30</xdr:row>
                    <xdr:rowOff>0</xdr:rowOff>
                  </from>
                  <to>
                    <xdr:col>10</xdr:col>
                    <xdr:colOff>38100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85" r:id="rId52" name="Drop Down 49">
              <controlPr defaultSize="0" autoLine="0" autoPict="0">
                <anchor moveWithCells="1">
                  <from>
                    <xdr:col>9</xdr:col>
                    <xdr:colOff>0</xdr:colOff>
                    <xdr:row>31</xdr:row>
                    <xdr:rowOff>0</xdr:rowOff>
                  </from>
                  <to>
                    <xdr:col>10</xdr:col>
                    <xdr:colOff>28575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86" r:id="rId53" name="Drop Down 50">
              <controlPr defaultSize="0" autoLine="0" autoPict="0">
                <anchor moveWithCells="1">
                  <from>
                    <xdr:col>8</xdr:col>
                    <xdr:colOff>0</xdr:colOff>
                    <xdr:row>36</xdr:row>
                    <xdr:rowOff>0</xdr:rowOff>
                  </from>
                  <to>
                    <xdr:col>9</xdr:col>
                    <xdr:colOff>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87" r:id="rId54" name="Drop Down 51">
              <controlPr defaultSize="0" autoLine="0" autoPict="0">
                <anchor moveWithCells="1">
                  <from>
                    <xdr:col>9</xdr:col>
                    <xdr:colOff>0</xdr:colOff>
                    <xdr:row>36</xdr:row>
                    <xdr:rowOff>0</xdr:rowOff>
                  </from>
                  <to>
                    <xdr:col>10</xdr:col>
                    <xdr:colOff>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88" r:id="rId55" name="Drop Down 52">
              <controlPr defaultSize="0" autoLine="0" autoPict="0">
                <anchor moveWithCells="1">
                  <from>
                    <xdr:col>8</xdr:col>
                    <xdr:colOff>0</xdr:colOff>
                    <xdr:row>37</xdr:row>
                    <xdr:rowOff>0</xdr:rowOff>
                  </from>
                  <to>
                    <xdr:col>9</xdr:col>
                    <xdr:colOff>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89" r:id="rId56" name="Drop Down 53">
              <controlPr defaultSize="0" autoLine="0" autoPict="0">
                <anchor moveWithCells="1">
                  <from>
                    <xdr:col>8</xdr:col>
                    <xdr:colOff>0</xdr:colOff>
                    <xdr:row>38</xdr:row>
                    <xdr:rowOff>0</xdr:rowOff>
                  </from>
                  <to>
                    <xdr:col>9</xdr:col>
                    <xdr:colOff>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90" r:id="rId57" name="Drop Down 54">
              <controlPr defaultSize="0" autoLine="0" autoPict="0">
                <anchor moveWithCells="1">
                  <from>
                    <xdr:col>8</xdr:col>
                    <xdr:colOff>0</xdr:colOff>
                    <xdr:row>39</xdr:row>
                    <xdr:rowOff>0</xdr:rowOff>
                  </from>
                  <to>
                    <xdr:col>9</xdr:col>
                    <xdr:colOff>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91" r:id="rId58" name="Drop Down 55">
              <controlPr defaultSize="0" autoLine="0" autoPict="0">
                <anchor moveWithCells="1">
                  <from>
                    <xdr:col>8</xdr:col>
                    <xdr:colOff>0</xdr:colOff>
                    <xdr:row>40</xdr:row>
                    <xdr:rowOff>0</xdr:rowOff>
                  </from>
                  <to>
                    <xdr:col>9</xdr:col>
                    <xdr:colOff>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92" r:id="rId59" name="Drop Down 56">
              <controlPr defaultSize="0" autoLine="0" autoPict="0">
                <anchor moveWithCells="1">
                  <from>
                    <xdr:col>9</xdr:col>
                    <xdr:colOff>0</xdr:colOff>
                    <xdr:row>37</xdr:row>
                    <xdr:rowOff>0</xdr:rowOff>
                  </from>
                  <to>
                    <xdr:col>10</xdr:col>
                    <xdr:colOff>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93" r:id="rId60" name="Drop Down 57">
              <controlPr defaultSize="0" autoLine="0" autoPict="0">
                <anchor moveWithCells="1">
                  <from>
                    <xdr:col>9</xdr:col>
                    <xdr:colOff>0</xdr:colOff>
                    <xdr:row>38</xdr:row>
                    <xdr:rowOff>0</xdr:rowOff>
                  </from>
                  <to>
                    <xdr:col>10</xdr:col>
                    <xdr:colOff>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94" r:id="rId61" name="Drop Down 58">
              <controlPr defaultSize="0" autoLine="0" autoPict="0">
                <anchor moveWithCells="1">
                  <from>
                    <xdr:col>9</xdr:col>
                    <xdr:colOff>0</xdr:colOff>
                    <xdr:row>39</xdr:row>
                    <xdr:rowOff>0</xdr:rowOff>
                  </from>
                  <to>
                    <xdr:col>10</xdr:col>
                    <xdr:colOff>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95" r:id="rId62" name="Drop Down 59">
              <controlPr defaultSize="0" autoLine="0" autoPict="0">
                <anchor moveWithCells="1">
                  <from>
                    <xdr:col>9</xdr:col>
                    <xdr:colOff>0</xdr:colOff>
                    <xdr:row>40</xdr:row>
                    <xdr:rowOff>0</xdr:rowOff>
                  </from>
                  <to>
                    <xdr:col>10</xdr:col>
                    <xdr:colOff>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96" r:id="rId63" name="Drop Down 60">
              <controlPr defaultSize="0" autoLine="0" autoPict="0">
                <anchor moveWithCells="1">
                  <from>
                    <xdr:col>7</xdr:col>
                    <xdr:colOff>0</xdr:colOff>
                    <xdr:row>7</xdr:row>
                    <xdr:rowOff>0</xdr:rowOff>
                  </from>
                  <to>
                    <xdr:col>7</xdr:col>
                    <xdr:colOff>1419225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97" r:id="rId64" name="Drop Down 61">
              <controlPr defaultSize="0" autoLine="0" autoPict="0">
                <anchor moveWithCells="1">
                  <from>
                    <xdr:col>7</xdr:col>
                    <xdr:colOff>0</xdr:colOff>
                    <xdr:row>8</xdr:row>
                    <xdr:rowOff>0</xdr:rowOff>
                  </from>
                  <to>
                    <xdr:col>7</xdr:col>
                    <xdr:colOff>1419225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98" r:id="rId65" name="Drop Down 62">
              <controlPr defaultSize="0" autoLine="0" autoPict="0">
                <anchor moveWithCells="1">
                  <from>
                    <xdr:col>7</xdr:col>
                    <xdr:colOff>0</xdr:colOff>
                    <xdr:row>9</xdr:row>
                    <xdr:rowOff>0</xdr:rowOff>
                  </from>
                  <to>
                    <xdr:col>7</xdr:col>
                    <xdr:colOff>1419225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99" r:id="rId66" name="Drop Down 63">
              <controlPr defaultSize="0" autoLine="0" autoPict="0">
                <anchor moveWithCells="1">
                  <from>
                    <xdr:col>7</xdr:col>
                    <xdr:colOff>0</xdr:colOff>
                    <xdr:row>10</xdr:row>
                    <xdr:rowOff>0</xdr:rowOff>
                  </from>
                  <to>
                    <xdr:col>7</xdr:col>
                    <xdr:colOff>1419225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00" r:id="rId67" name="Drop Down 64">
              <controlPr defaultSize="0" autoLine="0" autoPict="0">
                <anchor moveWithCells="1">
                  <from>
                    <xdr:col>7</xdr:col>
                    <xdr:colOff>0</xdr:colOff>
                    <xdr:row>11</xdr:row>
                    <xdr:rowOff>0</xdr:rowOff>
                  </from>
                  <to>
                    <xdr:col>7</xdr:col>
                    <xdr:colOff>1419225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01" r:id="rId68" name="Drop Down 65">
              <controlPr defaultSize="0" autoLine="0" autoPict="0">
                <anchor moveWithCells="1">
                  <from>
                    <xdr:col>7</xdr:col>
                    <xdr:colOff>0</xdr:colOff>
                    <xdr:row>12</xdr:row>
                    <xdr:rowOff>0</xdr:rowOff>
                  </from>
                  <to>
                    <xdr:col>7</xdr:col>
                    <xdr:colOff>1419225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02" r:id="rId69" name="Drop Down 66">
              <controlPr defaultSize="0" autoLine="0" autoPict="0">
                <anchor moveWithCells="1">
                  <from>
                    <xdr:col>7</xdr:col>
                    <xdr:colOff>0</xdr:colOff>
                    <xdr:row>13</xdr:row>
                    <xdr:rowOff>0</xdr:rowOff>
                  </from>
                  <to>
                    <xdr:col>7</xdr:col>
                    <xdr:colOff>1419225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03" r:id="rId70" name="Drop Down 67">
              <controlPr defaultSize="0" autoLine="0" autoPict="0">
                <anchor moveWithCells="1">
                  <from>
                    <xdr:col>7</xdr:col>
                    <xdr:colOff>0</xdr:colOff>
                    <xdr:row>14</xdr:row>
                    <xdr:rowOff>0</xdr:rowOff>
                  </from>
                  <to>
                    <xdr:col>7</xdr:col>
                    <xdr:colOff>1419225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04" r:id="rId71" name="Drop Down 68">
              <controlPr defaultSize="0" autoLine="0" autoPict="0">
                <anchor moveWithCells="1">
                  <from>
                    <xdr:col>2</xdr:col>
                    <xdr:colOff>0</xdr:colOff>
                    <xdr:row>15</xdr:row>
                    <xdr:rowOff>9525</xdr:rowOff>
                  </from>
                  <to>
                    <xdr:col>3</xdr:col>
                    <xdr:colOff>0</xdr:colOff>
                    <xdr:row>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05" r:id="rId72" name="Drop Down 69">
              <controlPr defaultSize="0" autoLine="0" autoPict="0">
                <anchor moveWithCells="1">
                  <from>
                    <xdr:col>2</xdr:col>
                    <xdr:colOff>0</xdr:colOff>
                    <xdr:row>16</xdr:row>
                    <xdr:rowOff>9525</xdr:rowOff>
                  </from>
                  <to>
                    <xdr:col>3</xdr:col>
                    <xdr:colOff>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06" r:id="rId73" name="Drop Down 70">
              <controlPr defaultSize="0" autoLine="0" autoPict="0">
                <anchor moveWithCells="1">
                  <from>
                    <xdr:col>2</xdr:col>
                    <xdr:colOff>0</xdr:colOff>
                    <xdr:row>17</xdr:row>
                    <xdr:rowOff>9525</xdr:rowOff>
                  </from>
                  <to>
                    <xdr:col>3</xdr:col>
                    <xdr:colOff>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07" r:id="rId74" name="Drop Down 71">
              <controlPr defaultSize="0" autoLine="0" autoPict="0">
                <anchor moveWithCells="1">
                  <from>
                    <xdr:col>2</xdr:col>
                    <xdr:colOff>0</xdr:colOff>
                    <xdr:row>18</xdr:row>
                    <xdr:rowOff>9525</xdr:rowOff>
                  </from>
                  <to>
                    <xdr:col>3</xdr:col>
                    <xdr:colOff>0</xdr:colOff>
                    <xdr:row>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08" r:id="rId75" name="Drop Down 72">
              <controlPr defaultSize="0" autoLine="0" autoPict="0">
                <anchor moveWithCells="1">
                  <from>
                    <xdr:col>2</xdr:col>
                    <xdr:colOff>0</xdr:colOff>
                    <xdr:row>19</xdr:row>
                    <xdr:rowOff>9525</xdr:rowOff>
                  </from>
                  <to>
                    <xdr:col>3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09" r:id="rId76" name="Drop Down 73">
              <controlPr defaultSize="0" autoLine="0" autoPict="0">
                <anchor moveWithCells="1">
                  <from>
                    <xdr:col>2</xdr:col>
                    <xdr:colOff>0</xdr:colOff>
                    <xdr:row>20</xdr:row>
                    <xdr:rowOff>9525</xdr:rowOff>
                  </from>
                  <to>
                    <xdr:col>3</xdr:col>
                    <xdr:colOff>28575</xdr:colOff>
                    <xdr:row>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10" r:id="rId77" name="Drop Down 74">
              <controlPr defaultSize="0" autoLine="0" autoPict="0">
                <anchor moveWithCells="1">
                  <from>
                    <xdr:col>2</xdr:col>
                    <xdr:colOff>0</xdr:colOff>
                    <xdr:row>21</xdr:row>
                    <xdr:rowOff>9525</xdr:rowOff>
                  </from>
                  <to>
                    <xdr:col>3</xdr:col>
                    <xdr:colOff>28575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11" r:id="rId78" name="Drop Down 75">
              <controlPr defaultSize="0" autoLine="0" autoPict="0">
                <anchor moveWithCells="1">
                  <from>
                    <xdr:col>2</xdr:col>
                    <xdr:colOff>0</xdr:colOff>
                    <xdr:row>22</xdr:row>
                    <xdr:rowOff>9525</xdr:rowOff>
                  </from>
                  <to>
                    <xdr:col>3</xdr:col>
                    <xdr:colOff>28575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12" r:id="rId79" name="Drop Down 76">
              <controlPr defaultSize="0" autoLine="0" autoPict="0">
                <anchor moveWithCells="1">
                  <from>
                    <xdr:col>2</xdr:col>
                    <xdr:colOff>0</xdr:colOff>
                    <xdr:row>23</xdr:row>
                    <xdr:rowOff>9525</xdr:rowOff>
                  </from>
                  <to>
                    <xdr:col>3</xdr:col>
                    <xdr:colOff>28575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13" r:id="rId80" name="Drop Down 77">
              <controlPr defaultSize="0" autoLine="0" autoPict="0">
                <anchor moveWithCells="1">
                  <from>
                    <xdr:col>7</xdr:col>
                    <xdr:colOff>0</xdr:colOff>
                    <xdr:row>15</xdr:row>
                    <xdr:rowOff>0</xdr:rowOff>
                  </from>
                  <to>
                    <xdr:col>7</xdr:col>
                    <xdr:colOff>1419225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14" r:id="rId81" name="Drop Down 78">
              <controlPr defaultSize="0" autoLine="0" autoPict="0">
                <anchor moveWithCells="1">
                  <from>
                    <xdr:col>7</xdr:col>
                    <xdr:colOff>0</xdr:colOff>
                    <xdr:row>16</xdr:row>
                    <xdr:rowOff>0</xdr:rowOff>
                  </from>
                  <to>
                    <xdr:col>7</xdr:col>
                    <xdr:colOff>1419225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15" r:id="rId82" name="Drop Down 79">
              <controlPr defaultSize="0" autoLine="0" autoPict="0">
                <anchor moveWithCells="1">
                  <from>
                    <xdr:col>7</xdr:col>
                    <xdr:colOff>0</xdr:colOff>
                    <xdr:row>17</xdr:row>
                    <xdr:rowOff>0</xdr:rowOff>
                  </from>
                  <to>
                    <xdr:col>7</xdr:col>
                    <xdr:colOff>1419225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16" r:id="rId83" name="Drop Down 80">
              <controlPr defaultSize="0" autoLine="0" autoPict="0">
                <anchor moveWithCells="1">
                  <from>
                    <xdr:col>7</xdr:col>
                    <xdr:colOff>0</xdr:colOff>
                    <xdr:row>18</xdr:row>
                    <xdr:rowOff>0</xdr:rowOff>
                  </from>
                  <to>
                    <xdr:col>7</xdr:col>
                    <xdr:colOff>1419225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17" r:id="rId84" name="Drop Down 81">
              <controlPr defaultSize="0" autoLine="0" autoPict="0">
                <anchor moveWithCells="1">
                  <from>
                    <xdr:col>7</xdr:col>
                    <xdr:colOff>0</xdr:colOff>
                    <xdr:row>19</xdr:row>
                    <xdr:rowOff>0</xdr:rowOff>
                  </from>
                  <to>
                    <xdr:col>7</xdr:col>
                    <xdr:colOff>1419225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18" r:id="rId85" name="Drop Down 82">
              <controlPr defaultSize="0" autoLine="0" autoPict="0">
                <anchor moveWithCells="1">
                  <from>
                    <xdr:col>7</xdr:col>
                    <xdr:colOff>0</xdr:colOff>
                    <xdr:row>20</xdr:row>
                    <xdr:rowOff>0</xdr:rowOff>
                  </from>
                  <to>
                    <xdr:col>7</xdr:col>
                    <xdr:colOff>1419225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19" r:id="rId86" name="Drop Down 83">
              <controlPr defaultSize="0" autoLine="0" autoPict="0">
                <anchor moveWithCells="1">
                  <from>
                    <xdr:col>7</xdr:col>
                    <xdr:colOff>0</xdr:colOff>
                    <xdr:row>21</xdr:row>
                    <xdr:rowOff>0</xdr:rowOff>
                  </from>
                  <to>
                    <xdr:col>7</xdr:col>
                    <xdr:colOff>1419225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20" r:id="rId87" name="Drop Down 84">
              <controlPr defaultSize="0" autoLine="0" autoPict="0">
                <anchor moveWithCells="1">
                  <from>
                    <xdr:col>7</xdr:col>
                    <xdr:colOff>0</xdr:colOff>
                    <xdr:row>22</xdr:row>
                    <xdr:rowOff>0</xdr:rowOff>
                  </from>
                  <to>
                    <xdr:col>7</xdr:col>
                    <xdr:colOff>1419225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21" r:id="rId88" name="Drop Down 85">
              <controlPr defaultSize="0" autoLine="0" autoPict="0">
                <anchor moveWithCells="1">
                  <from>
                    <xdr:col>7</xdr:col>
                    <xdr:colOff>0</xdr:colOff>
                    <xdr:row>23</xdr:row>
                    <xdr:rowOff>0</xdr:rowOff>
                  </from>
                  <to>
                    <xdr:col>7</xdr:col>
                    <xdr:colOff>1419225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22" r:id="rId89" name="Drop Down 86">
              <controlPr defaultSize="0" autoLine="0" autoPict="0">
                <anchor moveWithCells="1">
                  <from>
                    <xdr:col>16</xdr:col>
                    <xdr:colOff>0</xdr:colOff>
                    <xdr:row>15</xdr:row>
                    <xdr:rowOff>0</xdr:rowOff>
                  </from>
                  <to>
                    <xdr:col>17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23" r:id="rId90" name="Drop Down 87">
              <controlPr defaultSize="0" autoLine="0" autoPict="0">
                <anchor moveWithCells="1">
                  <from>
                    <xdr:col>16</xdr:col>
                    <xdr:colOff>0</xdr:colOff>
                    <xdr:row>16</xdr:row>
                    <xdr:rowOff>0</xdr:rowOff>
                  </from>
                  <to>
                    <xdr:col>17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24" r:id="rId91" name="Drop Down 88">
              <controlPr defaultSize="0" autoLine="0" autoPict="0">
                <anchor moveWithCells="1">
                  <from>
                    <xdr:col>16</xdr:col>
                    <xdr:colOff>0</xdr:colOff>
                    <xdr:row>17</xdr:row>
                    <xdr:rowOff>0</xdr:rowOff>
                  </from>
                  <to>
                    <xdr:col>17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25" r:id="rId92" name="Drop Down 89">
              <controlPr defaultSize="0" autoLine="0" autoPict="0">
                <anchor moveWithCells="1">
                  <from>
                    <xdr:col>16</xdr:col>
                    <xdr:colOff>0</xdr:colOff>
                    <xdr:row>18</xdr:row>
                    <xdr:rowOff>0</xdr:rowOff>
                  </from>
                  <to>
                    <xdr:col>17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26" r:id="rId93" name="Drop Down 90">
              <controlPr defaultSize="0" autoLine="0" autoPict="0">
                <anchor moveWithCells="1">
                  <from>
                    <xdr:col>16</xdr:col>
                    <xdr:colOff>0</xdr:colOff>
                    <xdr:row>19</xdr:row>
                    <xdr:rowOff>0</xdr:rowOff>
                  </from>
                  <to>
                    <xdr:col>17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27" r:id="rId94" name="Drop Down 91">
              <controlPr defaultSize="0" autoLine="0" autoPict="0">
                <anchor moveWithCells="1">
                  <from>
                    <xdr:col>16</xdr:col>
                    <xdr:colOff>0</xdr:colOff>
                    <xdr:row>20</xdr:row>
                    <xdr:rowOff>0</xdr:rowOff>
                  </from>
                  <to>
                    <xdr:col>17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28" r:id="rId95" name="Drop Down 92">
              <controlPr defaultSize="0" autoLine="0" autoPict="0">
                <anchor moveWithCells="1">
                  <from>
                    <xdr:col>16</xdr:col>
                    <xdr:colOff>0</xdr:colOff>
                    <xdr:row>21</xdr:row>
                    <xdr:rowOff>0</xdr:rowOff>
                  </from>
                  <to>
                    <xdr:col>17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29" r:id="rId96" name="Drop Down 93">
              <controlPr defaultSize="0" autoLine="0" autoPict="0">
                <anchor moveWithCells="1">
                  <from>
                    <xdr:col>16</xdr:col>
                    <xdr:colOff>0</xdr:colOff>
                    <xdr:row>22</xdr:row>
                    <xdr:rowOff>0</xdr:rowOff>
                  </from>
                  <to>
                    <xdr:col>17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30" r:id="rId97" name="Drop Down 94">
              <controlPr defaultSize="0" autoLine="0" autoPict="0">
                <anchor moveWithCells="1">
                  <from>
                    <xdr:col>16</xdr:col>
                    <xdr:colOff>0</xdr:colOff>
                    <xdr:row>23</xdr:row>
                    <xdr:rowOff>0</xdr:rowOff>
                  </from>
                  <to>
                    <xdr:col>17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31" r:id="rId98" name="Drop Down 95">
              <controlPr defaultSize="0" autoLine="0" autoPict="0">
                <anchor moveWithCells="1">
                  <from>
                    <xdr:col>17</xdr:col>
                    <xdr:colOff>0</xdr:colOff>
                    <xdr:row>15</xdr:row>
                    <xdr:rowOff>0</xdr:rowOff>
                  </from>
                  <to>
                    <xdr:col>18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32" r:id="rId99" name="Drop Down 96">
              <controlPr defaultSize="0" autoLine="0" autoPict="0">
                <anchor moveWithCells="1">
                  <from>
                    <xdr:col>17</xdr:col>
                    <xdr:colOff>0</xdr:colOff>
                    <xdr:row>16</xdr:row>
                    <xdr:rowOff>0</xdr:rowOff>
                  </from>
                  <to>
                    <xdr:col>18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33" r:id="rId100" name="Drop Down 97">
              <controlPr defaultSize="0" autoLine="0" autoPict="0">
                <anchor moveWithCells="1">
                  <from>
                    <xdr:col>17</xdr:col>
                    <xdr:colOff>0</xdr:colOff>
                    <xdr:row>17</xdr:row>
                    <xdr:rowOff>0</xdr:rowOff>
                  </from>
                  <to>
                    <xdr:col>18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34" r:id="rId101" name="Drop Down 98">
              <controlPr defaultSize="0" autoLine="0" autoPict="0">
                <anchor moveWithCells="1">
                  <from>
                    <xdr:col>17</xdr:col>
                    <xdr:colOff>0</xdr:colOff>
                    <xdr:row>18</xdr:row>
                    <xdr:rowOff>0</xdr:rowOff>
                  </from>
                  <to>
                    <xdr:col>18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35" r:id="rId102" name="Drop Down 99">
              <controlPr defaultSize="0" autoLine="0" autoPict="0">
                <anchor moveWithCells="1">
                  <from>
                    <xdr:col>17</xdr:col>
                    <xdr:colOff>0</xdr:colOff>
                    <xdr:row>19</xdr:row>
                    <xdr:rowOff>0</xdr:rowOff>
                  </from>
                  <to>
                    <xdr:col>18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36" r:id="rId103" name="Drop Down 100">
              <controlPr defaultSize="0" autoLine="0" autoPict="0">
                <anchor moveWithCells="1">
                  <from>
                    <xdr:col>17</xdr:col>
                    <xdr:colOff>0</xdr:colOff>
                    <xdr:row>20</xdr:row>
                    <xdr:rowOff>0</xdr:rowOff>
                  </from>
                  <to>
                    <xdr:col>18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37" r:id="rId104" name="Drop Down 101">
              <controlPr defaultSize="0" autoLine="0" autoPict="0">
                <anchor moveWithCells="1">
                  <from>
                    <xdr:col>17</xdr:col>
                    <xdr:colOff>0</xdr:colOff>
                    <xdr:row>21</xdr:row>
                    <xdr:rowOff>0</xdr:rowOff>
                  </from>
                  <to>
                    <xdr:col>18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38" r:id="rId105" name="Drop Down 102">
              <controlPr defaultSize="0" autoLine="0" autoPict="0">
                <anchor moveWithCells="1">
                  <from>
                    <xdr:col>17</xdr:col>
                    <xdr:colOff>0</xdr:colOff>
                    <xdr:row>22</xdr:row>
                    <xdr:rowOff>0</xdr:rowOff>
                  </from>
                  <to>
                    <xdr:col>18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39" r:id="rId106" name="Drop Down 103">
              <controlPr defaultSize="0" autoLine="0" autoPict="0">
                <anchor moveWithCells="1">
                  <from>
                    <xdr:col>17</xdr:col>
                    <xdr:colOff>0</xdr:colOff>
                    <xdr:row>23</xdr:row>
                    <xdr:rowOff>0</xdr:rowOff>
                  </from>
                  <to>
                    <xdr:col>18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7">
    <tabColor rgb="FF00B050"/>
  </sheetPr>
  <dimension ref="C2:HG112"/>
  <sheetViews>
    <sheetView topLeftCell="B1" zoomScale="85" zoomScaleNormal="85" workbookViewId="0">
      <selection activeCell="J34" sqref="J34"/>
    </sheetView>
  </sheetViews>
  <sheetFormatPr defaultColWidth="9.140625" defaultRowHeight="12.75" x14ac:dyDescent="0.2"/>
  <cols>
    <col min="1" max="2" width="9.140625" style="93"/>
    <col min="3" max="3" width="0" style="93" hidden="1" customWidth="1"/>
    <col min="4" max="5" width="16.140625" style="93" customWidth="1"/>
    <col min="6" max="6" width="9.140625" style="93"/>
    <col min="7" max="7" width="24.85546875" style="93" customWidth="1"/>
    <col min="8" max="8" width="27" style="93" bestFit="1" customWidth="1"/>
    <col min="9" max="9" width="11" style="93" customWidth="1"/>
    <col min="10" max="10" width="19.140625" style="33" bestFit="1" customWidth="1"/>
    <col min="11" max="11" width="18.140625" style="93" customWidth="1"/>
    <col min="12" max="12" width="15" style="93" bestFit="1" customWidth="1"/>
    <col min="13" max="13" width="18.140625" style="93" customWidth="1"/>
    <col min="14" max="14" width="21" style="93" customWidth="1"/>
    <col min="15" max="15" width="11" style="93" customWidth="1"/>
    <col min="16" max="16" width="9.140625" style="93"/>
    <col min="17" max="17" width="11.42578125" style="93" bestFit="1" customWidth="1"/>
    <col min="18" max="19" width="17.140625" style="93" customWidth="1"/>
    <col min="20" max="20" width="18.5703125" style="93" bestFit="1" customWidth="1"/>
    <col min="21" max="21" width="18.5703125" style="93" customWidth="1"/>
    <col min="22" max="22" width="15.85546875" style="93" customWidth="1"/>
    <col min="23" max="23" width="13.28515625" style="93" bestFit="1" customWidth="1"/>
    <col min="24" max="25" width="9" style="93" customWidth="1"/>
    <col min="26" max="26" width="11.140625" style="93" customWidth="1"/>
    <col min="27" max="27" width="10.5703125" style="93" bestFit="1" customWidth="1"/>
    <col min="28" max="30" width="9.140625" style="93"/>
    <col min="31" max="31" width="39" style="93" customWidth="1"/>
    <col min="32" max="32" width="3.5703125" style="93" customWidth="1"/>
    <col min="33" max="40" width="17.42578125" style="93" customWidth="1"/>
    <col min="41" max="41" width="19.42578125" style="93" customWidth="1"/>
    <col min="42" max="42" width="17.140625" style="93" customWidth="1"/>
    <col min="43" max="43" width="16.42578125" style="93" customWidth="1"/>
    <col min="44" max="48" width="9.140625" style="93"/>
    <col min="49" max="49" width="18.85546875" style="93" bestFit="1" customWidth="1"/>
    <col min="50" max="50" width="13.28515625" style="93" bestFit="1" customWidth="1"/>
    <col min="51" max="53" width="13" style="93" bestFit="1" customWidth="1"/>
    <col min="54" max="54" width="12.140625" style="93" bestFit="1" customWidth="1"/>
    <col min="55" max="55" width="13.140625" style="93" bestFit="1" customWidth="1"/>
    <col min="56" max="84" width="9.140625" style="93"/>
    <col min="85" max="85" width="30.85546875" style="183" bestFit="1" customWidth="1"/>
    <col min="86" max="86" width="14.5703125" style="183" bestFit="1" customWidth="1"/>
    <col min="87" max="87" width="12.85546875" style="183" bestFit="1" customWidth="1"/>
    <col min="88" max="88" width="14.5703125" style="183" bestFit="1" customWidth="1"/>
    <col min="89" max="89" width="7.7109375" style="183" bestFit="1" customWidth="1"/>
    <col min="90" max="90" width="14.5703125" style="183" bestFit="1" customWidth="1"/>
    <col min="91" max="91" width="7.7109375" style="183" bestFit="1" customWidth="1"/>
    <col min="92" max="92" width="14.5703125" style="183" bestFit="1" customWidth="1"/>
    <col min="93" max="93" width="7.7109375" style="183" bestFit="1" customWidth="1"/>
    <col min="94" max="94" width="14.5703125" style="183" bestFit="1" customWidth="1"/>
    <col min="95" max="95" width="3" style="183" bestFit="1" customWidth="1"/>
    <col min="96" max="96" width="7.7109375" style="183" bestFit="1" customWidth="1"/>
    <col min="97" max="97" width="14.5703125" style="183" bestFit="1" customWidth="1"/>
    <col min="98" max="98" width="7.7109375" style="183" bestFit="1" customWidth="1"/>
    <col min="99" max="99" width="14.5703125" style="183" bestFit="1" customWidth="1"/>
    <col min="100" max="100" width="7.7109375" style="183" bestFit="1" customWidth="1"/>
    <col min="101" max="101" width="14.5703125" style="183" bestFit="1" customWidth="1"/>
    <col min="102" max="102" width="7.7109375" style="183" bestFit="1" customWidth="1"/>
    <col min="103" max="103" width="14.5703125" style="183" bestFit="1" customWidth="1"/>
    <col min="104" max="104" width="7.7109375" style="183" bestFit="1" customWidth="1"/>
    <col min="105" max="105" width="14.5703125" style="183" bestFit="1" customWidth="1"/>
    <col min="106" max="106" width="3" style="183" bestFit="1" customWidth="1"/>
    <col min="107" max="107" width="7.7109375" style="183" bestFit="1" customWidth="1"/>
    <col min="108" max="108" width="14.5703125" style="183" bestFit="1" customWidth="1"/>
    <col min="109" max="109" width="7.7109375" style="183" bestFit="1" customWidth="1"/>
    <col min="110" max="110" width="14.5703125" style="183" bestFit="1" customWidth="1"/>
    <col min="111" max="111" width="7.7109375" style="183" bestFit="1" customWidth="1"/>
    <col min="112" max="112" width="14.5703125" style="183" bestFit="1" customWidth="1"/>
    <col min="113" max="113" width="7.7109375" style="183" bestFit="1" customWidth="1"/>
    <col min="114" max="114" width="14.5703125" style="183" bestFit="1" customWidth="1"/>
    <col min="115" max="115" width="7.7109375" style="183" bestFit="1" customWidth="1"/>
    <col min="116" max="116" width="14.5703125" style="183" bestFit="1" customWidth="1"/>
    <col min="117" max="117" width="3" style="183" bestFit="1" customWidth="1"/>
    <col min="118" max="118" width="7.7109375" style="183" bestFit="1" customWidth="1"/>
    <col min="119" max="119" width="14.5703125" style="183" bestFit="1" customWidth="1"/>
    <col min="120" max="120" width="7.7109375" style="183" bestFit="1" customWidth="1"/>
    <col min="121" max="121" width="14.5703125" style="183" bestFit="1" customWidth="1"/>
    <col min="122" max="122" width="7.7109375" style="183" bestFit="1" customWidth="1"/>
    <col min="123" max="123" width="14.5703125" style="183" bestFit="1" customWidth="1"/>
    <col min="124" max="124" width="7.7109375" style="183" bestFit="1" customWidth="1"/>
    <col min="125" max="125" width="14.5703125" style="183" bestFit="1" customWidth="1"/>
    <col min="126" max="126" width="7.7109375" style="183" bestFit="1" customWidth="1"/>
    <col min="127" max="127" width="14.5703125" style="183" bestFit="1" customWidth="1"/>
    <col min="128" max="128" width="3" style="183" bestFit="1" customWidth="1"/>
    <col min="129" max="129" width="7.7109375" style="183" bestFit="1" customWidth="1"/>
    <col min="130" max="130" width="14.5703125" style="183" bestFit="1" customWidth="1"/>
    <col min="131" max="131" width="7.7109375" style="183" bestFit="1" customWidth="1"/>
    <col min="132" max="132" width="14.5703125" style="183" bestFit="1" customWidth="1"/>
    <col min="133" max="133" width="7.7109375" style="183" bestFit="1" customWidth="1"/>
    <col min="134" max="134" width="14.5703125" style="183" bestFit="1" customWidth="1"/>
    <col min="135" max="135" width="7.7109375" style="183" bestFit="1" customWidth="1"/>
    <col min="136" max="136" width="14.5703125" style="183" bestFit="1" customWidth="1"/>
    <col min="137" max="137" width="7.7109375" style="183" bestFit="1" customWidth="1"/>
    <col min="138" max="138" width="14.5703125" style="183" bestFit="1" customWidth="1"/>
    <col min="139" max="139" width="3" style="183" bestFit="1" customWidth="1"/>
    <col min="140" max="140" width="7.7109375" style="183" bestFit="1" customWidth="1"/>
    <col min="141" max="141" width="14.5703125" style="183" bestFit="1" customWidth="1"/>
    <col min="142" max="142" width="7.7109375" style="183" bestFit="1" customWidth="1"/>
    <col min="143" max="143" width="14.5703125" style="183" bestFit="1" customWidth="1"/>
    <col min="144" max="144" width="7.7109375" style="183" bestFit="1" customWidth="1"/>
    <col min="145" max="145" width="14.5703125" style="183" bestFit="1" customWidth="1"/>
    <col min="146" max="146" width="7.7109375" style="183" bestFit="1" customWidth="1"/>
    <col min="147" max="147" width="14.5703125" style="183" bestFit="1" customWidth="1"/>
    <col min="148" max="148" width="7.7109375" style="183" bestFit="1" customWidth="1"/>
    <col min="149" max="149" width="14.5703125" style="183" bestFit="1" customWidth="1"/>
    <col min="150" max="150" width="3" style="183" bestFit="1" customWidth="1"/>
    <col min="151" max="151" width="7.7109375" style="183" bestFit="1" customWidth="1"/>
    <col min="152" max="152" width="14.5703125" style="183" bestFit="1" customWidth="1"/>
    <col min="153" max="153" width="7.7109375" style="183" bestFit="1" customWidth="1"/>
    <col min="154" max="154" width="14.5703125" style="183" bestFit="1" customWidth="1"/>
    <col min="155" max="155" width="7.7109375" style="183" bestFit="1" customWidth="1"/>
    <col min="156" max="156" width="14.5703125" style="183" bestFit="1" customWidth="1"/>
    <col min="157" max="157" width="7.7109375" style="183" bestFit="1" customWidth="1"/>
    <col min="158" max="158" width="14.5703125" style="183" bestFit="1" customWidth="1"/>
    <col min="159" max="159" width="7.7109375" style="183" bestFit="1" customWidth="1"/>
    <col min="160" max="160" width="14.5703125" style="183" bestFit="1" customWidth="1"/>
    <col min="161" max="161" width="3" style="183" bestFit="1" customWidth="1"/>
    <col min="162" max="162" width="7.7109375" style="183" bestFit="1" customWidth="1"/>
    <col min="163" max="163" width="14.5703125" style="183" bestFit="1" customWidth="1"/>
    <col min="164" max="164" width="7.7109375" style="183" bestFit="1" customWidth="1"/>
    <col min="165" max="165" width="14.5703125" style="183" bestFit="1" customWidth="1"/>
    <col min="166" max="166" width="7.7109375" style="183" bestFit="1" customWidth="1"/>
    <col min="167" max="167" width="14.5703125" style="183" bestFit="1" customWidth="1"/>
    <col min="168" max="168" width="7.7109375" style="183" bestFit="1" customWidth="1"/>
    <col min="169" max="169" width="14.5703125" style="183" bestFit="1" customWidth="1"/>
    <col min="170" max="170" width="7.7109375" style="183" bestFit="1" customWidth="1"/>
    <col min="171" max="171" width="14.5703125" style="183" bestFit="1" customWidth="1"/>
    <col min="172" max="172" width="3" style="183" bestFit="1" customWidth="1"/>
    <col min="173" max="173" width="7.7109375" style="183" bestFit="1" customWidth="1"/>
    <col min="174" max="174" width="14.5703125" style="183" bestFit="1" customWidth="1"/>
    <col min="175" max="175" width="7.7109375" style="183" bestFit="1" customWidth="1"/>
    <col min="176" max="176" width="14.5703125" style="183" bestFit="1" customWidth="1"/>
    <col min="177" max="177" width="7.7109375" style="183" bestFit="1" customWidth="1"/>
    <col min="178" max="178" width="14.5703125" style="183" bestFit="1" customWidth="1"/>
    <col min="179" max="179" width="7.7109375" style="183" bestFit="1" customWidth="1"/>
    <col min="180" max="180" width="14.5703125" style="183" bestFit="1" customWidth="1"/>
    <col min="181" max="181" width="7.7109375" style="183" bestFit="1" customWidth="1"/>
    <col min="182" max="182" width="14.5703125" style="183" bestFit="1" customWidth="1"/>
    <col min="183" max="183" width="4" style="183" bestFit="1" customWidth="1"/>
    <col min="184" max="184" width="7.7109375" style="183" bestFit="1" customWidth="1"/>
    <col min="185" max="185" width="14.5703125" style="183" bestFit="1" customWidth="1"/>
    <col min="186" max="186" width="7.7109375" style="183" bestFit="1" customWidth="1"/>
    <col min="187" max="187" width="14.5703125" style="183" bestFit="1" customWidth="1"/>
    <col min="188" max="188" width="7.7109375" style="183" bestFit="1" customWidth="1"/>
    <col min="189" max="189" width="14.5703125" style="183" bestFit="1" customWidth="1"/>
    <col min="190" max="190" width="7.7109375" style="183" bestFit="1" customWidth="1"/>
    <col min="191" max="191" width="14.5703125" style="183" bestFit="1" customWidth="1"/>
    <col min="192" max="192" width="7.7109375" style="183" bestFit="1" customWidth="1"/>
    <col min="193" max="193" width="14.5703125" style="183" bestFit="1" customWidth="1"/>
    <col min="194" max="194" width="4" style="183" bestFit="1" customWidth="1"/>
    <col min="195" max="195" width="7.7109375" style="183" bestFit="1" customWidth="1"/>
    <col min="196" max="196" width="14.5703125" style="183" bestFit="1" customWidth="1"/>
    <col min="197" max="197" width="7.7109375" style="183" bestFit="1" customWidth="1"/>
    <col min="198" max="198" width="14.5703125" style="183" bestFit="1" customWidth="1"/>
    <col min="199" max="199" width="7.7109375" style="183" bestFit="1" customWidth="1"/>
    <col min="200" max="200" width="14.5703125" style="183" bestFit="1" customWidth="1"/>
    <col min="201" max="201" width="7.85546875" style="183" customWidth="1"/>
    <col min="202" max="202" width="14.5703125" style="183" bestFit="1" customWidth="1"/>
    <col min="203" max="203" width="7.7109375" style="183" bestFit="1" customWidth="1"/>
    <col min="204" max="204" width="14.5703125" style="183" bestFit="1" customWidth="1"/>
    <col min="205" max="205" width="4" style="183" bestFit="1" customWidth="1"/>
    <col min="206" max="206" width="7.7109375" style="183" bestFit="1" customWidth="1"/>
    <col min="207" max="207" width="14.5703125" style="183" bestFit="1" customWidth="1"/>
    <col min="208" max="208" width="7.7109375" style="183" bestFit="1" customWidth="1"/>
    <col min="209" max="209" width="14.5703125" style="183" bestFit="1" customWidth="1"/>
    <col min="210" max="210" width="7.7109375" style="183" bestFit="1" customWidth="1"/>
    <col min="211" max="211" width="14.5703125" style="183" bestFit="1" customWidth="1"/>
    <col min="212" max="212" width="7.7109375" style="183" bestFit="1" customWidth="1"/>
    <col min="213" max="213" width="14.5703125" style="183" bestFit="1" customWidth="1"/>
    <col min="214" max="214" width="7.7109375" style="183" bestFit="1" customWidth="1"/>
    <col min="215" max="215" width="14.5703125" style="183" bestFit="1" customWidth="1"/>
    <col min="216" max="16384" width="9.140625" style="93"/>
  </cols>
  <sheetData>
    <row r="2" spans="3:215" x14ac:dyDescent="0.2">
      <c r="R2" s="156"/>
    </row>
    <row r="3" spans="3:215" s="7" customFormat="1" ht="18.75" thickBot="1" x14ac:dyDescent="0.3">
      <c r="D3" s="97" t="s">
        <v>438</v>
      </c>
      <c r="E3" s="97"/>
      <c r="J3" s="92"/>
      <c r="CF3" s="193">
        <v>1</v>
      </c>
      <c r="CG3" s="193">
        <v>2</v>
      </c>
      <c r="CH3" s="193">
        <v>3</v>
      </c>
      <c r="CI3" s="193">
        <v>4</v>
      </c>
      <c r="CJ3" s="193">
        <v>5</v>
      </c>
      <c r="CK3" s="193">
        <v>6</v>
      </c>
      <c r="CL3" s="193">
        <v>7</v>
      </c>
      <c r="CM3" s="193">
        <v>8</v>
      </c>
      <c r="CN3" s="193">
        <v>9</v>
      </c>
      <c r="CO3" s="193">
        <v>10</v>
      </c>
      <c r="CP3" s="193">
        <v>11</v>
      </c>
      <c r="CQ3" s="193">
        <v>12</v>
      </c>
      <c r="CR3" s="193">
        <v>13</v>
      </c>
      <c r="CS3" s="193">
        <v>14</v>
      </c>
      <c r="CT3" s="193">
        <v>15</v>
      </c>
      <c r="CU3" s="193">
        <v>16</v>
      </c>
      <c r="CV3" s="193">
        <v>17</v>
      </c>
      <c r="CW3" s="193">
        <v>18</v>
      </c>
      <c r="CX3" s="193">
        <v>19</v>
      </c>
      <c r="CY3" s="193">
        <v>20</v>
      </c>
      <c r="CZ3" s="193">
        <v>21</v>
      </c>
      <c r="DA3" s="193">
        <v>22</v>
      </c>
      <c r="DB3" s="193">
        <v>23</v>
      </c>
      <c r="DC3" s="193">
        <v>24</v>
      </c>
      <c r="DD3" s="193">
        <v>25</v>
      </c>
      <c r="DE3" s="193">
        <v>26</v>
      </c>
      <c r="DF3" s="193">
        <v>27</v>
      </c>
      <c r="DG3" s="193">
        <v>28</v>
      </c>
      <c r="DH3" s="193">
        <v>29</v>
      </c>
      <c r="DI3" s="193">
        <v>30</v>
      </c>
      <c r="DJ3" s="193">
        <v>31</v>
      </c>
      <c r="DK3" s="193">
        <v>32</v>
      </c>
      <c r="DL3" s="193">
        <v>33</v>
      </c>
      <c r="DM3" s="193">
        <v>34</v>
      </c>
      <c r="DN3" s="193">
        <v>35</v>
      </c>
      <c r="DO3" s="193">
        <v>36</v>
      </c>
      <c r="DP3" s="193">
        <v>37</v>
      </c>
      <c r="DQ3" s="193">
        <v>38</v>
      </c>
      <c r="DR3" s="193">
        <v>39</v>
      </c>
      <c r="DS3" s="193">
        <v>40</v>
      </c>
      <c r="DT3" s="193">
        <v>41</v>
      </c>
      <c r="DU3" s="193">
        <v>42</v>
      </c>
      <c r="DV3" s="193">
        <v>43</v>
      </c>
      <c r="DW3" s="193">
        <v>44</v>
      </c>
      <c r="DX3" s="193">
        <v>45</v>
      </c>
      <c r="DY3" s="193">
        <v>46</v>
      </c>
      <c r="DZ3" s="193">
        <v>47</v>
      </c>
      <c r="EA3" s="193">
        <v>48</v>
      </c>
      <c r="EB3" s="193">
        <v>49</v>
      </c>
      <c r="EC3" s="193">
        <v>50</v>
      </c>
      <c r="ED3" s="193">
        <v>51</v>
      </c>
      <c r="EE3" s="193">
        <v>52</v>
      </c>
      <c r="EF3" s="193">
        <v>53</v>
      </c>
      <c r="EG3" s="193">
        <v>54</v>
      </c>
      <c r="EH3" s="193">
        <v>55</v>
      </c>
      <c r="EI3" s="193">
        <v>56</v>
      </c>
      <c r="EJ3" s="193">
        <v>57</v>
      </c>
      <c r="EK3" s="193">
        <v>58</v>
      </c>
      <c r="EL3" s="193">
        <v>59</v>
      </c>
      <c r="EM3" s="193">
        <v>60</v>
      </c>
      <c r="EN3" s="193">
        <v>61</v>
      </c>
      <c r="EO3" s="193">
        <v>62</v>
      </c>
      <c r="EP3" s="193">
        <v>63</v>
      </c>
      <c r="EQ3" s="193">
        <v>64</v>
      </c>
      <c r="ER3" s="193">
        <v>65</v>
      </c>
      <c r="ES3" s="193">
        <v>66</v>
      </c>
      <c r="ET3" s="193">
        <v>67</v>
      </c>
      <c r="EU3" s="193">
        <v>68</v>
      </c>
      <c r="EV3" s="193">
        <v>69</v>
      </c>
      <c r="EW3" s="193">
        <v>70</v>
      </c>
      <c r="EX3" s="193">
        <v>71</v>
      </c>
      <c r="EY3" s="193">
        <v>72</v>
      </c>
      <c r="EZ3" s="193">
        <v>73</v>
      </c>
      <c r="FA3" s="193">
        <v>74</v>
      </c>
      <c r="FB3" s="193">
        <v>75</v>
      </c>
      <c r="FC3" s="193">
        <v>76</v>
      </c>
      <c r="FD3" s="193">
        <v>77</v>
      </c>
      <c r="FE3" s="193">
        <v>78</v>
      </c>
      <c r="FF3" s="193">
        <v>79</v>
      </c>
      <c r="FG3" s="193">
        <v>80</v>
      </c>
      <c r="FH3" s="193">
        <v>81</v>
      </c>
      <c r="FI3" s="193">
        <v>82</v>
      </c>
      <c r="FJ3" s="193">
        <v>83</v>
      </c>
      <c r="FK3" s="193">
        <v>84</v>
      </c>
      <c r="FL3" s="193">
        <v>85</v>
      </c>
      <c r="FM3" s="193">
        <v>86</v>
      </c>
      <c r="FN3" s="193">
        <v>87</v>
      </c>
      <c r="FO3" s="193">
        <v>88</v>
      </c>
      <c r="FP3" s="193">
        <v>89</v>
      </c>
      <c r="FQ3" s="193">
        <v>90</v>
      </c>
      <c r="FR3" s="193">
        <v>91</v>
      </c>
      <c r="FS3" s="193">
        <v>92</v>
      </c>
      <c r="FT3" s="193">
        <v>93</v>
      </c>
      <c r="FU3" s="193">
        <v>94</v>
      </c>
      <c r="FV3" s="193">
        <v>95</v>
      </c>
      <c r="FW3" s="193">
        <v>96</v>
      </c>
      <c r="FX3" s="193">
        <v>97</v>
      </c>
      <c r="FY3" s="193">
        <v>98</v>
      </c>
      <c r="FZ3" s="193">
        <v>99</v>
      </c>
      <c r="GA3" s="193">
        <v>100</v>
      </c>
      <c r="GB3" s="193">
        <v>101</v>
      </c>
      <c r="GC3" s="193">
        <v>102</v>
      </c>
      <c r="GD3" s="193">
        <v>103</v>
      </c>
      <c r="GE3" s="193">
        <v>104</v>
      </c>
      <c r="GF3" s="193">
        <v>105</v>
      </c>
      <c r="GG3" s="193">
        <v>106</v>
      </c>
      <c r="GH3" s="193">
        <v>107</v>
      </c>
      <c r="GI3" s="193">
        <v>108</v>
      </c>
      <c r="GJ3" s="193">
        <v>109</v>
      </c>
      <c r="GK3" s="193">
        <v>110</v>
      </c>
      <c r="GL3" s="193">
        <v>111</v>
      </c>
      <c r="GM3" s="193">
        <v>112</v>
      </c>
      <c r="GN3" s="193">
        <v>113</v>
      </c>
      <c r="GO3" s="193">
        <v>114</v>
      </c>
      <c r="GP3" s="193">
        <v>115</v>
      </c>
      <c r="GQ3" s="193">
        <v>116</v>
      </c>
      <c r="GR3" s="193">
        <v>117</v>
      </c>
      <c r="GS3" s="193">
        <v>118</v>
      </c>
      <c r="GT3" s="193">
        <v>119</v>
      </c>
      <c r="GU3" s="193">
        <v>120</v>
      </c>
      <c r="GV3" s="193">
        <v>121</v>
      </c>
      <c r="GW3" s="193">
        <v>122</v>
      </c>
      <c r="GX3" s="193">
        <v>123</v>
      </c>
      <c r="GY3" s="193">
        <v>124</v>
      </c>
      <c r="GZ3" s="193">
        <v>125</v>
      </c>
      <c r="HA3" s="193">
        <v>126</v>
      </c>
      <c r="HB3" s="193">
        <v>127</v>
      </c>
      <c r="HC3" s="193">
        <v>128</v>
      </c>
      <c r="HD3" s="193">
        <v>129</v>
      </c>
      <c r="HE3" s="193">
        <v>130</v>
      </c>
      <c r="HF3" s="193">
        <v>131</v>
      </c>
      <c r="HG3" s="193">
        <v>132</v>
      </c>
    </row>
    <row r="4" spans="3:215" s="6" customFormat="1" ht="18.75" thickBot="1" x14ac:dyDescent="0.3">
      <c r="D4" s="91"/>
      <c r="E4" s="121"/>
      <c r="J4" s="34"/>
      <c r="CG4" s="2723" t="s">
        <v>503</v>
      </c>
      <c r="CH4" s="2724"/>
      <c r="CI4" s="2724"/>
      <c r="CJ4" s="2724"/>
      <c r="CK4" s="2724"/>
      <c r="CL4" s="2724"/>
      <c r="CM4" s="2724"/>
      <c r="CN4" s="2724"/>
      <c r="CO4" s="2724"/>
      <c r="CP4" s="2725"/>
      <c r="CQ4" s="144"/>
      <c r="CR4" s="2723" t="s">
        <v>520</v>
      </c>
      <c r="CS4" s="2724"/>
      <c r="CT4" s="2724"/>
      <c r="CU4" s="2724"/>
      <c r="CV4" s="2724"/>
      <c r="CW4" s="2724"/>
      <c r="CX4" s="2724"/>
      <c r="CY4" s="2724"/>
      <c r="CZ4" s="2724"/>
      <c r="DA4" s="2725"/>
      <c r="DB4" s="144"/>
      <c r="DC4" s="2723" t="s">
        <v>521</v>
      </c>
      <c r="DD4" s="2724"/>
      <c r="DE4" s="2724"/>
      <c r="DF4" s="2724"/>
      <c r="DG4" s="2724"/>
      <c r="DH4" s="2724"/>
      <c r="DI4" s="2724"/>
      <c r="DJ4" s="2724"/>
      <c r="DK4" s="2724"/>
      <c r="DL4" s="2725"/>
      <c r="DM4" s="144"/>
      <c r="DN4" s="2723" t="s">
        <v>522</v>
      </c>
      <c r="DO4" s="2724"/>
      <c r="DP4" s="2724"/>
      <c r="DQ4" s="2724"/>
      <c r="DR4" s="2724"/>
      <c r="DS4" s="2724"/>
      <c r="DT4" s="2724"/>
      <c r="DU4" s="2724"/>
      <c r="DV4" s="2724"/>
      <c r="DW4" s="2725"/>
      <c r="DX4" s="144"/>
      <c r="DY4" s="2723" t="s">
        <v>523</v>
      </c>
      <c r="DZ4" s="2724"/>
      <c r="EA4" s="2724"/>
      <c r="EB4" s="2724"/>
      <c r="EC4" s="2724"/>
      <c r="ED4" s="2724"/>
      <c r="EE4" s="2724"/>
      <c r="EF4" s="2724"/>
      <c r="EG4" s="2724"/>
      <c r="EH4" s="2725"/>
      <c r="EI4" s="144"/>
      <c r="EJ4" s="2723" t="s">
        <v>524</v>
      </c>
      <c r="EK4" s="2724"/>
      <c r="EL4" s="2724"/>
      <c r="EM4" s="2724"/>
      <c r="EN4" s="2724"/>
      <c r="EO4" s="2724"/>
      <c r="EP4" s="2724"/>
      <c r="EQ4" s="2724"/>
      <c r="ER4" s="2724"/>
      <c r="ES4" s="2725"/>
      <c r="ET4" s="144"/>
      <c r="EU4" s="2723" t="s">
        <v>558</v>
      </c>
      <c r="EV4" s="2724"/>
      <c r="EW4" s="2724"/>
      <c r="EX4" s="2724"/>
      <c r="EY4" s="2724"/>
      <c r="EZ4" s="2724"/>
      <c r="FA4" s="2724"/>
      <c r="FB4" s="2724"/>
      <c r="FC4" s="2724"/>
      <c r="FD4" s="2725"/>
      <c r="FE4" s="144"/>
      <c r="FF4" s="2723" t="s">
        <v>559</v>
      </c>
      <c r="FG4" s="2724"/>
      <c r="FH4" s="2724"/>
      <c r="FI4" s="2724"/>
      <c r="FJ4" s="2724"/>
      <c r="FK4" s="2724"/>
      <c r="FL4" s="2724"/>
      <c r="FM4" s="2724"/>
      <c r="FN4" s="2724"/>
      <c r="FO4" s="2725"/>
      <c r="FP4" s="144"/>
      <c r="FQ4" s="2723" t="s">
        <v>561</v>
      </c>
      <c r="FR4" s="2724"/>
      <c r="FS4" s="2724"/>
      <c r="FT4" s="2724"/>
      <c r="FU4" s="2724"/>
      <c r="FV4" s="2724"/>
      <c r="FW4" s="2724"/>
      <c r="FX4" s="2724"/>
      <c r="FY4" s="2724"/>
      <c r="FZ4" s="2725"/>
      <c r="GA4" s="144"/>
      <c r="GB4" s="2723" t="s">
        <v>564</v>
      </c>
      <c r="GC4" s="2724"/>
      <c r="GD4" s="2724"/>
      <c r="GE4" s="2724"/>
      <c r="GF4" s="2724"/>
      <c r="GG4" s="2724"/>
      <c r="GH4" s="2724"/>
      <c r="GI4" s="2724"/>
      <c r="GJ4" s="2724"/>
      <c r="GK4" s="2725"/>
      <c r="GL4" s="144"/>
      <c r="GM4" s="2723" t="s">
        <v>565</v>
      </c>
      <c r="GN4" s="2724"/>
      <c r="GO4" s="2724"/>
      <c r="GP4" s="2724"/>
      <c r="GQ4" s="2724"/>
      <c r="GR4" s="2724"/>
      <c r="GS4" s="2724"/>
      <c r="GT4" s="2724"/>
      <c r="GU4" s="2724"/>
      <c r="GV4" s="2725"/>
      <c r="GW4" s="144"/>
      <c r="GX4" s="2723" t="s">
        <v>567</v>
      </c>
      <c r="GY4" s="2724"/>
      <c r="GZ4" s="2724"/>
      <c r="HA4" s="2724"/>
      <c r="HB4" s="2724"/>
      <c r="HC4" s="2724"/>
      <c r="HD4" s="2724"/>
      <c r="HE4" s="2724"/>
      <c r="HF4" s="2724"/>
      <c r="HG4" s="2725"/>
    </row>
    <row r="5" spans="3:215" ht="13.5" thickBot="1" x14ac:dyDescent="0.25">
      <c r="E5" s="156"/>
      <c r="I5" s="126" t="s">
        <v>519</v>
      </c>
      <c r="X5" s="2625" t="s">
        <v>414</v>
      </c>
      <c r="Y5" s="2625"/>
      <c r="Z5" s="183" t="s">
        <v>1246</v>
      </c>
      <c r="CG5" s="184" t="s">
        <v>504</v>
      </c>
      <c r="CH5" s="185" t="s">
        <v>505</v>
      </c>
      <c r="CI5" s="186" t="s">
        <v>504</v>
      </c>
      <c r="CJ5" s="187" t="s">
        <v>505</v>
      </c>
      <c r="CK5" s="191" t="s">
        <v>504</v>
      </c>
      <c r="CL5" s="192" t="s">
        <v>505</v>
      </c>
      <c r="CM5" s="191" t="s">
        <v>504</v>
      </c>
      <c r="CN5" s="192" t="s">
        <v>505</v>
      </c>
      <c r="CO5" s="191" t="s">
        <v>504</v>
      </c>
      <c r="CP5" s="192" t="s">
        <v>505</v>
      </c>
      <c r="CR5" s="191" t="s">
        <v>504</v>
      </c>
      <c r="CS5" s="192" t="s">
        <v>505</v>
      </c>
      <c r="CT5" s="194" t="s">
        <v>504</v>
      </c>
      <c r="CU5" s="195" t="s">
        <v>505</v>
      </c>
      <c r="CV5" s="194" t="s">
        <v>504</v>
      </c>
      <c r="CW5" s="195" t="s">
        <v>505</v>
      </c>
      <c r="CX5" s="194" t="s">
        <v>504</v>
      </c>
      <c r="CY5" s="195" t="s">
        <v>505</v>
      </c>
      <c r="CZ5" s="194" t="s">
        <v>504</v>
      </c>
      <c r="DA5" s="195" t="s">
        <v>505</v>
      </c>
      <c r="DC5" s="194" t="s">
        <v>504</v>
      </c>
      <c r="DD5" s="195" t="s">
        <v>505</v>
      </c>
      <c r="DE5" s="194" t="s">
        <v>504</v>
      </c>
      <c r="DF5" s="195" t="s">
        <v>505</v>
      </c>
      <c r="DG5" s="194" t="s">
        <v>504</v>
      </c>
      <c r="DH5" s="195" t="s">
        <v>505</v>
      </c>
      <c r="DI5" s="194" t="s">
        <v>504</v>
      </c>
      <c r="DJ5" s="195" t="s">
        <v>505</v>
      </c>
      <c r="DK5" s="194" t="s">
        <v>504</v>
      </c>
      <c r="DL5" s="195" t="s">
        <v>505</v>
      </c>
      <c r="DN5" s="194" t="s">
        <v>504</v>
      </c>
      <c r="DO5" s="195" t="s">
        <v>505</v>
      </c>
      <c r="DP5" s="194" t="s">
        <v>504</v>
      </c>
      <c r="DQ5" s="195" t="s">
        <v>505</v>
      </c>
      <c r="DR5" s="194" t="s">
        <v>504</v>
      </c>
      <c r="DS5" s="195" t="s">
        <v>505</v>
      </c>
      <c r="DT5" s="194" t="s">
        <v>504</v>
      </c>
      <c r="DU5" s="195" t="s">
        <v>505</v>
      </c>
      <c r="DV5" s="194" t="s">
        <v>504</v>
      </c>
      <c r="DW5" s="195" t="s">
        <v>505</v>
      </c>
      <c r="DY5" s="194" t="s">
        <v>504</v>
      </c>
      <c r="DZ5" s="195" t="s">
        <v>505</v>
      </c>
      <c r="EA5" s="194" t="s">
        <v>504</v>
      </c>
      <c r="EB5" s="195" t="s">
        <v>505</v>
      </c>
      <c r="EC5" s="194" t="s">
        <v>504</v>
      </c>
      <c r="ED5" s="195" t="s">
        <v>505</v>
      </c>
      <c r="EE5" s="194" t="s">
        <v>504</v>
      </c>
      <c r="EF5" s="195" t="s">
        <v>505</v>
      </c>
      <c r="EG5" s="194" t="s">
        <v>504</v>
      </c>
      <c r="EH5" s="195" t="s">
        <v>505</v>
      </c>
      <c r="EJ5" s="191" t="s">
        <v>504</v>
      </c>
      <c r="EK5" s="192" t="s">
        <v>505</v>
      </c>
      <c r="EL5" s="194" t="s">
        <v>504</v>
      </c>
      <c r="EM5" s="195" t="s">
        <v>505</v>
      </c>
      <c r="EN5" s="191" t="s">
        <v>504</v>
      </c>
      <c r="EO5" s="192" t="s">
        <v>505</v>
      </c>
      <c r="EP5" s="194" t="s">
        <v>504</v>
      </c>
      <c r="EQ5" s="195" t="s">
        <v>505</v>
      </c>
      <c r="ER5" s="194" t="s">
        <v>504</v>
      </c>
      <c r="ES5" s="195" t="s">
        <v>505</v>
      </c>
      <c r="EU5" s="191" t="s">
        <v>504</v>
      </c>
      <c r="EV5" s="192" t="s">
        <v>505</v>
      </c>
      <c r="EW5" s="194" t="s">
        <v>504</v>
      </c>
      <c r="EX5" s="195" t="s">
        <v>505</v>
      </c>
      <c r="EY5" s="191" t="s">
        <v>504</v>
      </c>
      <c r="EZ5" s="192" t="s">
        <v>505</v>
      </c>
      <c r="FA5" s="194" t="s">
        <v>504</v>
      </c>
      <c r="FB5" s="195" t="s">
        <v>505</v>
      </c>
      <c r="FC5" s="194" t="s">
        <v>504</v>
      </c>
      <c r="FD5" s="195" t="s">
        <v>505</v>
      </c>
      <c r="FF5" s="191" t="s">
        <v>504</v>
      </c>
      <c r="FG5" s="192" t="s">
        <v>505</v>
      </c>
      <c r="FH5" s="194" t="s">
        <v>504</v>
      </c>
      <c r="FI5" s="195" t="s">
        <v>505</v>
      </c>
      <c r="FJ5" s="191" t="s">
        <v>504</v>
      </c>
      <c r="FK5" s="192" t="s">
        <v>505</v>
      </c>
      <c r="FL5" s="194" t="s">
        <v>504</v>
      </c>
      <c r="FM5" s="195" t="s">
        <v>505</v>
      </c>
      <c r="FN5" s="194" t="s">
        <v>504</v>
      </c>
      <c r="FO5" s="195" t="s">
        <v>505</v>
      </c>
      <c r="FQ5" s="191" t="s">
        <v>504</v>
      </c>
      <c r="FR5" s="192" t="s">
        <v>505</v>
      </c>
      <c r="FS5" s="194" t="s">
        <v>504</v>
      </c>
      <c r="FT5" s="195" t="s">
        <v>505</v>
      </c>
      <c r="FU5" s="191" t="s">
        <v>504</v>
      </c>
      <c r="FV5" s="192" t="s">
        <v>505</v>
      </c>
      <c r="FW5" s="194" t="s">
        <v>504</v>
      </c>
      <c r="FX5" s="195" t="s">
        <v>505</v>
      </c>
      <c r="FY5" s="194" t="s">
        <v>504</v>
      </c>
      <c r="FZ5" s="195" t="s">
        <v>505</v>
      </c>
      <c r="GB5" s="191" t="s">
        <v>504</v>
      </c>
      <c r="GC5" s="192" t="s">
        <v>505</v>
      </c>
      <c r="GD5" s="194" t="s">
        <v>504</v>
      </c>
      <c r="GE5" s="195" t="s">
        <v>505</v>
      </c>
      <c r="GF5" s="191" t="s">
        <v>504</v>
      </c>
      <c r="GG5" s="192" t="s">
        <v>505</v>
      </c>
      <c r="GH5" s="194" t="s">
        <v>504</v>
      </c>
      <c r="GI5" s="195" t="s">
        <v>505</v>
      </c>
      <c r="GJ5" s="194" t="s">
        <v>504</v>
      </c>
      <c r="GK5" s="195" t="s">
        <v>505</v>
      </c>
      <c r="GM5" s="191" t="s">
        <v>504</v>
      </c>
      <c r="GN5" s="192" t="s">
        <v>505</v>
      </c>
      <c r="GO5" s="194" t="s">
        <v>504</v>
      </c>
      <c r="GP5" s="195" t="s">
        <v>505</v>
      </c>
      <c r="GQ5" s="191" t="s">
        <v>504</v>
      </c>
      <c r="GR5" s="192" t="s">
        <v>505</v>
      </c>
      <c r="GS5" s="194" t="s">
        <v>504</v>
      </c>
      <c r="GT5" s="195" t="s">
        <v>505</v>
      </c>
      <c r="GU5" s="194" t="s">
        <v>504</v>
      </c>
      <c r="GV5" s="195" t="s">
        <v>505</v>
      </c>
      <c r="GX5" s="191" t="s">
        <v>504</v>
      </c>
      <c r="GY5" s="192" t="s">
        <v>505</v>
      </c>
      <c r="GZ5" s="194" t="s">
        <v>504</v>
      </c>
      <c r="HA5" s="195" t="s">
        <v>505</v>
      </c>
      <c r="HB5" s="191" t="s">
        <v>504</v>
      </c>
      <c r="HC5" s="192" t="s">
        <v>505</v>
      </c>
      <c r="HD5" s="194" t="s">
        <v>504</v>
      </c>
      <c r="HE5" s="195" t="s">
        <v>505</v>
      </c>
      <c r="HF5" s="194" t="s">
        <v>504</v>
      </c>
      <c r="HG5" s="195" t="s">
        <v>505</v>
      </c>
    </row>
    <row r="6" spans="3:215" ht="13.5" thickBot="1" x14ac:dyDescent="0.25">
      <c r="D6" s="99" t="s">
        <v>506</v>
      </c>
      <c r="E6" s="116" t="s">
        <v>39</v>
      </c>
      <c r="F6" s="2630" t="s">
        <v>79</v>
      </c>
      <c r="G6" s="2631"/>
      <c r="H6" s="900" t="s">
        <v>637</v>
      </c>
      <c r="I6" s="899" t="s">
        <v>42</v>
      </c>
      <c r="J6" s="900" t="s">
        <v>431</v>
      </c>
      <c r="K6" s="900" t="s">
        <v>432</v>
      </c>
      <c r="L6" s="900" t="s">
        <v>518</v>
      </c>
      <c r="M6" s="117" t="s">
        <v>433</v>
      </c>
      <c r="N6" s="99" t="s">
        <v>426</v>
      </c>
      <c r="O6" s="99" t="s">
        <v>417</v>
      </c>
      <c r="P6" s="99" t="s">
        <v>418</v>
      </c>
      <c r="Q6" s="99" t="s">
        <v>434</v>
      </c>
      <c r="R6" s="99" t="s">
        <v>301</v>
      </c>
      <c r="S6" s="99" t="s">
        <v>436</v>
      </c>
      <c r="T6" s="98" t="s">
        <v>411</v>
      </c>
      <c r="U6" s="99" t="s">
        <v>412</v>
      </c>
      <c r="V6" s="99" t="s">
        <v>435</v>
      </c>
      <c r="W6" s="99" t="s">
        <v>437</v>
      </c>
      <c r="X6" s="99" t="s">
        <v>292</v>
      </c>
      <c r="Y6" s="99" t="s">
        <v>80</v>
      </c>
      <c r="Z6" s="99" t="s">
        <v>1247</v>
      </c>
      <c r="AE6" s="1188"/>
      <c r="AF6" s="1171" t="s">
        <v>1244</v>
      </c>
      <c r="AG6" s="1323" t="s">
        <v>1243</v>
      </c>
      <c r="AH6" s="1334" t="s">
        <v>1259</v>
      </c>
      <c r="AI6" s="1189" t="str">
        <f>Dados!M4</f>
        <v>Vacinas</v>
      </c>
      <c r="AJ6" s="1190" t="str">
        <f>Dados!M5</f>
        <v>Controle Paras.</v>
      </c>
      <c r="AK6" s="1190" t="str">
        <f>Dados!M6</f>
        <v>Antibióticos</v>
      </c>
      <c r="AL6" s="1190" t="str">
        <f>Dados!M7</f>
        <v>Med. em geral</v>
      </c>
      <c r="AM6" s="1190" t="str">
        <f>Dados!M8</f>
        <v>Identificação</v>
      </c>
      <c r="AN6" s="1190" t="str">
        <f>Dados!M9</f>
        <v>Inseminação Artificial</v>
      </c>
      <c r="AO6" s="1191" t="str">
        <f>Dados!M10</f>
        <v>Material de Ordenha</v>
      </c>
      <c r="AP6" s="351" t="s">
        <v>1242</v>
      </c>
      <c r="AQ6" s="1530" t="s">
        <v>1248</v>
      </c>
      <c r="AX6" s="287">
        <v>1</v>
      </c>
      <c r="AY6" s="287">
        <v>2</v>
      </c>
      <c r="AZ6" s="287">
        <v>3</v>
      </c>
      <c r="BA6" s="287">
        <v>4</v>
      </c>
      <c r="BB6" s="287">
        <v>5</v>
      </c>
      <c r="BC6" s="288" t="s">
        <v>2</v>
      </c>
      <c r="CF6" s="93">
        <v>1</v>
      </c>
      <c r="CG6" s="316"/>
      <c r="CH6" s="315"/>
      <c r="CI6" s="316"/>
      <c r="CJ6" s="315"/>
      <c r="CK6" s="316"/>
      <c r="CL6" s="315"/>
      <c r="CM6" s="316"/>
      <c r="CN6" s="315"/>
      <c r="CO6" s="316"/>
      <c r="CP6" s="315"/>
      <c r="CR6" s="316"/>
      <c r="CS6" s="315"/>
      <c r="CT6" s="316"/>
      <c r="CU6" s="315"/>
      <c r="CV6" s="316"/>
      <c r="CW6" s="315"/>
      <c r="CX6" s="316"/>
      <c r="CY6" s="315"/>
      <c r="CZ6" s="316"/>
      <c r="DA6" s="315"/>
      <c r="DC6" s="316"/>
      <c r="DD6" s="315"/>
      <c r="DE6" s="316"/>
      <c r="DF6" s="315"/>
      <c r="DG6" s="316"/>
      <c r="DH6" s="315"/>
      <c r="DI6" s="316"/>
      <c r="DJ6" s="315"/>
      <c r="DK6" s="316"/>
      <c r="DL6" s="315"/>
      <c r="DN6" s="316"/>
      <c r="DO6" s="315"/>
      <c r="DP6" s="316"/>
      <c r="DQ6" s="315"/>
      <c r="DR6" s="316"/>
      <c r="DS6" s="315"/>
      <c r="DT6" s="316"/>
      <c r="DU6" s="315"/>
      <c r="DV6" s="316"/>
      <c r="DW6" s="315"/>
      <c r="DY6" s="316"/>
      <c r="DZ6" s="315"/>
      <c r="EA6" s="316"/>
      <c r="EB6" s="315"/>
      <c r="EC6" s="316"/>
      <c r="ED6" s="315"/>
      <c r="EE6" s="316"/>
      <c r="EF6" s="315"/>
      <c r="EG6" s="316"/>
      <c r="EH6" s="315"/>
      <c r="EJ6" s="316"/>
      <c r="EK6" s="315"/>
      <c r="EL6" s="316"/>
      <c r="EM6" s="315"/>
      <c r="EN6" s="316"/>
      <c r="EO6" s="315"/>
      <c r="EP6" s="316"/>
      <c r="EQ6" s="315"/>
      <c r="ER6" s="316"/>
      <c r="ES6" s="315"/>
      <c r="EU6" s="316"/>
      <c r="EV6" s="315"/>
      <c r="EW6" s="316"/>
      <c r="EX6" s="315"/>
      <c r="EY6" s="316"/>
      <c r="EZ6" s="315"/>
      <c r="FA6" s="316"/>
      <c r="FB6" s="315"/>
      <c r="FC6" s="316"/>
      <c r="FD6" s="315"/>
      <c r="FF6" s="316"/>
      <c r="FG6" s="315"/>
      <c r="FH6" s="316"/>
      <c r="FI6" s="315"/>
      <c r="FJ6" s="316"/>
      <c r="FK6" s="315"/>
      <c r="FL6" s="316"/>
      <c r="FM6" s="315"/>
      <c r="FN6" s="316"/>
      <c r="FO6" s="315"/>
      <c r="FQ6" s="316"/>
      <c r="FR6" s="315"/>
      <c r="FS6" s="316"/>
      <c r="FT6" s="315"/>
      <c r="FU6" s="316"/>
      <c r="FV6" s="315"/>
      <c r="FW6" s="316"/>
      <c r="FX6" s="315"/>
      <c r="FY6" s="316"/>
      <c r="FZ6" s="315"/>
      <c r="GB6" s="316"/>
      <c r="GC6" s="315"/>
      <c r="GD6" s="316"/>
      <c r="GE6" s="315"/>
      <c r="GF6" s="316"/>
      <c r="GG6" s="315"/>
      <c r="GH6" s="316"/>
      <c r="GI6" s="315"/>
      <c r="GJ6" s="316"/>
      <c r="GK6" s="315"/>
      <c r="GM6" s="316"/>
      <c r="GN6" s="315"/>
      <c r="GO6" s="316"/>
      <c r="GP6" s="315"/>
      <c r="GQ6" s="316"/>
      <c r="GR6" s="315"/>
      <c r="GS6" s="316"/>
      <c r="GT6" s="315"/>
      <c r="GU6" s="316"/>
      <c r="GV6" s="315"/>
      <c r="GX6" s="316"/>
      <c r="GY6" s="315"/>
      <c r="GZ6" s="316"/>
      <c r="HA6" s="315"/>
      <c r="HB6" s="316"/>
      <c r="HC6" s="315"/>
      <c r="HD6" s="316"/>
      <c r="HE6" s="315"/>
      <c r="HF6" s="316"/>
      <c r="HG6" s="315"/>
    </row>
    <row r="7" spans="3:215" ht="15.75" customHeight="1" x14ac:dyDescent="0.2">
      <c r="C7" s="156">
        <f>IF(R7=1,0,S7)</f>
        <v>0</v>
      </c>
      <c r="D7" s="2727"/>
      <c r="E7" s="178">
        <v>2</v>
      </c>
      <c r="F7" s="2719">
        <v>2</v>
      </c>
      <c r="G7" s="2633"/>
      <c r="H7" s="295"/>
      <c r="I7" s="229">
        <v>1</v>
      </c>
      <c r="J7" s="314">
        <v>1</v>
      </c>
      <c r="K7" s="157">
        <v>1.2</v>
      </c>
      <c r="L7" s="305"/>
      <c r="M7" s="127">
        <f>IF(I7=1,K7,IF(I7=2,K7/J7,IF(I7=3,K7*L7,0)))</f>
        <v>1.2</v>
      </c>
      <c r="N7" s="3">
        <v>23</v>
      </c>
      <c r="O7" s="30">
        <v>1</v>
      </c>
      <c r="P7" s="1531">
        <f>IF(N7=1,0,VLOOKUP(N7,Rebanho!$AN$45:$AV$72,4)*O7)</f>
        <v>3116.864924444445</v>
      </c>
      <c r="Q7" s="1532">
        <f>VLOOKUP(N7,Rebanho!$AN$45:$AV$72,7)*O7</f>
        <v>1142585.2620207409</v>
      </c>
      <c r="R7" s="93">
        <v>1</v>
      </c>
      <c r="S7" s="29"/>
      <c r="T7" s="102">
        <f>VLOOKUP(R7,'Mão-de-obra'!$CJ$10:$CL$29,3)</f>
        <v>0</v>
      </c>
      <c r="U7" s="102">
        <f>T7*S7</f>
        <v>0</v>
      </c>
      <c r="V7" s="127">
        <f>IF(I7=1,M7*P7,IF(I7=2,M7*Q7*L7,IF(I7=3,M7,0)))</f>
        <v>3740.2379093333338</v>
      </c>
      <c r="W7" s="129">
        <f>U7+V7</f>
        <v>3740.2379093333338</v>
      </c>
      <c r="X7" s="93">
        <v>1</v>
      </c>
      <c r="Y7" s="93">
        <v>1</v>
      </c>
      <c r="Z7" s="127">
        <f>IF(P7=0,0,((W7/P7+U7/P7)*O7))</f>
        <v>1.2</v>
      </c>
      <c r="AE7" s="1179" t="str">
        <f>Rebanho!C49</f>
        <v>Bezerro em aleitamento</v>
      </c>
      <c r="AF7" s="1194">
        <f>IF(Rebanho!E49&gt;0,1,0)</f>
        <v>0</v>
      </c>
      <c r="AG7" s="1192">
        <f>Rebanho!E49</f>
        <v>0</v>
      </c>
      <c r="AH7" s="1335">
        <f>Rebanho!AS46</f>
        <v>0</v>
      </c>
      <c r="AI7" s="1178">
        <f>((SUMIFS($Z$7:$Z$110,$E$7:$E$110,"=2",$N$7:$N$110,"=2")+SUMIFS($Z$7:$Z$110,$E$7:$E$110,"=2",$N$7:$N$110,"=19"))*AF7)*($AF$7)</f>
        <v>0</v>
      </c>
      <c r="AJ7" s="1178">
        <f>((SUMIFS($Z$7:$Z$110,$E$7:$E$110,"=3",$N$7:$N$110,"=2")+SUMIFS($Z$7:$Z$110,$E$7:$E$110,"=3",$N$7:$N$110,"=19")))*($AF$7)</f>
        <v>0</v>
      </c>
      <c r="AK7" s="1178">
        <f>((SUMIFS($Z$7:$Z$110,$E$7:$E$110,"=4",$N$7:$N$110,"=2")+SUMIFS($Z$7:$Z$110,$E$7:$E$110,"=4",$N$7:$N$110,"=19")))*($AF$7)</f>
        <v>0</v>
      </c>
      <c r="AL7" s="1178">
        <f>((SUMIFS($Z$7:$Z$110,$E$7:$E$110,"=5",$N$7:$N$110,"=2")+SUMIFS($Z$7:$Z$110,$E$7:$E$110,"=5",$N$7:$N$110,"=19")))*($AF$7)</f>
        <v>0</v>
      </c>
      <c r="AM7" s="1178">
        <f>((SUMIFS($Z$7:$Z$110,$E$7:$E$110,"=6",$N$7:$N$110,"=2")+SUMIFS($Z$7:$Z$110,$E$7:$E$110,"=6",$N$7:$N$110,"=19")))*($AF$7)</f>
        <v>0</v>
      </c>
      <c r="AN7" s="1178">
        <f>((SUMIFS($Z$7:$Z$110,$E$7:$E$110,"=7",$N$7:$N$110,"=2")+SUMIFS($Z$7:$Z$110,$E$7:$E$110,"=7",$N$7:$N$110,"=19")))*($AF$7)</f>
        <v>0</v>
      </c>
      <c r="AO7" s="1208">
        <f>((SUMIFS($Z$7:$Z$110,$E$7:$E$110,"=8",$N$7:$N$110,"=2")+SUMIFS($Z$7:$Z$110,$E$7:$E$110,"=8",$N$7:$N$110,"=19")))*($AF$7)</f>
        <v>0</v>
      </c>
      <c r="AP7" s="1208">
        <f>SUM(AI7:AO7)*AG7</f>
        <v>0</v>
      </c>
      <c r="AQ7" s="1183">
        <f>SUM(AI7:AO7)</f>
        <v>0</v>
      </c>
      <c r="AW7" s="3" t="s">
        <v>302</v>
      </c>
      <c r="AX7" s="94">
        <f>IF($E7=2,$V7,0)</f>
        <v>3740.2379093333338</v>
      </c>
      <c r="AY7" s="94">
        <f>IF($E8=2,$V8,0)</f>
        <v>952</v>
      </c>
      <c r="AZ7" s="94">
        <f>IF($E9=2,$V9,0)</f>
        <v>939.30666666666662</v>
      </c>
      <c r="BA7" s="94">
        <f>IF($E10=2,$V10,0)</f>
        <v>2493.4919395555562</v>
      </c>
      <c r="BB7" s="94">
        <f>IF($E11=2,$V11,0)</f>
        <v>634.66666666666674</v>
      </c>
      <c r="BC7" s="200">
        <f t="shared" ref="BC7:BC12" si="0">SUM(AX7:BB7)</f>
        <v>8759.7031822222234</v>
      </c>
      <c r="CF7" s="93">
        <v>2</v>
      </c>
      <c r="CG7" s="316" t="str">
        <f>IF($E$7=2,Dados!$AE$15,IF($E$7=3,Dados!$AG$15,IF($E$7=4,Dados!$AI$15,IF($E$7=5,Dados!$AK$15,IF($E$7=6,Dados!$AM$15,IF($E$7=7,Dados!$AO$15,IF($E$7=8,Dados!$AS$15,0)))))))</f>
        <v>Aftosa</v>
      </c>
      <c r="CH7" s="304" t="str">
        <f>IF($E$7=2,Dados!$AF$15,IF($E$7=3,Dados!$AH$15,IF($E$7=4,Dados!$AJ$15,IF($E$7=5,Dados!$AL$15,IF($E$7=6,Dados!$AN$15,IF($E$7=7,Dados!$AP$15,IF($E$7=8,Dados!$AT$15,0)))))))</f>
        <v>dose</v>
      </c>
      <c r="CI7" s="316" t="str">
        <f>IF($E$8=2,Dados!$AE$15,IF($E$8=3,Dados!$AG$15,IF($E$8=4,Dados!$AI$15,IF($E$8=5,Dados!$AK$15,IF($E$8=6,Dados!$AM$15,IF($E$8=7,Dados!$AO$15,IF($E$8=8,Dados!$AS$15,0)))))))</f>
        <v>Aftosa</v>
      </c>
      <c r="CJ7" s="304" t="str">
        <f>IF($E$8=2,Dados!$AF$15,IF($E$8=3,Dados!$AH$15,IF($E$8=4,Dados!$AJ$15,IF($E$8=5,Dados!$AL$15,IF($E$8=6,Dados!$AN$15,IF($E$8=7,Dados!$AP$15,IF($E$8=8,Dados!$AT$15,0)))))))</f>
        <v>dose</v>
      </c>
      <c r="CK7" s="316" t="str">
        <f>IF($E$9=2,Dados!$AE$15,IF($E$9=3,Dados!$AG$15,IF($E$9=4,Dados!$AI$15,IF($E$9=5,Dados!$AK$15,IF($E$9=6,Dados!$AM$15,IF($E$9=7,Dados!$AO$15,IF($E$9=8,Dados!$AS$15,0)))))))</f>
        <v>Aftosa</v>
      </c>
      <c r="CL7" s="304" t="str">
        <f>IF($E$9=2,Dados!$AF$15,IF($E$9=3,Dados!$AH$15,IF($E$9=4,Dados!$AJ$15,IF($E$9=5,Dados!$AL$15,IF($E$9=6,Dados!$AN$15,IF($E$9=7,Dados!$AP$15,IF($E$9=8,Dados!$AT$15,0)))))))</f>
        <v>dose</v>
      </c>
      <c r="CM7" s="316" t="str">
        <f>IF($E$10=2,Dados!$AE$15,IF($E$10=3,Dados!$AG$15,IF($E$10=4,Dados!$AI$15,IF($E$10=5,Dados!$AK$15,IF($E$10=6,Dados!$AM$15,IF($E$10=7,Dados!$AO$15,IF($E$10=8,Dados!$AS$15,0)))))))</f>
        <v>Aftosa</v>
      </c>
      <c r="CN7" s="304" t="str">
        <f>IF($E$10=2,Dados!$AF$15,IF($E$10=3,Dados!$AH$15,IF($E$10=4,Dados!$AJ$15,IF($E$10=5,Dados!$AL$15,IF($E$10=6,Dados!$AN$15,IF($E$10=7,Dados!$AP$15,IF($E$10=8,Dados!$AT$15,0)))))))</f>
        <v>dose</v>
      </c>
      <c r="CO7" s="316" t="str">
        <f>IF($E$11=2,Dados!$AE$15,IF($E$11=3,Dados!$AG$15,IF($E$11=4,Dados!$AI$15,IF($E$11=5,Dados!$AK$15,IF($E$11=6,Dados!$AM$15,IF($E$11=7,Dados!$AO$15,IF($E$11=8,Dados!$AS$15,0)))))))</f>
        <v>Aftosa</v>
      </c>
      <c r="CP7" s="304" t="str">
        <f>IF($E$11=2,Dados!$AF$15,IF($E$11=3,Dados!$AH$15,IF($E$11=4,Dados!$AJ$15,IF($E$11=5,Dados!$AL$15,IF($E$11=6,Dados!$AN$15,IF($E$11=7,Dados!$AP$15,IF($E$11=8,Dados!$AT$15,0)))))))</f>
        <v>dose</v>
      </c>
      <c r="CR7" s="316" t="str">
        <f>IF($E$16=2,Dados!$AE$15,IF($E$16=3,Dados!$AG$15,IF($E$16=4,Dados!$AI$15,IF($E$16=5,Dados!$AK$15,IF($E$16=6,Dados!$AM$15,IF($E$16=7,Dados!$AO$15,IF($E$16=8,Dados!$AS$15,0)))))))</f>
        <v>Ivermectina</v>
      </c>
      <c r="CS7" s="304" t="str">
        <f>IF($E$16=2,Dados!$AF$15,IF($E$16=3,Dados!$AH$15,IF($E$16=4,Dados!$AJ$15,IF($E$16=5,Dados!$AL$15,IF($E$16=6,Dados!$AN$15,IF($E$16=7,Dados!$AP$15,IF($E$16=8,Dados!$AT$15,0)))))))</f>
        <v>frasco</v>
      </c>
      <c r="CT7" s="316" t="str">
        <f>IF($E$17=2,Dados!$AE$15,IF($E$17=3,Dados!$AG$15,IF($E$17=4,Dados!$AI$15,IF($E$17=5,Dados!$AK$15,IF($E$17=6,Dados!$AM$15,IF($E$17=7,Dados!$AO$15,IF($E$17=8,Dados!$AS$15,0)))))))</f>
        <v>Ivermectina</v>
      </c>
      <c r="CU7" s="304" t="str">
        <f>IF($E$17=2,Dados!$AF$15,IF($E$17=3,Dados!$AH$15,IF($E$17=4,Dados!$AJ$15,IF($E$17=5,Dados!$AL$15,IF($E$17=6,Dados!$AN$15,IF($E$17=7,Dados!$AP$15,IF($E$17=8,Dados!$AT$15,0)))))))</f>
        <v>frasco</v>
      </c>
      <c r="CV7" s="316" t="str">
        <f>IF($E$18=2,Dados!$AE$15,IF($E$18=3,Dados!$AG$15,IF($E$18=4,Dados!$AI$15,IF($E$18=5,Dados!$AK$15,IF($E$18=6,Dados!$AM$15,IF($E$18=7,Dados!$AO$15,IF($E$18=8,Dados!$AS$15,0)))))))</f>
        <v>Ivermectina</v>
      </c>
      <c r="CW7" s="304" t="str">
        <f>IF($E$18=2,Dados!$AF$15,IF($E$18=3,Dados!$AH$15,IF($E$18=4,Dados!$AJ$15,IF($E$18=5,Dados!$AL$15,IF($E$18=6,Dados!$AN$15,IF($E$18=7,Dados!$AP$15,IF($E$18=8,Dados!$AT$15,0)))))))</f>
        <v>frasco</v>
      </c>
      <c r="CX7" s="316" t="str">
        <f>IF($E$19=2,Dados!$AE$15,IF($E$19=3,Dados!$AG$15,IF($E$19=4,Dados!$AI$15,IF($E$19=5,Dados!$AK$15,IF($E$19=6,Dados!$AM$15,IF($E$19=7,Dados!$AO$15,IF($E$19=8,Dados!$AS$15,0)))))))</f>
        <v>Aftosa</v>
      </c>
      <c r="CY7" s="304" t="str">
        <f>IF($E$19=2,Dados!$AF$15,IF($E$19=3,Dados!$AH$15,IF($E$19=4,Dados!$AJ$15,IF($E$19=5,Dados!$AL$15,IF($E$19=6,Dados!$AN$15,IF($E$19=7,Dados!$AP$15,IF($E$19=8,Dados!$AT$15,0)))))))</f>
        <v>dose</v>
      </c>
      <c r="CZ7" s="316">
        <f>IF($E$20=2,Dados!$AE$15,IF($E$20=3,Dados!$AG$15,IF($E$20=4,Dados!$AI$15,IF($E$20=5,Dados!$AK$15,IF($E$20=6,Dados!$AM$15,IF($E$20=7,Dados!$AO$15,IF($E$20=8,Dados!$AS$15,0)))))))</f>
        <v>0</v>
      </c>
      <c r="DA7" s="304">
        <f>IF($E$20=2,Dados!$AF$15,IF($E$20=3,Dados!$AH$15,IF($E$20=4,Dados!$AJ$15,IF($E$20=5,Dados!$AL$15,IF($E$20=6,Dados!$AN$15,IF($E$20=7,Dados!$AP$15,IF($E$20=8,Dados!$AT$15,0)))))))</f>
        <v>0</v>
      </c>
      <c r="DC7" s="316" t="str">
        <f>IF($E$25=2,Dados!$AE$15,IF($E$25=3,Dados!$AG$15,IF($E$25=4,Dados!$AI$15,IF($E$25=5,Dados!$AK$15,IF($E$25=6,Dados!$AM$15,IF($E$25=7,Dados!$AO$15,IF($E$25=8,Dados!$AS$15,0)))))))</f>
        <v>Oxitetraciclina</v>
      </c>
      <c r="DD7" s="304" t="str">
        <f>IF($E$25=2,Dados!$AF$15,IF($E$25=3,Dados!$AH$15,IF($E$25=4,Dados!$AJ$15,IF($E$25=5,Dados!$AL$15,IF($E$25=6,Dados!$AN$15,IF($E$25=7,Dados!$AP$15,IF($E$25=8,Dados!$AT$15,0)))))))</f>
        <v>frasco</v>
      </c>
      <c r="DE7" s="316" t="str">
        <f>IF($E$26=2,Dados!$AE$15,IF($E$26=3,Dados!$AG$15,IF($E$26=4,Dados!$AI$15,IF($E$26=5,Dados!$AK$15,IF($E$26=6,Dados!$AM$15,IF($E$26=7,Dados!$AO$15,IF($E$26=8,Dados!$AS$15,0)))))))</f>
        <v>Antiinflamatório</v>
      </c>
      <c r="DF7" s="304" t="str">
        <f>IF($E$26=2,Dados!$AF$15,IF($E$26=3,Dados!$AH$15,IF($E$26=4,Dados!$AJ$15,IF($E$26=5,Dados!$AL$15,IF($E$26=6,Dados!$AN$15,IF($E$26=7,Dados!$AP$15,IF($E$26=8,Dados!$AT$15,0)))))))</f>
        <v>Frasco</v>
      </c>
      <c r="DG7" s="316">
        <f>IF($E$27=2,Dados!$AE$15,IF($E$27=3,Dados!$AG$15,IF($E$27=4,Dados!$AI$15,IF($E$27=5,Dados!$AK$15,IF($E$27=6,Dados!$AM$15,IF($E$27=7,Dados!$AO$15,IF($E$27=8,Dados!$AS$15,0)))))))</f>
        <v>0</v>
      </c>
      <c r="DH7" s="304">
        <f>IF($E$27=2,Dados!$AF$15,IF($E$27=3,Dados!$AH$15,IF($E$27=4,Dados!$AJ$15,IF($E$27=5,Dados!$AL$15,IF($E$27=6,Dados!$AN$15,IF($E$27=7,Dados!$AP$15,IF($E$27=8,Dados!$AT$15,0)))))))</f>
        <v>0</v>
      </c>
      <c r="DI7" s="316">
        <f>IF($E$28=2,Dados!$AE$15,IF($E$28=3,Dados!$AG$15,IF($E$28=4,Dados!$AI$15,IF($E$28=5,Dados!$AK$15,IF($E$28=6,Dados!$AM$15,IF($E$28=7,Dados!$AO$15,IF($E$28=8,Dados!$AS$15,0)))))))</f>
        <v>0</v>
      </c>
      <c r="DJ7" s="304">
        <f>IF($E$28=2,Dados!$AF$15,IF($E$28=3,Dados!$AH$15,IF($E$28=4,Dados!$AJ$15,IF($E$28=5,Dados!$AL$15,IF($E$28=6,Dados!$AN$15,IF($E$28=7,Dados!$AP$15,IF($E$28=8,Dados!$AT$15,0)))))))</f>
        <v>0</v>
      </c>
      <c r="DK7" s="316">
        <f>IF($E$29=2,Dados!$AE$15,IF($E$29=3,Dados!$AG$15,IF($E$29=4,Dados!$AI$15,IF($E$29=5,Dados!$AK$15,IF($E$29=6,Dados!$AM$15,IF($E$29=7,Dados!$AO$15,IF($E$29=8,Dados!$AS$15,0)))))))</f>
        <v>0</v>
      </c>
      <c r="DL7" s="304">
        <f>IF($E$29=2,Dados!$AF$15,IF($E$29=3,Dados!$AH$15,IF($E$29=4,Dados!$AJ$15,IF($E$29=5,Dados!$AL$15,IF($E$29=6,Dados!$AN$15,IF($E$29=7,Dados!$AP$15,IF($E$29=8,Dados!$AT$15,0)))))))</f>
        <v>0</v>
      </c>
      <c r="DN7" s="316" t="str">
        <f>IF($E$34=2,Dados!$AE$15,IF($E$34=3,Dados!$AG$15,IF($E$34=4,Dados!$AI$15,IF($E$34=5,Dados!$AK$15,IF($E$34=6,Dados!$AM$15,IF($E$34=7,Dados!$AO$15,IF($E$34=8,Dados!$AS$15,0)))))))</f>
        <v>Ivermectina</v>
      </c>
      <c r="DO7" s="304" t="str">
        <f>IF($E$34=2,Dados!$AF$15,IF($E$34=3,Dados!$AH$15,IF($E$34=4,Dados!$AJ$15,IF($E$34=5,Dados!$AL$15,IF($E$34=6,Dados!$AN$15,IF($E$34=7,Dados!$AP$15,IF($E$34=8,Dados!$AT$15,0)))))))</f>
        <v>frasco</v>
      </c>
      <c r="DP7" s="316">
        <f>IF($E$35=2,Dados!$AE$15,IF($E$35=3,Dados!$AG$15,IF($E$35=4,Dados!$AI$15,IF($E$35=5,Dados!$AK$15,IF($E$35=6,Dados!$AM$15,IF($E$35=7,Dados!$AO$15,IF($E$35=8,Dados!$AS$15,0)))))))</f>
        <v>0</v>
      </c>
      <c r="DQ7" s="304">
        <f>IF($E$35=2,Dados!$AF$15,IF($E$35=3,Dados!$AH$15,IF($E$35=4,Dados!$AJ$15,IF($E$35=5,Dados!$AL$15,IF($E$35=6,Dados!$AN$15,IF($E$35=7,Dados!$AP$15,IF($E$35=8,Dados!$AT$15,0)))))))</f>
        <v>0</v>
      </c>
      <c r="DR7" s="316">
        <f>IF($E$36=2,Dados!$AE$15,IF($E$36=3,Dados!$AG$15,IF($E$36=4,Dados!$AI$15,IF($E$36=5,Dados!$AK$15,IF($E$36=6,Dados!$AM$15,IF($E$36=7,Dados!$AO$15,IF($E$36=8,Dados!$AS$15,0)))))))</f>
        <v>0</v>
      </c>
      <c r="DS7" s="304">
        <f>IF($E$36=2,Dados!$AF$15,IF($E$36=3,Dados!$AH$15,IF($E$36=4,Dados!$AJ$15,IF($E$36=5,Dados!$AL$15,IF($E$36=6,Dados!$AN$15,IF($E$36=7,Dados!$AP$15,IF($E$36=8,Dados!$AT$15,0)))))))</f>
        <v>0</v>
      </c>
      <c r="DT7" s="316">
        <f>IF($E$37=2,Dados!$AE$15,IF($E$37=3,Dados!$AG$15,IF($E$37=4,Dados!$AI$15,IF($E$37=5,Dados!$AK$15,IF($E$37=6,Dados!$AM$15,IF($E$37=7,Dados!$AO$15,IF($E$37=8,Dados!$AS$15,0)))))))</f>
        <v>0</v>
      </c>
      <c r="DU7" s="304">
        <f>IF($E$37=2,Dados!$AF$15,IF($E$37=3,Dados!$AH$15,IF($E$37=4,Dados!$AJ$15,IF($E$37=5,Dados!$AL$15,IF($E$37=6,Dados!$AN$15,IF($E$37=7,Dados!$AP$15,IF($E$37=8,Dados!$AT$15,0)))))))</f>
        <v>0</v>
      </c>
      <c r="DV7" s="316">
        <f>IF($E$38=2,Dados!$AE$15,IF($E$38=3,Dados!$AG$15,IF($E$38=4,Dados!$AI$15,IF($E$38=5,Dados!$AK$15,IF($E$38=6,Dados!$AM$15,IF($E$38=7,Dados!$AO$15,IF($E$38=8,Dados!$AS$15,0)))))))</f>
        <v>0</v>
      </c>
      <c r="DW7" s="304">
        <f>IF($E$38=2,Dados!$AF$15,IF($E$38=3,Dados!$AH$15,IF($E$38=4,Dados!$AJ$15,IF($E$38=5,Dados!$AL$15,IF($E$38=6,Dados!$AN$15,IF($E$38=7,Dados!$AP$15,IF($E$38=8,Dados!$AT$15,0)))))))</f>
        <v>0</v>
      </c>
      <c r="DY7" s="316">
        <f>IF($E$43=2,Dados!$AE$15,IF($E$43=3,Dados!$AG$15,IF($E$43=4,Dados!$AI$15,IF($E$43=5,Dados!$AK$15,IF($E$43=6,Dados!$AM$15,IF($E$43=7,Dados!$AO$15,IF($E$43=8,Dados!$AS$15,0)))))))</f>
        <v>0</v>
      </c>
      <c r="DZ7" s="304">
        <f>IF($E$43=2,Dados!$AF$15,IF($E$43=3,Dados!$AH$15,IF($E$43=4,Dados!$AJ$15,IF($E$43=5,Dados!$AL$15,IF($E$43=6,Dados!$AN$15,IF($E$43=7,Dados!$AP$15,IF($E$43=8,Dados!$AT$15,0)))))))</f>
        <v>0</v>
      </c>
      <c r="EA7" s="316">
        <f>IF($E$44=2,Dados!$AE$15,IF($E$44=3,Dados!$AG$15,IF($E$44=4,Dados!$AI$15,IF($E$44=5,Dados!$AK$15,IF($E$44=6,Dados!$AM$15,IF($E$44=7,Dados!$AO$15,IF($E$44=8,Dados!$AS$15,0)))))))</f>
        <v>0</v>
      </c>
      <c r="EB7" s="304">
        <f>IF($E$44=2,Dados!$AF$15,IF($E$44=3,Dados!$AH$15,IF($E$44=4,Dados!$AJ$15,IF($E$44=5,Dados!$AL$15,IF($E$44=6,Dados!$AN$15,IF($E$44=7,Dados!$AP$15,IF($E$44=8,Dados!$AT$15,0)))))))</f>
        <v>0</v>
      </c>
      <c r="EC7" s="316">
        <f>IF($E$45=2,Dados!$AE$15,IF($E$45=3,Dados!$AG$15,IF($E$45=4,Dados!$AI$15,IF($E$45=5,Dados!$AK$15,IF($E$45=6,Dados!$AM$15,IF($E$45=7,Dados!$AO$15,IF($E$45=8,Dados!$AS$15,0)))))))</f>
        <v>0</v>
      </c>
      <c r="ED7" s="304">
        <f>IF($E$45=2,Dados!$AF$15,IF($E$45=3,Dados!$AH$15,IF($E$45=4,Dados!$AJ$15,IF($E$45=5,Dados!$AL$15,IF($E$45=6,Dados!$AN$15,IF($E$45=7,Dados!$AP$15,IF($E$45=8,Dados!$AT$15,0)))))))</f>
        <v>0</v>
      </c>
      <c r="EE7" s="316">
        <f>IF($E$46=2,Dados!$AE$15,IF($E$46=3,Dados!$AG$15,IF($E$46=4,Dados!$AI$15,IF($E$46=5,Dados!$AK$15,IF($E$46=6,Dados!$AM$15,IF($E$46=7,Dados!$AO$15,IF($E$46=8,Dados!$AS$15,0)))))))</f>
        <v>0</v>
      </c>
      <c r="EF7" s="304">
        <f>IF($E$46=2,Dados!$AF$15,IF($E$46=3,Dados!$AH$15,IF($E$46=4,Dados!$AJ$15,IF($E$46=5,Dados!$AL$15,IF($E$46=6,Dados!$AN$15,IF($E$46=7,Dados!$AP$15,IF($E$46=8,Dados!$AT$15,0)))))))</f>
        <v>0</v>
      </c>
      <c r="EG7" s="316">
        <f>IF($E$47=2,Dados!$AE$15,IF($E$47=3,Dados!$AG$15,IF($E$47=4,Dados!$AI$15,IF($E$47=5,Dados!$AK$15,IF($E$47=6,Dados!$AM$15,IF($E$47=7,Dados!$AO$15,IF($E$47=8,Dados!$AS$15,0)))))))</f>
        <v>0</v>
      </c>
      <c r="EH7" s="304">
        <f>IF($E$47=2,Dados!$AF$15,IF($E$47=3,Dados!$AH$15,IF($E$47=4,Dados!$AJ$15,IF($E$47=5,Dados!$AL$15,IF($E$47=6,Dados!$AN$15,IF($E$47=7,Dados!$AP$15,IF($E$47=8,Dados!$AT$15,0)))))))</f>
        <v>0</v>
      </c>
      <c r="EJ7" s="316">
        <f>IF($E$52=2,Dados!$AE$15,IF($E$52=3,Dados!$AG$15,IF($E$52=4,Dados!$AI$15,IF($E$52=5,Dados!$AK$15,IF($E$52=6,Dados!$AM$15,IF($E$52=7,Dados!$AO$15,IF($E$52=8,Dados!$AS$15,0)))))))</f>
        <v>0</v>
      </c>
      <c r="EK7" s="304">
        <f>IF($E$52=2,Dados!$AF$15,IF($E$52=3,Dados!$AH$15,IF($E$52=4,Dados!$AJ$15,IF($E$52=5,Dados!$AL$15,IF($E$52=6,Dados!$AN$15,IF($E$52=7,Dados!$AP$15,IF($E$52=8,Dados!$AT$15,0)))))))</f>
        <v>0</v>
      </c>
      <c r="EL7" s="316">
        <f>IF($E$53=2,Dados!$AE$15,IF($E$53=3,Dados!$AG$15,IF($E$53=4,Dados!$AI$15,IF($E$53=5,Dados!$AK$15,IF($E$53=6,Dados!$AM$15,IF($E$53=7,Dados!$AO$15,IF($E$53=8,Dados!$AS$15,0)))))))</f>
        <v>0</v>
      </c>
      <c r="EM7" s="304">
        <f>IF($E$53=2,Dados!$AF$15,IF($E$53=3,Dados!$AH$15,IF($E$53=4,Dados!$AJ$15,IF($E$53=5,Dados!$AL$15,IF($E$53=6,Dados!$AN$15,IF($E$53=7,Dados!$AP$15,IF($E$53=8,Dados!$AT$15,0)))))))</f>
        <v>0</v>
      </c>
      <c r="EN7" s="316">
        <f>IF($E$54=2,Dados!$AE$15,IF($E$54=3,Dados!$AG$15,IF($E$54=4,Dados!$AI$15,IF($E$54=5,Dados!$AK$15,IF($E$54=6,Dados!$AM$15,IF($E$54=7,Dados!$AO$15,IF($E$54=8,Dados!$AS$15,0)))))))</f>
        <v>0</v>
      </c>
      <c r="EO7" s="304">
        <f>IF($E$54=2,Dados!$AF$15,IF($E$54=3,Dados!$AH$15,IF($E$54=4,Dados!$AJ$15,IF($E$54=5,Dados!$AL$15,IF($E$54=6,Dados!$AN$15,IF($E$54=7,Dados!$AP$15,IF($E$54=8,Dados!$AT$15,0)))))))</f>
        <v>0</v>
      </c>
      <c r="EP7" s="316">
        <f>IF($E$55=2,Dados!$AE$15,IF($E$55=3,Dados!$AG$15,IF($E$55=4,Dados!$AI$15,IF($E$55=5,Dados!$AK$15,IF($E$55=6,Dados!$AM$15,IF($E$55=7,Dados!$AO$15,IF($E$55=8,Dados!$AS$15,0)))))))</f>
        <v>0</v>
      </c>
      <c r="EQ7" s="304">
        <f>IF($E$55=2,Dados!$AF$15,IF($E$55=3,Dados!$AH$15,IF($E$55=4,Dados!$AJ$15,IF($E$55=5,Dados!$AL$15,IF($E$55=6,Dados!$AN$15,IF($E$55=7,Dados!$AP$15,IF($E$55=8,Dados!$AT$15,0)))))))</f>
        <v>0</v>
      </c>
      <c r="ER7" s="316">
        <f>IF($E$56=2,Dados!$AE$15,IF($E$56=3,Dados!$AG$15,IF($E$56=4,Dados!$AI$15,IF($E$56=5,Dados!$AK$15,IF($E$56=6,Dados!$AM$15,IF($E$56=7,Dados!$AO$15,IF($E$56=8,Dados!$AS$15,0)))))))</f>
        <v>0</v>
      </c>
      <c r="ES7" s="304">
        <f>IF($E$56=2,Dados!$AF$15,IF($E$56=3,Dados!$AH$15,IF($E$56=4,Dados!$AJ$15,IF($E$56=5,Dados!$AL$15,IF($E$56=6,Dados!$AN$15,IF($E$56=7,Dados!$AP$15,IF($E$56=8,Dados!$AT$15,0)))))))</f>
        <v>0</v>
      </c>
      <c r="EU7" s="316">
        <f>IF($E$61=2,Dados!$AE$15,IF($E$61=3,Dados!$AG$15,IF($E$61=4,Dados!$AI$15,IF($E$61=5,Dados!$AK$15,IF($E$61=6,Dados!$AM$15,IF($E$61=7,Dados!$AO$15,IF($E$61=8,Dados!$AS$15,0)))))))</f>
        <v>0</v>
      </c>
      <c r="EV7" s="304">
        <f>IF($E$61=2,Dados!$AF$15,IF($E$61=3,Dados!$AH$15,IF($E$61=4,Dados!$AJ$15,IF($E$61=5,Dados!$AL$15,IF($E$61=6,Dados!$AN$15,IF($E$61=7,Dados!$AP$15,IF($E$61=8,Dados!$AT$15,0)))))))</f>
        <v>0</v>
      </c>
      <c r="EW7" s="316">
        <f>IF($E$62=2,Dados!$AE$15,IF($E$62=3,Dados!$AG$15,IF($E$62=4,Dados!$AI$15,IF($E$62=5,Dados!$AK$15,IF($E$62=6,Dados!$AM$15,IF($E$62=7,Dados!$AO$15,IF($E$62=8,Dados!$AS$15,0)))))))</f>
        <v>0</v>
      </c>
      <c r="EX7" s="304">
        <f>IF($E$62=2,Dados!$AF$15,IF($E$62=3,Dados!$AH$15,IF($E$62=4,Dados!$AJ$15,IF($E$62=5,Dados!$AL$15,IF($E$62=6,Dados!$AN$15,IF($E$62=7,Dados!$AP$15,IF($E$62=8,Dados!$AT$15,0)))))))</f>
        <v>0</v>
      </c>
      <c r="EY7" s="316">
        <f>IF($E$63=2,Dados!$AE$15,IF($E$63=3,Dados!$AG$15,IF($E$63=4,Dados!$AI$15,IF($E$63=5,Dados!$AK$15,IF($E$63=6,Dados!$AM$15,IF($E$63=7,Dados!$AO$15,IF($E$63=8,Dados!$AS$15,0)))))))</f>
        <v>0</v>
      </c>
      <c r="EZ7" s="304">
        <f>IF($E$63=2,Dados!$AF$15,IF($E$63=3,Dados!$AH$15,IF($E$63=4,Dados!$AJ$15,IF($E$63=5,Dados!$AL$15,IF($E$63=6,Dados!$AN$15,IF($E$63=7,Dados!$AP$15,IF($E$63=8,Dados!$AT$15,0)))))))</f>
        <v>0</v>
      </c>
      <c r="FA7" s="316">
        <f>IF($E$64=2,Dados!$AE$15,IF($E$64=3,Dados!$AG$15,IF($E$64=4,Dados!$AI$15,IF($E$64=5,Dados!$AK$15,IF($E$64=6,Dados!$AM$15,IF($E$64=7,Dados!$AO$15,IF($E$64=8,Dados!$AS$15,0)))))))</f>
        <v>0</v>
      </c>
      <c r="FB7" s="304">
        <f>IF($E$64=2,Dados!$AF$15,IF($E$64=3,Dados!$AH$15,IF($E$64=4,Dados!$AJ$15,IF($E$64=5,Dados!$AL$15,IF($E$64=6,Dados!$AN$15,IF($E$64=7,Dados!$AP$15,IF($E$64=8,Dados!$AT$15,0)))))))</f>
        <v>0</v>
      </c>
      <c r="FC7" s="316">
        <f>IF($E$65=2,Dados!$AE$15,IF($E$65=3,Dados!$AG$15,IF($E$65=4,Dados!$AI$15,IF($E$65=5,Dados!$AK$15,IF($E$65=6,Dados!$AM$15,IF($E$65=7,Dados!$AO$15,IF($E$65=8,Dados!$AS$15,0)))))))</f>
        <v>0</v>
      </c>
      <c r="FD7" s="304">
        <f>IF($E$65=2,Dados!$AF$15,IF($E$65=3,Dados!$AH$15,IF($E$65=4,Dados!$AJ$15,IF($E$65=5,Dados!$AL$15,IF($E$65=6,Dados!$AN$15,IF($E$65=7,Dados!$AP$15,IF($E$65=8,Dados!$AT$15,0)))))))</f>
        <v>0</v>
      </c>
      <c r="FF7" s="316">
        <f>IF($E$70=2,Dados!$AE$15,IF($E$70=3,Dados!$AG$15,IF($E$70=4,Dados!$AI$15,IF($E$70=5,Dados!$AK$15,IF($E$70=6,Dados!$AM$15,IF($E$70=7,Dados!$AO$15,IF($E$70=8,Dados!$AS$15,0)))))))</f>
        <v>0</v>
      </c>
      <c r="FG7" s="304">
        <f>IF($E$70=2,Dados!$AF$15,IF($E$70=3,Dados!$AH$15,IF($E$70=4,Dados!$AJ$15,IF($E$70=5,Dados!$AL$15,IF($E$70=6,Dados!$AN$15,IF($E$70=7,Dados!$AP$15,IF($E$70=8,Dados!$AT$15,0)))))))</f>
        <v>0</v>
      </c>
      <c r="FH7" s="316">
        <f>IF($E$71=2,Dados!$AE$15,IF($E$71=3,Dados!$AG$15,IF($E$71=4,Dados!$AI$15,IF($E$71=5,Dados!$AK$15,IF($E$71=6,Dados!$AM$15,IF($E$71=7,Dados!$AO$15,IF($E$71=8,Dados!$AS$15,0)))))))</f>
        <v>0</v>
      </c>
      <c r="FI7" s="304">
        <f>IF($E$71=2,Dados!$AF$15,IF($E$71=3,Dados!$AH$15,IF($E$71=4,Dados!$AJ$15,IF($E$71=5,Dados!$AL$15,IF($E$71=6,Dados!$AN$15,IF($E$71=7,Dados!$AP$15,IF($E$71=8,Dados!$AT$15,0)))))))</f>
        <v>0</v>
      </c>
      <c r="FJ7" s="316">
        <f>IF($E$72=2,Dados!$AE$15,IF($E$72=3,Dados!$AG$15,IF($E$72=4,Dados!$AI$15,IF($E$72=5,Dados!$AK$15,IF($E$72=6,Dados!$AM$15,IF($E$72=7,Dados!$AO$15,IF($E$72=8,Dados!$AS$15,0)))))))</f>
        <v>0</v>
      </c>
      <c r="FK7" s="304">
        <f>IF($E$72=2,Dados!$AF$15,IF($E$72=3,Dados!$AH$15,IF($E$72=4,Dados!$AJ$15,IF($E$72=5,Dados!$AL$15,IF($E$72=6,Dados!$AN$15,IF($E$72=7,Dados!$AP$15,IF($E$72=8,Dados!$AT$15,0)))))))</f>
        <v>0</v>
      </c>
      <c r="FL7" s="316">
        <f>IF($E$73=2,Dados!$AE$15,IF($E$73=3,Dados!$AG$15,IF($E$73=4,Dados!$AI$15,IF($E$73=5,Dados!$AK$15,IF($E$73=6,Dados!$AM$15,IF($E$73=7,Dados!$AO$15,IF($E$73=8,Dados!$AS$15,0)))))))</f>
        <v>0</v>
      </c>
      <c r="FM7" s="304">
        <f>IF($E$73=2,Dados!$AF$15,IF($E$73=3,Dados!$AH$15,IF($E$73=4,Dados!$AJ$15,IF($E$73=5,Dados!$AL$15,IF($E$73=6,Dados!$AN$15,IF($E$73=7,Dados!$AP$15,IF($E$73=8,Dados!$AT$15,0)))))))</f>
        <v>0</v>
      </c>
      <c r="FN7" s="316">
        <f>IF($E$74=2,Dados!$AE$15,IF($E$74=3,Dados!$AG$15,IF($E$74=4,Dados!$AI$15,IF($E$74=5,Dados!$AK$15,IF($E$74=6,Dados!$AM$15,IF($E$74=7,Dados!$AO$15,IF($E$74=8,Dados!$AS$15,0)))))))</f>
        <v>0</v>
      </c>
      <c r="FO7" s="304">
        <f>IF($E$74=2,Dados!$AF$15,IF($E$74=3,Dados!$AH$15,IF($E$74=4,Dados!$AJ$15,IF($E$74=5,Dados!$AL$15,IF($E$74=6,Dados!$AN$15,IF($E$74=7,Dados!$AP$15,IF($E$74=8,Dados!$AT$15,0)))))))</f>
        <v>0</v>
      </c>
      <c r="FQ7" s="316">
        <f>IF($E$79=2,Dados!$AE$15,IF($E$79=3,Dados!$AG$15,IF($E$79=4,Dados!$AI$15,IF($E$79=5,Dados!$AK$15,IF($E$79=6,Dados!$AM$15,IF($E$79=7,Dados!$AO$15,IF($E$79=8,Dados!$AS$15,0)))))))</f>
        <v>0</v>
      </c>
      <c r="FR7" s="304">
        <f>IF($E$79=2,Dados!$AF$15,IF($E$79=3,Dados!$AH$15,IF($E$79=4,Dados!$AJ$15,IF($E$79=5,Dados!$AL$15,IF($E$79=6,Dados!$AN$15,IF($E$79=7,Dados!$AP$15,IF($E$79=8,Dados!$AT$15,0)))))))</f>
        <v>0</v>
      </c>
      <c r="FS7" s="316">
        <f>IF($E$80=2,Dados!$AE$15,IF($E$80=3,Dados!$AG$15,IF($E$80=4,Dados!$AI$15,IF($E$80=5,Dados!$AK$15,IF($E$80=6,Dados!$AM$15,IF($E$80=7,Dados!$AO$15,IF($E$80=8,Dados!$AS$15,0)))))))</f>
        <v>0</v>
      </c>
      <c r="FT7" s="304">
        <f>IF($E$80=2,Dados!$AF$15,IF($E$80=3,Dados!$AH$15,IF($E$80=4,Dados!$AJ$15,IF($E$80=5,Dados!$AL$15,IF($E$80=6,Dados!$AN$15,IF($E$80=7,Dados!$AP$15,IF($E$80=8,Dados!$AT$15,0)))))))</f>
        <v>0</v>
      </c>
      <c r="FU7" s="316">
        <f>IF($E$81=2,Dados!$AE$15,IF($E$81=3,Dados!$AG$15,IF($E$81=4,Dados!$AI$15,IF($E$81=5,Dados!$AK$15,IF($E$81=6,Dados!$AM$15,IF($E$81=7,Dados!$AO$15,IF($E$81=8,Dados!$AS$15,0)))))))</f>
        <v>0</v>
      </c>
      <c r="FV7" s="304">
        <f>IF($E$81=2,Dados!$AF$15,IF($E$81=3,Dados!$AH$15,IF($E$81=4,Dados!$AJ$15,IF($E$81=5,Dados!$AL$15,IF($E$81=6,Dados!$AN$15,IF($E$81=7,Dados!$AP$15,IF($E$81=8,Dados!$AT$15,0)))))))</f>
        <v>0</v>
      </c>
      <c r="FW7" s="316">
        <f>IF($E$82=2,Dados!$AE$15,IF($E$82=3,Dados!$AG$15,IF($E$82=4,Dados!$AI$15,IF($E$82=5,Dados!$AK$15,IF($E$82=6,Dados!$AM$15,IF($E$82=7,Dados!$AO$15,IF($E$82=8,Dados!$AS$15,0)))))))</f>
        <v>0</v>
      </c>
      <c r="FX7" s="304">
        <f>IF($E$82=2,Dados!$AF$15,IF($E$82=3,Dados!$AH$15,IF($E$82=4,Dados!$AJ$15,IF($E$82=5,Dados!$AL$15,IF($E$82=6,Dados!$AN$15,IF($E$82=7,Dados!$AP$15,IF($E$82=8,Dados!$AT$15,0)))))))</f>
        <v>0</v>
      </c>
      <c r="FY7" s="316">
        <f>IF($E$83=2,Dados!$AE$15,IF($E$83=3,Dados!$AG$15,IF($E$83=4,Dados!$AI$15,IF($E$83=5,Dados!$AK$15,IF($E$83=6,Dados!$AM$15,IF($E$83=7,Dados!$AO$15,IF($E$83=8,Dados!$AS$15,0)))))))</f>
        <v>0</v>
      </c>
      <c r="FZ7" s="304">
        <f>IF($E$83=2,Dados!$AF$15,IF($E$83=3,Dados!$AH$15,IF($E$83=4,Dados!$AJ$15,IF($E$83=5,Dados!$AL$15,IF($E$83=6,Dados!$AN$15,IF($E$83=7,Dados!$AP$15,IF($E$83=8,Dados!$AT$15,0)))))))</f>
        <v>0</v>
      </c>
      <c r="GB7" s="316">
        <f>IF($E$88=2,Dados!$AE$15,IF($E$88=3,Dados!$AG$15,IF($E$88=4,Dados!$AI$15,IF($E$88=5,Dados!$AK$15,IF($E$88=6,Dados!$AM$15,IF($E$88=7,Dados!$AO$15,IF($E$88=8,Dados!$AS$15,0)))))))</f>
        <v>0</v>
      </c>
      <c r="GC7" s="304">
        <f>IF($E$88=2,Dados!$AF$15,IF($E$88=3,Dados!$AH$15,IF($E$88=4,Dados!$AJ$15,IF($E$88=5,Dados!$AL$15,IF($E$88=6,Dados!$AN$15,IF($E$88=7,Dados!$AP$15,IF($E$88=8,Dados!$AT$15,0)))))))</f>
        <v>0</v>
      </c>
      <c r="GD7" s="316">
        <f>IF($E$89=2,Dados!$AE$15,IF($E$89=3,Dados!$AG$15,IF($E$89=4,Dados!$AI$15,IF($E$89=5,Dados!$AK$15,IF($E$89=6,Dados!$AM$15,IF($E$89=7,Dados!$AO$15,IF($E$89=8,Dados!$AS$15,0)))))))</f>
        <v>0</v>
      </c>
      <c r="GE7" s="304">
        <f>IF($E$89=2,Dados!$AF$15,IF($E$89=3,Dados!$AH$15,IF($E$89=4,Dados!$AJ$15,IF($E$89=5,Dados!$AL$15,IF($E$89=6,Dados!$AN$15,IF($E$89=7,Dados!$AP$15,IF($E$89=8,Dados!$AT$15,0)))))))</f>
        <v>0</v>
      </c>
      <c r="GF7" s="316">
        <f>IF($E$90=2,Dados!$AE$15,IF($E$90=3,Dados!$AG$15,IF($E$90=4,Dados!$AI$15,IF($E$90=5,Dados!$AK$15,IF($E$90=6,Dados!$AM$15,IF($E$90=7,Dados!$AO$15,IF($E$90=8,Dados!$AS$15,0)))))))</f>
        <v>0</v>
      </c>
      <c r="GG7" s="304">
        <f>IF($E$90=2,Dados!$AF$15,IF($E$90=3,Dados!$AH$15,IF($E$90=4,Dados!$AJ$15,IF($E$90=5,Dados!$AL$15,IF($E$90=6,Dados!$AN$15,IF($E$90=7,Dados!$AP$15,IF($E$90=8,Dados!$AT$15,0)))))))</f>
        <v>0</v>
      </c>
      <c r="GH7" s="316">
        <f>IF($E$91=2,Dados!$AE$15,IF($E$91=3,Dados!$AG$15,IF($E$91=4,Dados!$AI$15,IF($E$91=5,Dados!$AK$15,IF($E$91=6,Dados!$AM$15,IF($E$91=7,Dados!$AO$15,IF($E$91=8,Dados!$AS$15,0)))))))</f>
        <v>0</v>
      </c>
      <c r="GI7" s="304">
        <f>IF($E$91=2,Dados!$AF$15,IF($E$91=3,Dados!$AH$15,IF($E$91=4,Dados!$AJ$15,IF($E$91=5,Dados!$AL$15,IF($E$91=6,Dados!$AN$15,IF($E$91=7,Dados!$AP$15,IF($E$91=8,Dados!$AT$15,0)))))))</f>
        <v>0</v>
      </c>
      <c r="GJ7" s="316">
        <f>IF($E$92=2,Dados!$AE$15,IF($E$92=3,Dados!$AG$15,IF($E$92=4,Dados!$AI$15,IF($E$92=5,Dados!$AK$15,IF($E$92=6,Dados!$AM$15,IF($E$92=7,Dados!$AO$15,IF($E$92=8,Dados!$AS$15,0)))))))</f>
        <v>0</v>
      </c>
      <c r="GK7" s="304">
        <f>IF($E$92=2,Dados!$AF$15,IF($E$92=3,Dados!$AH$15,IF($E$92=4,Dados!$AJ$15,IF($E$92=5,Dados!$AL$15,IF($E$92=6,Dados!$AN$15,IF($E$92=7,Dados!$AP$15,IF($E$92=8,Dados!$AT$15,0)))))))</f>
        <v>0</v>
      </c>
      <c r="GM7" s="316">
        <f>IF($E$97=2,Dados!$AE$15,IF($E$97=3,Dados!$AG$15,IF($E$97=4,Dados!$AI$15,IF($E$97=5,Dados!$AK$15,IF($E$97=6,Dados!$AM$15,IF($E$97=7,Dados!$AO$15,IF($E$97=8,Dados!$AS$15,0)))))))</f>
        <v>0</v>
      </c>
      <c r="GN7" s="304">
        <f>IF($E$97=2,Dados!$AF$15,IF($E$97=3,Dados!$AH$15,IF($E$97=4,Dados!$AJ$15,IF($E$97=5,Dados!$AL$15,IF($E$97=6,Dados!$AN$15,IF($E$97=7,Dados!$AP$15,IF($E$97=8,Dados!$AT$15,0)))))))</f>
        <v>0</v>
      </c>
      <c r="GO7" s="316">
        <f>IF($E$98=2,Dados!$AE$15,IF($E$98=3,Dados!$AG$15,IF($E$98=4,Dados!$AI$15,IF($E$98=5,Dados!$AK$15,IF($E$98=6,Dados!$AM$15,IF($E$98=7,Dados!$AO$15,IF($E$98=8,Dados!$AS$15,0)))))))</f>
        <v>0</v>
      </c>
      <c r="GP7" s="304">
        <f>IF($E$98=2,Dados!$AF$15,IF($E$98=3,Dados!$AH$15,IF($E$98=4,Dados!$AJ$15,IF($E$98=5,Dados!$AL$15,IF($E$98=6,Dados!$AN$15,IF($E$98=7,Dados!$AP$15,IF($E$98=8,Dados!$AT$15,0)))))))</f>
        <v>0</v>
      </c>
      <c r="GQ7" s="316">
        <f>IF($E$99=2,Dados!$AE$15,IF($E$99=3,Dados!$AG$15,IF($E$99=4,Dados!$AI$15,IF($E$99=5,Dados!$AK$15,IF($E$99=6,Dados!$AM$15,IF($E$99=7,Dados!$AO$15,IF($E$99=8,Dados!$AS$15,0)))))))</f>
        <v>0</v>
      </c>
      <c r="GR7" s="304">
        <f>IF($E$99=2,Dados!$AF$15,IF($E$99=3,Dados!$AH$15,IF($E$99=4,Dados!$AJ$15,IF($E$99=5,Dados!$AL$15,IF($E$99=6,Dados!$AN$15,IF($E$99=7,Dados!$AP$15,IF($E$99=8,Dados!$AT$15,0)))))))</f>
        <v>0</v>
      </c>
      <c r="GS7" s="316">
        <f>IF($E$100=2,Dados!$AE$15,IF($E$100=3,Dados!$AG$15,IF($E$100=4,Dados!$AI$15,IF($E$100=5,Dados!$AK$15,IF($E$100=6,Dados!$AM$15,IF($E$100=7,Dados!$AO$15,IF($E$100=8,Dados!$AS$15,0)))))))</f>
        <v>0</v>
      </c>
      <c r="GT7" s="304">
        <f>IF($E$100=2,Dados!$AF$15,IF($E$100=3,Dados!$AH$15,IF($E$100=4,Dados!$AJ$15,IF($E$100=5,Dados!$AL$15,IF($E$100=6,Dados!$AN$15,IF($E$100=7,Dados!$AP$15,IF($E$100=8,Dados!$AT$15,0)))))))</f>
        <v>0</v>
      </c>
      <c r="GU7" s="316">
        <f>IF($E$101=2,Dados!$AE$15,IF($E$101=3,Dados!$AG$15,IF($E$101=4,Dados!$AI$15,IF($E$101=5,Dados!$AK$15,IF($E$101=6,Dados!$AM$15,IF($E$101=7,Dados!$AO$15,IF($E$101=8,Dados!$AS$15,0)))))))</f>
        <v>0</v>
      </c>
      <c r="GV7" s="304">
        <f>IF($E$101=2,Dados!$AF$15,IF($E$101=3,Dados!$AH$15,IF($E$101=4,Dados!$AJ$15,IF($E$101=5,Dados!$AL$15,IF($E$101=6,Dados!$AN$15,IF($E$101=7,Dados!$AP$15,IF($E$101=8,Dados!$AT$15,0)))))))</f>
        <v>0</v>
      </c>
      <c r="GX7" s="316">
        <f>IF($E$106=2,Dados!$AE$15,IF($E$106=3,Dados!$AG$15,IF($E$106=4,Dados!$AI$15,IF($E$106=5,Dados!$AK$15,IF($E$106=6,Dados!$AM$15,IF($E$106=7,Dados!$AO$15,IF($E$106=8,Dados!$AS$15,0)))))))</f>
        <v>0</v>
      </c>
      <c r="GY7" s="304">
        <f>IF($E$106=2,Dados!$AF$15,IF($E$106=3,Dados!$AH$15,IF($E$106=4,Dados!$AJ$15,IF($E$106=5,Dados!$AL$15,IF($E$106=6,Dados!$AN$15,IF($E$106=7,Dados!$AP$15,IF($E$106=8,Dados!$AT$15,0)))))))</f>
        <v>0</v>
      </c>
      <c r="GZ7" s="316">
        <f>IF($E$107=2,Dados!$AE$15,IF($E$107=3,Dados!$AG$15,IF($E$107=4,Dados!$AI$15,IF($E$107=5,Dados!$AK$15,IF($E$107=6,Dados!$AM$15,IF($E$107=7,Dados!$AO$15,IF($E$107=8,Dados!$AS$15,0)))))))</f>
        <v>0</v>
      </c>
      <c r="HA7" s="304">
        <f>IF($E$107=2,Dados!$AF$15,IF($E$107=3,Dados!$AH$15,IF($E$107=4,Dados!$AJ$15,IF($E$107=5,Dados!$AL$15,IF($E$107=6,Dados!$AN$15,IF($E$107=7,Dados!$AP$15,IF($E$107=8,Dados!$AT$15,0)))))))</f>
        <v>0</v>
      </c>
      <c r="HB7" s="316">
        <f>IF($E$108=2,Dados!$AE$15,IF($E$108=3,Dados!$AG$15,IF($E$108=4,Dados!$AI$15,IF($E$108=5,Dados!$AK$15,IF($E$108=6,Dados!$AM$15,IF($E$108=7,Dados!$AO$15,IF($E$108=8,Dados!$AS$15,0)))))))</f>
        <v>0</v>
      </c>
      <c r="HC7" s="304">
        <f>IF($E$108=2,Dados!$AF$15,IF($E$108=3,Dados!$AH$15,IF($E$108=4,Dados!$AJ$15,IF($E$108=5,Dados!$AL$15,IF($E$108=6,Dados!$AN$15,IF($E$108=7,Dados!$AP$15,IF($E$108=8,Dados!$AT$15,0)))))))</f>
        <v>0</v>
      </c>
      <c r="HD7" s="316">
        <f>IF($E$109=2,Dados!$AE$15,IF($E$109=3,Dados!$AG$15,IF($E$109=4,Dados!$AI$15,IF($E$109=5,Dados!$AK$15,IF($E$109=6,Dados!$AM$15,IF($E$109=7,Dados!$AO$15,IF($E$109=8,Dados!$AS$15,0)))))))</f>
        <v>0</v>
      </c>
      <c r="HE7" s="304">
        <f>IF($E$109=2,Dados!$AF$15,IF($E$109=3,Dados!$AH$15,IF($E$109=4,Dados!$AJ$15,IF($E$109=5,Dados!$AL$15,IF($E$109=6,Dados!$AN$15,IF($E$109=7,Dados!$AP$15,IF($E$109=8,Dados!$AT$15,0)))))))</f>
        <v>0</v>
      </c>
      <c r="HF7" s="316">
        <f>IF($E$110=2,Dados!$AE$15,IF($E$110=3,Dados!$AG$15,IF($E$110=4,Dados!$AI$15,IF($E$110=5,Dados!$AK$15,IF($E$110=6,Dados!$AM$15,IF($E$110=7,Dados!$AO$15,IF($E$110=8,Dados!$AS$15,0)))))))</f>
        <v>0</v>
      </c>
      <c r="HG7" s="304">
        <f>IF($E$110=2,Dados!$AF$15,IF($E$110=3,Dados!$AH$15,IF($E$110=4,Dados!$AJ$15,IF($E$110=5,Dados!$AL$15,IF($E$110=6,Dados!$AN$15,IF($E$110=7,Dados!$AP$15,IF($E$110=8,Dados!$AT$15,0)))))))</f>
        <v>0</v>
      </c>
    </row>
    <row r="8" spans="3:215" ht="15.75" customHeight="1" x14ac:dyDescent="0.2">
      <c r="C8" s="156">
        <f>IF(R8=1,0,S8)</f>
        <v>0</v>
      </c>
      <c r="D8" s="2721"/>
      <c r="E8" s="178">
        <v>2</v>
      </c>
      <c r="F8" s="2718">
        <v>2</v>
      </c>
      <c r="G8" s="2719"/>
      <c r="H8" s="284" t="s">
        <v>1394</v>
      </c>
      <c r="I8" s="229">
        <v>1</v>
      </c>
      <c r="J8" s="314">
        <v>1</v>
      </c>
      <c r="K8" s="157">
        <v>1.2</v>
      </c>
      <c r="L8" s="305"/>
      <c r="M8" s="127">
        <f>IF(I8=1,K8,IF(I8=2,K8/J8,IF(I8=3,K8*L8,0)))</f>
        <v>1.2</v>
      </c>
      <c r="N8" s="3">
        <v>3</v>
      </c>
      <c r="O8" s="30">
        <v>1</v>
      </c>
      <c r="P8" s="1531">
        <f>IF(N8=1,0,VLOOKUP(N8,Rebanho!$AN$45:$AV$72,4)*O8)</f>
        <v>793.33333333333337</v>
      </c>
      <c r="Q8" s="1532">
        <f>VLOOKUP(N8,Rebanho!$AN$45:$AV$72,7)*O8</f>
        <v>170566.66666666669</v>
      </c>
      <c r="R8" s="3">
        <v>1</v>
      </c>
      <c r="S8" s="29"/>
      <c r="T8" s="102">
        <f>VLOOKUP(R8,'Mão-de-obra'!$CJ$10:$CL$29,3)</f>
        <v>0</v>
      </c>
      <c r="U8" s="102">
        <f>T8*S8</f>
        <v>0</v>
      </c>
      <c r="V8" s="127">
        <f>IF(I8=1,M8*P8,IF(I8=2,M8*Q8*L8,IF(I8=3,M8,0)))</f>
        <v>952</v>
      </c>
      <c r="W8" s="129">
        <f>U8+V8</f>
        <v>952</v>
      </c>
      <c r="X8" s="93">
        <v>1</v>
      </c>
      <c r="Y8" s="93">
        <v>1</v>
      </c>
      <c r="Z8" s="127">
        <f t="shared" ref="Z8:Z11" si="1">IF(P8=0,0,((W8/P8+U8/P8)*O8))</f>
        <v>1.2</v>
      </c>
      <c r="AE8" s="1160" t="str">
        <f>Rebanho!C50</f>
        <v>Bezerro Desmamados</v>
      </c>
      <c r="AF8" s="1195">
        <f>IF(Rebanho!E50&gt;0,1,0)</f>
        <v>1</v>
      </c>
      <c r="AG8" s="1193">
        <f>Rebanho!E50</f>
        <v>793.33333333333337</v>
      </c>
      <c r="AH8" s="1336">
        <f>Rebanho!AS47</f>
        <v>330.5555555555556</v>
      </c>
      <c r="AI8" s="1178">
        <f>((SUMIFS($Z$7:$Z$110,$E$7:$E$110,"=2",$N$7:$N$110,"=3")+SUMIFS($Z$7:$Z$110,$E$7:$E$110,"=2",$N$7:$N$110,"=19")))*($AF$8)</f>
        <v>2</v>
      </c>
      <c r="AJ8" s="1178">
        <f>((SUMIFS($Z$7:$Z$110,$E$7:$E$110,"=3",$N$7:$N$110,"=3")+SUMIFS($Z$7:$Z$110,$E$7:$E$110,"=3",$N$7:$N$110,"=19")))*($AF$8)</f>
        <v>0</v>
      </c>
      <c r="AK8" s="1178">
        <f>((SUMIFS($Z$7:$Z$110,$E$7:$E$110,"=4",$N$7:$N$110,"=3")+SUMIFS($Z$7:$Z$110,$E$7:$E$110,"=4",$N$7:$N$110,"=19")))*($AF$8)</f>
        <v>0</v>
      </c>
      <c r="AL8" s="1178">
        <f>((SUMIFS($Z$7:$Z$110,$E$7:$E$110,"=5",$N$7:$N$110,"=3")+SUMIFS($Z$7:$Z$110,$E$7:$E$110,"=5",$N$7:$N$110,"=19")))*($AF$8)</f>
        <v>0</v>
      </c>
      <c r="AM8" s="1178">
        <f>((SUMIFS($Z$7:$Z$110,$E$7:$E$110,"=6",$N$7:$N$110,"=3")+SUMIFS($Z$7:$Z$110,$E$7:$E$110,"=6",$N$7:$N$110,"=19")))*($AF$8)</f>
        <v>0</v>
      </c>
      <c r="AN8" s="1178">
        <f>((SUMIFS($Z$7:$Z$110,$E$7:$E$110,"=7",$N$7:$N$110,"=3")+SUMIFS($Z$7:$Z$110,$E$7:$E$110,"=7",$N$7:$N$110,"=19")))*($AF$8)</f>
        <v>0</v>
      </c>
      <c r="AO8" s="1208">
        <f>((SUMIFS($Z$7:$Z$110,$E$7:$E$110,"=8",$N$7:$N$110,"=3")+SUMIFS($Z$7:$Z$110,$E$7:$E$110,"=8",$N$7:$N$110,"=19")))*($AF$8)</f>
        <v>0</v>
      </c>
      <c r="AP8" s="1208">
        <f>SUM(AI8:AO8)*AG8</f>
        <v>1586.6666666666667</v>
      </c>
      <c r="AQ8" s="1184">
        <f t="shared" ref="AQ8:AQ23" si="2">SUM(AI8:AO8)</f>
        <v>2</v>
      </c>
      <c r="AW8" s="3" t="s">
        <v>466</v>
      </c>
      <c r="AX8" s="94">
        <f>IF($E7=3,$V7,0)</f>
        <v>0</v>
      </c>
      <c r="AY8" s="94">
        <f>IF($E8=3,$V8,0)</f>
        <v>0</v>
      </c>
      <c r="AZ8" s="94">
        <f>IF($E9=3,$V9,0)</f>
        <v>0</v>
      </c>
      <c r="BA8" s="94">
        <f>IF($E10=3,$V10,0)</f>
        <v>0</v>
      </c>
      <c r="BB8" s="94">
        <f>IF($E11=3,$V11,0)</f>
        <v>0</v>
      </c>
      <c r="BC8" s="200">
        <f t="shared" si="0"/>
        <v>0</v>
      </c>
      <c r="CF8" s="93">
        <v>3</v>
      </c>
      <c r="CG8" s="316" t="str">
        <f>IF($E$7=2,Dados!$AE$16,IF($E$7=3,Dados!$AG$16,IF($E$7=4,Dados!$AI$16,IF($E$7=5,Dados!$AK$16,IF($E$7=6,Dados!$AM$16,IF($E$7=7,Dados!$AO$16,IF($E$7=8,Dados!$AS$16,0)))))))</f>
        <v>Botulismo</v>
      </c>
      <c r="CH8" s="304" t="str">
        <f>IF($E$7=2,Dados!$AF$16,IF($E$7=3,Dados!$AH$16,IF($E$7=4,Dados!$AJ$16,IF($E$7=5,Dados!$AL$16,IF($E$7=6,Dados!$AN$16,IF($E$7=7,Dados!$AP$16,IF($E$7=8,Dados!$AT$16,0)))))))</f>
        <v>dose</v>
      </c>
      <c r="CI8" s="316" t="str">
        <f>IF($E$8=2,Dados!$AE$16,IF($E$8=3,Dados!$AG$16,IF($E$8=4,Dados!$AI$16,IF($E$8=5,Dados!$AK$16,IF($E$8=6,Dados!$AM$16,IF($E$8=7,Dados!$AO$16,IF($E$8=8,Dados!$AS$16,0)))))))</f>
        <v>Botulismo</v>
      </c>
      <c r="CJ8" s="304" t="str">
        <f>IF($E$8=2,Dados!$AF$16,IF($E$8=3,Dados!$AH$16,IF($E$8=4,Dados!$AJ$16,IF($E$8=5,Dados!$AL$16,IF($E$8=6,Dados!$AN$16,IF($E$8=7,Dados!$AP$16,IF($E$8=8,Dados!$AT$16,0)))))))</f>
        <v>dose</v>
      </c>
      <c r="CK8" s="316" t="str">
        <f>IF($E$9=2,Dados!$AE$16,IF($E$9=3,Dados!$AG$16,IF($E$9=4,Dados!$AI$16,IF($E$9=5,Dados!$AK$16,IF($E$9=6,Dados!$AM$16,IF($E$9=7,Dados!$AO$16,IF($E$9=8,Dados!$AS$16,0)))))))</f>
        <v>Botulismo</v>
      </c>
      <c r="CL8" s="304" t="str">
        <f>IF($E$9=2,Dados!$AF$16,IF($E$9=3,Dados!$AH$16,IF($E$9=4,Dados!$AJ$16,IF($E$9=5,Dados!$AL$16,IF($E$9=6,Dados!$AN$16,IF($E$9=7,Dados!$AP$16,IF($E$9=8,Dados!$AT$16,0)))))))</f>
        <v>dose</v>
      </c>
      <c r="CM8" s="316" t="str">
        <f>IF($E$10=2,Dados!$AE$16,IF($E$10=3,Dados!$AG$16,IF($E$10=4,Dados!$AI$16,IF($E$10=5,Dados!$AK$16,IF($E$10=6,Dados!$AM$16,IF($E$10=7,Dados!$AO$16,IF($E$10=8,Dados!$AS$16,0)))))))</f>
        <v>Botulismo</v>
      </c>
      <c r="CN8" s="304" t="str">
        <f>IF($E$10=2,Dados!$AF$16,IF($E$10=3,Dados!$AH$16,IF($E$10=4,Dados!$AJ$16,IF($E$10=5,Dados!$AL$16,IF($E$10=6,Dados!$AN$16,IF($E$10=7,Dados!$AP$16,IF($E$10=8,Dados!$AT$16,0)))))))</f>
        <v>dose</v>
      </c>
      <c r="CO8" s="316" t="str">
        <f>IF($E$11=2,Dados!$AE$16,IF($E$11=3,Dados!$AG$16,IF($E$11=4,Dados!$AI$16,IF($E$11=5,Dados!$AK$16,IF($E$11=6,Dados!$AM$16,IF($E$11=7,Dados!$AO$16,IF($E$11=8,Dados!$AS$16,0)))))))</f>
        <v>Botulismo</v>
      </c>
      <c r="CP8" s="304" t="str">
        <f>IF($E$11=2,Dados!$AF$16,IF($E$11=3,Dados!$AH$16,IF($E$11=4,Dados!$AJ$16,IF($E$11=5,Dados!$AL$16,IF($E$11=6,Dados!$AN$16,IF($E$11=7,Dados!$AP$16,IF($E$11=8,Dados!$AT$16,0)))))))</f>
        <v>dose</v>
      </c>
      <c r="CR8" s="316" t="str">
        <f>IF($E$16=2,Dados!$AE$16,IF($E$16=3,Dados!$AG$16,IF($E$16=4,Dados!$AI$16,IF($E$16=5,Dados!$AK$16,IF($E$16=6,Dados!$AM$16,IF($E$16=7,Dados!$AO$16,IF($E$16=8,Dados!$AS$16,0)))))))</f>
        <v>Abamectnina</v>
      </c>
      <c r="CS8" s="304" t="str">
        <f>IF($E$16=2,Dados!$AF$16,IF($E$16=3,Dados!$AH$16,IF($E$16=4,Dados!$AJ$16,IF($E$16=5,Dados!$AL$16,IF($E$16=6,Dados!$AN$16,IF($E$16=7,Dados!$AP$16,IF($E$16=8,Dados!$AT$16,0)))))))</f>
        <v>frasco</v>
      </c>
      <c r="CT8" s="316" t="str">
        <f>IF($E$17=2,Dados!$AE$16,IF($E$17=3,Dados!$AG$16,IF($E$17=4,Dados!$AI$16,IF($E$17=5,Dados!$AK$16,IF($E$17=6,Dados!$AM$16,IF($E$17=7,Dados!$AO$16,IF($E$17=8,Dados!$AS$16,0)))))))</f>
        <v>Abamectnina</v>
      </c>
      <c r="CU8" s="304" t="str">
        <f>IF($E$17=2,Dados!$AF$16,IF($E$17=3,Dados!$AH$16,IF($E$17=4,Dados!$AJ$16,IF($E$17=5,Dados!$AL$16,IF($E$17=6,Dados!$AN$16,IF($E$17=7,Dados!$AP$16,IF($E$17=8,Dados!$AT$16,0)))))))</f>
        <v>frasco</v>
      </c>
      <c r="CV8" s="316" t="str">
        <f>IF($E$18=2,Dados!$AE$16,IF($E$18=3,Dados!$AG$16,IF($E$18=4,Dados!$AI$16,IF($E$18=5,Dados!$AK$16,IF($E$18=6,Dados!$AM$16,IF($E$18=7,Dados!$AO$16,IF($E$18=8,Dados!$AS$16,0)))))))</f>
        <v>Abamectnina</v>
      </c>
      <c r="CW8" s="304" t="str">
        <f>IF($E$18=2,Dados!$AF$16,IF($E$18=3,Dados!$AH$16,IF($E$18=4,Dados!$AJ$16,IF($E$18=5,Dados!$AL$16,IF($E$18=6,Dados!$AN$16,IF($E$18=7,Dados!$AP$16,IF($E$18=8,Dados!$AT$16,0)))))))</f>
        <v>frasco</v>
      </c>
      <c r="CX8" s="316" t="str">
        <f>IF($E$19=2,Dados!$AE$16,IF($E$19=3,Dados!$AG$16,IF($E$19=4,Dados!$AI$16,IF($E$19=5,Dados!$AK$16,IF($E$19=6,Dados!$AM$16,IF($E$19=7,Dados!$AO$16,IF($E$19=8,Dados!$AS$16,0)))))))</f>
        <v>Botulismo</v>
      </c>
      <c r="CY8" s="304" t="str">
        <f>IF($E$19=2,Dados!$AF$16,IF($E$19=3,Dados!$AH$16,IF($E$19=4,Dados!$AJ$16,IF($E$19=5,Dados!$AL$16,IF($E$19=6,Dados!$AN$16,IF($E$19=7,Dados!$AP$16,IF($E$19=8,Dados!$AT$16,0)))))))</f>
        <v>dose</v>
      </c>
      <c r="CZ8" s="316">
        <f>IF($E$20=2,Dados!$AE$16,IF($E$20=3,Dados!$AG$16,IF($E$20=4,Dados!$AI$16,IF($E$20=5,Dados!$AK$16,IF($E$20=6,Dados!$AM$16,IF($E$20=7,Dados!$AO$16,IF($E$20=8,Dados!$AS$16,0)))))))</f>
        <v>0</v>
      </c>
      <c r="DA8" s="304">
        <f>IF($E$20=2,Dados!$AF$16,IF($E$20=3,Dados!$AH$16,IF($E$20=4,Dados!$AJ$16,IF($E$20=5,Dados!$AL$16,IF($E$20=6,Dados!$AN$16,IF($E$20=7,Dados!$AP$16,IF($E$20=8,Dados!$AT$16,0)))))))</f>
        <v>0</v>
      </c>
      <c r="DC8" s="316" t="str">
        <f>IF($E$25=2,Dados!$AE$16,IF($E$25=3,Dados!$AG$16,IF($E$25=4,Dados!$AI$16,IF($E$25=5,Dados!$AK$16,IF($E$25=6,Dados!$AM$16,IF($E$25=7,Dados!$AO$16,IF($E$25=8,Dados!$AS$16,0)))))))</f>
        <v>Penicilina</v>
      </c>
      <c r="DD8" s="304" t="str">
        <f>IF($E$25=2,Dados!$AF$16,IF($E$25=3,Dados!$AH$16,IF($E$25=4,Dados!$AJ$16,IF($E$25=5,Dados!$AL$16,IF($E$25=6,Dados!$AN$16,IF($E$25=7,Dados!$AP$16,IF($E$25=8,Dados!$AT$16,0)))))))</f>
        <v>frasco</v>
      </c>
      <c r="DE8" s="316" t="str">
        <f>IF($E$26=2,Dados!$AE$16,IF($E$26=3,Dados!$AG$16,IF($E$26=4,Dados!$AI$16,IF($E$26=5,Dados!$AK$16,IF($E$26=6,Dados!$AM$16,IF($E$26=7,Dados!$AO$16,IF($E$26=8,Dados!$AS$16,0)))))))</f>
        <v>Vitaminas</v>
      </c>
      <c r="DF8" s="304" t="str">
        <f>IF($E$26=2,Dados!$AF$16,IF($E$26=3,Dados!$AH$16,IF($E$26=4,Dados!$AJ$16,IF($E$26=5,Dados!$AL$16,IF($E$26=6,Dados!$AN$16,IF($E$26=7,Dados!$AP$16,IF($E$26=8,Dados!$AT$16,0)))))))</f>
        <v>Frasco</v>
      </c>
      <c r="DG8" s="316">
        <f>IF($E$27=2,Dados!$AE$16,IF($E$27=3,Dados!$AG$16,IF($E$27=4,Dados!$AI$16,IF($E$27=5,Dados!$AK$16,IF($E$27=6,Dados!$AM$16,IF($E$27=7,Dados!$AO$16,IF($E$27=8,Dados!$AS$16,0)))))))</f>
        <v>0</v>
      </c>
      <c r="DH8" s="304">
        <f>IF($E$27=2,Dados!$AF$16,IF($E$27=3,Dados!$AH$16,IF($E$27=4,Dados!$AJ$16,IF($E$27=5,Dados!$AL$16,IF($E$27=6,Dados!$AN$16,IF($E$27=7,Dados!$AP$16,IF($E$27=8,Dados!$AT$16,0)))))))</f>
        <v>0</v>
      </c>
      <c r="DI8" s="316">
        <f>IF($E$28=2,Dados!$AE$16,IF($E$28=3,Dados!$AG$16,IF($E$28=4,Dados!$AI$16,IF($E$28=5,Dados!$AK$16,IF($E$28=6,Dados!$AM$16,IF($E$28=7,Dados!$AO$16,IF($E$28=8,Dados!$AS$16,0)))))))</f>
        <v>0</v>
      </c>
      <c r="DJ8" s="304">
        <f>IF($E$28=2,Dados!$AF$16,IF($E$28=3,Dados!$AH$16,IF($E$28=4,Dados!$AJ$16,IF($E$28=5,Dados!$AL$16,IF($E$28=6,Dados!$AN$16,IF($E$28=7,Dados!$AP$16,IF($E$28=8,Dados!$AT$16,0)))))))</f>
        <v>0</v>
      </c>
      <c r="DK8" s="316">
        <f>IF($E$29=2,Dados!$AE$16,IF($E$29=3,Dados!$AG$16,IF($E$29=4,Dados!$AI$16,IF($E$29=5,Dados!$AK$16,IF($E$29=6,Dados!$AM$16,IF($E$29=7,Dados!$AO$16,IF($E$29=8,Dados!$AS$16,0)))))))</f>
        <v>0</v>
      </c>
      <c r="DL8" s="304">
        <f>IF($E$29=2,Dados!$AF$16,IF($E$29=3,Dados!$AH$16,IF($E$29=4,Dados!$AJ$16,IF($E$29=5,Dados!$AL$16,IF($E$29=6,Dados!$AN$16,IF($E$29=7,Dados!$AP$16,IF($E$29=8,Dados!$AT$16,0)))))))</f>
        <v>0</v>
      </c>
      <c r="DN8" s="316" t="str">
        <f>IF($E$34=2,Dados!$AE$16,IF($E$34=3,Dados!$AG$16,IF($E$34=4,Dados!$AI$16,IF($E$34=5,Dados!$AK$16,IF($E$34=6,Dados!$AM$16,IF($E$34=7,Dados!$AO$16,IF($E$34=8,Dados!$AS$16,0)))))))</f>
        <v>Abamectnina</v>
      </c>
      <c r="DO8" s="304" t="str">
        <f>IF($E$34=2,Dados!$AF$16,IF($E$34=3,Dados!$AH$16,IF($E$34=4,Dados!$AJ$16,IF($E$34=5,Dados!$AL$16,IF($E$34=6,Dados!$AN$16,IF($E$34=7,Dados!$AP$16,IF($E$34=8,Dados!$AT$16,0)))))))</f>
        <v>frasco</v>
      </c>
      <c r="DP8" s="316">
        <f>IF($E$35=2,Dados!$AE$16,IF($E$35=3,Dados!$AG$16,IF($E$35=4,Dados!$AI$16,IF($E$35=5,Dados!$AK$16,IF($E$35=6,Dados!$AM$16,IF($E$35=7,Dados!$AO$16,IF($E$35=8,Dados!$AS$16,0)))))))</f>
        <v>0</v>
      </c>
      <c r="DQ8" s="304">
        <f>IF($E$35=2,Dados!$AF$16,IF($E$35=3,Dados!$AH$16,IF($E$35=4,Dados!$AJ$16,IF($E$35=5,Dados!$AL$16,IF($E$35=6,Dados!$AN$16,IF($E$35=7,Dados!$AP$16,IF($E$35=8,Dados!$AT$16,0)))))))</f>
        <v>0</v>
      </c>
      <c r="DR8" s="316">
        <f>IF($E$36=2,Dados!$AE$16,IF($E$36=3,Dados!$AG$16,IF($E$36=4,Dados!$AI$16,IF($E$36=5,Dados!$AK$16,IF($E$36=6,Dados!$AM$16,IF($E$36=7,Dados!$AO$16,IF($E$36=8,Dados!$AS$16,0)))))))</f>
        <v>0</v>
      </c>
      <c r="DS8" s="304">
        <f>IF($E$36=2,Dados!$AF$16,IF($E$36=3,Dados!$AH$16,IF($E$36=4,Dados!$AJ$16,IF($E$36=5,Dados!$AL$16,IF($E$36=6,Dados!$AN$16,IF($E$36=7,Dados!$AP$16,IF($E$36=8,Dados!$AT$16,0)))))))</f>
        <v>0</v>
      </c>
      <c r="DT8" s="316">
        <f>IF($E$37=2,Dados!$AE$16,IF($E$37=3,Dados!$AG$16,IF($E$37=4,Dados!$AI$16,IF($E$37=5,Dados!$AK$16,IF($E$37=6,Dados!$AM$16,IF($E$37=7,Dados!$AO$16,IF($E$37=8,Dados!$AS$16,0)))))))</f>
        <v>0</v>
      </c>
      <c r="DU8" s="304">
        <f>IF($E$37=2,Dados!$AF$16,IF($E$37=3,Dados!$AH$16,IF($E$37=4,Dados!$AJ$16,IF($E$37=5,Dados!$AL$16,IF($E$37=6,Dados!$AN$16,IF($E$37=7,Dados!$AP$16,IF($E$37=8,Dados!$AT$16,0)))))))</f>
        <v>0</v>
      </c>
      <c r="DV8" s="316">
        <f>IF($E$38=2,Dados!$AE$16,IF($E$38=3,Dados!$AG$16,IF($E$38=4,Dados!$AI$16,IF($E$38=5,Dados!$AK$16,IF($E$38=6,Dados!$AM$16,IF($E$38=7,Dados!$AO$16,IF($E$38=8,Dados!$AS$16,0)))))))</f>
        <v>0</v>
      </c>
      <c r="DW8" s="304">
        <f>IF($E$38=2,Dados!$AF$16,IF($E$38=3,Dados!$AH$16,IF($E$38=4,Dados!$AJ$16,IF($E$38=5,Dados!$AL$16,IF($E$38=6,Dados!$AN$16,IF($E$38=7,Dados!$AP$16,IF($E$38=8,Dados!$AT$16,0)))))))</f>
        <v>0</v>
      </c>
      <c r="DY8" s="316">
        <f>IF($E$43=2,Dados!$AE$16,IF($E$43=3,Dados!$AG$16,IF($E$43=4,Dados!$AI$16,IF($E$43=5,Dados!$AK$16,IF($E$43=6,Dados!$AM$16,IF($E$43=7,Dados!$AO$16,IF($E$43=8,Dados!$AS$16,0)))))))</f>
        <v>0</v>
      </c>
      <c r="DZ8" s="304">
        <f>IF($E$43=2,Dados!$AF$16,IF($E$43=3,Dados!$AH$16,IF($E$43=4,Dados!$AJ$16,IF($E$43=5,Dados!$AL$16,IF($E$43=6,Dados!$AN$16,IF($E$43=7,Dados!$AP$16,IF($E$43=8,Dados!$AT$16,0)))))))</f>
        <v>0</v>
      </c>
      <c r="EA8" s="316">
        <f>IF($E$44=2,Dados!$AE$16,IF($E$44=3,Dados!$AG$16,IF($E$44=4,Dados!$AI$16,IF($E$44=5,Dados!$AK$16,IF($E$44=6,Dados!$AM$16,IF($E$44=7,Dados!$AO$16,IF($E$44=8,Dados!$AS$16,0)))))))</f>
        <v>0</v>
      </c>
      <c r="EB8" s="304">
        <f>IF($E$44=2,Dados!$AF$16,IF($E$44=3,Dados!$AH$16,IF($E$44=4,Dados!$AJ$16,IF($E$44=5,Dados!$AL$16,IF($E$44=6,Dados!$AN$16,IF($E$44=7,Dados!$AP$16,IF($E$44=8,Dados!$AT$16,0)))))))</f>
        <v>0</v>
      </c>
      <c r="EC8" s="316">
        <f>IF($E$45=2,Dados!$AE$16,IF($E$45=3,Dados!$AG$16,IF($E$45=4,Dados!$AI$16,IF($E$45=5,Dados!$AK$16,IF($E$45=6,Dados!$AM$16,IF($E$45=7,Dados!$AO$16,IF($E$45=8,Dados!$AS$16,0)))))))</f>
        <v>0</v>
      </c>
      <c r="ED8" s="304">
        <f>IF($E$45=2,Dados!$AF$16,IF($E$45=3,Dados!$AH$16,IF($E$45=4,Dados!$AJ$16,IF($E$45=5,Dados!$AL$16,IF($E$45=6,Dados!$AN$16,IF($E$45=7,Dados!$AP$16,IF($E$45=8,Dados!$AT$16,0)))))))</f>
        <v>0</v>
      </c>
      <c r="EE8" s="316">
        <f>IF($E$46=2,Dados!$AE$16,IF($E$46=3,Dados!$AG$16,IF($E$46=4,Dados!$AI$16,IF($E$46=5,Dados!$AK$16,IF($E$46=6,Dados!$AM$16,IF($E$46=7,Dados!$AO$16,IF($E$46=8,Dados!$AS$16,0)))))))</f>
        <v>0</v>
      </c>
      <c r="EF8" s="304">
        <f>IF($E$46=2,Dados!$AF$16,IF($E$46=3,Dados!$AH$16,IF($E$46=4,Dados!$AJ$16,IF($E$46=5,Dados!$AL$16,IF($E$46=6,Dados!$AN$16,IF($E$46=7,Dados!$AP$16,IF($E$46=8,Dados!$AT$16,0)))))))</f>
        <v>0</v>
      </c>
      <c r="EG8" s="316">
        <f>IF($E$47=2,Dados!$AE$16,IF($E$47=3,Dados!$AG$16,IF($E$47=4,Dados!$AI$16,IF($E$47=5,Dados!$AK$16,IF($E$47=6,Dados!$AM$16,IF($E$47=7,Dados!$AO$16,IF($E$47=8,Dados!$AS$16,0)))))))</f>
        <v>0</v>
      </c>
      <c r="EH8" s="304">
        <f>IF($E$47=2,Dados!$AF$16,IF($E$47=3,Dados!$AH$16,IF($E$47=4,Dados!$AJ$16,IF($E$47=5,Dados!$AL$16,IF($E$47=6,Dados!$AN$16,IF($E$47=7,Dados!$AP$16,IF($E$47=8,Dados!$AT$16,0)))))))</f>
        <v>0</v>
      </c>
      <c r="EJ8" s="316">
        <f>IF($E$52=2,Dados!$AE$16,IF($E$52=3,Dados!$AG$16,IF($E$52=4,Dados!$AI$16,IF($E$52=5,Dados!$AK$16,IF($E$52=6,Dados!$AM$16,IF($E$52=7,Dados!$AO$16,IF($E$52=8,Dados!$AS$16,0)))))))</f>
        <v>0</v>
      </c>
      <c r="EK8" s="304">
        <f>IF($E$52=2,Dados!$AF$16,IF($E$52=3,Dados!$AH$16,IF($E$52=4,Dados!$AJ$16,IF($E$52=5,Dados!$AL$16,IF($E$52=6,Dados!$AN$16,IF($E$52=7,Dados!$AP$16,IF($E$52=8,Dados!$AT$16,0)))))))</f>
        <v>0</v>
      </c>
      <c r="EL8" s="316">
        <f>IF($E$53=2,Dados!$AE$16,IF($E$53=3,Dados!$AG$16,IF($E$53=4,Dados!$AI$16,IF($E$53=5,Dados!$AK$16,IF($E$53=6,Dados!$AM$16,IF($E$53=7,Dados!$AO$16,IF($E$53=8,Dados!$AS$16,0)))))))</f>
        <v>0</v>
      </c>
      <c r="EM8" s="304">
        <f>IF($E$53=2,Dados!$AF$16,IF($E$53=3,Dados!$AH$16,IF($E$53=4,Dados!$AJ$16,IF($E$53=5,Dados!$AL$16,IF($E$53=6,Dados!$AN$16,IF($E$53=7,Dados!$AP$16,IF($E$53=8,Dados!$AT$16,0)))))))</f>
        <v>0</v>
      </c>
      <c r="EN8" s="316">
        <f>IF($E$54=2,Dados!$AE$16,IF($E$54=3,Dados!$AG$16,IF($E$54=4,Dados!$AI$16,IF($E$54=5,Dados!$AK$16,IF($E$54=6,Dados!$AM$16,IF($E$54=7,Dados!$AO$16,IF($E$54=8,Dados!$AS$16,0)))))))</f>
        <v>0</v>
      </c>
      <c r="EO8" s="304">
        <f>IF($E$54=2,Dados!$AF$16,IF($E$54=3,Dados!$AH$16,IF($E$54=4,Dados!$AJ$16,IF($E$54=5,Dados!$AL$16,IF($E$54=6,Dados!$AN$16,IF($E$54=7,Dados!$AP$16,IF($E$54=8,Dados!$AT$16,0)))))))</f>
        <v>0</v>
      </c>
      <c r="EP8" s="316">
        <f>IF($E$55=2,Dados!$AE$16,IF($E$55=3,Dados!$AG$16,IF($E$55=4,Dados!$AI$16,IF($E$55=5,Dados!$AK$16,IF($E$55=6,Dados!$AM$16,IF($E$55=7,Dados!$AO$16,IF($E$55=8,Dados!$AS$16,0)))))))</f>
        <v>0</v>
      </c>
      <c r="EQ8" s="304">
        <f>IF($E$55=2,Dados!$AF$16,IF($E$55=3,Dados!$AH$16,IF($E$55=4,Dados!$AJ$16,IF($E$55=5,Dados!$AL$16,IF($E$55=6,Dados!$AN$16,IF($E$55=7,Dados!$AP$16,IF($E$55=8,Dados!$AT$16,0)))))))</f>
        <v>0</v>
      </c>
      <c r="ER8" s="316">
        <f>IF($E$56=2,Dados!$AE$16,IF($E$56=3,Dados!$AG$16,IF($E$56=4,Dados!$AI$16,IF($E$56=5,Dados!$AK$16,IF($E$56=6,Dados!$AM$16,IF($E$56=7,Dados!$AO$16,IF($E$56=8,Dados!$AS$16,0)))))))</f>
        <v>0</v>
      </c>
      <c r="ES8" s="304">
        <f>IF($E$56=2,Dados!$AF$16,IF($E$56=3,Dados!$AH$16,IF($E$56=4,Dados!$AJ$16,IF($E$56=5,Dados!$AL$16,IF($E$56=6,Dados!$AN$16,IF($E$56=7,Dados!$AP$16,IF($E$56=8,Dados!$AT$16,0)))))))</f>
        <v>0</v>
      </c>
      <c r="EU8" s="316">
        <f>IF($E$61=2,Dados!$AE$16,IF($E$61=3,Dados!$AG$16,IF($E$61=4,Dados!$AI$16,IF($E$61=5,Dados!$AK$16,IF($E$61=6,Dados!$AM$16,IF($E$61=7,Dados!$AO$16,IF($E$61=8,Dados!$AS$16,0)))))))</f>
        <v>0</v>
      </c>
      <c r="EV8" s="304">
        <f>IF($E$61=2,Dados!$AF$16,IF($E$61=3,Dados!$AH$16,IF($E$61=4,Dados!$AJ$16,IF($E$61=5,Dados!$AL$16,IF($E$61=6,Dados!$AN$16,IF($E$61=7,Dados!$AP$16,IF($E$61=8,Dados!$AT$16,0)))))))</f>
        <v>0</v>
      </c>
      <c r="EW8" s="316">
        <f>IF($E$62=2,Dados!$AE$16,IF($E$62=3,Dados!$AG$16,IF($E$62=4,Dados!$AI$16,IF($E$62=5,Dados!$AK$16,IF($E$62=6,Dados!$AM$16,IF($E$62=7,Dados!$AO$16,IF($E$62=8,Dados!$AS$16,0)))))))</f>
        <v>0</v>
      </c>
      <c r="EX8" s="304">
        <f>IF($E$62=2,Dados!$AF$16,IF($E$62=3,Dados!$AH$16,IF($E$62=4,Dados!$AJ$16,IF($E$62=5,Dados!$AL$16,IF($E$62=6,Dados!$AN$16,IF($E$62=7,Dados!$AP$16,IF($E$62=8,Dados!$AT$16,0)))))))</f>
        <v>0</v>
      </c>
      <c r="EY8" s="316">
        <f>IF($E$63=2,Dados!$AE$16,IF($E$63=3,Dados!$AG$16,IF($E$63=4,Dados!$AI$16,IF($E$63=5,Dados!$AK$16,IF($E$63=6,Dados!$AM$16,IF($E$63=7,Dados!$AO$16,IF($E$63=8,Dados!$AS$16,0)))))))</f>
        <v>0</v>
      </c>
      <c r="EZ8" s="304">
        <f>IF($E$63=2,Dados!$AF$16,IF($E$63=3,Dados!$AH$16,IF($E$63=4,Dados!$AJ$16,IF($E$63=5,Dados!$AL$16,IF($E$63=6,Dados!$AN$16,IF($E$63=7,Dados!$AP$16,IF($E$63=8,Dados!$AT$16,0)))))))</f>
        <v>0</v>
      </c>
      <c r="FA8" s="316">
        <f>IF($E$64=2,Dados!$AE$16,IF($E$64=3,Dados!$AG$16,IF($E$64=4,Dados!$AI$16,IF($E$64=5,Dados!$AK$16,IF($E$64=6,Dados!$AM$16,IF($E$64=7,Dados!$AO$16,IF($E$64=8,Dados!$AS$16,0)))))))</f>
        <v>0</v>
      </c>
      <c r="FB8" s="304">
        <f>IF($E$64=2,Dados!$AF$16,IF($E$64=3,Dados!$AH$16,IF($E$64=4,Dados!$AJ$16,IF($E$64=5,Dados!$AL$16,IF($E$64=6,Dados!$AN$16,IF($E$64=7,Dados!$AP$16,IF($E$64=8,Dados!$AT$16,0)))))))</f>
        <v>0</v>
      </c>
      <c r="FC8" s="316">
        <f>IF($E$65=2,Dados!$AE$16,IF($E$65=3,Dados!$AG$16,IF($E$65=4,Dados!$AI$16,IF($E$65=5,Dados!$AK$16,IF($E$65=6,Dados!$AM$16,IF($E$65=7,Dados!$AO$16,IF($E$65=8,Dados!$AS$16,0)))))))</f>
        <v>0</v>
      </c>
      <c r="FD8" s="304">
        <f>IF($E$65=2,Dados!$AF$16,IF($E$65=3,Dados!$AH$16,IF($E$65=4,Dados!$AJ$16,IF($E$65=5,Dados!$AL$16,IF($E$65=6,Dados!$AN$16,IF($E$65=7,Dados!$AP$16,IF($E$65=8,Dados!$AT$16,0)))))))</f>
        <v>0</v>
      </c>
      <c r="FF8" s="316">
        <f>IF($E$70=2,Dados!$AE$16,IF($E$70=3,Dados!$AG$16,IF($E$70=4,Dados!$AI$16,IF($E$70=5,Dados!$AK$16,IF($E$70=6,Dados!$AM$16,IF($E$70=7,Dados!$AO$16,IF($E$70=8,Dados!$AS$16,0)))))))</f>
        <v>0</v>
      </c>
      <c r="FG8" s="304">
        <f>IF($E$70=2,Dados!$AF$16,IF($E$70=3,Dados!$AH$16,IF($E$70=4,Dados!$AJ$16,IF($E$70=5,Dados!$AL$16,IF($E$70=6,Dados!$AN$16,IF($E$70=7,Dados!$AP$16,IF($E$70=8,Dados!$AT$16,0)))))))</f>
        <v>0</v>
      </c>
      <c r="FH8" s="316">
        <f>IF($E$71=2,Dados!$AE$16,IF($E$71=3,Dados!$AG$16,IF($E$71=4,Dados!$AI$16,IF($E$71=5,Dados!$AK$16,IF($E$71=6,Dados!$AM$16,IF($E$71=7,Dados!$AO$16,IF($E$71=8,Dados!$AS$16,0)))))))</f>
        <v>0</v>
      </c>
      <c r="FI8" s="304">
        <f>IF($E$71=2,Dados!$AF$16,IF($E$71=3,Dados!$AH$16,IF($E$71=4,Dados!$AJ$16,IF($E$71=5,Dados!$AL$16,IF($E$71=6,Dados!$AN$16,IF($E$71=7,Dados!$AP$16,IF($E$71=8,Dados!$AT$16,0)))))))</f>
        <v>0</v>
      </c>
      <c r="FJ8" s="316">
        <f>IF($E$72=2,Dados!$AE$16,IF($E$72=3,Dados!$AG$16,IF($E$72=4,Dados!$AI$16,IF($E$72=5,Dados!$AK$16,IF($E$72=6,Dados!$AM$16,IF($E$72=7,Dados!$AO$16,IF($E$72=8,Dados!$AS$16,0)))))))</f>
        <v>0</v>
      </c>
      <c r="FK8" s="304">
        <f>IF($E$72=2,Dados!$AF$16,IF($E$72=3,Dados!$AH$16,IF($E$72=4,Dados!$AJ$16,IF($E$72=5,Dados!$AL$16,IF($E$72=6,Dados!$AN$16,IF($E$72=7,Dados!$AP$16,IF($E$72=8,Dados!$AT$16,0)))))))</f>
        <v>0</v>
      </c>
      <c r="FL8" s="316">
        <f>IF($E$73=2,Dados!$AE$16,IF($E$73=3,Dados!$AG$16,IF($E$73=4,Dados!$AI$16,IF($E$73=5,Dados!$AK$16,IF($E$73=6,Dados!$AM$16,IF($E$73=7,Dados!$AO$16,IF($E$73=8,Dados!$AS$16,0)))))))</f>
        <v>0</v>
      </c>
      <c r="FM8" s="304">
        <f>IF($E$73=2,Dados!$AF$16,IF($E$73=3,Dados!$AH$16,IF($E$73=4,Dados!$AJ$16,IF($E$73=5,Dados!$AL$16,IF($E$73=6,Dados!$AN$16,IF($E$73=7,Dados!$AP$16,IF($E$73=8,Dados!$AT$16,0)))))))</f>
        <v>0</v>
      </c>
      <c r="FN8" s="316">
        <f>IF($E$74=2,Dados!$AE$16,IF($E$74=3,Dados!$AG$16,IF($E$74=4,Dados!$AI$16,IF($E$74=5,Dados!$AK$16,IF($E$74=6,Dados!$AM$16,IF($E$74=7,Dados!$AO$16,IF($E$74=8,Dados!$AS$16,0)))))))</f>
        <v>0</v>
      </c>
      <c r="FO8" s="304">
        <f>IF($E$74=2,Dados!$AF$16,IF($E$74=3,Dados!$AH$16,IF($E$74=4,Dados!$AJ$16,IF($E$74=5,Dados!$AL$16,IF($E$74=6,Dados!$AN$16,IF($E$74=7,Dados!$AP$16,IF($E$74=8,Dados!$AT$16,0)))))))</f>
        <v>0</v>
      </c>
      <c r="FQ8" s="316">
        <f>IF($E$79=2,Dados!$AE$16,IF($E$79=3,Dados!$AG$16,IF($E$79=4,Dados!$AI$16,IF($E$79=5,Dados!$AK$16,IF($E$79=6,Dados!$AM$16,IF($E$79=7,Dados!$AO$16,IF($E$79=8,Dados!$AS$16,0)))))))</f>
        <v>0</v>
      </c>
      <c r="FR8" s="304">
        <f>IF($E$79=2,Dados!$AF$16,IF($E$79=3,Dados!$AH$16,IF($E$79=4,Dados!$AJ$16,IF($E$79=5,Dados!$AL$16,IF($E$79=6,Dados!$AN$16,IF($E$79=7,Dados!$AP$16,IF($E$79=8,Dados!$AT$16,0)))))))</f>
        <v>0</v>
      </c>
      <c r="FS8" s="316">
        <f>IF($E$80=2,Dados!$AE$16,IF($E$80=3,Dados!$AG$16,IF($E$80=4,Dados!$AI$16,IF($E$80=5,Dados!$AK$16,IF($E$80=6,Dados!$AM$16,IF($E$80=7,Dados!$AO$16,IF($E$80=8,Dados!$AS$16,0)))))))</f>
        <v>0</v>
      </c>
      <c r="FT8" s="304">
        <f>IF($E$80=2,Dados!$AF$16,IF($E$80=3,Dados!$AH$16,IF($E$80=4,Dados!$AJ$16,IF($E$80=5,Dados!$AL$16,IF($E$80=6,Dados!$AN$16,IF($E$80=7,Dados!$AP$16,IF($E$80=8,Dados!$AT$16,0)))))))</f>
        <v>0</v>
      </c>
      <c r="FU8" s="316">
        <f>IF($E$81=2,Dados!$AE$16,IF($E$81=3,Dados!$AG$16,IF($E$81=4,Dados!$AI$16,IF($E$81=5,Dados!$AK$16,IF($E$81=6,Dados!$AM$16,IF($E$81=7,Dados!$AO$16,IF($E$81=8,Dados!$AS$16,0)))))))</f>
        <v>0</v>
      </c>
      <c r="FV8" s="304">
        <f>IF($E$81=2,Dados!$AF$16,IF($E$81=3,Dados!$AH$16,IF($E$81=4,Dados!$AJ$16,IF($E$81=5,Dados!$AL$16,IF($E$81=6,Dados!$AN$16,IF($E$81=7,Dados!$AP$16,IF($E$81=8,Dados!$AT$16,0)))))))</f>
        <v>0</v>
      </c>
      <c r="FW8" s="316">
        <f>IF($E$82=2,Dados!$AE$16,IF($E$82=3,Dados!$AG$16,IF($E$82=4,Dados!$AI$16,IF($E$82=5,Dados!$AK$16,IF($E$82=6,Dados!$AM$16,IF($E$82=7,Dados!$AO$16,IF($E$82=8,Dados!$AS$16,0)))))))</f>
        <v>0</v>
      </c>
      <c r="FX8" s="304">
        <f>IF($E$82=2,Dados!$AF$16,IF($E$82=3,Dados!$AH$16,IF($E$82=4,Dados!$AJ$16,IF($E$82=5,Dados!$AL$16,IF($E$82=6,Dados!$AN$16,IF($E$82=7,Dados!$AP$16,IF($E$82=8,Dados!$AT$16,0)))))))</f>
        <v>0</v>
      </c>
      <c r="FY8" s="316">
        <f>IF($E$83=2,Dados!$AE$16,IF($E$83=3,Dados!$AG$16,IF($E$83=4,Dados!$AI$16,IF($E$83=5,Dados!$AK$16,IF($E$83=6,Dados!$AM$16,IF($E$83=7,Dados!$AO$16,IF($E$83=8,Dados!$AS$16,0)))))))</f>
        <v>0</v>
      </c>
      <c r="FZ8" s="304">
        <f>IF($E$83=2,Dados!$AF$16,IF($E$83=3,Dados!$AH$16,IF($E$83=4,Dados!$AJ$16,IF($E$83=5,Dados!$AL$16,IF($E$83=6,Dados!$AN$16,IF($E$83=7,Dados!$AP$16,IF($E$83=8,Dados!$AT$16,0)))))))</f>
        <v>0</v>
      </c>
      <c r="GB8" s="316">
        <f>IF($E$88=2,Dados!$AE$16,IF($E$88=3,Dados!$AG$16,IF($E$88=4,Dados!$AI$16,IF($E$88=5,Dados!$AK$16,IF($E$88=6,Dados!$AM$16,IF($E$88=7,Dados!$AO$16,IF($E$88=8,Dados!$AS$16,0)))))))</f>
        <v>0</v>
      </c>
      <c r="GC8" s="304">
        <f>IF($E$88=2,Dados!$AF$16,IF($E$88=3,Dados!$AH$16,IF($E$88=4,Dados!$AJ$16,IF($E$88=5,Dados!$AL$16,IF($E$88=6,Dados!$AN$16,IF($E$88=7,Dados!$AP$16,IF($E$88=8,Dados!$AT$16,0)))))))</f>
        <v>0</v>
      </c>
      <c r="GD8" s="316">
        <f>IF($E$89=2,Dados!$AE$16,IF($E$89=3,Dados!$AG$16,IF($E$89=4,Dados!$AI$16,IF($E$89=5,Dados!$AK$16,IF($E$89=6,Dados!$AM$16,IF($E$89=7,Dados!$AO$16,IF($E$89=8,Dados!$AS$16,0)))))))</f>
        <v>0</v>
      </c>
      <c r="GE8" s="304">
        <f>IF($E$89=2,Dados!$AF$16,IF($E$89=3,Dados!$AH$16,IF($E$89=4,Dados!$AJ$16,IF($E$89=5,Dados!$AL$16,IF($E$89=6,Dados!$AN$16,IF($E$89=7,Dados!$AP$16,IF($E$89=8,Dados!$AT$16,0)))))))</f>
        <v>0</v>
      </c>
      <c r="GF8" s="316">
        <f>IF($E$90=2,Dados!$AE$16,IF($E$90=3,Dados!$AG$16,IF($E$90=4,Dados!$AI$16,IF($E$90=5,Dados!$AK$16,IF($E$90=6,Dados!$AM$16,IF($E$90=7,Dados!$AO$16,IF($E$90=8,Dados!$AS$16,0)))))))</f>
        <v>0</v>
      </c>
      <c r="GG8" s="304">
        <f>IF($E$90=2,Dados!$AF$16,IF($E$90=3,Dados!$AH$16,IF($E$90=4,Dados!$AJ$16,IF($E$90=5,Dados!$AL$16,IF($E$90=6,Dados!$AN$16,IF($E$90=7,Dados!$AP$16,IF($E$90=8,Dados!$AT$16,0)))))))</f>
        <v>0</v>
      </c>
      <c r="GH8" s="316">
        <f>IF($E$91=2,Dados!$AE$16,IF($E$91=3,Dados!$AG$16,IF($E$91=4,Dados!$AI$16,IF($E$91=5,Dados!$AK$16,IF($E$91=6,Dados!$AM$16,IF($E$91=7,Dados!$AO$16,IF($E$91=8,Dados!$AS$16,0)))))))</f>
        <v>0</v>
      </c>
      <c r="GI8" s="304">
        <f>IF($E$91=2,Dados!$AF$16,IF($E$91=3,Dados!$AH$16,IF($E$91=4,Dados!$AJ$16,IF($E$91=5,Dados!$AL$16,IF($E$91=6,Dados!$AN$16,IF($E$91=7,Dados!$AP$16,IF($E$91=8,Dados!$AT$16,0)))))))</f>
        <v>0</v>
      </c>
      <c r="GJ8" s="316">
        <f>IF($E$92=2,Dados!$AE$16,IF($E$92=3,Dados!$AG$16,IF($E$92=4,Dados!$AI$16,IF($E$92=5,Dados!$AK$16,IF($E$92=6,Dados!$AM$16,IF($E$92=7,Dados!$AO$16,IF($E$92=8,Dados!$AS$16,0)))))))</f>
        <v>0</v>
      </c>
      <c r="GK8" s="304">
        <f>IF($E$92=2,Dados!$AF$16,IF($E$92=3,Dados!$AH$16,IF($E$92=4,Dados!$AJ$16,IF($E$92=5,Dados!$AL$16,IF($E$92=6,Dados!$AN$16,IF($E$92=7,Dados!$AP$16,IF($E$92=8,Dados!$AT$16,0)))))))</f>
        <v>0</v>
      </c>
      <c r="GM8" s="316">
        <f>IF($E$97=2,Dados!$AE$16,IF($E$97=3,Dados!$AG$16,IF($E$97=4,Dados!$AI$16,IF($E$97=5,Dados!$AK$16,IF($E$97=6,Dados!$AM$16,IF($E$97=7,Dados!$AO$16,IF($E$97=8,Dados!$AS$16,0)))))))</f>
        <v>0</v>
      </c>
      <c r="GN8" s="304">
        <f>IF($E$97=2,Dados!$AF$16,IF($E$97=3,Dados!$AH$16,IF($E$97=4,Dados!$AJ$16,IF($E$97=5,Dados!$AL$16,IF($E$97=6,Dados!$AN$16,IF($E$97=7,Dados!$AP$16,IF($E$97=8,Dados!$AT$16,0)))))))</f>
        <v>0</v>
      </c>
      <c r="GO8" s="316">
        <f>IF($E$98=2,Dados!$AE$16,IF($E$98=3,Dados!$AG$16,IF($E$98=4,Dados!$AI$16,IF($E$98=5,Dados!$AK$16,IF($E$98=6,Dados!$AM$16,IF($E$98=7,Dados!$AO$16,IF($E$98=8,Dados!$AS$16,0)))))))</f>
        <v>0</v>
      </c>
      <c r="GP8" s="304">
        <f>IF($E$98=2,Dados!$AF$16,IF($E$98=3,Dados!$AH$16,IF($E$98=4,Dados!$AJ$16,IF($E$98=5,Dados!$AL$16,IF($E$98=6,Dados!$AN$16,IF($E$98=7,Dados!$AP$16,IF($E$98=8,Dados!$AT$16,0)))))))</f>
        <v>0</v>
      </c>
      <c r="GQ8" s="316">
        <f>IF($E$99=2,Dados!$AE$16,IF($E$99=3,Dados!$AG$16,IF($E$99=4,Dados!$AI$16,IF($E$99=5,Dados!$AK$16,IF($E$99=6,Dados!$AM$16,IF($E$99=7,Dados!$AO$16,IF($E$99=8,Dados!$AS$16,0)))))))</f>
        <v>0</v>
      </c>
      <c r="GR8" s="304">
        <f>IF($E$99=2,Dados!$AF$16,IF($E$99=3,Dados!$AH$16,IF($E$99=4,Dados!$AJ$16,IF($E$99=5,Dados!$AL$16,IF($E$99=6,Dados!$AN$16,IF($E$99=7,Dados!$AP$16,IF($E$99=8,Dados!$AT$16,0)))))))</f>
        <v>0</v>
      </c>
      <c r="GS8" s="316">
        <f>IF($E$100=2,Dados!$AE$16,IF($E$100=3,Dados!$AG$16,IF($E$100=4,Dados!$AI$16,IF($E$100=5,Dados!$AK$16,IF($E$100=6,Dados!$AM$16,IF($E$100=7,Dados!$AO$16,IF($E$100=8,Dados!$AS$16,0)))))))</f>
        <v>0</v>
      </c>
      <c r="GT8" s="304">
        <f>IF($E$100=2,Dados!$AF$16,IF($E$100=3,Dados!$AH$16,IF($E$100=4,Dados!$AJ$16,IF($E$100=5,Dados!$AL$16,IF($E$100=6,Dados!$AN$16,IF($E$100=7,Dados!$AP$16,IF($E$100=8,Dados!$AT$16,0)))))))</f>
        <v>0</v>
      </c>
      <c r="GU8" s="316">
        <f>IF($E$101=2,Dados!$AE$16,IF($E$101=3,Dados!$AG$16,IF($E$101=4,Dados!$AI$16,IF($E$101=5,Dados!$AK$16,IF($E$101=6,Dados!$AM$16,IF($E$101=7,Dados!$AO$16,IF($E$101=8,Dados!$AS$16,0)))))))</f>
        <v>0</v>
      </c>
      <c r="GV8" s="304">
        <f>IF($E$101=2,Dados!$AF$16,IF($E$101=3,Dados!$AH$16,IF($E$101=4,Dados!$AJ$16,IF($E$101=5,Dados!$AL$16,IF($E$101=6,Dados!$AN$16,IF($E$101=7,Dados!$AP$16,IF($E$101=8,Dados!$AT$16,0)))))))</f>
        <v>0</v>
      </c>
      <c r="GX8" s="316">
        <f>IF($E$106=2,Dados!$AE$16,IF($E$106=3,Dados!$AG$16,IF($E$106=4,Dados!$AI$16,IF($E$106=5,Dados!$AK$16,IF($E$106=6,Dados!$AM$16,IF($E$106=7,Dados!$AO$16,IF($E$106=8,Dados!$AS$16,0)))))))</f>
        <v>0</v>
      </c>
      <c r="GY8" s="304">
        <f>IF($E$106=2,Dados!$AF$16,IF($E$106=3,Dados!$AH$16,IF($E$106=4,Dados!$AJ$16,IF($E$106=5,Dados!$AL$16,IF($E$106=6,Dados!$AN$16,IF($E$106=7,Dados!$AP$16,IF($E$106=8,Dados!$AT$16,0)))))))</f>
        <v>0</v>
      </c>
      <c r="GZ8" s="316">
        <f>IF($E$107=2,Dados!$AE$16,IF($E$107=3,Dados!$AG$16,IF($E$107=4,Dados!$AI$16,IF($E$107=5,Dados!$AK$16,IF($E$107=6,Dados!$AM$16,IF($E$107=7,Dados!$AO$16,IF($E$107=8,Dados!$AS$16,0)))))))</f>
        <v>0</v>
      </c>
      <c r="HA8" s="304">
        <f>IF($E$107=2,Dados!$AF$16,IF($E$107=3,Dados!$AH$16,IF($E$107=4,Dados!$AJ$16,IF($E$107=5,Dados!$AL$16,IF($E$107=6,Dados!$AN$16,IF($E$107=7,Dados!$AP$16,IF($E$107=8,Dados!$AT$16,0)))))))</f>
        <v>0</v>
      </c>
      <c r="HB8" s="316">
        <f>IF($E$108=2,Dados!$AE$16,IF($E$108=3,Dados!$AG$16,IF($E$108=4,Dados!$AI$16,IF($E$108=5,Dados!$AK$16,IF($E$108=6,Dados!$AM$16,IF($E$108=7,Dados!$AO$16,IF($E$108=8,Dados!$AS$16,0)))))))</f>
        <v>0</v>
      </c>
      <c r="HC8" s="304">
        <f>IF($E$108=2,Dados!$AF$16,IF($E$108=3,Dados!$AH$16,IF($E$108=4,Dados!$AJ$16,IF($E$108=5,Dados!$AL$16,IF($E$108=6,Dados!$AN$16,IF($E$108=7,Dados!$AP$16,IF($E$108=8,Dados!$AT$16,0)))))))</f>
        <v>0</v>
      </c>
      <c r="HD8" s="316">
        <f>IF($E$109=2,Dados!$AE$16,IF($E$109=3,Dados!$AG$16,IF($E$109=4,Dados!$AI$16,IF($E$109=5,Dados!$AK$16,IF($E$109=6,Dados!$AM$16,IF($E$109=7,Dados!$AO$16,IF($E$109=8,Dados!$AS$16,0)))))))</f>
        <v>0</v>
      </c>
      <c r="HE8" s="304">
        <f>IF($E$109=2,Dados!$AF$16,IF($E$109=3,Dados!$AH$16,IF($E$109=4,Dados!$AJ$16,IF($E$109=5,Dados!$AL$16,IF($E$109=6,Dados!$AN$16,IF($E$109=7,Dados!$AP$16,IF($E$109=8,Dados!$AT$16,0)))))))</f>
        <v>0</v>
      </c>
      <c r="HF8" s="316">
        <f>IF($E$110=2,Dados!$AE$16,IF($E$110=3,Dados!$AG$16,IF($E$110=4,Dados!$AI$16,IF($E$110=5,Dados!$AK$16,IF($E$110=6,Dados!$AM$16,IF($E$110=7,Dados!$AO$16,IF($E$110=8,Dados!$AS$16,0)))))))</f>
        <v>0</v>
      </c>
      <c r="HG8" s="304">
        <f>IF($E$110=2,Dados!$AF$16,IF($E$110=3,Dados!$AH$16,IF($E$110=4,Dados!$AJ$16,IF($E$110=5,Dados!$AL$16,IF($E$110=6,Dados!$AN$16,IF($E$110=7,Dados!$AP$16,IF($E$110=8,Dados!$AT$16,0)))))))</f>
        <v>0</v>
      </c>
    </row>
    <row r="9" spans="3:215" ht="15.75" customHeight="1" x14ac:dyDescent="0.2">
      <c r="C9" s="156">
        <f>IF(R9=1,0,S9)</f>
        <v>0</v>
      </c>
      <c r="D9" s="2721"/>
      <c r="E9" s="178">
        <v>2</v>
      </c>
      <c r="F9" s="2718">
        <v>2</v>
      </c>
      <c r="G9" s="2719"/>
      <c r="H9" s="284" t="s">
        <v>1394</v>
      </c>
      <c r="I9" s="229">
        <v>1</v>
      </c>
      <c r="J9" s="314">
        <v>1</v>
      </c>
      <c r="K9" s="157">
        <v>1.2</v>
      </c>
      <c r="L9" s="305"/>
      <c r="M9" s="127">
        <f>IF(I9=1,K9,IF(I9=2,K9/J9,IF(I9=3,K9*L9,0)))</f>
        <v>1.2</v>
      </c>
      <c r="N9" s="3">
        <v>4</v>
      </c>
      <c r="O9" s="30">
        <v>1</v>
      </c>
      <c r="P9" s="1531">
        <f>IF(N9=1,0,VLOOKUP(N9,Rebanho!$AN$45:$AV$72,4)*O9)</f>
        <v>782.75555555555559</v>
      </c>
      <c r="Q9" s="1532">
        <f>VLOOKUP(N9,Rebanho!$AN$45:$AV$72,7)*O9</f>
        <v>242654.22222222222</v>
      </c>
      <c r="R9" s="3">
        <v>1</v>
      </c>
      <c r="S9" s="29"/>
      <c r="T9" s="102">
        <f>VLOOKUP(R9,'Mão-de-obra'!$CJ$10:$CL$29,3)</f>
        <v>0</v>
      </c>
      <c r="U9" s="102">
        <f>T9*S9</f>
        <v>0</v>
      </c>
      <c r="V9" s="127">
        <f>IF(I9=1,M9*P9,IF(I9=2,M9*Q9*L9,IF(I9=3,M9,0)))</f>
        <v>939.30666666666662</v>
      </c>
      <c r="W9" s="129">
        <f>U9+V9</f>
        <v>939.30666666666662</v>
      </c>
      <c r="X9" s="93">
        <v>1</v>
      </c>
      <c r="Y9" s="93">
        <v>1</v>
      </c>
      <c r="Z9" s="127">
        <f t="shared" si="1"/>
        <v>1.2</v>
      </c>
      <c r="AE9" s="1160" t="str">
        <f>Rebanho!C51</f>
        <v>Garrotes</v>
      </c>
      <c r="AF9" s="1195">
        <f>IF(Rebanho!E51&gt;0,1,0)</f>
        <v>1</v>
      </c>
      <c r="AG9" s="1193">
        <f>Rebanho!E51</f>
        <v>782.75555555555559</v>
      </c>
      <c r="AH9" s="1336">
        <f>Rebanho!AS48</f>
        <v>521.83703703703702</v>
      </c>
      <c r="AI9" s="1178">
        <f>((SUMIFS($Z$7:$Z$110,$E$7:$E$110,"=2",$N$7:$N$110,"=4")+SUMIFS($Z$7:$Z$110,$E7:$E$110,"=2",$N$7:$N$110,"=19")))*($AF$9)</f>
        <v>2</v>
      </c>
      <c r="AJ9" s="1178">
        <f>((SUMIFS($Z$7:$Z$110,$E$7:$E$110,"=3",$N$7:$N$110,"=4")+SUMIFS($Z$7:$Z$110,$E$7:$E$110,"=3",$N$7:$N$110,"=19")))*($AF$9)</f>
        <v>0</v>
      </c>
      <c r="AK9" s="1178">
        <f>((SUMIFS($Z$7:$Z$110,$E$7:$E$110,"=4",$N$7:$N$110,"=4")+SUMIFS($Z$7:$Z$110,$E$7:$E$110,"=4",$N$7:$N$110,"=19")))*($AF$9)</f>
        <v>0</v>
      </c>
      <c r="AL9" s="1178">
        <f>((SUMIFS($Z$7:$Z$110,$E$7:$E$110,"=5",$N$7:$N$110,"=4")+SUMIFS($Z$7:$Z$110,$E$7:$E$110,"=5",$N$7:$N$110,"=19")))*($AF$9)</f>
        <v>0</v>
      </c>
      <c r="AM9" s="1178">
        <f>((SUMIFS($Z$7:$Z$110,$E$7:$E$110,"=6",$N$7:$N$110,"=4")+SUMIFS($Z$7:$Z$110,$E$7:$E$110,"=6",$N$7:$N$110,"=19")))*($AF$9)</f>
        <v>0</v>
      </c>
      <c r="AN9" s="1178">
        <f>((SUMIFS($Z$7:$Z$110,$E$7:$E$110,"=7",$N$7:$N$110,"=4")+SUMIFS($Z$7:$Z$110,$E$7:$E$110,"=7",$N$7:$N$110,"=19")))*($AF$9)</f>
        <v>0</v>
      </c>
      <c r="AO9" s="1208">
        <f>((SUMIFS($Z$7:$Z$110,$E$7:$E$110,"=8",$N$7:$N$110,"=4")+SUMIFS($Z$7:$Z$110,$E$7:$E$110,"=8",$N$7:$N$110,"=19")))*($AF$9)</f>
        <v>0</v>
      </c>
      <c r="AP9" s="1208">
        <f>SUM(AI9:AO9)*AG9</f>
        <v>1565.5111111111112</v>
      </c>
      <c r="AQ9" s="1184">
        <f t="shared" si="2"/>
        <v>2</v>
      </c>
      <c r="AU9" s="93">
        <v>1</v>
      </c>
      <c r="AW9" s="3" t="s">
        <v>76</v>
      </c>
      <c r="AX9" s="94">
        <f>IF($E7=4,$V7,0)</f>
        <v>0</v>
      </c>
      <c r="AY9" s="94">
        <f>IF($E8=4,$V8,0)</f>
        <v>0</v>
      </c>
      <c r="AZ9" s="94">
        <f>IF($E9=4,$V9,0)</f>
        <v>0</v>
      </c>
      <c r="BA9" s="94">
        <f>IF($E10=4,$V10,0)</f>
        <v>0</v>
      </c>
      <c r="BB9" s="94">
        <f>IF($E11=4,$V11,0)</f>
        <v>0</v>
      </c>
      <c r="BC9" s="200">
        <f t="shared" si="0"/>
        <v>0</v>
      </c>
      <c r="CF9" s="93">
        <v>4</v>
      </c>
      <c r="CG9" s="316" t="str">
        <f>IF($E$7=2,Dados!$AE$17,IF($E$7=3,Dados!$AG$17,IF($E$7=4,Dados!$AI$17,IF($E$7=5,Dados!$AK$17,IF($E$7=6,Dados!$AM$17,IF($E$7=7,Dados!$AO$17,IF($E$7=8,Dados!$AS$17,0)))))))</f>
        <v>Brucelose</v>
      </c>
      <c r="CH9" s="304" t="str">
        <f>IF($E$7=2,Dados!$AF$17,IF($E$7=3,Dados!$AH$17,IF($E$7=4,Dados!$AJ$17,IF($E$7=5,Dados!$AL$17,IF($E$7=6,Dados!$AN$17,IF($E$7=7,Dados!$AP$17,IF($E$7=8,Dados!$AT$17,0)))))))</f>
        <v>dose</v>
      </c>
      <c r="CI9" s="316" t="str">
        <f>IF($E$8=2,Dados!$AE$17,IF($E$8=3,Dados!$AG$17,IF($E$8=4,Dados!$AI$17,IF($E$8=5,Dados!$AK$17,IF($E$8=6,Dados!$AM$17,IF($E$8=7,Dados!$AO$17,IF($E$8=8,Dados!$AS$17,0)))))))</f>
        <v>Brucelose</v>
      </c>
      <c r="CJ9" s="304" t="str">
        <f>IF($E$8=2,Dados!$AF$17,IF($E$8=3,Dados!$AH$17,IF($E$8=4,Dados!$AJ$17,IF($E$8=5,Dados!$AL$17,IF($E$8=6,Dados!$AN$17,IF($E$8=7,Dados!$AP$17,IF($E$8=8,Dados!$AT$17,0)))))))</f>
        <v>dose</v>
      </c>
      <c r="CK9" s="316" t="str">
        <f>IF($E$9=2,Dados!$AE$17,IF($E$9=3,Dados!$AG$17,IF($E$9=4,Dados!$AI$17,IF($E$9=5,Dados!$AK$17,IF($E$9=6,Dados!$AM$17,IF($E$9=7,Dados!$AO$17,IF($E$9=8,Dados!$AS$17,0)))))))</f>
        <v>Brucelose</v>
      </c>
      <c r="CL9" s="304" t="str">
        <f>IF($E$9=2,Dados!$AF$17,IF($E$9=3,Dados!$AH$17,IF($E$9=4,Dados!$AJ$17,IF($E$9=5,Dados!$AL$17,IF($E$9=6,Dados!$AN$17,IF($E$9=7,Dados!$AP$17,IF($E$9=8,Dados!$AT$17,0)))))))</f>
        <v>dose</v>
      </c>
      <c r="CM9" s="316" t="str">
        <f>IF($E$10=2,Dados!$AE$17,IF($E$10=3,Dados!$AG$17,IF($E$10=4,Dados!$AI$17,IF($E$10=5,Dados!$AK$17,IF($E$10=6,Dados!$AM$17,IF($E$10=7,Dados!$AO$17,IF($E$10=8,Dados!$AS$17,0)))))))</f>
        <v>Brucelose</v>
      </c>
      <c r="CN9" s="304" t="str">
        <f>IF($E$10=2,Dados!$AF$17,IF($E$10=3,Dados!$AH$17,IF($E$10=4,Dados!$AJ$17,IF($E$10=5,Dados!$AL$17,IF($E$10=6,Dados!$AN$17,IF($E$10=7,Dados!$AP$17,IF($E$10=8,Dados!$AT$17,0)))))))</f>
        <v>dose</v>
      </c>
      <c r="CO9" s="316" t="str">
        <f>IF($E$11=2,Dados!$AE$17,IF($E$11=3,Dados!$AG$17,IF($E$11=4,Dados!$AI$17,IF($E$11=5,Dados!$AK$17,IF($E$11=6,Dados!$AM$17,IF($E$11=7,Dados!$AO$17,IF($E$11=8,Dados!$AS$17,0)))))))</f>
        <v>Brucelose</v>
      </c>
      <c r="CP9" s="304" t="str">
        <f>IF($E$11=2,Dados!$AF$17,IF($E$11=3,Dados!$AH$17,IF($E$11=4,Dados!$AJ$17,IF($E$11=5,Dados!$AL$17,IF($E$11=6,Dados!$AN$17,IF($E$11=7,Dados!$AP$17,IF($E$11=8,Dados!$AT$17,0)))))))</f>
        <v>dose</v>
      </c>
      <c r="CR9" s="316" t="str">
        <f>IF($E$16=2,Dados!$AE$17,IF($E$16=3,Dados!$AG$17,IF($E$16=4,Dados!$AI$17,IF($E$16=5,Dados!$AK$17,IF($E$16=6,Dados!$AM$17,IF($E$16=7,Dados!$AO$17,IF($E$16=8,Dados!$AS$17,0)))))))</f>
        <v>Cipermetrina</v>
      </c>
      <c r="CS9" s="304" t="str">
        <f>IF($E$16=2,Dados!$AF$17,IF($E$16=3,Dados!$AH$17,IF($E$16=4,Dados!$AJ$17,IF($E$16=5,Dados!$AL$17,IF($E$16=6,Dados!$AN$17,IF($E$16=7,Dados!$AP$17,IF($E$16=8,Dados!$AT$17,0)))))))</f>
        <v>frasco</v>
      </c>
      <c r="CT9" s="316" t="str">
        <f>IF($E$17=2,Dados!$AE$17,IF($E$17=3,Dados!$AG$17,IF($E$17=4,Dados!$AI$17,IF($E$17=5,Dados!$AK$17,IF($E$17=6,Dados!$AM$17,IF($E$17=7,Dados!$AO$17,IF($E$17=8,Dados!$AS$17,0)))))))</f>
        <v>Cipermetrina</v>
      </c>
      <c r="CU9" s="304" t="str">
        <f>IF($E$17=2,Dados!$AF$17,IF($E$17=3,Dados!$AH$17,IF($E$17=4,Dados!$AJ$17,IF($E$17=5,Dados!$AL$17,IF($E$17=6,Dados!$AN$17,IF($E$17=7,Dados!$AP$17,IF($E$17=8,Dados!$AT$17,0)))))))</f>
        <v>frasco</v>
      </c>
      <c r="CV9" s="316" t="str">
        <f>IF($E$18=2,Dados!$AE$17,IF($E$18=3,Dados!$AG$17,IF($E$18=4,Dados!$AI$17,IF($E$18=5,Dados!$AK$17,IF($E$18=6,Dados!$AM$17,IF($E$18=7,Dados!$AO$17,IF($E$18=8,Dados!$AS$17,0)))))))</f>
        <v>Cipermetrina</v>
      </c>
      <c r="CW9" s="304" t="str">
        <f>IF($E$18=2,Dados!$AF$17,IF($E$18=3,Dados!$AH$17,IF($E$18=4,Dados!$AJ$17,IF($E$18=5,Dados!$AL$17,IF($E$18=6,Dados!$AN$17,IF($E$18=7,Dados!$AP$17,IF($E$18=8,Dados!$AT$17,0)))))))</f>
        <v>frasco</v>
      </c>
      <c r="CX9" s="316" t="str">
        <f>IF($E$19=2,Dados!$AE$17,IF($E$19=3,Dados!$AG$17,IF($E$19=4,Dados!$AI$17,IF($E$19=5,Dados!$AK$17,IF($E$19=6,Dados!$AM$17,IF($E$19=7,Dados!$AO$17,IF($E$19=8,Dados!$AS$17,0)))))))</f>
        <v>Brucelose</v>
      </c>
      <c r="CY9" s="304" t="str">
        <f>IF($E$19=2,Dados!$AF$17,IF($E$19=3,Dados!$AH$17,IF($E$19=4,Dados!$AJ$17,IF($E$19=5,Dados!$AL$17,IF($E$19=6,Dados!$AN$17,IF($E$19=7,Dados!$AP$17,IF($E$19=8,Dados!$AT$17,0)))))))</f>
        <v>dose</v>
      </c>
      <c r="CZ9" s="316">
        <f>IF($E$20=2,Dados!$AE$17,IF($E$20=3,Dados!$AG$17,IF($E$20=4,Dados!$AI$17,IF($E$20=5,Dados!$AK$17,IF($E$20=6,Dados!$AM$17,IF($E$20=7,Dados!$AO$17,IF($E$20=8,Dados!$AS$17,0)))))))</f>
        <v>0</v>
      </c>
      <c r="DA9" s="304">
        <f>IF($E$20=2,Dados!$AF$17,IF($E$20=3,Dados!$AH$17,IF($E$20=4,Dados!$AJ$17,IF($E$20=5,Dados!$AL$17,IF($E$20=6,Dados!$AN$17,IF($E$20=7,Dados!$AP$17,IF($E$20=8,Dados!$AT$17,0)))))))</f>
        <v>0</v>
      </c>
      <c r="DC9" s="316" t="str">
        <f>IF($E$25=2,Dados!$AE$17,IF($E$25=3,Dados!$AG$17,IF($E$25=4,Dados!$AI$17,IF($E$25=5,Dados!$AK$17,IF($E$25=6,Dados!$AM$17,IF($E$25=7,Dados!$AO$17,IF($E$25=8,Dados!$AS$17,0)))))))</f>
        <v>Amoxilina</v>
      </c>
      <c r="DD9" s="304" t="str">
        <f>IF($E$25=2,Dados!$AF$17,IF($E$25=3,Dados!$AH$17,IF($E$25=4,Dados!$AJ$17,IF($E$25=5,Dados!$AL$17,IF($E$25=6,Dados!$AN$17,IF($E$25=7,Dados!$AP$17,IF($E$25=8,Dados!$AT$17,0)))))))</f>
        <v>frasco</v>
      </c>
      <c r="DE9" s="316" t="str">
        <f>IF($E$26=2,Dados!$AE$17,IF($E$26=3,Dados!$AG$17,IF($E$26=4,Dados!$AI$17,IF($E$26=5,Dados!$AK$17,IF($E$26=6,Dados!$AM$17,IF($E$26=7,Dados!$AO$17,IF($E$26=8,Dados!$AS$17,0)))))))</f>
        <v>Modificador Orgânico</v>
      </c>
      <c r="DF9" s="304" t="str">
        <f>IF($E$26=2,Dados!$AF$17,IF($E$26=3,Dados!$AH$17,IF($E$26=4,Dados!$AJ$17,IF($E$26=5,Dados!$AL$17,IF($E$26=6,Dados!$AN$17,IF($E$26=7,Dados!$AP$17,IF($E$26=8,Dados!$AT$17,0)))))))</f>
        <v>Frasco</v>
      </c>
      <c r="DG9" s="316">
        <f>IF($E$27=2,Dados!$AE$17,IF($E$27=3,Dados!$AG$17,IF($E$27=4,Dados!$AI$17,IF($E$27=5,Dados!$AK$17,IF($E$27=6,Dados!$AM$17,IF($E$27=7,Dados!$AO$17,IF($E$27=8,Dados!$AS$17,0)))))))</f>
        <v>0</v>
      </c>
      <c r="DH9" s="304">
        <f>IF($E$27=2,Dados!$AF$17,IF($E$27=3,Dados!$AH$17,IF($E$27=4,Dados!$AJ$17,IF($E$27=5,Dados!$AL$17,IF($E$27=6,Dados!$AN$17,IF($E$27=7,Dados!$AP$17,IF($E$27=8,Dados!$AT$17,0)))))))</f>
        <v>0</v>
      </c>
      <c r="DI9" s="316">
        <f>IF($E$28=2,Dados!$AE$17,IF($E$28=3,Dados!$AG$17,IF($E$28=4,Dados!$AI$17,IF($E$28=5,Dados!$AK$17,IF($E$28=6,Dados!$AM$17,IF($E$28=7,Dados!$AO$17,IF($E$28=8,Dados!$AS$17,0)))))))</f>
        <v>0</v>
      </c>
      <c r="DJ9" s="304">
        <f>IF($E$28=2,Dados!$AF$17,IF($E$28=3,Dados!$AH$17,IF($E$28=4,Dados!$AJ$17,IF($E$28=5,Dados!$AL$17,IF($E$28=6,Dados!$AN$17,IF($E$28=7,Dados!$AP$17,IF($E$28=8,Dados!$AT$17,0)))))))</f>
        <v>0</v>
      </c>
      <c r="DK9" s="316">
        <f>IF($E$29=2,Dados!$AE$17,IF($E$29=3,Dados!$AG$17,IF($E$29=4,Dados!$AI$17,IF($E$29=5,Dados!$AK$17,IF($E$29=6,Dados!$AM$17,IF($E$29=7,Dados!$AO$17,IF($E$29=8,Dados!$AS$17,0)))))))</f>
        <v>0</v>
      </c>
      <c r="DL9" s="304">
        <f>IF($E$29=2,Dados!$AF$17,IF($E$29=3,Dados!$AH$17,IF($E$29=4,Dados!$AJ$17,IF($E$29=5,Dados!$AL$17,IF($E$29=6,Dados!$AN$17,IF($E$29=7,Dados!$AP$17,IF($E$29=8,Dados!$AT$17,0)))))))</f>
        <v>0</v>
      </c>
      <c r="DN9" s="316" t="str">
        <f>IF($E$34=2,Dados!$AE$17,IF($E$34=3,Dados!$AG$17,IF($E$34=4,Dados!$AI$17,IF($E$34=5,Dados!$AK$17,IF($E$34=6,Dados!$AM$17,IF($E$34=7,Dados!$AO$17,IF($E$34=8,Dados!$AS$17,0)))))))</f>
        <v>Cipermetrina</v>
      </c>
      <c r="DO9" s="304" t="str">
        <f>IF($E$34=2,Dados!$AF$17,IF($E$34=3,Dados!$AH$17,IF($E$34=4,Dados!$AJ$17,IF($E$34=5,Dados!$AL$17,IF($E$34=6,Dados!$AN$17,IF($E$34=7,Dados!$AP$17,IF($E$34=8,Dados!$AT$17,0)))))))</f>
        <v>frasco</v>
      </c>
      <c r="DP9" s="316">
        <f>IF($E$35=2,Dados!$AE$17,IF($E$35=3,Dados!$AG$17,IF($E$35=4,Dados!$AI$17,IF($E$35=5,Dados!$AK$17,IF($E$35=6,Dados!$AM$17,IF($E$35=7,Dados!$AO$17,IF($E$35=8,Dados!$AS$17,0)))))))</f>
        <v>0</v>
      </c>
      <c r="DQ9" s="304">
        <f>IF($E$35=2,Dados!$AF$17,IF($E$35=3,Dados!$AH$17,IF($E$35=4,Dados!$AJ$17,IF($E$35=5,Dados!$AL$17,IF($E$35=6,Dados!$AN$17,IF($E$35=7,Dados!$AP$17,IF($E$35=8,Dados!$AT$17,0)))))))</f>
        <v>0</v>
      </c>
      <c r="DR9" s="316">
        <f>IF($E$36=2,Dados!$AE$17,IF($E$36=3,Dados!$AG$17,IF($E$36=4,Dados!$AI$17,IF($E$36=5,Dados!$AK$17,IF($E$36=6,Dados!$AM$17,IF($E$36=7,Dados!$AO$17,IF($E$36=8,Dados!$AS$17,0)))))))</f>
        <v>0</v>
      </c>
      <c r="DS9" s="304">
        <f>IF($E$36=2,Dados!$AF$17,IF($E$36=3,Dados!$AH$17,IF($E$36=4,Dados!$AJ$17,IF($E$36=5,Dados!$AL$17,IF($E$36=6,Dados!$AN$17,IF($E$36=7,Dados!$AP$17,IF($E$36=8,Dados!$AT$17,0)))))))</f>
        <v>0</v>
      </c>
      <c r="DT9" s="316">
        <f>IF($E$37=2,Dados!$AE$17,IF($E$37=3,Dados!$AG$17,IF($E$37=4,Dados!$AI$17,IF($E$37=5,Dados!$AK$17,IF($E$37=6,Dados!$AM$17,IF($E$37=7,Dados!$AO$17,IF($E$37=8,Dados!$AS$17,0)))))))</f>
        <v>0</v>
      </c>
      <c r="DU9" s="304">
        <f>IF($E$37=2,Dados!$AF$17,IF($E$37=3,Dados!$AH$17,IF($E$37=4,Dados!$AJ$17,IF($E$37=5,Dados!$AL$17,IF($E$37=6,Dados!$AN$17,IF($E$37=7,Dados!$AP$17,IF($E$37=8,Dados!$AT$17,0)))))))</f>
        <v>0</v>
      </c>
      <c r="DV9" s="316">
        <f>IF($E$38=2,Dados!$AE$17,IF($E$38=3,Dados!$AG$17,IF($E$38=4,Dados!$AI$17,IF($E$38=5,Dados!$AK$17,IF($E$38=6,Dados!$AM$17,IF($E$38=7,Dados!$AO$17,IF($E$38=8,Dados!$AS$17,0)))))))</f>
        <v>0</v>
      </c>
      <c r="DW9" s="304">
        <f>IF($E$38=2,Dados!$AF$17,IF($E$38=3,Dados!$AH$17,IF($E$38=4,Dados!$AJ$17,IF($E$38=5,Dados!$AL$17,IF($E$38=6,Dados!$AN$17,IF($E$38=7,Dados!$AP$17,IF($E$38=8,Dados!$AT$17,0)))))))</f>
        <v>0</v>
      </c>
      <c r="DY9" s="316">
        <f>IF($E$43=2,Dados!$AE$17,IF($E$43=3,Dados!$AG$17,IF($E$43=4,Dados!$AI$17,IF($E$43=5,Dados!$AK$17,IF($E$43=6,Dados!$AM$17,IF($E$43=7,Dados!$AO$17,IF($E$43=8,Dados!$AS$17,0)))))))</f>
        <v>0</v>
      </c>
      <c r="DZ9" s="304">
        <f>IF($E$43=2,Dados!$AF$17,IF($E$43=3,Dados!$AH$17,IF($E$43=4,Dados!$AJ$17,IF($E$43=5,Dados!$AL$17,IF($E$43=6,Dados!$AN$17,IF($E$43=7,Dados!$AP$17,IF($E$43=8,Dados!$AT$17,0)))))))</f>
        <v>0</v>
      </c>
      <c r="EA9" s="316">
        <f>IF($E$44=2,Dados!$AE$17,IF($E$44=3,Dados!$AG$17,IF($E$44=4,Dados!$AI$17,IF($E$44=5,Dados!$AK$17,IF($E$44=6,Dados!$AM$17,IF($E$44=7,Dados!$AO$17,IF($E$44=8,Dados!$AS$17,0)))))))</f>
        <v>0</v>
      </c>
      <c r="EB9" s="304">
        <f>IF($E$44=2,Dados!$AF$17,IF($E$44=3,Dados!$AH$17,IF($E$44=4,Dados!$AJ$17,IF($E$44=5,Dados!$AL$17,IF($E$44=6,Dados!$AN$17,IF($E$44=7,Dados!$AP$17,IF($E$44=8,Dados!$AT$17,0)))))))</f>
        <v>0</v>
      </c>
      <c r="EC9" s="316">
        <f>IF($E$45=2,Dados!$AE$17,IF($E$45=3,Dados!$AG$17,IF($E$45=4,Dados!$AI$17,IF($E$45=5,Dados!$AK$17,IF($E$45=6,Dados!$AM$17,IF($E$45=7,Dados!$AO$17,IF($E$45=8,Dados!$AS$17,0)))))))</f>
        <v>0</v>
      </c>
      <c r="ED9" s="304">
        <f>IF($E$45=2,Dados!$AF$17,IF($E$45=3,Dados!$AH$17,IF($E$45=4,Dados!$AJ$17,IF($E$45=5,Dados!$AL$17,IF($E$45=6,Dados!$AN$17,IF($E$45=7,Dados!$AP$17,IF($E$45=8,Dados!$AT$17,0)))))))</f>
        <v>0</v>
      </c>
      <c r="EE9" s="316">
        <f>IF($E$46=2,Dados!$AE$17,IF($E$46=3,Dados!$AG$17,IF($E$46=4,Dados!$AI$17,IF($E$46=5,Dados!$AK$17,IF($E$46=6,Dados!$AM$17,IF($E$46=7,Dados!$AO$17,IF($E$46=8,Dados!$AS$17,0)))))))</f>
        <v>0</v>
      </c>
      <c r="EF9" s="304">
        <f>IF($E$46=2,Dados!$AF$17,IF($E$46=3,Dados!$AH$17,IF($E$46=4,Dados!$AJ$17,IF($E$46=5,Dados!$AL$17,IF($E$46=6,Dados!$AN$17,IF($E$46=7,Dados!$AP$17,IF($E$46=8,Dados!$AT$17,0)))))))</f>
        <v>0</v>
      </c>
      <c r="EG9" s="316">
        <f>IF($E$47=2,Dados!$AE$17,IF($E$47=3,Dados!$AG$17,IF($E$47=4,Dados!$AI$17,IF($E$47=5,Dados!$AK$17,IF($E$47=6,Dados!$AM$17,IF($E$47=7,Dados!$AO$17,IF($E$47=8,Dados!$AS$17,0)))))))</f>
        <v>0</v>
      </c>
      <c r="EH9" s="304">
        <f>IF($E$47=2,Dados!$AF$17,IF($E$47=3,Dados!$AH$17,IF($E$47=4,Dados!$AJ$17,IF($E$47=5,Dados!$AL$17,IF($E$47=6,Dados!$AN$17,IF($E$47=7,Dados!$AP$17,IF($E$47=8,Dados!$AT$17,0)))))))</f>
        <v>0</v>
      </c>
      <c r="EJ9" s="316">
        <f>IF($E$52=2,Dados!$AE$17,IF($E$52=3,Dados!$AG$17,IF($E$52=4,Dados!$AI$17,IF($E$52=5,Dados!$AK$17,IF($E$52=6,Dados!$AM$17,IF($E$52=7,Dados!$AO$17,IF($E$52=8,Dados!$AS$17,0)))))))</f>
        <v>0</v>
      </c>
      <c r="EK9" s="304">
        <f>IF($E$52=2,Dados!$AF$17,IF($E$52=3,Dados!$AH$17,IF($E$52=4,Dados!$AJ$17,IF($E$52=5,Dados!$AL$17,IF($E$52=6,Dados!$AN$17,IF($E$52=7,Dados!$AP$17,IF($E$52=8,Dados!$AT$17,0)))))))</f>
        <v>0</v>
      </c>
      <c r="EL9" s="316">
        <f>IF($E$53=2,Dados!$AE$17,IF($E$53=3,Dados!$AG$17,IF($E$53=4,Dados!$AI$17,IF($E$53=5,Dados!$AK$17,IF($E$53=6,Dados!$AM$17,IF($E$53=7,Dados!$AO$17,IF($E$53=8,Dados!$AS$17,0)))))))</f>
        <v>0</v>
      </c>
      <c r="EM9" s="304">
        <f>IF($E$53=2,Dados!$AF$17,IF($E$53=3,Dados!$AH$17,IF($E$53=4,Dados!$AJ$17,IF($E$53=5,Dados!$AL$17,IF($E$53=6,Dados!$AN$17,IF($E$53=7,Dados!$AP$17,IF($E$53=8,Dados!$AT$17,0)))))))</f>
        <v>0</v>
      </c>
      <c r="EN9" s="316">
        <f>IF($E$54=2,Dados!$AE$17,IF($E$54=3,Dados!$AG$17,IF($E$54=4,Dados!$AI$17,IF($E$54=5,Dados!$AK$17,IF($E$54=6,Dados!$AM$17,IF($E$54=7,Dados!$AO$17,IF($E$54=8,Dados!$AS$17,0)))))))</f>
        <v>0</v>
      </c>
      <c r="EO9" s="304">
        <f>IF($E$54=2,Dados!$AF$17,IF($E$54=3,Dados!$AH$17,IF($E$54=4,Dados!$AJ$17,IF($E$54=5,Dados!$AL$17,IF($E$54=6,Dados!$AN$17,IF($E$54=7,Dados!$AP$17,IF($E$54=8,Dados!$AT$17,0)))))))</f>
        <v>0</v>
      </c>
      <c r="EP9" s="316">
        <f>IF($E$55=2,Dados!$AE$17,IF($E$55=3,Dados!$AG$17,IF($E$55=4,Dados!$AI$17,IF($E$55=5,Dados!$AK$17,IF($E$55=6,Dados!$AM$17,IF($E$55=7,Dados!$AO$17,IF($E$55=8,Dados!$AS$17,0)))))))</f>
        <v>0</v>
      </c>
      <c r="EQ9" s="304">
        <f>IF($E$55=2,Dados!$AF$17,IF($E$55=3,Dados!$AH$17,IF($E$55=4,Dados!$AJ$17,IF($E$55=5,Dados!$AL$17,IF($E$55=6,Dados!$AN$17,IF($E$55=7,Dados!$AP$17,IF($E$55=8,Dados!$AT$17,0)))))))</f>
        <v>0</v>
      </c>
      <c r="ER9" s="316">
        <f>IF($E$56=2,Dados!$AE$17,IF($E$56=3,Dados!$AG$17,IF($E$56=4,Dados!$AI$17,IF($E$56=5,Dados!$AK$17,IF($E$56=6,Dados!$AM$17,IF($E$56=7,Dados!$AO$17,IF($E$56=8,Dados!$AS$17,0)))))))</f>
        <v>0</v>
      </c>
      <c r="ES9" s="304">
        <f>IF($E$56=2,Dados!$AF$17,IF($E$56=3,Dados!$AH$17,IF($E$56=4,Dados!$AJ$17,IF($E$56=5,Dados!$AL$17,IF($E$56=6,Dados!$AN$17,IF($E$56=7,Dados!$AP$17,IF($E$56=8,Dados!$AT$17,0)))))))</f>
        <v>0</v>
      </c>
      <c r="EU9" s="316">
        <f>IF($E$61=2,Dados!$AE$17,IF($E$61=3,Dados!$AG$17,IF($E$61=4,Dados!$AI$17,IF($E$61=5,Dados!$AK$17,IF($E$61=6,Dados!$AM$17,IF($E$61=7,Dados!$AO$17,IF($E$61=8,Dados!$AS$17,0)))))))</f>
        <v>0</v>
      </c>
      <c r="EV9" s="304">
        <f>IF($E$61=2,Dados!$AF$17,IF($E$61=3,Dados!$AH$17,IF($E$61=4,Dados!$AJ$17,IF($E$61=5,Dados!$AL$17,IF($E$61=6,Dados!$AN$17,IF($E$61=7,Dados!$AP$17,IF($E$61=8,Dados!$AT$17,0)))))))</f>
        <v>0</v>
      </c>
      <c r="EW9" s="316">
        <f>IF($E$62=2,Dados!$AE$17,IF($E$62=3,Dados!$AG$17,IF($E$62=4,Dados!$AI$17,IF($E$62=5,Dados!$AK$17,IF($E$62=6,Dados!$AM$17,IF($E$62=7,Dados!$AO$17,IF($E$62=8,Dados!$AS$17,0)))))))</f>
        <v>0</v>
      </c>
      <c r="EX9" s="304">
        <f>IF($E$62=2,Dados!$AF$17,IF($E$62=3,Dados!$AH$17,IF($E$62=4,Dados!$AJ$17,IF($E$62=5,Dados!$AL$17,IF($E$62=6,Dados!$AN$17,IF($E$62=7,Dados!$AP$17,IF($E$62=8,Dados!$AT$17,0)))))))</f>
        <v>0</v>
      </c>
      <c r="EY9" s="316">
        <f>IF($E$63=2,Dados!$AE$17,IF($E$63=3,Dados!$AG$17,IF($E$63=4,Dados!$AI$17,IF($E$63=5,Dados!$AK$17,IF($E$63=6,Dados!$AM$17,IF($E$63=7,Dados!$AO$17,IF($E$63=8,Dados!$AS$17,0)))))))</f>
        <v>0</v>
      </c>
      <c r="EZ9" s="304">
        <f>IF($E$63=2,Dados!$AF$17,IF($E$63=3,Dados!$AH$17,IF($E$63=4,Dados!$AJ$17,IF($E$63=5,Dados!$AL$17,IF($E$63=6,Dados!$AN$17,IF($E$63=7,Dados!$AP$17,IF($E$63=8,Dados!$AT$17,0)))))))</f>
        <v>0</v>
      </c>
      <c r="FA9" s="316">
        <f>IF($E$64=2,Dados!$AE$17,IF($E$64=3,Dados!$AG$17,IF($E$64=4,Dados!$AI$17,IF($E$64=5,Dados!$AK$17,IF($E$64=6,Dados!$AM$17,IF($E$64=7,Dados!$AO$17,IF($E$64=8,Dados!$AS$17,0)))))))</f>
        <v>0</v>
      </c>
      <c r="FB9" s="304">
        <f>IF($E$64=2,Dados!$AF$17,IF($E$64=3,Dados!$AH$17,IF($E$64=4,Dados!$AJ$17,IF($E$64=5,Dados!$AL$17,IF($E$64=6,Dados!$AN$17,IF($E$64=7,Dados!$AP$17,IF($E$64=8,Dados!$AT$17,0)))))))</f>
        <v>0</v>
      </c>
      <c r="FC9" s="316">
        <f>IF($E$65=2,Dados!$AE$17,IF($E$65=3,Dados!$AG$17,IF($E$65=4,Dados!$AI$17,IF($E$65=5,Dados!$AK$17,IF($E$65=6,Dados!$AM$17,IF($E$65=7,Dados!$AO$17,IF($E$65=8,Dados!$AS$17,0)))))))</f>
        <v>0</v>
      </c>
      <c r="FD9" s="304">
        <f>IF($E$65=2,Dados!$AF$17,IF($E$65=3,Dados!$AH$17,IF($E$65=4,Dados!$AJ$17,IF($E$65=5,Dados!$AL$17,IF($E$65=6,Dados!$AN$17,IF($E$65=7,Dados!$AP$17,IF($E$65=8,Dados!$AT$17,0)))))))</f>
        <v>0</v>
      </c>
      <c r="FF9" s="316">
        <f>IF($E$70=2,Dados!$AE$17,IF($E$70=3,Dados!$AG$17,IF($E$70=4,Dados!$AI$17,IF($E$70=5,Dados!$AK$17,IF($E$70=6,Dados!$AM$17,IF($E$70=7,Dados!$AO$17,IF($E$70=8,Dados!$AS$17,0)))))))</f>
        <v>0</v>
      </c>
      <c r="FG9" s="304">
        <f>IF($E$70=2,Dados!$AF$17,IF($E$70=3,Dados!$AH$17,IF($E$70=4,Dados!$AJ$17,IF($E$70=5,Dados!$AL$17,IF($E$70=6,Dados!$AN$17,IF($E$70=7,Dados!$AP$17,IF($E$70=8,Dados!$AT$17,0)))))))</f>
        <v>0</v>
      </c>
      <c r="FH9" s="316">
        <f>IF($E$71=2,Dados!$AE$17,IF($E$71=3,Dados!$AG$17,IF($E$71=4,Dados!$AI$17,IF($E$71=5,Dados!$AK$17,IF($E$71=6,Dados!$AM$17,IF($E$71=7,Dados!$AO$17,IF($E$71=8,Dados!$AS$17,0)))))))</f>
        <v>0</v>
      </c>
      <c r="FI9" s="304">
        <f>IF($E$71=2,Dados!$AF$17,IF($E$71=3,Dados!$AH$17,IF($E$71=4,Dados!$AJ$17,IF($E$71=5,Dados!$AL$17,IF($E$71=6,Dados!$AN$17,IF($E$71=7,Dados!$AP$17,IF($E$71=8,Dados!$AT$17,0)))))))</f>
        <v>0</v>
      </c>
      <c r="FJ9" s="316">
        <f>IF($E$72=2,Dados!$AE$17,IF($E$72=3,Dados!$AG$17,IF($E$72=4,Dados!$AI$17,IF($E$72=5,Dados!$AK$17,IF($E$72=6,Dados!$AM$17,IF($E$72=7,Dados!$AO$17,IF($E$72=8,Dados!$AS$17,0)))))))</f>
        <v>0</v>
      </c>
      <c r="FK9" s="304">
        <f>IF($E$72=2,Dados!$AF$17,IF($E$72=3,Dados!$AH$17,IF($E$72=4,Dados!$AJ$17,IF($E$72=5,Dados!$AL$17,IF($E$72=6,Dados!$AN$17,IF($E$72=7,Dados!$AP$17,IF($E$72=8,Dados!$AT$17,0)))))))</f>
        <v>0</v>
      </c>
      <c r="FL9" s="316">
        <f>IF($E$73=2,Dados!$AE$17,IF($E$73=3,Dados!$AG$17,IF($E$73=4,Dados!$AI$17,IF($E$73=5,Dados!$AK$17,IF($E$73=6,Dados!$AM$17,IF($E$73=7,Dados!$AO$17,IF($E$73=8,Dados!$AS$17,0)))))))</f>
        <v>0</v>
      </c>
      <c r="FM9" s="304">
        <f>IF($E$73=2,Dados!$AF$17,IF($E$73=3,Dados!$AH$17,IF($E$73=4,Dados!$AJ$17,IF($E$73=5,Dados!$AL$17,IF($E$73=6,Dados!$AN$17,IF($E$73=7,Dados!$AP$17,IF($E$73=8,Dados!$AT$17,0)))))))</f>
        <v>0</v>
      </c>
      <c r="FN9" s="316">
        <f>IF($E$74=2,Dados!$AE$17,IF($E$74=3,Dados!$AG$17,IF($E$74=4,Dados!$AI$17,IF($E$74=5,Dados!$AK$17,IF($E$74=6,Dados!$AM$17,IF($E$74=7,Dados!$AO$17,IF($E$74=8,Dados!$AS$17,0)))))))</f>
        <v>0</v>
      </c>
      <c r="FO9" s="304">
        <f>IF($E$74=2,Dados!$AF$17,IF($E$74=3,Dados!$AH$17,IF($E$74=4,Dados!$AJ$17,IF($E$74=5,Dados!$AL$17,IF($E$74=6,Dados!$AN$17,IF($E$74=7,Dados!$AP$17,IF($E$74=8,Dados!$AT$17,0)))))))</f>
        <v>0</v>
      </c>
      <c r="FQ9" s="316">
        <f>IF($E$79=2,Dados!$AE$17,IF($E$79=3,Dados!$AG$17,IF($E$79=4,Dados!$AI$17,IF($E$79=5,Dados!$AK$17,IF($E$79=6,Dados!$AM$17,IF($E$79=7,Dados!$AO$17,IF($E$79=8,Dados!$AS$17,0)))))))</f>
        <v>0</v>
      </c>
      <c r="FR9" s="304">
        <f>IF($E$79=2,Dados!$AF$17,IF($E$79=3,Dados!$AH$17,IF($E$79=4,Dados!$AJ$17,IF($E$79=5,Dados!$AL$17,IF($E$79=6,Dados!$AN$17,IF($E$79=7,Dados!$AP$17,IF($E$79=8,Dados!$AT$17,0)))))))</f>
        <v>0</v>
      </c>
      <c r="FS9" s="316">
        <f>IF($E$80=2,Dados!$AE$17,IF($E$80=3,Dados!$AG$17,IF($E$80=4,Dados!$AI$17,IF($E$80=5,Dados!$AK$17,IF($E$80=6,Dados!$AM$17,IF($E$80=7,Dados!$AO$17,IF($E$80=8,Dados!$AS$17,0)))))))</f>
        <v>0</v>
      </c>
      <c r="FT9" s="304">
        <f>IF($E$80=2,Dados!$AF$17,IF($E$80=3,Dados!$AH$17,IF($E$80=4,Dados!$AJ$17,IF($E$80=5,Dados!$AL$17,IF($E$80=6,Dados!$AN$17,IF($E$80=7,Dados!$AP$17,IF($E$80=8,Dados!$AT$17,0)))))))</f>
        <v>0</v>
      </c>
      <c r="FU9" s="316">
        <f>IF($E$81=2,Dados!$AE$17,IF($E$81=3,Dados!$AG$17,IF($E$81=4,Dados!$AI$17,IF($E$81=5,Dados!$AK$17,IF($E$81=6,Dados!$AM$17,IF($E$81=7,Dados!$AO$17,IF($E$81=8,Dados!$AS$17,0)))))))</f>
        <v>0</v>
      </c>
      <c r="FV9" s="304">
        <f>IF($E$81=2,Dados!$AF$17,IF($E$81=3,Dados!$AH$17,IF($E$81=4,Dados!$AJ$17,IF($E$81=5,Dados!$AL$17,IF($E$81=6,Dados!$AN$17,IF($E$81=7,Dados!$AP$17,IF($E$81=8,Dados!$AT$17,0)))))))</f>
        <v>0</v>
      </c>
      <c r="FW9" s="316">
        <f>IF($E$82=2,Dados!$AE$17,IF($E$82=3,Dados!$AG$17,IF($E$82=4,Dados!$AI$17,IF($E$82=5,Dados!$AK$17,IF($E$82=6,Dados!$AM$17,IF($E$82=7,Dados!$AO$17,IF($E$82=8,Dados!$AS$17,0)))))))</f>
        <v>0</v>
      </c>
      <c r="FX9" s="304">
        <f>IF($E$82=2,Dados!$AF$17,IF($E$82=3,Dados!$AH$17,IF($E$82=4,Dados!$AJ$17,IF($E$82=5,Dados!$AL$17,IF($E$82=6,Dados!$AN$17,IF($E$82=7,Dados!$AP$17,IF($E$82=8,Dados!$AT$17,0)))))))</f>
        <v>0</v>
      </c>
      <c r="FY9" s="316">
        <f>IF($E$83=2,Dados!$AE$17,IF($E$83=3,Dados!$AG$17,IF($E$83=4,Dados!$AI$17,IF($E$83=5,Dados!$AK$17,IF($E$83=6,Dados!$AM$17,IF($E$83=7,Dados!$AO$17,IF($E$83=8,Dados!$AS$17,0)))))))</f>
        <v>0</v>
      </c>
      <c r="FZ9" s="304">
        <f>IF($E$83=2,Dados!$AF$17,IF($E$83=3,Dados!$AH$17,IF($E$83=4,Dados!$AJ$17,IF($E$83=5,Dados!$AL$17,IF($E$83=6,Dados!$AN$17,IF($E$83=7,Dados!$AP$17,IF($E$83=8,Dados!$AT$17,0)))))))</f>
        <v>0</v>
      </c>
      <c r="GB9" s="316">
        <f>IF($E$88=2,Dados!$AE$17,IF($E$88=3,Dados!$AG$17,IF($E$88=4,Dados!$AI$17,IF($E$88=5,Dados!$AK$17,IF($E$88=6,Dados!$AM$17,IF($E$88=7,Dados!$AO$17,IF($E$88=8,Dados!$AS$17,0)))))))</f>
        <v>0</v>
      </c>
      <c r="GC9" s="304">
        <f>IF($E$88=2,Dados!$AF$17,IF($E$88=3,Dados!$AH$17,IF($E$88=4,Dados!$AJ$17,IF($E$88=5,Dados!$AL$17,IF($E$88=6,Dados!$AN$17,IF($E$88=7,Dados!$AP$17,IF($E$88=8,Dados!$AT$17,0)))))))</f>
        <v>0</v>
      </c>
      <c r="GD9" s="316">
        <f>IF($E$89=2,Dados!$AE$17,IF($E$89=3,Dados!$AG$17,IF($E$89=4,Dados!$AI$17,IF($E$89=5,Dados!$AK$17,IF($E$89=6,Dados!$AM$17,IF($E$89=7,Dados!$AO$17,IF($E$89=8,Dados!$AS$17,0)))))))</f>
        <v>0</v>
      </c>
      <c r="GE9" s="304">
        <f>IF($E$89=2,Dados!$AF$17,IF($E$89=3,Dados!$AH$17,IF($E$89=4,Dados!$AJ$17,IF($E$89=5,Dados!$AL$17,IF($E$89=6,Dados!$AN$17,IF($E$89=7,Dados!$AP$17,IF($E$89=8,Dados!$AT$17,0)))))))</f>
        <v>0</v>
      </c>
      <c r="GF9" s="316">
        <f>IF($E$90=2,Dados!$AE$17,IF($E$90=3,Dados!$AG$17,IF($E$90=4,Dados!$AI$17,IF($E$90=5,Dados!$AK$17,IF($E$90=6,Dados!$AM$17,IF($E$90=7,Dados!$AO$17,IF($E$90=8,Dados!$AS$17,0)))))))</f>
        <v>0</v>
      </c>
      <c r="GG9" s="304">
        <f>IF($E$90=2,Dados!$AF$17,IF($E$90=3,Dados!$AH$17,IF($E$90=4,Dados!$AJ$17,IF($E$90=5,Dados!$AL$17,IF($E$90=6,Dados!$AN$17,IF($E$90=7,Dados!$AP$17,IF($E$90=8,Dados!$AT$17,0)))))))</f>
        <v>0</v>
      </c>
      <c r="GH9" s="316">
        <f>IF($E$91=2,Dados!$AE$17,IF($E$91=3,Dados!$AG$17,IF($E$91=4,Dados!$AI$17,IF($E$91=5,Dados!$AK$17,IF($E$91=6,Dados!$AM$17,IF($E$91=7,Dados!$AO$17,IF($E$91=8,Dados!$AS$17,0)))))))</f>
        <v>0</v>
      </c>
      <c r="GI9" s="304">
        <f>IF($E$91=2,Dados!$AF$17,IF($E$91=3,Dados!$AH$17,IF($E$91=4,Dados!$AJ$17,IF($E$91=5,Dados!$AL$17,IF($E$91=6,Dados!$AN$17,IF($E$91=7,Dados!$AP$17,IF($E$91=8,Dados!$AT$17,0)))))))</f>
        <v>0</v>
      </c>
      <c r="GJ9" s="316">
        <f>IF($E$92=2,Dados!$AE$17,IF($E$92=3,Dados!$AG$17,IF($E$92=4,Dados!$AI$17,IF($E$92=5,Dados!$AK$17,IF($E$92=6,Dados!$AM$17,IF($E$92=7,Dados!$AO$17,IF($E$92=8,Dados!$AS$17,0)))))))</f>
        <v>0</v>
      </c>
      <c r="GK9" s="304">
        <f>IF($E$92=2,Dados!$AF$17,IF($E$92=3,Dados!$AH$17,IF($E$92=4,Dados!$AJ$17,IF($E$92=5,Dados!$AL$17,IF($E$92=6,Dados!$AN$17,IF($E$92=7,Dados!$AP$17,IF($E$92=8,Dados!$AT$17,0)))))))</f>
        <v>0</v>
      </c>
      <c r="GM9" s="316">
        <f>IF($E$97=2,Dados!$AE$17,IF($E$97=3,Dados!$AG$17,IF($E$97=4,Dados!$AI$17,IF($E$97=5,Dados!$AK$17,IF($E$97=6,Dados!$AM$17,IF($E$97=7,Dados!$AO$17,IF($E$97=8,Dados!$AS$17,0)))))))</f>
        <v>0</v>
      </c>
      <c r="GN9" s="304">
        <f>IF($E$97=2,Dados!$AF$17,IF($E$97=3,Dados!$AH$17,IF($E$97=4,Dados!$AJ$17,IF($E$97=5,Dados!$AL$17,IF($E$97=6,Dados!$AN$17,IF($E$97=7,Dados!$AP$17,IF($E$97=8,Dados!$AT$17,0)))))))</f>
        <v>0</v>
      </c>
      <c r="GO9" s="316">
        <f>IF($E$98=2,Dados!$AE$17,IF($E$98=3,Dados!$AG$17,IF($E$98=4,Dados!$AI$17,IF($E$98=5,Dados!$AK$17,IF($E$98=6,Dados!$AM$17,IF($E$98=7,Dados!$AO$17,IF($E$98=8,Dados!$AS$17,0)))))))</f>
        <v>0</v>
      </c>
      <c r="GP9" s="304">
        <f>IF($E$98=2,Dados!$AF$17,IF($E$98=3,Dados!$AH$17,IF($E$98=4,Dados!$AJ$17,IF($E$98=5,Dados!$AL$17,IF($E$98=6,Dados!$AN$17,IF($E$98=7,Dados!$AP$17,IF($E$98=8,Dados!$AT$17,0)))))))</f>
        <v>0</v>
      </c>
      <c r="GQ9" s="316">
        <f>IF($E$99=2,Dados!$AE$17,IF($E$99=3,Dados!$AG$17,IF($E$99=4,Dados!$AI$17,IF($E$99=5,Dados!$AK$17,IF($E$99=6,Dados!$AM$17,IF($E$99=7,Dados!$AO$17,IF($E$99=8,Dados!$AS$17,0)))))))</f>
        <v>0</v>
      </c>
      <c r="GR9" s="304">
        <f>IF($E$99=2,Dados!$AF$17,IF($E$99=3,Dados!$AH$17,IF($E$99=4,Dados!$AJ$17,IF($E$99=5,Dados!$AL$17,IF($E$99=6,Dados!$AN$17,IF($E$99=7,Dados!$AP$17,IF($E$99=8,Dados!$AT$17,0)))))))</f>
        <v>0</v>
      </c>
      <c r="GS9" s="316">
        <f>IF($E$100=2,Dados!$AE$17,IF($E$100=3,Dados!$AG$17,IF($E$100=4,Dados!$AI$17,IF($E$100=5,Dados!$AK$17,IF($E$100=6,Dados!$AM$17,IF($E$100=7,Dados!$AO$17,IF($E$100=8,Dados!$AS$17,0)))))))</f>
        <v>0</v>
      </c>
      <c r="GT9" s="304">
        <f>IF($E$100=2,Dados!$AF$17,IF($E$100=3,Dados!$AH$17,IF($E$100=4,Dados!$AJ$17,IF($E$100=5,Dados!$AL$17,IF($E$100=6,Dados!$AN$17,IF($E$100=7,Dados!$AP$17,IF($E$100=8,Dados!$AT$17,0)))))))</f>
        <v>0</v>
      </c>
      <c r="GU9" s="316">
        <f>IF($E$101=2,Dados!$AE$17,IF($E$101=3,Dados!$AG$17,IF($E$101=4,Dados!$AI$17,IF($E$101=5,Dados!$AK$17,IF($E$101=6,Dados!$AM$17,IF($E$101=7,Dados!$AO$17,IF($E$101=8,Dados!$AS$17,0)))))))</f>
        <v>0</v>
      </c>
      <c r="GV9" s="304">
        <f>IF($E$101=2,Dados!$AF$17,IF($E$101=3,Dados!$AH$17,IF($E$101=4,Dados!$AJ$17,IF($E$101=5,Dados!$AL$17,IF($E$101=6,Dados!$AN$17,IF($E$101=7,Dados!$AP$17,IF($E$101=8,Dados!$AT$17,0)))))))</f>
        <v>0</v>
      </c>
      <c r="GX9" s="316">
        <f>IF($E$106=2,Dados!$AE$17,IF($E$106=3,Dados!$AG$17,IF($E$106=4,Dados!$AI$17,IF($E$106=5,Dados!$AK$17,IF($E$106=6,Dados!$AM$17,IF($E$106=7,Dados!$AO$17,IF($E$106=8,Dados!$AS$17,0)))))))</f>
        <v>0</v>
      </c>
      <c r="GY9" s="304">
        <f>IF($E$106=2,Dados!$AF$17,IF($E$106=3,Dados!$AH$17,IF($E$106=4,Dados!$AJ$17,IF($E$106=5,Dados!$AL$17,IF($E$106=6,Dados!$AN$17,IF($E$106=7,Dados!$AP$17,IF($E$106=8,Dados!$AT$17,0)))))))</f>
        <v>0</v>
      </c>
      <c r="GZ9" s="316">
        <f>IF($E$107=2,Dados!$AE$17,IF($E$107=3,Dados!$AG$17,IF($E$107=4,Dados!$AI$17,IF($E$107=5,Dados!$AK$17,IF($E$107=6,Dados!$AM$17,IF($E$107=7,Dados!$AO$17,IF($E$107=8,Dados!$AS$17,0)))))))</f>
        <v>0</v>
      </c>
      <c r="HA9" s="304">
        <f>IF($E$107=2,Dados!$AF$17,IF($E$107=3,Dados!$AH$17,IF($E$107=4,Dados!$AJ$17,IF($E$107=5,Dados!$AL$17,IF($E$107=6,Dados!$AN$17,IF($E$107=7,Dados!$AP$17,IF($E$107=8,Dados!$AT$17,0)))))))</f>
        <v>0</v>
      </c>
      <c r="HB9" s="316">
        <f>IF($E$108=2,Dados!$AE$17,IF($E$108=3,Dados!$AG$17,IF($E$108=4,Dados!$AI$17,IF($E$108=5,Dados!$AK$17,IF($E$108=6,Dados!$AM$17,IF($E$108=7,Dados!$AO$17,IF($E$108=8,Dados!$AS$17,0)))))))</f>
        <v>0</v>
      </c>
      <c r="HC9" s="304">
        <f>IF($E$108=2,Dados!$AF$17,IF($E$108=3,Dados!$AH$17,IF($E$108=4,Dados!$AJ$17,IF($E$108=5,Dados!$AL$17,IF($E$108=6,Dados!$AN$17,IF($E$108=7,Dados!$AP$17,IF($E$108=8,Dados!$AT$17,0)))))))</f>
        <v>0</v>
      </c>
      <c r="HD9" s="316">
        <f>IF($E$109=2,Dados!$AE$17,IF($E$109=3,Dados!$AG$17,IF($E$109=4,Dados!$AI$17,IF($E$109=5,Dados!$AK$17,IF($E$109=6,Dados!$AM$17,IF($E$109=7,Dados!$AO$17,IF($E$109=8,Dados!$AS$17,0)))))))</f>
        <v>0</v>
      </c>
      <c r="HE9" s="304">
        <f>IF($E$109=2,Dados!$AF$17,IF($E$109=3,Dados!$AH$17,IF($E$109=4,Dados!$AJ$17,IF($E$109=5,Dados!$AL$17,IF($E$109=6,Dados!$AN$17,IF($E$109=7,Dados!$AP$17,IF($E$109=8,Dados!$AT$17,0)))))))</f>
        <v>0</v>
      </c>
      <c r="HF9" s="316">
        <f>IF($E$110=2,Dados!$AE$17,IF($E$110=3,Dados!$AG$17,IF($E$110=4,Dados!$AI$17,IF($E$110=5,Dados!$AK$17,IF($E$110=6,Dados!$AM$17,IF($E$110=7,Dados!$AO$17,IF($E$110=8,Dados!$AS$17,0)))))))</f>
        <v>0</v>
      </c>
      <c r="HG9" s="304">
        <f>IF($E$110=2,Dados!$AF$17,IF($E$110=3,Dados!$AH$17,IF($E$110=4,Dados!$AJ$17,IF($E$110=5,Dados!$AL$17,IF($E$110=6,Dados!$AN$17,IF($E$110=7,Dados!$AP$17,IF($E$110=8,Dados!$AT$17,0)))))))</f>
        <v>0</v>
      </c>
    </row>
    <row r="10" spans="3:215" ht="15.75" customHeight="1" x14ac:dyDescent="0.2">
      <c r="C10" s="156">
        <f>IF(R10=1,0,S10)</f>
        <v>0</v>
      </c>
      <c r="D10" s="2721"/>
      <c r="E10" s="178">
        <v>2</v>
      </c>
      <c r="F10" s="2718">
        <v>5</v>
      </c>
      <c r="G10" s="2719"/>
      <c r="H10" s="910"/>
      <c r="I10" s="229">
        <v>1</v>
      </c>
      <c r="J10" s="314">
        <v>1</v>
      </c>
      <c r="K10" s="157">
        <v>0.8</v>
      </c>
      <c r="L10" s="305"/>
      <c r="M10" s="127">
        <f>IF(I10=1,K10,IF(I10=2,K10/J10,IF(I10=3,K10*L10,0)))</f>
        <v>0.8</v>
      </c>
      <c r="N10" s="128">
        <v>23</v>
      </c>
      <c r="O10" s="30">
        <v>1</v>
      </c>
      <c r="P10" s="1531">
        <f>IF(N10=1,0,VLOOKUP(N10,Rebanho!$AN$45:$AV$72,4)*O10)</f>
        <v>3116.864924444445</v>
      </c>
      <c r="Q10" s="1532">
        <f>VLOOKUP(N10,Rebanho!$AN$45:$AV$72,7)*O10</f>
        <v>1142585.2620207409</v>
      </c>
      <c r="R10" s="3">
        <v>1</v>
      </c>
      <c r="S10" s="29"/>
      <c r="T10" s="102">
        <f>VLOOKUP(R10,'Mão-de-obra'!$CJ$10:$CL$29,3)</f>
        <v>0</v>
      </c>
      <c r="U10" s="102">
        <f>T10*S10</f>
        <v>0</v>
      </c>
      <c r="V10" s="127">
        <f>IF(I10=1,M10*P10,IF(I10=2,M10*Q10*L10,IF(I10=3,M10,0)))</f>
        <v>2493.4919395555562</v>
      </c>
      <c r="W10" s="129">
        <f>U10+V10</f>
        <v>2493.4919395555562</v>
      </c>
      <c r="X10" s="93">
        <v>1</v>
      </c>
      <c r="Y10" s="93">
        <v>1</v>
      </c>
      <c r="Z10" s="127">
        <f t="shared" si="1"/>
        <v>0.8</v>
      </c>
      <c r="AE10" s="1160" t="str">
        <f>Rebanho!C52</f>
        <v>Boi magro</v>
      </c>
      <c r="AF10" s="1195">
        <f>IF(Rebanho!E52&gt;0,1,0)</f>
        <v>1</v>
      </c>
      <c r="AG10" s="1193">
        <f>Rebanho!E52</f>
        <v>772.31881481481491</v>
      </c>
      <c r="AH10" s="1336">
        <f>Rebanho!AS49</f>
        <v>514.8792098765432</v>
      </c>
      <c r="AI10" s="1178">
        <f>((SUMIFS($Z$7:$Z$110,$E$7:$E$110,"=2",$N$7:$N$110,"=5")+SUMIFS($Z$7:$Z$110,$E$7:$E$110,"=2",$N$7:$N$110,"=19")))*($AF$10)</f>
        <v>0</v>
      </c>
      <c r="AJ10" s="1178">
        <f>((SUMIFS($Z$7:$Z$110,$E$7:$E$110,"=3",$N$7:$N$110,"=5")+SUMIFS($Z$7:$Z$110,$E$7:$E$110,"=3",$N$7:$N$110,"=19")))*($AF$10)</f>
        <v>0</v>
      </c>
      <c r="AK10" s="1178">
        <f>((SUMIFS($Z$7:$Z$110,$E$7:$E$110,"=4",$N$7:$N$110,"=5")+SUMIFS($Z$7:$Z$110,$E$7:$E$110,"=4",$N$7:$N$110,"=19")))*($AF$10)</f>
        <v>0</v>
      </c>
      <c r="AL10" s="1178">
        <f>((SUMIFS($Z$7:$Z$110,$E$7:$E$110,"=5",$N$7:$N$110,"=5")+SUMIFS($Z$7:$Z$110,$E$7:$E$110,"=5",$N$7:$N$110,"=19")))*($AF$10)</f>
        <v>0</v>
      </c>
      <c r="AM10" s="1178">
        <f>((SUMIFS($Z$7:$Z$110,$E$7:$E$110,"=6",$N$7:$N$110,"=5")+SUMIFS($Z$7:$Z$110,$E$7:$E$110,"=6",$N$7:$N$110,"=19")))*($AF$10)</f>
        <v>0</v>
      </c>
      <c r="AN10" s="1178">
        <f>((SUMIFS($Z$7:$Z$110,$E$7:$E$110,"=7",$N$7:$N$110,"=5")+SUMIFS($Z$7:$Z$110,$E$7:$E$110,"=7",$N$7:$N$110,"=19")))*($AF$10)</f>
        <v>0</v>
      </c>
      <c r="AO10" s="1208">
        <f>((SUMIFS($Z$7:$Z$110,$E$7:$E$110,"=8",$N$7:$N$110,"=5")+SUMIFS($Z$7:$Z$110,$E$7:$E$110,"=8",$N$7:$N$110,"=19")))*($AF$10)</f>
        <v>0</v>
      </c>
      <c r="AP10" s="1208">
        <f t="shared" ref="AP10:AP23" si="3">SUM(AI10:AO10)*AG10</f>
        <v>0</v>
      </c>
      <c r="AQ10" s="1184">
        <f t="shared" si="2"/>
        <v>0</v>
      </c>
      <c r="AW10" s="3" t="s">
        <v>528</v>
      </c>
      <c r="AX10" s="94">
        <f>IF($E7=5,$V7,0)</f>
        <v>0</v>
      </c>
      <c r="AY10" s="94">
        <f>IF($E8=5,$V8,0)</f>
        <v>0</v>
      </c>
      <c r="AZ10" s="94">
        <f>IF($E9=5,$V9,0)</f>
        <v>0</v>
      </c>
      <c r="BA10" s="94">
        <f>IF($E10=5,$V10,0)</f>
        <v>0</v>
      </c>
      <c r="BB10" s="94">
        <f>IF($E11=5,$V11,0)</f>
        <v>0</v>
      </c>
      <c r="BC10" s="200">
        <f t="shared" si="0"/>
        <v>0</v>
      </c>
      <c r="CF10" s="93">
        <v>5</v>
      </c>
      <c r="CG10" s="316" t="str">
        <f>IF($E$7=2,Dados!$AE$18,IF($E$7=3,Dados!$AG$18,IF($E$7=4,Dados!$AI$18,IF($E$7=5,Dados!$AK$18,IF($E$7=6,Dados!$AM$18,IF($E$7=7,Dados!$AO$18,IF($E$7=8,Dados!$AS$18,0)))))))</f>
        <v>Clostridiose</v>
      </c>
      <c r="CH10" s="304" t="str">
        <f>IF($E$7=2,Dados!$AF$18,IF($E$7=3,Dados!$AH$18,IF($E$7=4,Dados!$AJ$18,IF($E$7=5,Dados!$AL$18,IF($E$7=6,Dados!$AN$18,IF($E$7=7,Dados!$AP$18,IF($E$7=8,Dados!$AT$18,0)))))))</f>
        <v>dose</v>
      </c>
      <c r="CI10" s="316" t="str">
        <f>IF($E$8=2,Dados!$AE$18,IF($E$8=3,Dados!$AG$18,IF($E$8=4,Dados!$AI$18,IF($E$8=5,Dados!$AK$18,IF($E$8=6,Dados!$AM$18,IF($E$8=7,Dados!$AO$18,IF($E$8=8,Dados!$AS$18,0)))))))</f>
        <v>Clostridiose</v>
      </c>
      <c r="CJ10" s="304" t="str">
        <f>IF($E$8=2,Dados!$AF$18,IF($E$8=3,Dados!$AH$18,IF($E$8=4,Dados!$AJ$18,IF($E$8=5,Dados!$AL$18,IF($E$8=6,Dados!$AN$18,IF($E$8=7,Dados!$AP$18,IF($E$8=8,Dados!$AT$18,0)))))))</f>
        <v>dose</v>
      </c>
      <c r="CK10" s="316" t="str">
        <f>IF($E$9=2,Dados!$AE$18,IF($E$9=3,Dados!$AG$18,IF($E$9=4,Dados!$AI$18,IF($E$9=5,Dados!$AK$18,IF($E$9=6,Dados!$AM$18,IF($E$9=7,Dados!$AO$18,IF($E$9=8,Dados!$AS$18,0)))))))</f>
        <v>Clostridiose</v>
      </c>
      <c r="CL10" s="304" t="str">
        <f>IF($E$9=2,Dados!$AF$18,IF($E$9=3,Dados!$AH$18,IF($E$9=4,Dados!$AJ$18,IF($E$9=5,Dados!$AL$18,IF($E$9=6,Dados!$AN$18,IF($E$9=7,Dados!$AP$18,IF($E$9=8,Dados!$AT$18,0)))))))</f>
        <v>dose</v>
      </c>
      <c r="CM10" s="316" t="str">
        <f>IF($E$10=2,Dados!$AE$18,IF($E$10=3,Dados!$AG$18,IF($E$10=4,Dados!$AI$18,IF($E$10=5,Dados!$AK$18,IF($E$10=6,Dados!$AM$18,IF($E$10=7,Dados!$AO$18,IF($E$10=8,Dados!$AS$18,0)))))))</f>
        <v>Clostridiose</v>
      </c>
      <c r="CN10" s="304" t="str">
        <f>IF($E$10=2,Dados!$AF$18,IF($E$10=3,Dados!$AH$18,IF($E$10=4,Dados!$AJ$18,IF($E$10=5,Dados!$AL$18,IF($E$10=6,Dados!$AN$18,IF($E$10=7,Dados!$AP$18,IF($E$10=8,Dados!$AT$18,0)))))))</f>
        <v>dose</v>
      </c>
      <c r="CO10" s="316" t="str">
        <f>IF($E$11=2,Dados!$AE$18,IF($E$11=3,Dados!$AG$18,IF($E$11=4,Dados!$AI$18,IF($E$11=5,Dados!$AK$18,IF($E$11=6,Dados!$AM$18,IF($E$11=7,Dados!$AO$18,IF($E$11=8,Dados!$AS$18,0)))))))</f>
        <v>Clostridiose</v>
      </c>
      <c r="CP10" s="304" t="str">
        <f>IF($E$11=2,Dados!$AF$18,IF($E$11=3,Dados!$AH$18,IF($E$11=4,Dados!$AJ$18,IF($E$11=5,Dados!$AL$18,IF($E$11=6,Dados!$AN$18,IF($E$11=7,Dados!$AP$18,IF($E$11=8,Dados!$AT$18,0)))))))</f>
        <v>dose</v>
      </c>
      <c r="CR10" s="316" t="str">
        <f>IF($E$16=2,Dados!$AE$18,IF($E$16=3,Dados!$AG$18,IF($E$16=4,Dados!$AI$18,IF($E$16=5,Dados!$AK$18,IF($E$16=6,Dados!$AM$18,IF($E$16=7,Dados!$AO$18,IF($E$16=8,Dados!$AS$18,0)))))))</f>
        <v>Mata Bicheira</v>
      </c>
      <c r="CS10" s="304" t="str">
        <f>IF($E$16=2,Dados!$AF$18,IF($E$16=3,Dados!$AH$18,IF($E$16=4,Dados!$AJ$18,IF($E$16=5,Dados!$AL$18,IF($E$16=6,Dados!$AN$18,IF($E$16=7,Dados!$AP$18,IF($E$16=8,Dados!$AT$18,0)))))))</f>
        <v>frasco</v>
      </c>
      <c r="CT10" s="316" t="str">
        <f>IF($E$17=2,Dados!$AE$18,IF($E$17=3,Dados!$AG$18,IF($E$17=4,Dados!$AI$18,IF($E$17=5,Dados!$AK$18,IF($E$17=6,Dados!$AM$18,IF($E$17=7,Dados!$AO$18,IF($E$17=8,Dados!$AS$18,0)))))))</f>
        <v>Mata Bicheira</v>
      </c>
      <c r="CU10" s="304" t="str">
        <f>IF($E$17=2,Dados!$AF$18,IF($E$17=3,Dados!$AH$18,IF($E$17=4,Dados!$AJ$18,IF($E$17=5,Dados!$AL$18,IF($E$17=6,Dados!$AN$18,IF($E$17=7,Dados!$AP$18,IF($E$17=8,Dados!$AT$18,0)))))))</f>
        <v>frasco</v>
      </c>
      <c r="CV10" s="316" t="str">
        <f>IF($E$18=2,Dados!$AE$18,IF($E$18=3,Dados!$AG$18,IF($E$18=4,Dados!$AI$18,IF($E$18=5,Dados!$AK$18,IF($E$18=6,Dados!$AM$18,IF($E$18=7,Dados!$AO$18,IF($E$18=8,Dados!$AS$18,0)))))))</f>
        <v>Mata Bicheira</v>
      </c>
      <c r="CW10" s="304" t="str">
        <f>IF($E$18=2,Dados!$AF$18,IF($E$18=3,Dados!$AH$18,IF($E$18=4,Dados!$AJ$18,IF($E$18=5,Dados!$AL$18,IF($E$18=6,Dados!$AN$18,IF($E$18=7,Dados!$AP$18,IF($E$18=8,Dados!$AT$18,0)))))))</f>
        <v>frasco</v>
      </c>
      <c r="CX10" s="316" t="str">
        <f>IF($E$19=2,Dados!$AE$18,IF($E$19=3,Dados!$AG$18,IF($E$19=4,Dados!$AI$18,IF($E$19=5,Dados!$AK$18,IF($E$19=6,Dados!$AM$18,IF($E$19=7,Dados!$AO$18,IF($E$19=8,Dados!$AS$18,0)))))))</f>
        <v>Clostridiose</v>
      </c>
      <c r="CY10" s="304" t="str">
        <f>IF($E$19=2,Dados!$AF$18,IF($E$19=3,Dados!$AH$18,IF($E$19=4,Dados!$AJ$18,IF($E$19=5,Dados!$AL$18,IF($E$19=6,Dados!$AN$18,IF($E$19=7,Dados!$AP$18,IF($E$19=8,Dados!$AT$18,0)))))))</f>
        <v>dose</v>
      </c>
      <c r="CZ10" s="316">
        <f>IF($E$20=2,Dados!$AE$18,IF($E$20=3,Dados!$AG$18,IF($E$20=4,Dados!$AI$18,IF($E$20=5,Dados!$AK$18,IF($E$20=6,Dados!$AM$18,IF($E$20=7,Dados!$AO$18,IF($E$20=8,Dados!$AS$18,0)))))))</f>
        <v>0</v>
      </c>
      <c r="DA10" s="304">
        <f>IF($E$20=2,Dados!$AF$18,IF($E$20=3,Dados!$AH$18,IF($E$20=4,Dados!$AJ$18,IF($E$20=5,Dados!$AL$18,IF($E$20=6,Dados!$AN$18,IF($E$20=7,Dados!$AP$18,IF($E$20=8,Dados!$AT$18,0)))))))</f>
        <v>0</v>
      </c>
      <c r="DC10" s="316" t="str">
        <f>IF($E$25=2,Dados!$AE$18,IF($E$25=3,Dados!$AG$18,IF($E$25=4,Dados!$AI$18,IF($E$25=5,Dados!$AK$18,IF($E$25=6,Dados!$AM$18,IF($E$25=7,Dados!$AO$18,IF($E$25=8,Dados!$AS$18,0)))))))</f>
        <v>Outros</v>
      </c>
      <c r="DD10" s="304" t="str">
        <f>IF($E$25=2,Dados!$AF$18,IF($E$25=3,Dados!$AH$18,IF($E$25=4,Dados!$AJ$18,IF($E$25=5,Dados!$AL$18,IF($E$25=6,Dados!$AN$18,IF($E$25=7,Dados!$AP$18,IF($E$25=8,Dados!$AT$18,0)))))))</f>
        <v>frasco</v>
      </c>
      <c r="DE10" s="316" t="str">
        <f>IF($E$26=2,Dados!$AE$18,IF($E$26=3,Dados!$AG$18,IF($E$26=4,Dados!$AI$18,IF($E$26=5,Dados!$AK$18,IF($E$26=6,Dados!$AM$18,IF($E$26=7,Dados!$AO$18,IF($E$26=8,Dados!$AS$18,0)))))))</f>
        <v>Hormônio</v>
      </c>
      <c r="DF10" s="304" t="str">
        <f>IF($E$26=2,Dados!$AF$18,IF($E$26=3,Dados!$AH$18,IF($E$26=4,Dados!$AJ$18,IF($E$26=5,Dados!$AL$18,IF($E$26=6,Dados!$AN$18,IF($E$26=7,Dados!$AP$18,IF($E$26=8,Dados!$AT$18,0)))))))</f>
        <v>Frasco</v>
      </c>
      <c r="DG10" s="316">
        <f>IF($E$27=2,Dados!$AE$18,IF($E$27=3,Dados!$AG$18,IF($E$27=4,Dados!$AI$18,IF($E$27=5,Dados!$AK$18,IF($E$27=6,Dados!$AM$18,IF($E$27=7,Dados!$AO$18,IF($E$27=8,Dados!$AS$18,0)))))))</f>
        <v>0</v>
      </c>
      <c r="DH10" s="304">
        <f>IF($E$27=2,Dados!$AF$18,IF($E$27=3,Dados!$AH$18,IF($E$27=4,Dados!$AJ$18,IF($E$27=5,Dados!$AL$18,IF($E$27=6,Dados!$AN$18,IF($E$27=7,Dados!$AP$18,IF($E$27=8,Dados!$AT$18,0)))))))</f>
        <v>0</v>
      </c>
      <c r="DI10" s="316">
        <f>IF($E$28=2,Dados!$AE$18,IF($E$28=3,Dados!$AG$18,IF($E$28=4,Dados!$AI$18,IF($E$28=5,Dados!$AK$18,IF($E$28=6,Dados!$AM$18,IF($E$28=7,Dados!$AO$18,IF($E$28=8,Dados!$AS$18,0)))))))</f>
        <v>0</v>
      </c>
      <c r="DJ10" s="304">
        <f>IF($E$28=2,Dados!$AF$18,IF($E$28=3,Dados!$AH$18,IF($E$28=4,Dados!$AJ$18,IF($E$28=5,Dados!$AL$18,IF($E$28=6,Dados!$AN$18,IF($E$28=7,Dados!$AP$18,IF($E$28=8,Dados!$AT$18,0)))))))</f>
        <v>0</v>
      </c>
      <c r="DK10" s="316">
        <f>IF($E$29=2,Dados!$AE$18,IF($E$29=3,Dados!$AG$18,IF($E$29=4,Dados!$AI$18,IF($E$29=5,Dados!$AK$18,IF($E$29=6,Dados!$AM$18,IF($E$29=7,Dados!$AO$18,IF($E$29=8,Dados!$AS$18,0)))))))</f>
        <v>0</v>
      </c>
      <c r="DL10" s="304">
        <f>IF($E$29=2,Dados!$AF$18,IF($E$29=3,Dados!$AH$18,IF($E$29=4,Dados!$AJ$18,IF($E$29=5,Dados!$AL$18,IF($E$29=6,Dados!$AN$18,IF($E$29=7,Dados!$AP$18,IF($E$29=8,Dados!$AT$18,0)))))))</f>
        <v>0</v>
      </c>
      <c r="DN10" s="316" t="str">
        <f>IF($E$34=2,Dados!$AE$18,IF($E$34=3,Dados!$AG$18,IF($E$34=4,Dados!$AI$18,IF($E$34=5,Dados!$AK$18,IF($E$34=6,Dados!$AM$18,IF($E$34=7,Dados!$AO$18,IF($E$34=8,Dados!$AS$18,0)))))))</f>
        <v>Mata Bicheira</v>
      </c>
      <c r="DO10" s="304" t="str">
        <f>IF($E$34=2,Dados!$AF$18,IF($E$34=3,Dados!$AH$18,IF($E$34=4,Dados!$AJ$18,IF($E$34=5,Dados!$AL$18,IF($E$34=6,Dados!$AN$18,IF($E$34=7,Dados!$AP$18,IF($E$34=8,Dados!$AT$18,0)))))))</f>
        <v>frasco</v>
      </c>
      <c r="DP10" s="316">
        <f>IF($E$35=2,Dados!$AE$18,IF($E$35=3,Dados!$AG$18,IF($E$35=4,Dados!$AI$18,IF($E$35=5,Dados!$AK$18,IF($E$35=6,Dados!$AM$18,IF($E$35=7,Dados!$AO$18,IF($E$35=8,Dados!$AS$18,0)))))))</f>
        <v>0</v>
      </c>
      <c r="DQ10" s="304">
        <f>IF($E$35=2,Dados!$AF$18,IF($E$35=3,Dados!$AH$18,IF($E$35=4,Dados!$AJ$18,IF($E$35=5,Dados!$AL$18,IF($E$35=6,Dados!$AN$18,IF($E$35=7,Dados!$AP$18,IF($E$35=8,Dados!$AT$18,0)))))))</f>
        <v>0</v>
      </c>
      <c r="DR10" s="316">
        <f>IF($E$36=2,Dados!$AE$18,IF($E$36=3,Dados!$AG$18,IF($E$36=4,Dados!$AI$18,IF($E$36=5,Dados!$AK$18,IF($E$36=6,Dados!$AM$18,IF($E$36=7,Dados!$AO$18,IF($E$36=8,Dados!$AS$18,0)))))))</f>
        <v>0</v>
      </c>
      <c r="DS10" s="304">
        <f>IF($E$36=2,Dados!$AF$18,IF($E$36=3,Dados!$AH$18,IF($E$36=4,Dados!$AJ$18,IF($E$36=5,Dados!$AL$18,IF($E$36=6,Dados!$AN$18,IF($E$36=7,Dados!$AP$18,IF($E$36=8,Dados!$AT$18,0)))))))</f>
        <v>0</v>
      </c>
      <c r="DT10" s="316">
        <f>IF($E$37=2,Dados!$AE$18,IF($E$37=3,Dados!$AG$18,IF($E$37=4,Dados!$AI$18,IF($E$37=5,Dados!$AK$18,IF($E$37=6,Dados!$AM$18,IF($E$37=7,Dados!$AO$18,IF($E$37=8,Dados!$AS$18,0)))))))</f>
        <v>0</v>
      </c>
      <c r="DU10" s="304">
        <f>IF($E$37=2,Dados!$AF$18,IF($E$37=3,Dados!$AH$18,IF($E$37=4,Dados!$AJ$18,IF($E$37=5,Dados!$AL$18,IF($E$37=6,Dados!$AN$18,IF($E$37=7,Dados!$AP$18,IF($E$37=8,Dados!$AT$18,0)))))))</f>
        <v>0</v>
      </c>
      <c r="DV10" s="316">
        <f>IF($E$38=2,Dados!$AE$18,IF($E$38=3,Dados!$AG$18,IF($E$38=4,Dados!$AI$18,IF($E$38=5,Dados!$AK$18,IF($E$38=6,Dados!$AM$18,IF($E$38=7,Dados!$AO$18,IF($E$38=8,Dados!$AS$18,0)))))))</f>
        <v>0</v>
      </c>
      <c r="DW10" s="304">
        <f>IF($E$38=2,Dados!$AF$18,IF($E$38=3,Dados!$AH$18,IF($E$38=4,Dados!$AJ$18,IF($E$38=5,Dados!$AL$18,IF($E$38=6,Dados!$AN$18,IF($E$38=7,Dados!$AP$18,IF($E$38=8,Dados!$AT$18,0)))))))</f>
        <v>0</v>
      </c>
      <c r="DY10" s="316">
        <f>IF($E$43=2,Dados!$AE$18,IF($E$43=3,Dados!$AG$18,IF($E$43=4,Dados!$AI$18,IF($E$43=5,Dados!$AK$18,IF($E$43=6,Dados!$AM$18,IF($E$43=7,Dados!$AO$18,IF($E$43=8,Dados!$AS$18,0)))))))</f>
        <v>0</v>
      </c>
      <c r="DZ10" s="304">
        <f>IF($E$43=2,Dados!$AF$18,IF($E$43=3,Dados!$AH$18,IF($E$43=4,Dados!$AJ$18,IF($E$43=5,Dados!$AL$18,IF($E$43=6,Dados!$AN$18,IF($E$43=7,Dados!$AP$18,IF($E$43=8,Dados!$AT$18,0)))))))</f>
        <v>0</v>
      </c>
      <c r="EA10" s="316">
        <f>IF($E$44=2,Dados!$AE$18,IF($E$44=3,Dados!$AG$18,IF($E$44=4,Dados!$AI$18,IF($E$44=5,Dados!$AK$18,IF($E$44=6,Dados!$AM$18,IF($E$44=7,Dados!$AO$18,IF($E$44=8,Dados!$AS$18,0)))))))</f>
        <v>0</v>
      </c>
      <c r="EB10" s="304">
        <f>IF($E$44=2,Dados!$AF$18,IF($E$44=3,Dados!$AH$18,IF($E$44=4,Dados!$AJ$18,IF($E$44=5,Dados!$AL$18,IF($E$44=6,Dados!$AN$18,IF($E$44=7,Dados!$AP$18,IF($E$44=8,Dados!$AT$18,0)))))))</f>
        <v>0</v>
      </c>
      <c r="EC10" s="316">
        <f>IF($E$45=2,Dados!$AE$18,IF($E$45=3,Dados!$AG$18,IF($E$45=4,Dados!$AI$18,IF($E$45=5,Dados!$AK$18,IF($E$45=6,Dados!$AM$18,IF($E$45=7,Dados!$AO$18,IF($E$45=8,Dados!$AS$18,0)))))))</f>
        <v>0</v>
      </c>
      <c r="ED10" s="304">
        <f>IF($E$45=2,Dados!$AF$18,IF($E$45=3,Dados!$AH$18,IF($E$45=4,Dados!$AJ$18,IF($E$45=5,Dados!$AL$18,IF($E$45=6,Dados!$AN$18,IF($E$45=7,Dados!$AP$18,IF($E$45=8,Dados!$AT$18,0)))))))</f>
        <v>0</v>
      </c>
      <c r="EE10" s="316">
        <f>IF($E$46=2,Dados!$AE$18,IF($E$46=3,Dados!$AG$18,IF($E$46=4,Dados!$AI$18,IF($E$46=5,Dados!$AK$18,IF($E$46=6,Dados!$AM$18,IF($E$46=7,Dados!$AO$18,IF($E$46=8,Dados!$AS$18,0)))))))</f>
        <v>0</v>
      </c>
      <c r="EF10" s="304">
        <f>IF($E$46=2,Dados!$AF$18,IF($E$46=3,Dados!$AH$18,IF($E$46=4,Dados!$AJ$18,IF($E$46=5,Dados!$AL$18,IF($E$46=6,Dados!$AN$18,IF($E$46=7,Dados!$AP$18,IF($E$46=8,Dados!$AT$18,0)))))))</f>
        <v>0</v>
      </c>
      <c r="EG10" s="316">
        <f>IF($E$47=2,Dados!$AE$18,IF($E$47=3,Dados!$AG$18,IF($E$47=4,Dados!$AI$18,IF($E$47=5,Dados!$AK$18,IF($E$47=6,Dados!$AM$18,IF($E$47=7,Dados!$AO$18,IF($E$47=8,Dados!$AS$18,0)))))))</f>
        <v>0</v>
      </c>
      <c r="EH10" s="304">
        <f>IF($E$47=2,Dados!$AF$18,IF($E$47=3,Dados!$AH$18,IF($E$47=4,Dados!$AJ$18,IF($E$47=5,Dados!$AL$18,IF($E$47=6,Dados!$AN$18,IF($E$47=7,Dados!$AP$18,IF($E$47=8,Dados!$AT$18,0)))))))</f>
        <v>0</v>
      </c>
      <c r="EJ10" s="316">
        <f>IF($E$52=2,Dados!$AE$18,IF($E$52=3,Dados!$AG$18,IF($E$52=4,Dados!$AI$18,IF($E$52=5,Dados!$AK$18,IF($E$52=6,Dados!$AM$18,IF($E$52=7,Dados!$AO$18,IF($E$52=8,Dados!$AS$18,0)))))))</f>
        <v>0</v>
      </c>
      <c r="EK10" s="304">
        <f>IF($E$52=2,Dados!$AF$18,IF($E$52=3,Dados!$AH$18,IF($E$52=4,Dados!$AJ$18,IF($E$52=5,Dados!$AL$18,IF($E$52=6,Dados!$AN$18,IF($E$52=7,Dados!$AP$18,IF($E$52=8,Dados!$AT$18,0)))))))</f>
        <v>0</v>
      </c>
      <c r="EL10" s="316">
        <f>IF($E$53=2,Dados!$AE$18,IF($E$53=3,Dados!$AG$18,IF($E$53=4,Dados!$AI$18,IF($E$53=5,Dados!$AK$18,IF($E$53=6,Dados!$AM$18,IF($E$53=7,Dados!$AO$18,IF($E$53=8,Dados!$AS$18,0)))))))</f>
        <v>0</v>
      </c>
      <c r="EM10" s="304">
        <f>IF($E$53=2,Dados!$AF$18,IF($E$53=3,Dados!$AH$18,IF($E$53=4,Dados!$AJ$18,IF($E$53=5,Dados!$AL$18,IF($E$53=6,Dados!$AN$18,IF($E$53=7,Dados!$AP$18,IF($E$53=8,Dados!$AT$18,0)))))))</f>
        <v>0</v>
      </c>
      <c r="EN10" s="316">
        <f>IF($E$54=2,Dados!$AE$18,IF($E$54=3,Dados!$AG$18,IF($E$54=4,Dados!$AI$18,IF($E$54=5,Dados!$AK$18,IF($E$54=6,Dados!$AM$18,IF($E$54=7,Dados!$AO$18,IF($E$54=8,Dados!$AS$18,0)))))))</f>
        <v>0</v>
      </c>
      <c r="EO10" s="304">
        <f>IF($E$54=2,Dados!$AF$18,IF($E$54=3,Dados!$AH$18,IF($E$54=4,Dados!$AJ$18,IF($E$54=5,Dados!$AL$18,IF($E$54=6,Dados!$AN$18,IF($E$54=7,Dados!$AP$18,IF($E$54=8,Dados!$AT$18,0)))))))</f>
        <v>0</v>
      </c>
      <c r="EP10" s="316">
        <f>IF($E$55=2,Dados!$AE$18,IF($E$55=3,Dados!$AG$18,IF($E$55=4,Dados!$AI$18,IF($E$55=5,Dados!$AK$18,IF($E$55=6,Dados!$AM$18,IF($E$55=7,Dados!$AO$18,IF($E$55=8,Dados!$AS$18,0)))))))</f>
        <v>0</v>
      </c>
      <c r="EQ10" s="304">
        <f>IF($E$55=2,Dados!$AF$18,IF($E$55=3,Dados!$AH$18,IF($E$55=4,Dados!$AJ$18,IF($E$55=5,Dados!$AL$18,IF($E$55=6,Dados!$AN$18,IF($E$55=7,Dados!$AP$18,IF($E$55=8,Dados!$AT$18,0)))))))</f>
        <v>0</v>
      </c>
      <c r="ER10" s="316">
        <f>IF($E$56=2,Dados!$AE$18,IF($E$56=3,Dados!$AG$18,IF($E$56=4,Dados!$AI$18,IF($E$56=5,Dados!$AK$18,IF($E$56=6,Dados!$AM$18,IF($E$56=7,Dados!$AO$18,IF($E$56=8,Dados!$AS$18,0)))))))</f>
        <v>0</v>
      </c>
      <c r="ES10" s="304">
        <f>IF($E$56=2,Dados!$AF$18,IF($E$56=3,Dados!$AH$18,IF($E$56=4,Dados!$AJ$18,IF($E$56=5,Dados!$AL$18,IF($E$56=6,Dados!$AN$18,IF($E$56=7,Dados!$AP$18,IF($E$56=8,Dados!$AT$18,0)))))))</f>
        <v>0</v>
      </c>
      <c r="EU10" s="316">
        <f>IF($E$61=2,Dados!$AE$18,IF($E$61=3,Dados!$AG$18,IF($E$61=4,Dados!$AI$18,IF($E$61=5,Dados!$AK$18,IF($E$61=6,Dados!$AM$18,IF($E$61=7,Dados!$AO$18,IF($E$61=8,Dados!$AS$18,0)))))))</f>
        <v>0</v>
      </c>
      <c r="EV10" s="304">
        <f>IF($E$61=2,Dados!$AF$18,IF($E$61=3,Dados!$AH$18,IF($E$61=4,Dados!$AJ$18,IF($E$61=5,Dados!$AL$18,IF($E$61=6,Dados!$AN$18,IF($E$61=7,Dados!$AP$18,IF($E$61=8,Dados!$AT$18,0)))))))</f>
        <v>0</v>
      </c>
      <c r="EW10" s="316">
        <f>IF($E$62=2,Dados!$AE$18,IF($E$62=3,Dados!$AG$18,IF($E$62=4,Dados!$AI$18,IF($E$62=5,Dados!$AK$18,IF($E$62=6,Dados!$AM$18,IF($E$62=7,Dados!$AO$18,IF($E$62=8,Dados!$AS$18,0)))))))</f>
        <v>0</v>
      </c>
      <c r="EX10" s="304">
        <f>IF($E$62=2,Dados!$AF$18,IF($E$62=3,Dados!$AH$18,IF($E$62=4,Dados!$AJ$18,IF($E$62=5,Dados!$AL$18,IF($E$62=6,Dados!$AN$18,IF($E$62=7,Dados!$AP$18,IF($E$62=8,Dados!$AT$18,0)))))))</f>
        <v>0</v>
      </c>
      <c r="EY10" s="316">
        <f>IF($E$63=2,Dados!$AE$18,IF($E$63=3,Dados!$AG$18,IF($E$63=4,Dados!$AI$18,IF($E$63=5,Dados!$AK$18,IF($E$63=6,Dados!$AM$18,IF($E$63=7,Dados!$AO$18,IF($E$63=8,Dados!$AS$18,0)))))))</f>
        <v>0</v>
      </c>
      <c r="EZ10" s="304">
        <f>IF($E$63=2,Dados!$AF$18,IF($E$63=3,Dados!$AH$18,IF($E$63=4,Dados!$AJ$18,IF($E$63=5,Dados!$AL$18,IF($E$63=6,Dados!$AN$18,IF($E$63=7,Dados!$AP$18,IF($E$63=8,Dados!$AT$18,0)))))))</f>
        <v>0</v>
      </c>
      <c r="FA10" s="316">
        <f>IF($E$64=2,Dados!$AE$18,IF($E$64=3,Dados!$AG$18,IF($E$64=4,Dados!$AI$18,IF($E$64=5,Dados!$AK$18,IF($E$64=6,Dados!$AM$18,IF($E$64=7,Dados!$AO$18,IF($E$64=8,Dados!$AS$18,0)))))))</f>
        <v>0</v>
      </c>
      <c r="FB10" s="304">
        <f>IF($E$64=2,Dados!$AF$18,IF($E$64=3,Dados!$AH$18,IF($E$64=4,Dados!$AJ$18,IF($E$64=5,Dados!$AL$18,IF($E$64=6,Dados!$AN$18,IF($E$64=7,Dados!$AP$18,IF($E$64=8,Dados!$AT$18,0)))))))</f>
        <v>0</v>
      </c>
      <c r="FC10" s="316">
        <f>IF($E$65=2,Dados!$AE$18,IF($E$65=3,Dados!$AG$18,IF($E$65=4,Dados!$AI$18,IF($E$65=5,Dados!$AK$18,IF($E$65=6,Dados!$AM$18,IF($E$65=7,Dados!$AO$18,IF($E$65=8,Dados!$AS$18,0)))))))</f>
        <v>0</v>
      </c>
      <c r="FD10" s="304">
        <f>IF($E$65=2,Dados!$AF$18,IF($E$65=3,Dados!$AH$18,IF($E$65=4,Dados!$AJ$18,IF($E$65=5,Dados!$AL$18,IF($E$65=6,Dados!$AN$18,IF($E$65=7,Dados!$AP$18,IF($E$65=8,Dados!$AT$18,0)))))))</f>
        <v>0</v>
      </c>
      <c r="FF10" s="316">
        <f>IF($E$70=2,Dados!$AE$18,IF($E$70=3,Dados!$AG$18,IF($E$70=4,Dados!$AI$18,IF($E$70=5,Dados!$AK$18,IF($E$70=6,Dados!$AM$18,IF($E$70=7,Dados!$AO$18,IF($E$70=8,Dados!$AS$18,0)))))))</f>
        <v>0</v>
      </c>
      <c r="FG10" s="304">
        <f>IF($E$70=2,Dados!$AF$18,IF($E$70=3,Dados!$AH$18,IF($E$70=4,Dados!$AJ$18,IF($E$70=5,Dados!$AL$18,IF($E$70=6,Dados!$AN$18,IF($E$70=7,Dados!$AP$18,IF($E$70=8,Dados!$AT$18,0)))))))</f>
        <v>0</v>
      </c>
      <c r="FH10" s="316">
        <f>IF($E$71=2,Dados!$AE$18,IF($E$71=3,Dados!$AG$18,IF($E$71=4,Dados!$AI$18,IF($E$71=5,Dados!$AK$18,IF($E$71=6,Dados!$AM$18,IF($E$71=7,Dados!$AO$18,IF($E$71=8,Dados!$AS$18,0)))))))</f>
        <v>0</v>
      </c>
      <c r="FI10" s="304">
        <f>IF($E$71=2,Dados!$AF$18,IF($E$71=3,Dados!$AH$18,IF($E$71=4,Dados!$AJ$18,IF($E$71=5,Dados!$AL$18,IF($E$71=6,Dados!$AN$18,IF($E$71=7,Dados!$AP$18,IF($E$71=8,Dados!$AT$18,0)))))))</f>
        <v>0</v>
      </c>
      <c r="FJ10" s="316">
        <f>IF($E$72=2,Dados!$AE$18,IF($E$72=3,Dados!$AG$18,IF($E$72=4,Dados!$AI$18,IF($E$72=5,Dados!$AK$18,IF($E$72=6,Dados!$AM$18,IF($E$72=7,Dados!$AO$18,IF($E$72=8,Dados!$AS$18,0)))))))</f>
        <v>0</v>
      </c>
      <c r="FK10" s="304">
        <f>IF($E$72=2,Dados!$AF$18,IF($E$72=3,Dados!$AH$18,IF($E$72=4,Dados!$AJ$18,IF($E$72=5,Dados!$AL$18,IF($E$72=6,Dados!$AN$18,IF($E$72=7,Dados!$AP$18,IF($E$72=8,Dados!$AT$18,0)))))))</f>
        <v>0</v>
      </c>
      <c r="FL10" s="316">
        <f>IF($E$73=2,Dados!$AE$18,IF($E$73=3,Dados!$AG$18,IF($E$73=4,Dados!$AI$18,IF($E$73=5,Dados!$AK$18,IF($E$73=6,Dados!$AM$18,IF($E$73=7,Dados!$AO$18,IF($E$73=8,Dados!$AS$18,0)))))))</f>
        <v>0</v>
      </c>
      <c r="FM10" s="304">
        <f>IF($E$73=2,Dados!$AF$18,IF($E$73=3,Dados!$AH$18,IF($E$73=4,Dados!$AJ$18,IF($E$73=5,Dados!$AL$18,IF($E$73=6,Dados!$AN$18,IF($E$73=7,Dados!$AP$18,IF($E$73=8,Dados!$AT$18,0)))))))</f>
        <v>0</v>
      </c>
      <c r="FN10" s="316">
        <f>IF($E$74=2,Dados!$AE$18,IF($E$74=3,Dados!$AG$18,IF($E$74=4,Dados!$AI$18,IF($E$74=5,Dados!$AK$18,IF($E$74=6,Dados!$AM$18,IF($E$74=7,Dados!$AO$18,IF($E$74=8,Dados!$AS$18,0)))))))</f>
        <v>0</v>
      </c>
      <c r="FO10" s="304">
        <f>IF($E$74=2,Dados!$AF$18,IF($E$74=3,Dados!$AH$18,IF($E$74=4,Dados!$AJ$18,IF($E$74=5,Dados!$AL$18,IF($E$74=6,Dados!$AN$18,IF($E$74=7,Dados!$AP$18,IF($E$74=8,Dados!$AT$18,0)))))))</f>
        <v>0</v>
      </c>
      <c r="FQ10" s="316">
        <f>IF($E$79=2,Dados!$AE$18,IF($E$79=3,Dados!$AG$18,IF($E$79=4,Dados!$AI$18,IF($E$79=5,Dados!$AK$18,IF($E$79=6,Dados!$AM$18,IF($E$79=7,Dados!$AO$18,IF($E$79=8,Dados!$AS$18,0)))))))</f>
        <v>0</v>
      </c>
      <c r="FR10" s="304">
        <f>IF($E$79=2,Dados!$AF$18,IF($E$79=3,Dados!$AH$18,IF($E$79=4,Dados!$AJ$18,IF($E$79=5,Dados!$AL$18,IF($E$79=6,Dados!$AN$18,IF($E$79=7,Dados!$AP$18,IF($E$79=8,Dados!$AT$18,0)))))))</f>
        <v>0</v>
      </c>
      <c r="FS10" s="316">
        <f>IF($E$80=2,Dados!$AE$18,IF($E$80=3,Dados!$AG$18,IF($E$80=4,Dados!$AI$18,IF($E$80=5,Dados!$AK$18,IF($E$80=6,Dados!$AM$18,IF($E$80=7,Dados!$AO$18,IF($E$80=8,Dados!$AS$18,0)))))))</f>
        <v>0</v>
      </c>
      <c r="FT10" s="304">
        <f>IF($E$80=2,Dados!$AF$18,IF($E$80=3,Dados!$AH$18,IF($E$80=4,Dados!$AJ$18,IF($E$80=5,Dados!$AL$18,IF($E$80=6,Dados!$AN$18,IF($E$80=7,Dados!$AP$18,IF($E$80=8,Dados!$AT$18,0)))))))</f>
        <v>0</v>
      </c>
      <c r="FU10" s="316">
        <f>IF($E$81=2,Dados!$AE$18,IF($E$81=3,Dados!$AG$18,IF($E$81=4,Dados!$AI$18,IF($E$81=5,Dados!$AK$18,IF($E$81=6,Dados!$AM$18,IF($E$81=7,Dados!$AO$18,IF($E$81=8,Dados!$AS$18,0)))))))</f>
        <v>0</v>
      </c>
      <c r="FV10" s="304">
        <f>IF($E$81=2,Dados!$AF$18,IF($E$81=3,Dados!$AH$18,IF($E$81=4,Dados!$AJ$18,IF($E$81=5,Dados!$AL$18,IF($E$81=6,Dados!$AN$18,IF($E$81=7,Dados!$AP$18,IF($E$81=8,Dados!$AT$18,0)))))))</f>
        <v>0</v>
      </c>
      <c r="FW10" s="316">
        <f>IF($E$82=2,Dados!$AE$18,IF($E$82=3,Dados!$AG$18,IF($E$82=4,Dados!$AI$18,IF($E$82=5,Dados!$AK$18,IF($E$82=6,Dados!$AM$18,IF($E$82=7,Dados!$AO$18,IF($E$82=8,Dados!$AS$18,0)))))))</f>
        <v>0</v>
      </c>
      <c r="FX10" s="304">
        <f>IF($E$82=2,Dados!$AF$18,IF($E$82=3,Dados!$AH$18,IF($E$82=4,Dados!$AJ$18,IF($E$82=5,Dados!$AL$18,IF($E$82=6,Dados!$AN$18,IF($E$82=7,Dados!$AP$18,IF($E$82=8,Dados!$AT$18,0)))))))</f>
        <v>0</v>
      </c>
      <c r="FY10" s="316">
        <f>IF($E$83=2,Dados!$AE$18,IF($E$83=3,Dados!$AG$18,IF($E$83=4,Dados!$AI$18,IF($E$83=5,Dados!$AK$18,IF($E$83=6,Dados!$AM$18,IF($E$83=7,Dados!$AO$18,IF($E$83=8,Dados!$AS$18,0)))))))</f>
        <v>0</v>
      </c>
      <c r="FZ10" s="304">
        <f>IF($E$83=2,Dados!$AF$18,IF($E$83=3,Dados!$AH$18,IF($E$83=4,Dados!$AJ$18,IF($E$83=5,Dados!$AL$18,IF($E$83=6,Dados!$AN$18,IF($E$83=7,Dados!$AP$18,IF($E$83=8,Dados!$AT$18,0)))))))</f>
        <v>0</v>
      </c>
      <c r="GB10" s="316">
        <f>IF($E$88=2,Dados!$AE$18,IF($E$88=3,Dados!$AG$18,IF($E$88=4,Dados!$AI$18,IF($E$88=5,Dados!$AK$18,IF($E$88=6,Dados!$AM$18,IF($E$88=7,Dados!$AO$18,IF($E$88=8,Dados!$AS$18,0)))))))</f>
        <v>0</v>
      </c>
      <c r="GC10" s="304">
        <f>IF($E$88=2,Dados!$AF$18,IF($E$88=3,Dados!$AH$18,IF($E$88=4,Dados!$AJ$18,IF($E$88=5,Dados!$AL$18,IF($E$88=6,Dados!$AN$18,IF($E$88=7,Dados!$AP$18,IF($E$88=8,Dados!$AT$18,0)))))))</f>
        <v>0</v>
      </c>
      <c r="GD10" s="316">
        <f>IF($E$89=2,Dados!$AE$18,IF($E$89=3,Dados!$AG$18,IF($E$89=4,Dados!$AI$18,IF($E$89=5,Dados!$AK$18,IF($E$89=6,Dados!$AM$18,IF($E$89=7,Dados!$AO$18,IF($E$89=8,Dados!$AS$18,0)))))))</f>
        <v>0</v>
      </c>
      <c r="GE10" s="304">
        <f>IF($E$89=2,Dados!$AF$18,IF($E$89=3,Dados!$AH$18,IF($E$89=4,Dados!$AJ$18,IF($E$89=5,Dados!$AL$18,IF($E$89=6,Dados!$AN$18,IF($E$89=7,Dados!$AP$18,IF($E$89=8,Dados!$AT$18,0)))))))</f>
        <v>0</v>
      </c>
      <c r="GF10" s="316">
        <f>IF($E$90=2,Dados!$AE$18,IF($E$90=3,Dados!$AG$18,IF($E$90=4,Dados!$AI$18,IF($E$90=5,Dados!$AK$18,IF($E$90=6,Dados!$AM$18,IF($E$90=7,Dados!$AO$18,IF($E$90=8,Dados!$AS$18,0)))))))</f>
        <v>0</v>
      </c>
      <c r="GG10" s="304">
        <f>IF($E$90=2,Dados!$AF$18,IF($E$90=3,Dados!$AH$18,IF($E$90=4,Dados!$AJ$18,IF($E$90=5,Dados!$AL$18,IF($E$90=6,Dados!$AN$18,IF($E$90=7,Dados!$AP$18,IF($E$90=8,Dados!$AT$18,0)))))))</f>
        <v>0</v>
      </c>
      <c r="GH10" s="316">
        <f>IF($E$91=2,Dados!$AE$18,IF($E$91=3,Dados!$AG$18,IF($E$91=4,Dados!$AI$18,IF($E$91=5,Dados!$AK$18,IF($E$91=6,Dados!$AM$18,IF($E$91=7,Dados!$AO$18,IF($E$91=8,Dados!$AS$18,0)))))))</f>
        <v>0</v>
      </c>
      <c r="GI10" s="304">
        <f>IF($E$91=2,Dados!$AF$18,IF($E$91=3,Dados!$AH$18,IF($E$91=4,Dados!$AJ$18,IF($E$91=5,Dados!$AL$18,IF($E$91=6,Dados!$AN$18,IF($E$91=7,Dados!$AP$18,IF($E$91=8,Dados!$AT$18,0)))))))</f>
        <v>0</v>
      </c>
      <c r="GJ10" s="316">
        <f>IF($E$92=2,Dados!$AE$18,IF($E$92=3,Dados!$AG$18,IF($E$92=4,Dados!$AI$18,IF($E$92=5,Dados!$AK$18,IF($E$92=6,Dados!$AM$18,IF($E$92=7,Dados!$AO$18,IF($E$92=8,Dados!$AS$18,0)))))))</f>
        <v>0</v>
      </c>
      <c r="GK10" s="304">
        <f>IF($E$92=2,Dados!$AF$18,IF($E$92=3,Dados!$AH$18,IF($E$92=4,Dados!$AJ$18,IF($E$92=5,Dados!$AL$18,IF($E$92=6,Dados!$AN$18,IF($E$92=7,Dados!$AP$18,IF($E$92=8,Dados!$AT$18,0)))))))</f>
        <v>0</v>
      </c>
      <c r="GM10" s="316">
        <f>IF($E$97=2,Dados!$AE$18,IF($E$97=3,Dados!$AG$18,IF($E$97=4,Dados!$AI$18,IF($E$97=5,Dados!$AK$18,IF($E$97=6,Dados!$AM$18,IF($E$97=7,Dados!$AO$18,IF($E$97=8,Dados!$AS$18,0)))))))</f>
        <v>0</v>
      </c>
      <c r="GN10" s="304">
        <f>IF($E$97=2,Dados!$AF$18,IF($E$97=3,Dados!$AH$18,IF($E$97=4,Dados!$AJ$18,IF($E$97=5,Dados!$AL$18,IF($E$97=6,Dados!$AN$18,IF($E$97=7,Dados!$AP$18,IF($E$97=8,Dados!$AT$18,0)))))))</f>
        <v>0</v>
      </c>
      <c r="GO10" s="316">
        <f>IF($E$98=2,Dados!$AE$18,IF($E$98=3,Dados!$AG$18,IF($E$98=4,Dados!$AI$18,IF($E$98=5,Dados!$AK$18,IF($E$98=6,Dados!$AM$18,IF($E$98=7,Dados!$AO$18,IF($E$98=8,Dados!$AS$18,0)))))))</f>
        <v>0</v>
      </c>
      <c r="GP10" s="304">
        <f>IF($E$98=2,Dados!$AF$18,IF($E$98=3,Dados!$AH$18,IF($E$98=4,Dados!$AJ$18,IF($E$98=5,Dados!$AL$18,IF($E$98=6,Dados!$AN$18,IF($E$98=7,Dados!$AP$18,IF($E$98=8,Dados!$AT$18,0)))))))</f>
        <v>0</v>
      </c>
      <c r="GQ10" s="316">
        <f>IF($E$99=2,Dados!$AE$18,IF($E$99=3,Dados!$AG$18,IF($E$99=4,Dados!$AI$18,IF($E$99=5,Dados!$AK$18,IF($E$99=6,Dados!$AM$18,IF($E$99=7,Dados!$AO$18,IF($E$99=8,Dados!$AS$18,0)))))))</f>
        <v>0</v>
      </c>
      <c r="GR10" s="304">
        <f>IF($E$99=2,Dados!$AF$18,IF($E$99=3,Dados!$AH$18,IF($E$99=4,Dados!$AJ$18,IF($E$99=5,Dados!$AL$18,IF($E$99=6,Dados!$AN$18,IF($E$99=7,Dados!$AP$18,IF($E$99=8,Dados!$AT$18,0)))))))</f>
        <v>0</v>
      </c>
      <c r="GS10" s="316">
        <f>IF($E$100=2,Dados!$AE$18,IF($E$100=3,Dados!$AG$18,IF($E$100=4,Dados!$AI$18,IF($E$100=5,Dados!$AK$18,IF($E$100=6,Dados!$AM$18,IF($E$100=7,Dados!$AO$18,IF($E$100=8,Dados!$AS$18,0)))))))</f>
        <v>0</v>
      </c>
      <c r="GT10" s="304">
        <f>IF($E$100=2,Dados!$AF$18,IF($E$100=3,Dados!$AH$18,IF($E$100=4,Dados!$AJ$18,IF($E$100=5,Dados!$AL$18,IF($E$100=6,Dados!$AN$18,IF($E$100=7,Dados!$AP$18,IF($E$100=8,Dados!$AT$18,0)))))))</f>
        <v>0</v>
      </c>
      <c r="GU10" s="316">
        <f>IF($E$101=2,Dados!$AE$18,IF($E$101=3,Dados!$AG$18,IF($E$101=4,Dados!$AI$18,IF($E$101=5,Dados!$AK$18,IF($E$101=6,Dados!$AM$18,IF($E$101=7,Dados!$AO$18,IF($E$101=8,Dados!$AS$18,0)))))))</f>
        <v>0</v>
      </c>
      <c r="GV10" s="304">
        <f>IF($E$101=2,Dados!$AF$18,IF($E$101=3,Dados!$AH$18,IF($E$101=4,Dados!$AJ$18,IF($E$101=5,Dados!$AL$18,IF($E$101=6,Dados!$AN$18,IF($E$101=7,Dados!$AP$18,IF($E$101=8,Dados!$AT$18,0)))))))</f>
        <v>0</v>
      </c>
      <c r="GX10" s="316">
        <f>IF($E$106=2,Dados!$AE$18,IF($E$106=3,Dados!$AG$18,IF($E$106=4,Dados!$AI$18,IF($E$106=5,Dados!$AK$18,IF($E$106=6,Dados!$AM$18,IF($E$106=7,Dados!$AO$18,IF($E$106=8,Dados!$AS$18,0)))))))</f>
        <v>0</v>
      </c>
      <c r="GY10" s="304">
        <f>IF($E$106=2,Dados!$AF$18,IF($E$106=3,Dados!$AH$18,IF($E$106=4,Dados!$AJ$18,IF($E$106=5,Dados!$AL$18,IF($E$106=6,Dados!$AN$18,IF($E$106=7,Dados!$AP$18,IF($E$106=8,Dados!$AT$18,0)))))))</f>
        <v>0</v>
      </c>
      <c r="GZ10" s="316">
        <f>IF($E$107=2,Dados!$AE$18,IF($E$107=3,Dados!$AG$18,IF($E$107=4,Dados!$AI$18,IF($E$107=5,Dados!$AK$18,IF($E$107=6,Dados!$AM$18,IF($E$107=7,Dados!$AO$18,IF($E$107=8,Dados!$AS$18,0)))))))</f>
        <v>0</v>
      </c>
      <c r="HA10" s="304">
        <f>IF($E$107=2,Dados!$AF$18,IF($E$107=3,Dados!$AH$18,IF($E$107=4,Dados!$AJ$18,IF($E$107=5,Dados!$AL$18,IF($E$107=6,Dados!$AN$18,IF($E$107=7,Dados!$AP$18,IF($E$107=8,Dados!$AT$18,0)))))))</f>
        <v>0</v>
      </c>
      <c r="HB10" s="316">
        <f>IF($E$108=2,Dados!$AE$18,IF($E$108=3,Dados!$AG$18,IF($E$108=4,Dados!$AI$18,IF($E$108=5,Dados!$AK$18,IF($E$108=6,Dados!$AM$18,IF($E$108=7,Dados!$AO$18,IF($E$108=8,Dados!$AS$18,0)))))))</f>
        <v>0</v>
      </c>
      <c r="HC10" s="304">
        <f>IF($E$108=2,Dados!$AF$18,IF($E$108=3,Dados!$AH$18,IF($E$108=4,Dados!$AJ$18,IF($E$108=5,Dados!$AL$18,IF($E$108=6,Dados!$AN$18,IF($E$108=7,Dados!$AP$18,IF($E$108=8,Dados!$AT$18,0)))))))</f>
        <v>0</v>
      </c>
      <c r="HD10" s="316">
        <f>IF($E$109=2,Dados!$AE$18,IF($E$109=3,Dados!$AG$18,IF($E$109=4,Dados!$AI$18,IF($E$109=5,Dados!$AK$18,IF($E$109=6,Dados!$AM$18,IF($E$109=7,Dados!$AO$18,IF($E$109=8,Dados!$AS$18,0)))))))</f>
        <v>0</v>
      </c>
      <c r="HE10" s="304">
        <f>IF($E$109=2,Dados!$AF$18,IF($E$109=3,Dados!$AH$18,IF($E$109=4,Dados!$AJ$18,IF($E$109=5,Dados!$AL$18,IF($E$109=6,Dados!$AN$18,IF($E$109=7,Dados!$AP$18,IF($E$109=8,Dados!$AT$18,0)))))))</f>
        <v>0</v>
      </c>
      <c r="HF10" s="316">
        <f>IF($E$110=2,Dados!$AE$18,IF($E$110=3,Dados!$AG$18,IF($E$110=4,Dados!$AI$18,IF($E$110=5,Dados!$AK$18,IF($E$110=6,Dados!$AM$18,IF($E$110=7,Dados!$AO$18,IF($E$110=8,Dados!$AS$18,0)))))))</f>
        <v>0</v>
      </c>
      <c r="HG10" s="304">
        <f>IF($E$110=2,Dados!$AF$18,IF($E$110=3,Dados!$AH$18,IF($E$110=4,Dados!$AJ$18,IF($E$110=5,Dados!$AL$18,IF($E$110=6,Dados!$AN$18,IF($E$110=7,Dados!$AP$18,IF($E$110=8,Dados!$AT$18,0)))))))</f>
        <v>0</v>
      </c>
    </row>
    <row r="11" spans="3:215" ht="15.75" customHeight="1" x14ac:dyDescent="0.2">
      <c r="C11" s="156">
        <f>IF(R11=1,0,S11)</f>
        <v>0</v>
      </c>
      <c r="D11" s="2722"/>
      <c r="E11" s="178">
        <v>2</v>
      </c>
      <c r="F11" s="2633">
        <v>5</v>
      </c>
      <c r="G11" s="2633"/>
      <c r="H11" s="284" t="s">
        <v>1394</v>
      </c>
      <c r="I11" s="229">
        <v>1</v>
      </c>
      <c r="J11" s="314">
        <v>1</v>
      </c>
      <c r="K11" s="157">
        <v>0.8</v>
      </c>
      <c r="L11" s="305"/>
      <c r="M11" s="127">
        <f>IF(I11=1,K11,IF(I11=2,K11/J11,IF(I11=3,K11*L11,0)))</f>
        <v>0.8</v>
      </c>
      <c r="N11" s="3">
        <v>3</v>
      </c>
      <c r="O11" s="30">
        <v>1</v>
      </c>
      <c r="P11" s="1531">
        <f>IF(N11=1,0,VLOOKUP(N11,Rebanho!$AN$45:$AV$72,4)*O11)</f>
        <v>793.33333333333337</v>
      </c>
      <c r="Q11" s="1532">
        <f>VLOOKUP(N11,Rebanho!$AN$45:$AV$72,7)*O11</f>
        <v>170566.66666666669</v>
      </c>
      <c r="R11" s="3">
        <v>1</v>
      </c>
      <c r="S11" s="20"/>
      <c r="T11" s="94">
        <f>VLOOKUP(R11,'Mão-de-obra'!$CJ$10:$CL$29,3)</f>
        <v>0</v>
      </c>
      <c r="U11" s="94">
        <f>T11*S11</f>
        <v>0</v>
      </c>
      <c r="V11" s="127">
        <f>IF(I11=1,M11*P11,IF(I11=2,M11*Q11*L11,IF(I11=3,M11,0)))</f>
        <v>634.66666666666674</v>
      </c>
      <c r="W11" s="106">
        <f>U11+V11</f>
        <v>634.66666666666674</v>
      </c>
      <c r="X11" s="93">
        <v>1</v>
      </c>
      <c r="Y11" s="93">
        <v>1</v>
      </c>
      <c r="Z11" s="127">
        <f t="shared" si="1"/>
        <v>0.8</v>
      </c>
      <c r="AE11" s="1160" t="str">
        <f>Rebanho!C53</f>
        <v>Boi gordo</v>
      </c>
      <c r="AF11" s="1195">
        <f>IF(Rebanho!E53&gt;0,1,0)</f>
        <v>1</v>
      </c>
      <c r="AG11" s="1193">
        <f>Rebanho!E53</f>
        <v>768.45722074074081</v>
      </c>
      <c r="AH11" s="1336">
        <f>Rebanho!AS50</f>
        <v>192.1143051851852</v>
      </c>
      <c r="AI11" s="1178">
        <f>((SUMIFS($Z$7:$Z$110,$E$7:$E$110,"=2",$N$7:$N$110,"=6")+SUMIFS($Z$7:$Z$110,$E$7:$E$110,"=2",$N$7:$N$110,"=19")))*($AF$11)</f>
        <v>0</v>
      </c>
      <c r="AJ11" s="1178">
        <f>((SUMIFS($Z$7:$Z$110,$E$7:$E$110,"=3",$N$7:$N$110,"=6")+SUMIFS($Z$7:$Z$110,$E$7:$E$110,"=3",$N$7:$N$110,"=19")))*($AF$11)</f>
        <v>0</v>
      </c>
      <c r="AK11" s="1178">
        <f>((SUMIFS($Z$7:$Z$110,$E$7:$E$110,"=4",$N$7:$N$110,"=6")+SUMIFS($Z$7:$Z$110,$E$7:$E$110,"=4",$N$7:$N$110,"=19")))*($AF$11)</f>
        <v>0</v>
      </c>
      <c r="AL11" s="1178">
        <f>((SUMIFS($Z$7:$Z$110,$E$7:$E$110,"=5",$N$7:$N$110,"=6")+SUMIFS($Z$7:$Z$110,$E$7:$E$110,"=5",$N$7:$N$110,"=19")))*($AF$11)</f>
        <v>0</v>
      </c>
      <c r="AM11" s="1178">
        <f>((SUMIFS($Z$7:$Z$110,$E$7:$E$110,"=6",$N$7:$N$110,"=6")+SUMIFS($Z$7:$Z$110,$E$7:$E$110,"=6",$N$7:$N$110,"=19")))*($AF$11)</f>
        <v>0</v>
      </c>
      <c r="AN11" s="1178">
        <f>((SUMIFS($Z$7:$Z$110,$E$7:$E$110,"=7",$N$7:$N$110,"=6")+SUMIFS($Z$7:$Z$110,$E$7:$E$110,"=7",$N$7:$N$110,"=19")))*($AF$11)</f>
        <v>0</v>
      </c>
      <c r="AO11" s="1208">
        <f>((SUMIFS($Z$7:$Z$110,$E$7:$E$110,"=8",$N$7:$N$110,"=6")+SUMIFS($Z$7:$Z$110,$E$7:$E$110,"=8",$N$7:$N$110,"=19")))*($AF$11)</f>
        <v>0</v>
      </c>
      <c r="AP11" s="1208">
        <f t="shared" si="3"/>
        <v>0</v>
      </c>
      <c r="AQ11" s="1184">
        <f t="shared" si="2"/>
        <v>0</v>
      </c>
      <c r="AW11" s="3" t="s">
        <v>498</v>
      </c>
      <c r="AX11" s="94">
        <f>IF($E7=6,$V7,0)</f>
        <v>0</v>
      </c>
      <c r="AY11" s="94">
        <f>IF($E8=6,$V8,0)</f>
        <v>0</v>
      </c>
      <c r="AZ11" s="94">
        <f>IF($E9=6,$V9,0)</f>
        <v>0</v>
      </c>
      <c r="BA11" s="94">
        <f>IF($E10=6,$V10,0)</f>
        <v>0</v>
      </c>
      <c r="BB11" s="94">
        <f>IF($E11=6,$V11,0)</f>
        <v>0</v>
      </c>
      <c r="BC11" s="200">
        <f t="shared" si="0"/>
        <v>0</v>
      </c>
      <c r="CF11" s="93">
        <v>6</v>
      </c>
      <c r="CG11" s="316" t="str">
        <f>IF($E$7=2,Dados!$AE$19,IF($E$7=3,Dados!$AG$19,IF($E$7=4,Dados!$AI$19,IF($E$7=5,Dados!$AK$19,IF($E$7=6,Dados!$AM$19,IF($E$7=7,Dados!$AO$19,IF($E$7=8,Dados!$AS$19,0)))))))</f>
        <v>IBR/BVD</v>
      </c>
      <c r="CH11" s="304" t="str">
        <f>IF($E$7=2,Dados!$AF$19,IF($E$7=3,Dados!$AH$19,IF($E$7=4,Dados!$AJ$19,IF($E$7=5,Dados!$AL$19,IF($E$7=6,Dados!$AN$19,IF($E$7=7,Dados!$AP$19,IF($E$7=8,Dados!$AT$19,0)))))))</f>
        <v>dose</v>
      </c>
      <c r="CI11" s="316" t="str">
        <f>IF($E$8=2,Dados!$AE$19,IF($E$8=3,Dados!$AG$19,IF($E$8=4,Dados!$AI$19,IF($E$8=5,Dados!$AK$19,IF($E$8=6,Dados!$AM$19,IF($E$8=7,Dados!$AO$19,IF($E$8=8,Dados!$AS$19,0)))))))</f>
        <v>IBR/BVD</v>
      </c>
      <c r="CJ11" s="304" t="str">
        <f>IF($E$8=2,Dados!$AF$19,IF($E$8=3,Dados!$AH$19,IF($E$8=4,Dados!$AJ$19,IF($E$8=5,Dados!$AL$19,IF($E$8=6,Dados!$AN$19,IF($E$8=7,Dados!$AP$19,IF($E$8=8,Dados!$AT$19,0)))))))</f>
        <v>dose</v>
      </c>
      <c r="CK11" s="316" t="str">
        <f>IF($E$9=2,Dados!$AE$19,IF($E$9=3,Dados!$AG$19,IF($E$9=4,Dados!$AI$19,IF($E$9=5,Dados!$AK$19,IF($E$9=6,Dados!$AM$19,IF($E$9=7,Dados!$AO$19,IF($E$9=8,Dados!$AS$19,0)))))))</f>
        <v>IBR/BVD</v>
      </c>
      <c r="CL11" s="304" t="str">
        <f>IF($E$9=2,Dados!$AF$19,IF($E$9=3,Dados!$AH$19,IF($E$9=4,Dados!$AJ$19,IF($E$9=5,Dados!$AL$19,IF($E$9=6,Dados!$AN$19,IF($E$9=7,Dados!$AP$19,IF($E$9=8,Dados!$AT$19,0)))))))</f>
        <v>dose</v>
      </c>
      <c r="CM11" s="316" t="str">
        <f>IF($E$10=2,Dados!$AE$19,IF($E$10=3,Dados!$AG$19,IF($E$10=4,Dados!$AI$19,IF($E$10=5,Dados!$AK$19,IF($E$10=6,Dados!$AM$19,IF($E$10=7,Dados!$AO$19,IF($E$10=8,Dados!$AS$19,0)))))))</f>
        <v>IBR/BVD</v>
      </c>
      <c r="CN11" s="304" t="str">
        <f>IF($E$10=2,Dados!$AF$19,IF($E$10=3,Dados!$AH$19,IF($E$10=4,Dados!$AJ$19,IF($E$10=5,Dados!$AL$19,IF($E$10=6,Dados!$AN$19,IF($E$10=7,Dados!$AP$19,IF($E$10=8,Dados!$AT$19,0)))))))</f>
        <v>dose</v>
      </c>
      <c r="CO11" s="316" t="str">
        <f>IF($E$11=2,Dados!$AE$19,IF($E$11=3,Dados!$AG$19,IF($E$11=4,Dados!$AI$19,IF($E$11=5,Dados!$AK$19,IF($E$11=6,Dados!$AM$19,IF($E$11=7,Dados!$AO$19,IF($E$11=8,Dados!$AS$19,0)))))))</f>
        <v>IBR/BVD</v>
      </c>
      <c r="CP11" s="304" t="str">
        <f>IF($E$11=2,Dados!$AF$19,IF($E$11=3,Dados!$AH$19,IF($E$11=4,Dados!$AJ$19,IF($E$11=5,Dados!$AL$19,IF($E$11=6,Dados!$AN$19,IF($E$11=7,Dados!$AP$19,IF($E$11=8,Dados!$AT$19,0)))))))</f>
        <v>dose</v>
      </c>
      <c r="CR11" s="316" t="str">
        <f>IF($E$16=2,Dados!$AE$19,IF($E$16=3,Dados!$AG$19,IF($E$16=4,Dados!$AI$19,IF($E$16=5,Dados!$AK$19,IF($E$16=6,Dados!$AM$19,IF($E$16=7,Dados!$AO$19,IF($E$16=8,Dados!$AS$19,0)))))))</f>
        <v>Carrapaticida</v>
      </c>
      <c r="CS11" s="304" t="str">
        <f>IF($E$16=2,Dados!$AF$19,IF($E$16=3,Dados!$AH$19,IF($E$16=4,Dados!$AJ$19,IF($E$16=5,Dados!$AL$19,IF($E$16=6,Dados!$AN$19,IF($E$16=7,Dados!$AP$19,IF($E$16=8,Dados!$AT$19,0)))))))</f>
        <v>frasco</v>
      </c>
      <c r="CT11" s="316" t="str">
        <f>IF($E$17=2,Dados!$AE$19,IF($E$17=3,Dados!$AG$19,IF($E$17=4,Dados!$AI$19,IF($E$17=5,Dados!$AK$19,IF($E$17=6,Dados!$AM$19,IF($E$17=7,Dados!$AO$19,IF($E$17=8,Dados!$AS$19,0)))))))</f>
        <v>Carrapaticida</v>
      </c>
      <c r="CU11" s="304" t="str">
        <f>IF($E$17=2,Dados!$AF$19,IF($E$17=3,Dados!$AH$19,IF($E$17=4,Dados!$AJ$19,IF($E$17=5,Dados!$AL$19,IF($E$17=6,Dados!$AN$19,IF($E$17=7,Dados!$AP$19,IF($E$17=8,Dados!$AT$19,0)))))))</f>
        <v>frasco</v>
      </c>
      <c r="CV11" s="316" t="str">
        <f>IF($E$18=2,Dados!$AE$19,IF($E$18=3,Dados!$AG$19,IF($E$18=4,Dados!$AI$19,IF($E$18=5,Dados!$AK$19,IF($E$18=6,Dados!$AM$19,IF($E$18=7,Dados!$AO$19,IF($E$18=8,Dados!$AS$19,0)))))))</f>
        <v>Carrapaticida</v>
      </c>
      <c r="CW11" s="304" t="str">
        <f>IF($E$18=2,Dados!$AF$19,IF($E$18=3,Dados!$AH$19,IF($E$18=4,Dados!$AJ$19,IF($E$18=5,Dados!$AL$19,IF($E$18=6,Dados!$AN$19,IF($E$18=7,Dados!$AP$19,IF($E$18=8,Dados!$AT$19,0)))))))</f>
        <v>frasco</v>
      </c>
      <c r="CX11" s="316" t="str">
        <f>IF($E$19=2,Dados!$AE$19,IF($E$19=3,Dados!$AG$19,IF($E$19=4,Dados!$AI$19,IF($E$19=5,Dados!$AK$19,IF($E$19=6,Dados!$AM$19,IF($E$19=7,Dados!$AO$19,IF($E$19=8,Dados!$AS$19,0)))))))</f>
        <v>IBR/BVD</v>
      </c>
      <c r="CY11" s="304" t="str">
        <f>IF($E$19=2,Dados!$AF$19,IF($E$19=3,Dados!$AH$19,IF($E$19=4,Dados!$AJ$19,IF($E$19=5,Dados!$AL$19,IF($E$19=6,Dados!$AN$19,IF($E$19=7,Dados!$AP$19,IF($E$19=8,Dados!$AT$19,0)))))))</f>
        <v>dose</v>
      </c>
      <c r="CZ11" s="316">
        <f>IF($E$20=2,Dados!$AE$19,IF($E$20=3,Dados!$AG$19,IF($E$20=4,Dados!$AI$19,IF($E$20=5,Dados!$AK$19,IF($E$20=6,Dados!$AM$19,IF($E$20=7,Dados!$AO$19,IF($E$20=8,Dados!$AS$19,0)))))))</f>
        <v>0</v>
      </c>
      <c r="DA11" s="304">
        <f>IF($E$20=2,Dados!$AF$19,IF($E$20=3,Dados!$AH$19,IF($E$20=4,Dados!$AJ$19,IF($E$20=5,Dados!$AL$19,IF($E$20=6,Dados!$AN$19,IF($E$20=7,Dados!$AP$19,IF($E$20=8,Dados!$AT$19,0)))))))</f>
        <v>0</v>
      </c>
      <c r="DC11" s="316" t="str">
        <f>IF($E$25=2,Dados!$AE$19,IF($E$25=3,Dados!$AG$19,IF($E$25=4,Dados!$AI$19,IF($E$25=5,Dados!$AK$19,IF($E$25=6,Dados!$AM$19,IF($E$25=7,Dados!$AO$19,IF($E$25=8,Dados!$AS$19,0)))))))</f>
        <v>Antimastítico - Vaca seca</v>
      </c>
      <c r="DD11" s="304" t="str">
        <f>IF($E$25=2,Dados!$AF$19,IF($E$25=3,Dados!$AH$19,IF($E$25=4,Dados!$AJ$19,IF($E$25=5,Dados!$AL$19,IF($E$25=6,Dados!$AN$19,IF($E$25=7,Dados!$AP$19,IF($E$25=8,Dados!$AT$19,0)))))))</f>
        <v>frasco</v>
      </c>
      <c r="DE11" s="316" t="str">
        <f>IF($E$26=2,Dados!$AE$19,IF($E$26=3,Dados!$AG$19,IF($E$26=4,Dados!$AI$19,IF($E$26=5,Dados!$AK$19,IF($E$26=6,Dados!$AM$19,IF($E$26=7,Dados!$AO$19,IF($E$26=8,Dados!$AS$19,0)))))))</f>
        <v>Antitóxico</v>
      </c>
      <c r="DF11" s="304" t="str">
        <f>IF($E$26=2,Dados!$AF$19,IF($E$26=3,Dados!$AH$19,IF($E$26=4,Dados!$AJ$19,IF($E$26=5,Dados!$AL$19,IF($E$26=6,Dados!$AN$19,IF($E$26=7,Dados!$AP$19,IF($E$26=8,Dados!$AT$19,0)))))))</f>
        <v>Frasco</v>
      </c>
      <c r="DG11" s="316">
        <f>IF($E$27=2,Dados!$AE$19,IF($E$27=3,Dados!$AG$19,IF($E$27=4,Dados!$AI$19,IF($E$27=5,Dados!$AK$19,IF($E$27=6,Dados!$AM$19,IF($E$27=7,Dados!$AO$19,IF($E$27=8,Dados!$AS$19,0)))))))</f>
        <v>0</v>
      </c>
      <c r="DH11" s="304">
        <f>IF($E$27=2,Dados!$AF$19,IF($E$27=3,Dados!$AH$19,IF($E$27=4,Dados!$AJ$19,IF($E$27=5,Dados!$AL$19,IF($E$27=6,Dados!$AN$19,IF($E$27=7,Dados!$AP$19,IF($E$27=8,Dados!$AT$19,0)))))))</f>
        <v>0</v>
      </c>
      <c r="DI11" s="316">
        <f>IF($E$28=2,Dados!$AE$19,IF($E$28=3,Dados!$AG$19,IF($E$28=4,Dados!$AI$19,IF($E$28=5,Dados!$AK$19,IF($E$28=6,Dados!$AM$19,IF($E$28=7,Dados!$AO$19,IF($E$28=8,Dados!$AS$19,0)))))))</f>
        <v>0</v>
      </c>
      <c r="DJ11" s="304">
        <f>IF($E$28=2,Dados!$AF$19,IF($E$28=3,Dados!$AH$19,IF($E$28=4,Dados!$AJ$19,IF($E$28=5,Dados!$AL$19,IF($E$28=6,Dados!$AN$19,IF($E$28=7,Dados!$AP$19,IF($E$28=8,Dados!$AT$19,0)))))))</f>
        <v>0</v>
      </c>
      <c r="DK11" s="316">
        <f>IF($E$29=2,Dados!$AE$19,IF($E$29=3,Dados!$AG$19,IF($E$29=4,Dados!$AI$19,IF($E$29=5,Dados!$AK$19,IF($E$29=6,Dados!$AM$19,IF($E$29=7,Dados!$AO$19,IF($E$29=8,Dados!$AS$19,0)))))))</f>
        <v>0</v>
      </c>
      <c r="DL11" s="304">
        <f>IF($E$29=2,Dados!$AF$19,IF($E$29=3,Dados!$AH$19,IF($E$29=4,Dados!$AJ$19,IF($E$29=5,Dados!$AL$19,IF($E$29=6,Dados!$AN$19,IF($E$29=7,Dados!$AP$19,IF($E$29=8,Dados!$AT$19,0)))))))</f>
        <v>0</v>
      </c>
      <c r="DN11" s="316" t="str">
        <f>IF($E$34=2,Dados!$AE$19,IF($E$34=3,Dados!$AG$19,IF($E$34=4,Dados!$AI$19,IF($E$34=5,Dados!$AK$19,IF($E$34=6,Dados!$AM$19,IF($E$34=7,Dados!$AO$19,IF($E$34=8,Dados!$AS$19,0)))))))</f>
        <v>Carrapaticida</v>
      </c>
      <c r="DO11" s="304" t="str">
        <f>IF($E$34=2,Dados!$AF$19,IF($E$34=3,Dados!$AH$19,IF($E$34=4,Dados!$AJ$19,IF($E$34=5,Dados!$AL$19,IF($E$34=6,Dados!$AN$19,IF($E$34=7,Dados!$AP$19,IF($E$34=8,Dados!$AT$19,0)))))))</f>
        <v>frasco</v>
      </c>
      <c r="DP11" s="316">
        <f>IF($E$35=2,Dados!$AE$19,IF($E$35=3,Dados!$AG$19,IF($E$35=4,Dados!$AI$19,IF($E$35=5,Dados!$AK$19,IF($E$35=6,Dados!$AM$19,IF($E$35=7,Dados!$AO$19,IF($E$35=8,Dados!$AS$19,0)))))))</f>
        <v>0</v>
      </c>
      <c r="DQ11" s="304">
        <f>IF($E$35=2,Dados!$AF$19,IF($E$35=3,Dados!$AH$19,IF($E$35=4,Dados!$AJ$19,IF($E$35=5,Dados!$AL$19,IF($E$35=6,Dados!$AN$19,IF($E$35=7,Dados!$AP$19,IF($E$35=8,Dados!$AT$19,0)))))))</f>
        <v>0</v>
      </c>
      <c r="DR11" s="316">
        <f>IF($E$36=2,Dados!$AE$19,IF($E$36=3,Dados!$AG$19,IF($E$36=4,Dados!$AI$19,IF($E$36=5,Dados!$AK$19,IF($E$36=6,Dados!$AM$19,IF($E$36=7,Dados!$AO$19,IF($E$36=8,Dados!$AS$19,0)))))))</f>
        <v>0</v>
      </c>
      <c r="DS11" s="304">
        <f>IF($E$36=2,Dados!$AF$19,IF($E$36=3,Dados!$AH$19,IF($E$36=4,Dados!$AJ$19,IF($E$36=5,Dados!$AL$19,IF($E$36=6,Dados!$AN$19,IF($E$36=7,Dados!$AP$19,IF($E$36=8,Dados!$AT$19,0)))))))</f>
        <v>0</v>
      </c>
      <c r="DT11" s="316">
        <f>IF($E$37=2,Dados!$AE$19,IF($E$37=3,Dados!$AG$19,IF($E$37=4,Dados!$AI$19,IF($E$37=5,Dados!$AK$19,IF($E$37=6,Dados!$AM$19,IF($E$37=7,Dados!$AO$19,IF($E$37=8,Dados!$AS$19,0)))))))</f>
        <v>0</v>
      </c>
      <c r="DU11" s="304">
        <f>IF($E$37=2,Dados!$AF$19,IF($E$37=3,Dados!$AH$19,IF($E$37=4,Dados!$AJ$19,IF($E$37=5,Dados!$AL$19,IF($E$37=6,Dados!$AN$19,IF($E$37=7,Dados!$AP$19,IF($E$37=8,Dados!$AT$19,0)))))))</f>
        <v>0</v>
      </c>
      <c r="DV11" s="316">
        <f>IF($E$38=2,Dados!$AE$19,IF($E$38=3,Dados!$AG$19,IF($E$38=4,Dados!$AI$19,IF($E$38=5,Dados!$AK$19,IF($E$38=6,Dados!$AM$19,IF($E$38=7,Dados!$AO$19,IF($E$38=8,Dados!$AS$19,0)))))))</f>
        <v>0</v>
      </c>
      <c r="DW11" s="304">
        <f>IF($E$38=2,Dados!$AF$19,IF($E$38=3,Dados!$AH$19,IF($E$38=4,Dados!$AJ$19,IF($E$38=5,Dados!$AL$19,IF($E$38=6,Dados!$AN$19,IF($E$38=7,Dados!$AP$19,IF($E$38=8,Dados!$AT$19,0)))))))</f>
        <v>0</v>
      </c>
      <c r="DY11" s="316">
        <f>IF($E$43=2,Dados!$AE$19,IF($E$43=3,Dados!$AG$19,IF($E$43=4,Dados!$AI$19,IF($E$43=5,Dados!$AK$19,IF($E$43=6,Dados!$AM$19,IF($E$43=7,Dados!$AO$19,IF($E$43=8,Dados!$AS$19,0)))))))</f>
        <v>0</v>
      </c>
      <c r="DZ11" s="304">
        <f>IF($E$43=2,Dados!$AF$19,IF($E$43=3,Dados!$AH$19,IF($E$43=4,Dados!$AJ$19,IF($E$43=5,Dados!$AL$19,IF($E$43=6,Dados!$AN$19,IF($E$43=7,Dados!$AP$19,IF($E$43=8,Dados!$AT$19,0)))))))</f>
        <v>0</v>
      </c>
      <c r="EA11" s="316">
        <f>IF($E$44=2,Dados!$AE$19,IF($E$44=3,Dados!$AG$19,IF($E$44=4,Dados!$AI$19,IF($E$44=5,Dados!$AK$19,IF($E$44=6,Dados!$AM$19,IF($E$44=7,Dados!$AO$19,IF($E$44=8,Dados!$AS$19,0)))))))</f>
        <v>0</v>
      </c>
      <c r="EB11" s="304">
        <f>IF($E$44=2,Dados!$AF$19,IF($E$44=3,Dados!$AH$19,IF($E$44=4,Dados!$AJ$19,IF($E$44=5,Dados!$AL$19,IF($E$44=6,Dados!$AN$19,IF($E$44=7,Dados!$AP$19,IF($E$44=8,Dados!$AT$19,0)))))))</f>
        <v>0</v>
      </c>
      <c r="EC11" s="316">
        <f>IF($E$45=2,Dados!$AE$19,IF($E$45=3,Dados!$AG$19,IF($E$45=4,Dados!$AI$19,IF($E$45=5,Dados!$AK$19,IF($E$45=6,Dados!$AM$19,IF($E$45=7,Dados!$AO$19,IF($E$45=8,Dados!$AS$19,0)))))))</f>
        <v>0</v>
      </c>
      <c r="ED11" s="304">
        <f>IF($E$45=2,Dados!$AF$19,IF($E$45=3,Dados!$AH$19,IF($E$45=4,Dados!$AJ$19,IF($E$45=5,Dados!$AL$19,IF($E$45=6,Dados!$AN$19,IF($E$45=7,Dados!$AP$19,IF($E$45=8,Dados!$AT$19,0)))))))</f>
        <v>0</v>
      </c>
      <c r="EE11" s="316">
        <f>IF($E$46=2,Dados!$AE$19,IF($E$46=3,Dados!$AG$19,IF($E$46=4,Dados!$AI$19,IF($E$46=5,Dados!$AK$19,IF($E$46=6,Dados!$AM$19,IF($E$46=7,Dados!$AO$19,IF($E$46=8,Dados!$AS$19,0)))))))</f>
        <v>0</v>
      </c>
      <c r="EF11" s="304">
        <f>IF($E$46=2,Dados!$AF$19,IF($E$46=3,Dados!$AH$19,IF($E$46=4,Dados!$AJ$19,IF($E$46=5,Dados!$AL$19,IF($E$46=6,Dados!$AN$19,IF($E$46=7,Dados!$AP$19,IF($E$46=8,Dados!$AT$19,0)))))))</f>
        <v>0</v>
      </c>
      <c r="EG11" s="316">
        <f>IF($E$47=2,Dados!$AE$19,IF($E$47=3,Dados!$AG$19,IF($E$47=4,Dados!$AI$19,IF($E$47=5,Dados!$AK$19,IF($E$47=6,Dados!$AM$19,IF($E$47=7,Dados!$AO$19,IF($E$47=8,Dados!$AS$19,0)))))))</f>
        <v>0</v>
      </c>
      <c r="EH11" s="304">
        <f>IF($E$47=2,Dados!$AF$19,IF($E$47=3,Dados!$AH$19,IF($E$47=4,Dados!$AJ$19,IF($E$47=5,Dados!$AL$19,IF($E$47=6,Dados!$AN$19,IF($E$47=7,Dados!$AP$19,IF($E$47=8,Dados!$AT$19,0)))))))</f>
        <v>0</v>
      </c>
      <c r="EJ11" s="316">
        <f>IF($E$52=2,Dados!$AE$19,IF($E$52=3,Dados!$AG$19,IF($E$52=4,Dados!$AI$19,IF($E$52=5,Dados!$AK$19,IF($E$52=6,Dados!$AM$19,IF($E$52=7,Dados!$AO$19,IF($E$52=8,Dados!$AS$19,0)))))))</f>
        <v>0</v>
      </c>
      <c r="EK11" s="304">
        <f>IF($E$52=2,Dados!$AF$19,IF($E$52=3,Dados!$AH$19,IF($E$52=4,Dados!$AJ$19,IF($E$52=5,Dados!$AL$19,IF($E$52=6,Dados!$AN$19,IF($E$52=7,Dados!$AP$19,IF($E$52=8,Dados!$AT$19,0)))))))</f>
        <v>0</v>
      </c>
      <c r="EL11" s="316">
        <f>IF($E$53=2,Dados!$AE$19,IF($E$53=3,Dados!$AG$19,IF($E$53=4,Dados!$AI$19,IF($E$53=5,Dados!$AK$19,IF($E$53=6,Dados!$AM$19,IF($E$53=7,Dados!$AO$19,IF($E$53=8,Dados!$AS$19,0)))))))</f>
        <v>0</v>
      </c>
      <c r="EM11" s="304">
        <f>IF($E$53=2,Dados!$AF$19,IF($E$53=3,Dados!$AH$19,IF($E$53=4,Dados!$AJ$19,IF($E$53=5,Dados!$AL$19,IF($E$53=6,Dados!$AN$19,IF($E$53=7,Dados!$AP$19,IF($E$53=8,Dados!$AT$19,0)))))))</f>
        <v>0</v>
      </c>
      <c r="EN11" s="316">
        <f>IF($E$54=2,Dados!$AE$19,IF($E$54=3,Dados!$AG$19,IF($E$54=4,Dados!$AI$19,IF($E$54=5,Dados!$AK$19,IF($E$54=6,Dados!$AM$19,IF($E$54=7,Dados!$AO$19,IF($E$54=8,Dados!$AS$19,0)))))))</f>
        <v>0</v>
      </c>
      <c r="EO11" s="304">
        <f>IF($E$54=2,Dados!$AF$19,IF($E$54=3,Dados!$AH$19,IF($E$54=4,Dados!$AJ$19,IF($E$54=5,Dados!$AL$19,IF($E$54=6,Dados!$AN$19,IF($E$54=7,Dados!$AP$19,IF($E$54=8,Dados!$AT$19,0)))))))</f>
        <v>0</v>
      </c>
      <c r="EP11" s="316">
        <f>IF($E$55=2,Dados!$AE$19,IF($E$55=3,Dados!$AG$19,IF($E$55=4,Dados!$AI$19,IF($E$55=5,Dados!$AK$19,IF($E$55=6,Dados!$AM$19,IF($E$55=7,Dados!$AO$19,IF($E$55=8,Dados!$AS$19,0)))))))</f>
        <v>0</v>
      </c>
      <c r="EQ11" s="304">
        <f>IF($E$55=2,Dados!$AF$19,IF($E$55=3,Dados!$AH$19,IF($E$55=4,Dados!$AJ$19,IF($E$55=5,Dados!$AL$19,IF($E$55=6,Dados!$AN$19,IF($E$55=7,Dados!$AP$19,IF($E$55=8,Dados!$AT$19,0)))))))</f>
        <v>0</v>
      </c>
      <c r="ER11" s="316">
        <f>IF($E$56=2,Dados!$AE$19,IF($E$56=3,Dados!$AG$19,IF($E$56=4,Dados!$AI$19,IF($E$56=5,Dados!$AK$19,IF($E$56=6,Dados!$AM$19,IF($E$56=7,Dados!$AO$19,IF($E$56=8,Dados!$AS$19,0)))))))</f>
        <v>0</v>
      </c>
      <c r="ES11" s="304">
        <f>IF($E$56=2,Dados!$AF$19,IF($E$56=3,Dados!$AH$19,IF($E$56=4,Dados!$AJ$19,IF($E$56=5,Dados!$AL$19,IF($E$56=6,Dados!$AN$19,IF($E$56=7,Dados!$AP$19,IF($E$56=8,Dados!$AT$19,0)))))))</f>
        <v>0</v>
      </c>
      <c r="EU11" s="316">
        <f>IF($E$61=2,Dados!$AE$19,IF($E$61=3,Dados!$AG$19,IF($E$61=4,Dados!$AI$19,IF($E$61=5,Dados!$AK$19,IF($E$61=6,Dados!$AM$19,IF($E$61=7,Dados!$AO$19,IF($E$61=8,Dados!$AS$19,0)))))))</f>
        <v>0</v>
      </c>
      <c r="EV11" s="304">
        <f>IF($E$61=2,Dados!$AF$19,IF($E$61=3,Dados!$AH$19,IF($E$61=4,Dados!$AJ$19,IF($E$61=5,Dados!$AL$19,IF($E$61=6,Dados!$AN$19,IF($E$61=7,Dados!$AP$19,IF($E$61=8,Dados!$AT$19,0)))))))</f>
        <v>0</v>
      </c>
      <c r="EW11" s="316">
        <f>IF($E$62=2,Dados!$AE$19,IF($E$62=3,Dados!$AG$19,IF($E$62=4,Dados!$AI$19,IF($E$62=5,Dados!$AK$19,IF($E$62=6,Dados!$AM$19,IF($E$62=7,Dados!$AO$19,IF($E$62=8,Dados!$AS$19,0)))))))</f>
        <v>0</v>
      </c>
      <c r="EX11" s="304">
        <f>IF($E$62=2,Dados!$AF$19,IF($E$62=3,Dados!$AH$19,IF($E$62=4,Dados!$AJ$19,IF($E$62=5,Dados!$AL$19,IF($E$62=6,Dados!$AN$19,IF($E$62=7,Dados!$AP$19,IF($E$62=8,Dados!$AT$19,0)))))))</f>
        <v>0</v>
      </c>
      <c r="EY11" s="316">
        <f>IF($E$63=2,Dados!$AE$19,IF($E$63=3,Dados!$AG$19,IF($E$63=4,Dados!$AI$19,IF($E$63=5,Dados!$AK$19,IF($E$63=6,Dados!$AM$19,IF($E$63=7,Dados!$AO$19,IF($E$63=8,Dados!$AS$19,0)))))))</f>
        <v>0</v>
      </c>
      <c r="EZ11" s="304">
        <f>IF($E$63=2,Dados!$AF$19,IF($E$63=3,Dados!$AH$19,IF($E$63=4,Dados!$AJ$19,IF($E$63=5,Dados!$AL$19,IF($E$63=6,Dados!$AN$19,IF($E$63=7,Dados!$AP$19,IF($E$63=8,Dados!$AT$19,0)))))))</f>
        <v>0</v>
      </c>
      <c r="FA11" s="316">
        <f>IF($E$64=2,Dados!$AE$19,IF($E$64=3,Dados!$AG$19,IF($E$64=4,Dados!$AI$19,IF($E$64=5,Dados!$AK$19,IF($E$64=6,Dados!$AM$19,IF($E$64=7,Dados!$AO$19,IF($E$64=8,Dados!$AS$19,0)))))))</f>
        <v>0</v>
      </c>
      <c r="FB11" s="304">
        <f>IF($E$64=2,Dados!$AF$19,IF($E$64=3,Dados!$AH$19,IF($E$64=4,Dados!$AJ$19,IF($E$64=5,Dados!$AL$19,IF($E$64=6,Dados!$AN$19,IF($E$64=7,Dados!$AP$19,IF($E$64=8,Dados!$AT$19,0)))))))</f>
        <v>0</v>
      </c>
      <c r="FC11" s="316">
        <f>IF($E$65=2,Dados!$AE$19,IF($E$65=3,Dados!$AG$19,IF($E$65=4,Dados!$AI$19,IF($E$65=5,Dados!$AK$19,IF($E$65=6,Dados!$AM$19,IF($E$65=7,Dados!$AO$19,IF($E$65=8,Dados!$AS$19,0)))))))</f>
        <v>0</v>
      </c>
      <c r="FD11" s="304">
        <f>IF($E$65=2,Dados!$AF$19,IF($E$65=3,Dados!$AH$19,IF($E$65=4,Dados!$AJ$19,IF($E$65=5,Dados!$AL$19,IF($E$65=6,Dados!$AN$19,IF($E$65=7,Dados!$AP$19,IF($E$65=8,Dados!$AT$19,0)))))))</f>
        <v>0</v>
      </c>
      <c r="FF11" s="316">
        <f>IF($E$70=2,Dados!$AE$19,IF($E$70=3,Dados!$AG$19,IF($E$70=4,Dados!$AI$19,IF($E$70=5,Dados!$AK$19,IF($E$70=6,Dados!$AM$19,IF($E$70=7,Dados!$AO$19,IF($E$70=8,Dados!$AS$19,0)))))))</f>
        <v>0</v>
      </c>
      <c r="FG11" s="304">
        <f>IF($E$70=2,Dados!$AF$19,IF($E$70=3,Dados!$AH$19,IF($E$70=4,Dados!$AJ$19,IF($E$70=5,Dados!$AL$19,IF($E$70=6,Dados!$AN$19,IF($E$70=7,Dados!$AP$19,IF($E$70=8,Dados!$AT$19,0)))))))</f>
        <v>0</v>
      </c>
      <c r="FH11" s="316">
        <f>IF($E$71=2,Dados!$AE$19,IF($E$71=3,Dados!$AG$19,IF($E$71=4,Dados!$AI$19,IF($E$71=5,Dados!$AK$19,IF($E$71=6,Dados!$AM$19,IF($E$71=7,Dados!$AO$19,IF($E$71=8,Dados!$AS$19,0)))))))</f>
        <v>0</v>
      </c>
      <c r="FI11" s="304">
        <f>IF($E$71=2,Dados!$AF$19,IF($E$71=3,Dados!$AH$19,IF($E$71=4,Dados!$AJ$19,IF($E$71=5,Dados!$AL$19,IF($E$71=6,Dados!$AN$19,IF($E$71=7,Dados!$AP$19,IF($E$71=8,Dados!$AT$19,0)))))))</f>
        <v>0</v>
      </c>
      <c r="FJ11" s="316">
        <f>IF($E$72=2,Dados!$AE$19,IF($E$72=3,Dados!$AG$19,IF($E$72=4,Dados!$AI$19,IF($E$72=5,Dados!$AK$19,IF($E$72=6,Dados!$AM$19,IF($E$72=7,Dados!$AO$19,IF($E$72=8,Dados!$AS$19,0)))))))</f>
        <v>0</v>
      </c>
      <c r="FK11" s="304">
        <f>IF($E$72=2,Dados!$AF$19,IF($E$72=3,Dados!$AH$19,IF($E$72=4,Dados!$AJ$19,IF($E$72=5,Dados!$AL$19,IF($E$72=6,Dados!$AN$19,IF($E$72=7,Dados!$AP$19,IF($E$72=8,Dados!$AT$19,0)))))))</f>
        <v>0</v>
      </c>
      <c r="FL11" s="316">
        <f>IF($E$73=2,Dados!$AE$19,IF($E$73=3,Dados!$AG$19,IF($E$73=4,Dados!$AI$19,IF($E$73=5,Dados!$AK$19,IF($E$73=6,Dados!$AM$19,IF($E$73=7,Dados!$AO$19,IF($E$73=8,Dados!$AS$19,0)))))))</f>
        <v>0</v>
      </c>
      <c r="FM11" s="304">
        <f>IF($E$73=2,Dados!$AF$19,IF($E$73=3,Dados!$AH$19,IF($E$73=4,Dados!$AJ$19,IF($E$73=5,Dados!$AL$19,IF($E$73=6,Dados!$AN$19,IF($E$73=7,Dados!$AP$19,IF($E$73=8,Dados!$AT$19,0)))))))</f>
        <v>0</v>
      </c>
      <c r="FN11" s="316">
        <f>IF($E$74=2,Dados!$AE$19,IF($E$74=3,Dados!$AG$19,IF($E$74=4,Dados!$AI$19,IF($E$74=5,Dados!$AK$19,IF($E$74=6,Dados!$AM$19,IF($E$74=7,Dados!$AO$19,IF($E$74=8,Dados!$AS$19,0)))))))</f>
        <v>0</v>
      </c>
      <c r="FO11" s="304">
        <f>IF($E$74=2,Dados!$AF$19,IF($E$74=3,Dados!$AH$19,IF($E$74=4,Dados!$AJ$19,IF($E$74=5,Dados!$AL$19,IF($E$74=6,Dados!$AN$19,IF($E$74=7,Dados!$AP$19,IF($E$74=8,Dados!$AT$19,0)))))))</f>
        <v>0</v>
      </c>
      <c r="FQ11" s="316">
        <f>IF($E$79=2,Dados!$AE$19,IF($E$79=3,Dados!$AG$19,IF($E$79=4,Dados!$AI$19,IF($E$79=5,Dados!$AK$19,IF($E$79=6,Dados!$AM$19,IF($E$79=7,Dados!$AO$19,IF($E$79=8,Dados!$AS$19,0)))))))</f>
        <v>0</v>
      </c>
      <c r="FR11" s="304">
        <f>IF($E$79=2,Dados!$AF$19,IF($E$79=3,Dados!$AH$19,IF($E$79=4,Dados!$AJ$19,IF($E$79=5,Dados!$AL$19,IF($E$79=6,Dados!$AN$19,IF($E$79=7,Dados!$AP$19,IF($E$79=8,Dados!$AT$19,0)))))))</f>
        <v>0</v>
      </c>
      <c r="FS11" s="316">
        <f>IF($E$80=2,Dados!$AE$19,IF($E$80=3,Dados!$AG$19,IF($E$80=4,Dados!$AI$19,IF($E$80=5,Dados!$AK$19,IF($E$80=6,Dados!$AM$19,IF($E$80=7,Dados!$AO$19,IF($E$80=8,Dados!$AS$19,0)))))))</f>
        <v>0</v>
      </c>
      <c r="FT11" s="304">
        <f>IF($E$80=2,Dados!$AF$19,IF($E$80=3,Dados!$AH$19,IF($E$80=4,Dados!$AJ$19,IF($E$80=5,Dados!$AL$19,IF($E$80=6,Dados!$AN$19,IF($E$80=7,Dados!$AP$19,IF($E$80=8,Dados!$AT$19,0)))))))</f>
        <v>0</v>
      </c>
      <c r="FU11" s="316">
        <f>IF($E$81=2,Dados!$AE$19,IF($E$81=3,Dados!$AG$19,IF($E$81=4,Dados!$AI$19,IF($E$81=5,Dados!$AK$19,IF($E$81=6,Dados!$AM$19,IF($E$81=7,Dados!$AO$19,IF($E$81=8,Dados!$AS$19,0)))))))</f>
        <v>0</v>
      </c>
      <c r="FV11" s="304">
        <f>IF($E$81=2,Dados!$AF$19,IF($E$81=3,Dados!$AH$19,IF($E$81=4,Dados!$AJ$19,IF($E$81=5,Dados!$AL$19,IF($E$81=6,Dados!$AN$19,IF($E$81=7,Dados!$AP$19,IF($E$81=8,Dados!$AT$19,0)))))))</f>
        <v>0</v>
      </c>
      <c r="FW11" s="316">
        <f>IF($E$82=2,Dados!$AE$19,IF($E$82=3,Dados!$AG$19,IF($E$82=4,Dados!$AI$19,IF($E$82=5,Dados!$AK$19,IF($E$82=6,Dados!$AM$19,IF($E$82=7,Dados!$AO$19,IF($E$82=8,Dados!$AS$19,0)))))))</f>
        <v>0</v>
      </c>
      <c r="FX11" s="304">
        <f>IF($E$82=2,Dados!$AF$19,IF($E$82=3,Dados!$AH$19,IF($E$82=4,Dados!$AJ$19,IF($E$82=5,Dados!$AL$19,IF($E$82=6,Dados!$AN$19,IF($E$82=7,Dados!$AP$19,IF($E$82=8,Dados!$AT$19,0)))))))</f>
        <v>0</v>
      </c>
      <c r="FY11" s="316">
        <f>IF($E$83=2,Dados!$AE$19,IF($E$83=3,Dados!$AG$19,IF($E$83=4,Dados!$AI$19,IF($E$83=5,Dados!$AK$19,IF($E$83=6,Dados!$AM$19,IF($E$83=7,Dados!$AO$19,IF($E$83=8,Dados!$AS$19,0)))))))</f>
        <v>0</v>
      </c>
      <c r="FZ11" s="304">
        <f>IF($E$83=2,Dados!$AF$19,IF($E$83=3,Dados!$AH$19,IF($E$83=4,Dados!$AJ$19,IF($E$83=5,Dados!$AL$19,IF($E$83=6,Dados!$AN$19,IF($E$83=7,Dados!$AP$19,IF($E$83=8,Dados!$AT$19,0)))))))</f>
        <v>0</v>
      </c>
      <c r="GB11" s="316">
        <f>IF($E$88=2,Dados!$AE$19,IF($E$88=3,Dados!$AG$19,IF($E$88=4,Dados!$AI$19,IF($E$88=5,Dados!$AK$19,IF($E$88=6,Dados!$AM$19,IF($E$88=7,Dados!$AO$19,IF($E$88=8,Dados!$AS$19,0)))))))</f>
        <v>0</v>
      </c>
      <c r="GC11" s="304">
        <f>IF($E$88=2,Dados!$AF$19,IF($E$88=3,Dados!$AH$19,IF($E$88=4,Dados!$AJ$19,IF($E$88=5,Dados!$AL$19,IF($E$88=6,Dados!$AN$19,IF($E$88=7,Dados!$AP$19,IF($E$88=8,Dados!$AT$19,0)))))))</f>
        <v>0</v>
      </c>
      <c r="GD11" s="316">
        <f>IF($E$89=2,Dados!$AE$19,IF($E$89=3,Dados!$AG$19,IF($E$89=4,Dados!$AI$19,IF($E$89=5,Dados!$AK$19,IF($E$89=6,Dados!$AM$19,IF($E$89=7,Dados!$AO$19,IF($E$89=8,Dados!$AS$19,0)))))))</f>
        <v>0</v>
      </c>
      <c r="GE11" s="304">
        <f>IF($E$89=2,Dados!$AF$19,IF($E$89=3,Dados!$AH$19,IF($E$89=4,Dados!$AJ$19,IF($E$89=5,Dados!$AL$19,IF($E$89=6,Dados!$AN$19,IF($E$89=7,Dados!$AP$19,IF($E$89=8,Dados!$AT$19,0)))))))</f>
        <v>0</v>
      </c>
      <c r="GF11" s="316">
        <f>IF($E$90=2,Dados!$AE$19,IF($E$90=3,Dados!$AG$19,IF($E$90=4,Dados!$AI$19,IF($E$90=5,Dados!$AK$19,IF($E$90=6,Dados!$AM$19,IF($E$90=7,Dados!$AO$19,IF($E$90=8,Dados!$AS$19,0)))))))</f>
        <v>0</v>
      </c>
      <c r="GG11" s="304">
        <f>IF($E$90=2,Dados!$AF$19,IF($E$90=3,Dados!$AH$19,IF($E$90=4,Dados!$AJ$19,IF($E$90=5,Dados!$AL$19,IF($E$90=6,Dados!$AN$19,IF($E$90=7,Dados!$AP$19,IF($E$90=8,Dados!$AT$19,0)))))))</f>
        <v>0</v>
      </c>
      <c r="GH11" s="316">
        <f>IF($E$91=2,Dados!$AE$19,IF($E$91=3,Dados!$AG$19,IF($E$91=4,Dados!$AI$19,IF($E$91=5,Dados!$AK$19,IF($E$91=6,Dados!$AM$19,IF($E$91=7,Dados!$AO$19,IF($E$91=8,Dados!$AS$19,0)))))))</f>
        <v>0</v>
      </c>
      <c r="GI11" s="304">
        <f>IF($E$91=2,Dados!$AF$19,IF($E$91=3,Dados!$AH$19,IF($E$91=4,Dados!$AJ$19,IF($E$91=5,Dados!$AL$19,IF($E$91=6,Dados!$AN$19,IF($E$91=7,Dados!$AP$19,IF($E$91=8,Dados!$AT$19,0)))))))</f>
        <v>0</v>
      </c>
      <c r="GJ11" s="316">
        <f>IF($E$92=2,Dados!$AE$19,IF($E$92=3,Dados!$AG$19,IF($E$92=4,Dados!$AI$19,IF($E$92=5,Dados!$AK$19,IF($E$92=6,Dados!$AM$19,IF($E$92=7,Dados!$AO$19,IF($E$92=8,Dados!$AS$19,0)))))))</f>
        <v>0</v>
      </c>
      <c r="GK11" s="304">
        <f>IF($E$92=2,Dados!$AF$19,IF($E$92=3,Dados!$AH$19,IF($E$92=4,Dados!$AJ$19,IF($E$92=5,Dados!$AL$19,IF($E$92=6,Dados!$AN$19,IF($E$92=7,Dados!$AP$19,IF($E$92=8,Dados!$AT$19,0)))))))</f>
        <v>0</v>
      </c>
      <c r="GM11" s="316">
        <f>IF($E$97=2,Dados!$AE$19,IF($E$97=3,Dados!$AG$19,IF($E$97=4,Dados!$AI$19,IF($E$97=5,Dados!$AK$19,IF($E$97=6,Dados!$AM$19,IF($E$97=7,Dados!$AO$19,IF($E$97=8,Dados!$AS$19,0)))))))</f>
        <v>0</v>
      </c>
      <c r="GN11" s="304">
        <f>IF($E$97=2,Dados!$AF$19,IF($E$97=3,Dados!$AH$19,IF($E$97=4,Dados!$AJ$19,IF($E$97=5,Dados!$AL$19,IF($E$97=6,Dados!$AN$19,IF($E$97=7,Dados!$AP$19,IF($E$97=8,Dados!$AT$19,0)))))))</f>
        <v>0</v>
      </c>
      <c r="GO11" s="316">
        <f>IF($E$98=2,Dados!$AE$19,IF($E$98=3,Dados!$AG$19,IF($E$98=4,Dados!$AI$19,IF($E$98=5,Dados!$AK$19,IF($E$98=6,Dados!$AM$19,IF($E$98=7,Dados!$AO$19,IF($E$98=8,Dados!$AS$19,0)))))))</f>
        <v>0</v>
      </c>
      <c r="GP11" s="304">
        <f>IF($E$98=2,Dados!$AF$19,IF($E$98=3,Dados!$AH$19,IF($E$98=4,Dados!$AJ$19,IF($E$98=5,Dados!$AL$19,IF($E$98=6,Dados!$AN$19,IF($E$98=7,Dados!$AP$19,IF($E$98=8,Dados!$AT$19,0)))))))</f>
        <v>0</v>
      </c>
      <c r="GQ11" s="316">
        <f>IF($E$99=2,Dados!$AE$19,IF($E$99=3,Dados!$AG$19,IF($E$99=4,Dados!$AI$19,IF($E$99=5,Dados!$AK$19,IF($E$99=6,Dados!$AM$19,IF($E$99=7,Dados!$AO$19,IF($E$99=8,Dados!$AS$19,0)))))))</f>
        <v>0</v>
      </c>
      <c r="GR11" s="304">
        <f>IF($E$99=2,Dados!$AF$19,IF($E$99=3,Dados!$AH$19,IF($E$99=4,Dados!$AJ$19,IF($E$99=5,Dados!$AL$19,IF($E$99=6,Dados!$AN$19,IF($E$99=7,Dados!$AP$19,IF($E$99=8,Dados!$AT$19,0)))))))</f>
        <v>0</v>
      </c>
      <c r="GS11" s="316">
        <f>IF($E$100=2,Dados!$AE$19,IF($E$100=3,Dados!$AG$19,IF($E$100=4,Dados!$AI$19,IF($E$100=5,Dados!$AK$19,IF($E$100=6,Dados!$AM$19,IF($E$100=7,Dados!$AO$19,IF($E$100=8,Dados!$AS$19,0)))))))</f>
        <v>0</v>
      </c>
      <c r="GT11" s="304">
        <f>IF($E$100=2,Dados!$AF$19,IF($E$100=3,Dados!$AH$19,IF($E$100=4,Dados!$AJ$19,IF($E$100=5,Dados!$AL$19,IF($E$100=6,Dados!$AN$19,IF($E$100=7,Dados!$AP$19,IF($E$100=8,Dados!$AT$19,0)))))))</f>
        <v>0</v>
      </c>
      <c r="GU11" s="316">
        <f>IF($E$101=2,Dados!$AE$19,IF($E$101=3,Dados!$AG$19,IF($E$101=4,Dados!$AI$19,IF($E$101=5,Dados!$AK$19,IF($E$101=6,Dados!$AM$19,IF($E$101=7,Dados!$AO$19,IF($E$101=8,Dados!$AS$19,0)))))))</f>
        <v>0</v>
      </c>
      <c r="GV11" s="304">
        <f>IF($E$101=2,Dados!$AF$19,IF($E$101=3,Dados!$AH$19,IF($E$101=4,Dados!$AJ$19,IF($E$101=5,Dados!$AL$19,IF($E$101=6,Dados!$AN$19,IF($E$101=7,Dados!$AP$19,IF($E$101=8,Dados!$AT$19,0)))))))</f>
        <v>0</v>
      </c>
      <c r="GX11" s="316">
        <f>IF($E$106=2,Dados!$AE$19,IF($E$106=3,Dados!$AG$19,IF($E$106=4,Dados!$AI$19,IF($E$106=5,Dados!$AK$19,IF($E$106=6,Dados!$AM$19,IF($E$106=7,Dados!$AO$19,IF($E$106=8,Dados!$AS$19,0)))))))</f>
        <v>0</v>
      </c>
      <c r="GY11" s="304">
        <f>IF($E$106=2,Dados!$AF$19,IF($E$106=3,Dados!$AH$19,IF($E$106=4,Dados!$AJ$19,IF($E$106=5,Dados!$AL$19,IF($E$106=6,Dados!$AN$19,IF($E$106=7,Dados!$AP$19,IF($E$106=8,Dados!$AT$19,0)))))))</f>
        <v>0</v>
      </c>
      <c r="GZ11" s="316">
        <f>IF($E$107=2,Dados!$AE$19,IF($E$107=3,Dados!$AG$19,IF($E$107=4,Dados!$AI$19,IF($E$107=5,Dados!$AK$19,IF($E$107=6,Dados!$AM$19,IF($E$107=7,Dados!$AO$19,IF($E$107=8,Dados!$AS$19,0)))))))</f>
        <v>0</v>
      </c>
      <c r="HA11" s="304">
        <f>IF($E$107=2,Dados!$AF$19,IF($E$107=3,Dados!$AH$19,IF($E$107=4,Dados!$AJ$19,IF($E$107=5,Dados!$AL$19,IF($E$107=6,Dados!$AN$19,IF($E$107=7,Dados!$AP$19,IF($E$107=8,Dados!$AT$19,0)))))))</f>
        <v>0</v>
      </c>
      <c r="HB11" s="316">
        <f>IF($E$108=2,Dados!$AE$19,IF($E$108=3,Dados!$AG$19,IF($E$108=4,Dados!$AI$19,IF($E$108=5,Dados!$AK$19,IF($E$108=6,Dados!$AM$19,IF($E$108=7,Dados!$AO$19,IF($E$108=8,Dados!$AS$19,0)))))))</f>
        <v>0</v>
      </c>
      <c r="HC11" s="304">
        <f>IF($E$108=2,Dados!$AF$19,IF($E$108=3,Dados!$AH$19,IF($E$108=4,Dados!$AJ$19,IF($E$108=5,Dados!$AL$19,IF($E$108=6,Dados!$AN$19,IF($E$108=7,Dados!$AP$19,IF($E$108=8,Dados!$AT$19,0)))))))</f>
        <v>0</v>
      </c>
      <c r="HD11" s="316">
        <f>IF($E$109=2,Dados!$AE$19,IF($E$109=3,Dados!$AG$19,IF($E$109=4,Dados!$AI$19,IF($E$109=5,Dados!$AK$19,IF($E$109=6,Dados!$AM$19,IF($E$109=7,Dados!$AO$19,IF($E$109=8,Dados!$AS$19,0)))))))</f>
        <v>0</v>
      </c>
      <c r="HE11" s="304">
        <f>IF($E$109=2,Dados!$AF$19,IF($E$109=3,Dados!$AH$19,IF($E$109=4,Dados!$AJ$19,IF($E$109=5,Dados!$AL$19,IF($E$109=6,Dados!$AN$19,IF($E$109=7,Dados!$AP$19,IF($E$109=8,Dados!$AT$19,0)))))))</f>
        <v>0</v>
      </c>
      <c r="HF11" s="316">
        <f>IF($E$110=2,Dados!$AE$19,IF($E$110=3,Dados!$AG$19,IF($E$110=4,Dados!$AI$19,IF($E$110=5,Dados!$AK$19,IF($E$110=6,Dados!$AM$19,IF($E$110=7,Dados!$AO$19,IF($E$110=8,Dados!$AS$19,0)))))))</f>
        <v>0</v>
      </c>
      <c r="HG11" s="304">
        <f>IF($E$110=2,Dados!$AF$19,IF($E$110=3,Dados!$AH$19,IF($E$110=4,Dados!$AJ$19,IF($E$110=5,Dados!$AL$19,IF($E$110=6,Dados!$AN$19,IF($E$110=7,Dados!$AP$19,IF($E$110=8,Dados!$AT$19,0)))))))</f>
        <v>0</v>
      </c>
    </row>
    <row r="12" spans="3:215" x14ac:dyDescent="0.2">
      <c r="C12" s="156">
        <f>SUM(C7:C11)</f>
        <v>0</v>
      </c>
      <c r="P12" s="416"/>
      <c r="AE12" s="1160" t="str">
        <f>Rebanho!C54</f>
        <v>Touro</v>
      </c>
      <c r="AF12" s="1195">
        <f>IF(Rebanho!E54&gt;0,1,0)</f>
        <v>0</v>
      </c>
      <c r="AG12" s="1193">
        <f>Rebanho!E54</f>
        <v>0</v>
      </c>
      <c r="AH12" s="1336">
        <f>Rebanho!AS51</f>
        <v>0</v>
      </c>
      <c r="AI12" s="1178">
        <f>((SUMIFS($Z$7:$Z$110,$E$7:$E$110,"=2",$N$7:$N$110,"=7")+SUMIFS($Z$7:$Z$110,$E$7:$E$110,"=2",$N$7:$N$110,"=19")))*($AF$12)</f>
        <v>0</v>
      </c>
      <c r="AJ12" s="1178">
        <f>((SUMIFS($Z$7:$Z$110,$E$7:$E$110,"=3",$N$7:$N$110,"=7")+SUMIFS($Z$7:$Z$110,$E$7:$E$110,"=3",$N$7:$N$110,"=19")))*($AF$12)</f>
        <v>0</v>
      </c>
      <c r="AK12" s="1178">
        <f>((SUMIFS($Z$7:$Z$110,$E$7:$E$110,"=4",$N$7:$N$110,"=7")+SUMIFS($Z$7:$Z$110,$E$7:$E$110,"=4",$N$7:$N$110,"=19")))*($AF$12)</f>
        <v>0</v>
      </c>
      <c r="AL12" s="1178">
        <f>((SUMIFS($Z$7:$Z$110,$E$7:$E$110,"=5",$N$7:$N$110,"=7")+SUMIFS($Z$7:$Z$110,$E$7:$E$110,"=5",$N$7:$N$110,"=19")))*($AF$12)</f>
        <v>0</v>
      </c>
      <c r="AM12" s="1178">
        <f>((SUMIFS($Z$7:$Z$110,$E$7:$E$110,"=6",$N$7:$N$110,"=7")+SUMIFS($Z$7:$Z$110,$E$7:$E$110,"=6",$N$7:$N$110,"=19")))*($AF$12)</f>
        <v>0</v>
      </c>
      <c r="AN12" s="1178">
        <f>((SUMIFS($Z$7:$Z$110,$E$7:$E$110,"=7",$N$7:$N$110,"=7")+SUMIFS($Z$7:$Z$110,$E$7:$E$110,"=7",$N$7:$N$110,"=19")))*($AF$12)</f>
        <v>0</v>
      </c>
      <c r="AO12" s="1208">
        <f>((SUMIFS($Z$7:$Z$110,$E$7:$E$110,"=8",$N$7:$N$110,"=7")+SUMIFS($Z$7:$Z$110,$E$7:$E$110,"=8",$N$7:$N$110,"=19")))*($AF$12)</f>
        <v>0</v>
      </c>
      <c r="AP12" s="1208">
        <f t="shared" si="3"/>
        <v>0</v>
      </c>
      <c r="AQ12" s="1184">
        <f t="shared" si="2"/>
        <v>0</v>
      </c>
      <c r="AW12" s="4" t="s">
        <v>634</v>
      </c>
      <c r="AX12" s="94">
        <f>IF($E$7=7,$V$7,0)</f>
        <v>0</v>
      </c>
      <c r="AY12" s="94">
        <f>IF($E8=7,$V8,0)</f>
        <v>0</v>
      </c>
      <c r="AZ12" s="94">
        <f>IF($E9=7,$V9,0)</f>
        <v>0</v>
      </c>
      <c r="BA12" s="94">
        <f>IF($E10=7,$V10,0)</f>
        <v>0</v>
      </c>
      <c r="BB12" s="94">
        <f>IF($E11=7,$V11,0)</f>
        <v>0</v>
      </c>
      <c r="BC12" s="200">
        <f t="shared" si="0"/>
        <v>0</v>
      </c>
      <c r="CF12" s="93">
        <v>7</v>
      </c>
      <c r="CG12" s="316" t="str">
        <f>IF($E$7=2,Dados!$AE$20,IF($E$7=3,Dados!$AG$20,IF($E$7=4,Dados!$AI$20,IF($E$7=5,Dados!$AK$20,IF($E$7=6,Dados!$AM$20,IF($E$7=7,Dados!$AO$20,IF($E$7=8,Dados!$AS$20,0)))))))</f>
        <v>Leptospirose</v>
      </c>
      <c r="CH12" s="304" t="str">
        <f>IF($E$7=2,Dados!$AF$20,IF($E$7=3,Dados!$AH$20,IF($E$7=4,Dados!$AJ$20,IF($E$7=5,Dados!$AL$20,IF($E$7=6,Dados!$AN$20,IF($E$7=7,Dados!$AP$20,IF($E$7=8,Dados!$AT$20,0)))))))</f>
        <v>dose</v>
      </c>
      <c r="CI12" s="316" t="str">
        <f>IF($E$8=2,Dados!$AE$20,IF($E$8=3,Dados!$AG$20,IF($E$8=4,Dados!$AI$20,IF($E$8=5,Dados!$AK$20,IF($E$8=6,Dados!$AM$20,IF($E$8=7,Dados!$AO$20,IF($E$8=8,Dados!$AS$20,0)))))))</f>
        <v>Leptospirose</v>
      </c>
      <c r="CJ12" s="304" t="str">
        <f>IF($E$8=2,Dados!$AF$20,IF($E$8=3,Dados!$AH$20,IF($E$8=4,Dados!$AJ$20,IF($E$8=5,Dados!$AL$20,IF($E$8=6,Dados!$AN$20,IF($E$8=7,Dados!$AP$20,IF($E$8=8,Dados!$AT$20,0)))))))</f>
        <v>dose</v>
      </c>
      <c r="CK12" s="316" t="str">
        <f>IF($E$9=2,Dados!$AE$20,IF($E$9=3,Dados!$AG$20,IF($E$9=4,Dados!$AI$20,IF($E$9=5,Dados!$AK$20,IF($E$9=6,Dados!$AM$20,IF($E$9=7,Dados!$AO$20,IF($E$9=8,Dados!$AS$20,0)))))))</f>
        <v>Leptospirose</v>
      </c>
      <c r="CL12" s="304" t="str">
        <f>IF($E$9=2,Dados!$AF$20,IF($E$9=3,Dados!$AH$20,IF($E$9=4,Dados!$AJ$20,IF($E$9=5,Dados!$AL$20,IF($E$9=6,Dados!$AN$20,IF($E$9=7,Dados!$AP$20,IF($E$9=8,Dados!$AT$20,0)))))))</f>
        <v>dose</v>
      </c>
      <c r="CM12" s="316" t="str">
        <f>IF($E$10=2,Dados!$AE$20,IF($E$10=3,Dados!$AG$20,IF($E$10=4,Dados!$AI$20,IF($E$10=5,Dados!$AK$20,IF($E$10=6,Dados!$AM$20,IF($E$10=7,Dados!$AO$20,IF($E$10=8,Dados!$AS$20,0)))))))</f>
        <v>Leptospirose</v>
      </c>
      <c r="CN12" s="304" t="str">
        <f>IF($E$10=2,Dados!$AF$20,IF($E$10=3,Dados!$AH$20,IF($E$10=4,Dados!$AJ$20,IF($E$10=5,Dados!$AL$20,IF($E$10=6,Dados!$AN$20,IF($E$10=7,Dados!$AP$20,IF($E$10=8,Dados!$AT$20,0)))))))</f>
        <v>dose</v>
      </c>
      <c r="CO12" s="316" t="str">
        <f>IF($E$11=2,Dados!$AE$20,IF($E$11=3,Dados!$AG$20,IF($E$11=4,Dados!$AI$20,IF($E$11=5,Dados!$AK$20,IF($E$11=6,Dados!$AM$20,IF($E$11=7,Dados!$AO$20,IF($E$11=8,Dados!$AS$20,0)))))))</f>
        <v>Leptospirose</v>
      </c>
      <c r="CP12" s="304" t="str">
        <f>IF($E$11=2,Dados!$AF$20,IF($E$11=3,Dados!$AH$20,IF($E$11=4,Dados!$AJ$20,IF($E$11=5,Dados!$AL$20,IF($E$11=6,Dados!$AN$20,IF($E$11=7,Dados!$AP$20,IF($E$11=8,Dados!$AT$20,0)))))))</f>
        <v>dose</v>
      </c>
      <c r="CR12" s="316" t="str">
        <f>IF($E$16=2,Dados!$AE$20,IF($E$16=3,Dados!$AG$20,IF($E$16=4,Dados!$AI$20,IF($E$16=5,Dados!$AK$20,IF($E$16=6,Dados!$AM$20,IF($E$16=7,Dados!$AO$20,IF($E$16=8,Dados!$AS$20,0)))))))</f>
        <v>Doramectina</v>
      </c>
      <c r="CS12" s="304" t="str">
        <f>IF($E$16=2,Dados!$AF$20,IF($E$16=3,Dados!$AH$20,IF($E$16=4,Dados!$AJ$20,IF($E$16=5,Dados!$AL$20,IF($E$16=6,Dados!$AN$20,IF($E$16=7,Dados!$AP$20,IF($E$16=8,Dados!$AT$20,0)))))))</f>
        <v>frasco</v>
      </c>
      <c r="CT12" s="316" t="str">
        <f>IF($E$17=2,Dados!$AE$20,IF($E$17=3,Dados!$AG$20,IF($E$17=4,Dados!$AI$20,IF($E$17=5,Dados!$AK$20,IF($E$17=6,Dados!$AM$20,IF($E$17=7,Dados!$AO$20,IF($E$17=8,Dados!$AS$20,0)))))))</f>
        <v>Doramectina</v>
      </c>
      <c r="CU12" s="304" t="str">
        <f>IF($E$17=2,Dados!$AF$20,IF($E$17=3,Dados!$AH$20,IF($E$17=4,Dados!$AJ$20,IF($E$17=5,Dados!$AL$20,IF($E$17=6,Dados!$AN$20,IF($E$17=7,Dados!$AP$20,IF($E$17=8,Dados!$AT$20,0)))))))</f>
        <v>frasco</v>
      </c>
      <c r="CV12" s="316" t="str">
        <f>IF($E$18=2,Dados!$AE$20,IF($E$18=3,Dados!$AG$20,IF($E$18=4,Dados!$AI$20,IF($E$18=5,Dados!$AK$20,IF($E$18=6,Dados!$AM$20,IF($E$18=7,Dados!$AO$20,IF($E$18=8,Dados!$AS$20,0)))))))</f>
        <v>Doramectina</v>
      </c>
      <c r="CW12" s="304" t="str">
        <f>IF($E$18=2,Dados!$AF$20,IF($E$18=3,Dados!$AH$20,IF($E$18=4,Dados!$AJ$20,IF($E$18=5,Dados!$AL$20,IF($E$18=6,Dados!$AN$20,IF($E$18=7,Dados!$AP$20,IF($E$18=8,Dados!$AT$20,0)))))))</f>
        <v>frasco</v>
      </c>
      <c r="CX12" s="316" t="str">
        <f>IF($E$19=2,Dados!$AE$20,IF($E$19=3,Dados!$AG$20,IF($E$19=4,Dados!$AI$20,IF($E$19=5,Dados!$AK$20,IF($E$19=6,Dados!$AM$20,IF($E$19=7,Dados!$AO$20,IF($E$19=8,Dados!$AS$20,0)))))))</f>
        <v>Leptospirose</v>
      </c>
      <c r="CY12" s="304" t="str">
        <f>IF($E$19=2,Dados!$AF$20,IF($E$19=3,Dados!$AH$20,IF($E$19=4,Dados!$AJ$20,IF($E$19=5,Dados!$AL$20,IF($E$19=6,Dados!$AN$20,IF($E$19=7,Dados!$AP$20,IF($E$19=8,Dados!$AT$20,0)))))))</f>
        <v>dose</v>
      </c>
      <c r="CZ12" s="316">
        <f>IF($E$20=2,Dados!$AE$20,IF($E$20=3,Dados!$AG$20,IF($E$20=4,Dados!$AI$20,IF($E$20=5,Dados!$AK$20,IF($E$20=6,Dados!$AM$20,IF($E$20=7,Dados!$AO$20,IF($E$20=8,Dados!$AS$20,0)))))))</f>
        <v>0</v>
      </c>
      <c r="DA12" s="304">
        <f>IF($E$20=2,Dados!$AF$20,IF($E$20=3,Dados!$AH$20,IF($E$20=4,Dados!$AJ$20,IF($E$20=5,Dados!$AL$20,IF($E$20=6,Dados!$AN$20,IF($E$20=7,Dados!$AP$20,IF($E$20=8,Dados!$AT$20,0)))))))</f>
        <v>0</v>
      </c>
      <c r="DC12" s="316" t="str">
        <f>IF($E$25=2,Dados!$AE$20,IF($E$25=3,Dados!$AG$20,IF($E$25=4,Dados!$AI$20,IF($E$25=5,Dados!$AK$20,IF($E$25=6,Dados!$AM$20,IF($E$25=7,Dados!$AO$20,IF($E$25=8,Dados!$AS$20,0)))))))</f>
        <v>Antimastítico - Vaca lactação</v>
      </c>
      <c r="DD12" s="304" t="str">
        <f>IF($E$25=2,Dados!$AF$20,IF($E$25=3,Dados!$AH$20,IF($E$25=4,Dados!$AJ$20,IF($E$25=5,Dados!$AL$20,IF($E$25=6,Dados!$AN$20,IF($E$25=7,Dados!$AP$20,IF($E$25=8,Dados!$AT$20,0)))))))</f>
        <v>frasco</v>
      </c>
      <c r="DE12" s="316" t="str">
        <f>IF($E$26=2,Dados!$AE$20,IF($E$26=3,Dados!$AG$20,IF($E$26=4,Dados!$AI$20,IF($E$26=5,Dados!$AK$20,IF($E$26=6,Dados!$AM$20,IF($E$26=7,Dados!$AO$20,IF($E$26=8,Dados!$AS$20,0)))))))</f>
        <v>Soro</v>
      </c>
      <c r="DF12" s="304" t="str">
        <f>IF($E$26=2,Dados!$AF$20,IF($E$26=3,Dados!$AH$20,IF($E$26=4,Dados!$AJ$20,IF($E$26=5,Dados!$AL$20,IF($E$26=6,Dados!$AN$20,IF($E$26=7,Dados!$AP$20,IF($E$26=8,Dados!$AT$20,0)))))))</f>
        <v>Frasco</v>
      </c>
      <c r="DG12" s="316">
        <f>IF($E$27=2,Dados!$AE$20,IF($E$27=3,Dados!$AG$20,IF($E$27=4,Dados!$AI$20,IF($E$27=5,Dados!$AK$20,IF($E$27=6,Dados!$AM$20,IF($E$27=7,Dados!$AO$20,IF($E$27=8,Dados!$AS$20,0)))))))</f>
        <v>0</v>
      </c>
      <c r="DH12" s="304">
        <f>IF($E$27=2,Dados!$AF$20,IF($E$27=3,Dados!$AH$20,IF($E$27=4,Dados!$AJ$20,IF($E$27=5,Dados!$AL$20,IF($E$27=6,Dados!$AN$20,IF($E$27=7,Dados!$AP$20,IF($E$27=8,Dados!$AT$20,0)))))))</f>
        <v>0</v>
      </c>
      <c r="DI12" s="316">
        <f>IF($E$28=2,Dados!$AE$20,IF($E$28=3,Dados!$AG$20,IF($E$28=4,Dados!$AI$20,IF($E$28=5,Dados!$AK$20,IF($E$28=6,Dados!$AM$20,IF($E$28=7,Dados!$AO$20,IF($E$28=8,Dados!$AS$20,0)))))))</f>
        <v>0</v>
      </c>
      <c r="DJ12" s="304">
        <f>IF($E$28=2,Dados!$AF$20,IF($E$28=3,Dados!$AH$20,IF($E$28=4,Dados!$AJ$20,IF($E$28=5,Dados!$AL$20,IF($E$28=6,Dados!$AN$20,IF($E$28=7,Dados!$AP$20,IF($E$28=8,Dados!$AT$20,0)))))))</f>
        <v>0</v>
      </c>
      <c r="DK12" s="316">
        <f>IF($E$29=2,Dados!$AE$20,IF($E$29=3,Dados!$AG$20,IF($E$29=4,Dados!$AI$20,IF($E$29=5,Dados!$AK$20,IF($E$29=6,Dados!$AM$20,IF($E$29=7,Dados!$AO$20,IF($E$29=8,Dados!$AS$20,0)))))))</f>
        <v>0</v>
      </c>
      <c r="DL12" s="304">
        <f>IF($E$29=2,Dados!$AF$20,IF($E$29=3,Dados!$AH$20,IF($E$29=4,Dados!$AJ$20,IF($E$29=5,Dados!$AL$20,IF($E$29=6,Dados!$AN$20,IF($E$29=7,Dados!$AP$20,IF($E$29=8,Dados!$AT$20,0)))))))</f>
        <v>0</v>
      </c>
      <c r="DN12" s="316" t="str">
        <f>IF($E$34=2,Dados!$AE$20,IF($E$34=3,Dados!$AG$20,IF($E$34=4,Dados!$AI$20,IF($E$34=5,Dados!$AK$20,IF($E$34=6,Dados!$AM$20,IF($E$34=7,Dados!$AO$20,IF($E$34=8,Dados!$AS$20,0)))))))</f>
        <v>Doramectina</v>
      </c>
      <c r="DO12" s="304" t="str">
        <f>IF($E$34=2,Dados!$AF$20,IF($E$34=3,Dados!$AH$20,IF($E$34=4,Dados!$AJ$20,IF($E$34=5,Dados!$AL$20,IF($E$34=6,Dados!$AN$20,IF($E$34=7,Dados!$AP$20,IF($E$34=8,Dados!$AT$20,0)))))))</f>
        <v>frasco</v>
      </c>
      <c r="DP12" s="316">
        <f>IF($E$35=2,Dados!$AE$20,IF($E$35=3,Dados!$AG$20,IF($E$35=4,Dados!$AI$20,IF($E$35=5,Dados!$AK$20,IF($E$35=6,Dados!$AM$20,IF($E$35=7,Dados!$AO$20,IF($E$35=8,Dados!$AS$20,0)))))))</f>
        <v>0</v>
      </c>
      <c r="DQ12" s="304">
        <f>IF($E$35=2,Dados!$AF$20,IF($E$35=3,Dados!$AH$20,IF($E$35=4,Dados!$AJ$20,IF($E$35=5,Dados!$AL$20,IF($E$35=6,Dados!$AN$20,IF($E$35=7,Dados!$AP$20,IF($E$35=8,Dados!$AT$20,0)))))))</f>
        <v>0</v>
      </c>
      <c r="DR12" s="316">
        <f>IF($E$36=2,Dados!$AE$20,IF($E$36=3,Dados!$AG$20,IF($E$36=4,Dados!$AI$20,IF($E$36=5,Dados!$AK$20,IF($E$36=6,Dados!$AM$20,IF($E$36=7,Dados!$AO$20,IF($E$36=8,Dados!$AS$20,0)))))))</f>
        <v>0</v>
      </c>
      <c r="DS12" s="304">
        <f>IF($E$36=2,Dados!$AF$20,IF($E$36=3,Dados!$AH$20,IF($E$36=4,Dados!$AJ$20,IF($E$36=5,Dados!$AL$20,IF($E$36=6,Dados!$AN$20,IF($E$36=7,Dados!$AP$20,IF($E$36=8,Dados!$AT$20,0)))))))</f>
        <v>0</v>
      </c>
      <c r="DT12" s="316">
        <f>IF($E$37=2,Dados!$AE$20,IF($E$37=3,Dados!$AG$20,IF($E$37=4,Dados!$AI$20,IF($E$37=5,Dados!$AK$20,IF($E$37=6,Dados!$AM$20,IF($E$37=7,Dados!$AO$20,IF($E$37=8,Dados!$AS$20,0)))))))</f>
        <v>0</v>
      </c>
      <c r="DU12" s="304">
        <f>IF($E$37=2,Dados!$AF$20,IF($E$37=3,Dados!$AH$20,IF($E$37=4,Dados!$AJ$20,IF($E$37=5,Dados!$AL$20,IF($E$37=6,Dados!$AN$20,IF($E$37=7,Dados!$AP$20,IF($E$37=8,Dados!$AT$20,0)))))))</f>
        <v>0</v>
      </c>
      <c r="DV12" s="316">
        <f>IF($E$38=2,Dados!$AE$20,IF($E$38=3,Dados!$AG$20,IF($E$38=4,Dados!$AI$20,IF($E$38=5,Dados!$AK$20,IF($E$38=6,Dados!$AM$20,IF($E$38=7,Dados!$AO$20,IF($E$38=8,Dados!$AS$20,0)))))))</f>
        <v>0</v>
      </c>
      <c r="DW12" s="304">
        <f>IF($E$38=2,Dados!$AF$20,IF($E$38=3,Dados!$AH$20,IF($E$38=4,Dados!$AJ$20,IF($E$38=5,Dados!$AL$20,IF($E$38=6,Dados!$AN$20,IF($E$38=7,Dados!$AP$20,IF($E$38=8,Dados!$AT$20,0)))))))</f>
        <v>0</v>
      </c>
      <c r="DY12" s="316">
        <f>IF($E$43=2,Dados!$AE$20,IF($E$43=3,Dados!$AG$20,IF($E$43=4,Dados!$AI$20,IF($E$43=5,Dados!$AK$20,IF($E$43=6,Dados!$AM$20,IF($E$43=7,Dados!$AO$20,IF($E$43=8,Dados!$AS$20,0)))))))</f>
        <v>0</v>
      </c>
      <c r="DZ12" s="304">
        <f>IF($E$43=2,Dados!$AF$20,IF($E$43=3,Dados!$AH$20,IF($E$43=4,Dados!$AJ$20,IF($E$43=5,Dados!$AL$20,IF($E$43=6,Dados!$AN$20,IF($E$43=7,Dados!$AP$20,IF($E$43=8,Dados!$AT$20,0)))))))</f>
        <v>0</v>
      </c>
      <c r="EA12" s="316">
        <f>IF($E$44=2,Dados!$AE$20,IF($E$44=3,Dados!$AG$20,IF($E$44=4,Dados!$AI$20,IF($E$44=5,Dados!$AK$20,IF($E$44=6,Dados!$AM$20,IF($E$44=7,Dados!$AO$20,IF($E$44=8,Dados!$AS$20,0)))))))</f>
        <v>0</v>
      </c>
      <c r="EB12" s="304">
        <f>IF($E$44=2,Dados!$AF$20,IF($E$44=3,Dados!$AH$20,IF($E$44=4,Dados!$AJ$20,IF($E$44=5,Dados!$AL$20,IF($E$44=6,Dados!$AN$20,IF($E$44=7,Dados!$AP$20,IF($E$44=8,Dados!$AT$20,0)))))))</f>
        <v>0</v>
      </c>
      <c r="EC12" s="316">
        <f>IF($E$45=2,Dados!$AE$20,IF($E$45=3,Dados!$AG$20,IF($E$45=4,Dados!$AI$20,IF($E$45=5,Dados!$AK$20,IF($E$45=6,Dados!$AM$20,IF($E$45=7,Dados!$AO$20,IF($E$45=8,Dados!$AS$20,0)))))))</f>
        <v>0</v>
      </c>
      <c r="ED12" s="304">
        <f>IF($E$45=2,Dados!$AF$20,IF($E$45=3,Dados!$AH$20,IF($E$45=4,Dados!$AJ$20,IF($E$45=5,Dados!$AL$20,IF($E$45=6,Dados!$AN$20,IF($E$45=7,Dados!$AP$20,IF($E$45=8,Dados!$AT$20,0)))))))</f>
        <v>0</v>
      </c>
      <c r="EE12" s="316">
        <f>IF($E$46=2,Dados!$AE$20,IF($E$46=3,Dados!$AG$20,IF($E$46=4,Dados!$AI$20,IF($E$46=5,Dados!$AK$20,IF($E$46=6,Dados!$AM$20,IF($E$46=7,Dados!$AO$20,IF($E$46=8,Dados!$AS$20,0)))))))</f>
        <v>0</v>
      </c>
      <c r="EF12" s="304">
        <f>IF($E$46=2,Dados!$AF$20,IF($E$46=3,Dados!$AH$20,IF($E$46=4,Dados!$AJ$20,IF($E$46=5,Dados!$AL$20,IF($E$46=6,Dados!$AN$20,IF($E$46=7,Dados!$AP$20,IF($E$46=8,Dados!$AT$20,0)))))))</f>
        <v>0</v>
      </c>
      <c r="EG12" s="316">
        <f>IF($E$47=2,Dados!$AE$20,IF($E$47=3,Dados!$AG$20,IF($E$47=4,Dados!$AI$20,IF($E$47=5,Dados!$AK$20,IF($E$47=6,Dados!$AM$20,IF($E$47=7,Dados!$AO$20,IF($E$47=8,Dados!$AS$20,0)))))))</f>
        <v>0</v>
      </c>
      <c r="EH12" s="304">
        <f>IF($E$47=2,Dados!$AF$20,IF($E$47=3,Dados!$AH$20,IF($E$47=4,Dados!$AJ$20,IF($E$47=5,Dados!$AL$20,IF($E$47=6,Dados!$AN$20,IF($E$47=7,Dados!$AP$20,IF($E$47=8,Dados!$AT$20,0)))))))</f>
        <v>0</v>
      </c>
      <c r="EJ12" s="316">
        <f>IF($E$52=2,Dados!$AE$20,IF($E$52=3,Dados!$AG$20,IF($E$52=4,Dados!$AI$20,IF($E$52=5,Dados!$AK$20,IF($E$52=6,Dados!$AM$20,IF($E$52=7,Dados!$AO$20,IF($E$52=8,Dados!$AS$20,0)))))))</f>
        <v>0</v>
      </c>
      <c r="EK12" s="304">
        <f>IF($E$52=2,Dados!$AF$20,IF($E$52=3,Dados!$AH$20,IF($E$52=4,Dados!$AJ$20,IF($E$52=5,Dados!$AL$20,IF($E$52=6,Dados!$AN$20,IF($E$52=7,Dados!$AP$20,IF($E$52=8,Dados!$AT$20,0)))))))</f>
        <v>0</v>
      </c>
      <c r="EL12" s="316">
        <f>IF($E$53=2,Dados!$AE$20,IF($E$53=3,Dados!$AG$20,IF($E$53=4,Dados!$AI$20,IF($E$53=5,Dados!$AK$20,IF($E$53=6,Dados!$AM$20,IF($E$53=7,Dados!$AO$20,IF($E$53=8,Dados!$AS$20,0)))))))</f>
        <v>0</v>
      </c>
      <c r="EM12" s="304">
        <f>IF($E$53=2,Dados!$AF$20,IF($E$53=3,Dados!$AH$20,IF($E$53=4,Dados!$AJ$20,IF($E$53=5,Dados!$AL$20,IF($E$53=6,Dados!$AN$20,IF($E$53=7,Dados!$AP$20,IF($E$53=8,Dados!$AT$20,0)))))))</f>
        <v>0</v>
      </c>
      <c r="EN12" s="316">
        <f>IF($E$54=2,Dados!$AE$20,IF($E$54=3,Dados!$AG$20,IF($E$54=4,Dados!$AI$20,IF($E$54=5,Dados!$AK$20,IF($E$54=6,Dados!$AM$20,IF($E$54=7,Dados!$AO$20,IF($E$54=8,Dados!$AS$20,0)))))))</f>
        <v>0</v>
      </c>
      <c r="EO12" s="304">
        <f>IF($E$54=2,Dados!$AF$20,IF($E$54=3,Dados!$AH$20,IF($E$54=4,Dados!$AJ$20,IF($E$54=5,Dados!$AL$20,IF($E$54=6,Dados!$AN$20,IF($E$54=7,Dados!$AP$20,IF($E$54=8,Dados!$AT$20,0)))))))</f>
        <v>0</v>
      </c>
      <c r="EP12" s="316">
        <f>IF($E$55=2,Dados!$AE$20,IF($E$55=3,Dados!$AG$20,IF($E$55=4,Dados!$AI$20,IF($E$55=5,Dados!$AK$20,IF($E$55=6,Dados!$AM$20,IF($E$55=7,Dados!$AO$20,IF($E$55=8,Dados!$AS$20,0)))))))</f>
        <v>0</v>
      </c>
      <c r="EQ12" s="304">
        <f>IF($E$55=2,Dados!$AF$20,IF($E$55=3,Dados!$AH$20,IF($E$55=4,Dados!$AJ$20,IF($E$55=5,Dados!$AL$20,IF($E$55=6,Dados!$AN$20,IF($E$55=7,Dados!$AP$20,IF($E$55=8,Dados!$AT$20,0)))))))</f>
        <v>0</v>
      </c>
      <c r="ER12" s="316">
        <f>IF($E$56=2,Dados!$AE$20,IF($E$56=3,Dados!$AG$20,IF($E$56=4,Dados!$AI$20,IF($E$56=5,Dados!$AK$20,IF($E$56=6,Dados!$AM$20,IF($E$56=7,Dados!$AO$20,IF($E$56=8,Dados!$AS$20,0)))))))</f>
        <v>0</v>
      </c>
      <c r="ES12" s="304">
        <f>IF($E$56=2,Dados!$AF$20,IF($E$56=3,Dados!$AH$20,IF($E$56=4,Dados!$AJ$20,IF($E$56=5,Dados!$AL$20,IF($E$56=6,Dados!$AN$20,IF($E$56=7,Dados!$AP$20,IF($E$56=8,Dados!$AT$20,0)))))))</f>
        <v>0</v>
      </c>
      <c r="EU12" s="316">
        <f>IF($E$61=2,Dados!$AE$20,IF($E$61=3,Dados!$AG$20,IF($E$61=4,Dados!$AI$20,IF($E$61=5,Dados!$AK$20,IF($E$61=6,Dados!$AM$20,IF($E$61=7,Dados!$AO$20,IF($E$61=8,Dados!$AS$20,0)))))))</f>
        <v>0</v>
      </c>
      <c r="EV12" s="304">
        <f>IF($E$61=2,Dados!$AF$20,IF($E$61=3,Dados!$AH$20,IF($E$61=4,Dados!$AJ$20,IF($E$61=5,Dados!$AL$20,IF($E$61=6,Dados!$AN$20,IF($E$61=7,Dados!$AP$20,IF($E$61=8,Dados!$AT$20,0)))))))</f>
        <v>0</v>
      </c>
      <c r="EW12" s="316">
        <f>IF($E$62=2,Dados!$AE$20,IF($E$62=3,Dados!$AG$20,IF($E$62=4,Dados!$AI$20,IF($E$62=5,Dados!$AK$20,IF($E$62=6,Dados!$AM$20,IF($E$62=7,Dados!$AO$20,IF($E$62=8,Dados!$AS$20,0)))))))</f>
        <v>0</v>
      </c>
      <c r="EX12" s="304">
        <f>IF($E$62=2,Dados!$AF$20,IF($E$62=3,Dados!$AH$20,IF($E$62=4,Dados!$AJ$20,IF($E$62=5,Dados!$AL$20,IF($E$62=6,Dados!$AN$20,IF($E$62=7,Dados!$AP$20,IF($E$62=8,Dados!$AT$20,0)))))))</f>
        <v>0</v>
      </c>
      <c r="EY12" s="316">
        <f>IF($E$63=2,Dados!$AE$20,IF($E$63=3,Dados!$AG$20,IF($E$63=4,Dados!$AI$20,IF($E$63=5,Dados!$AK$20,IF($E$63=6,Dados!$AM$20,IF($E$63=7,Dados!$AO$20,IF($E$63=8,Dados!$AS$20,0)))))))</f>
        <v>0</v>
      </c>
      <c r="EZ12" s="304">
        <f>IF($E$63=2,Dados!$AF$20,IF($E$63=3,Dados!$AH$20,IF($E$63=4,Dados!$AJ$20,IF($E$63=5,Dados!$AL$20,IF($E$63=6,Dados!$AN$20,IF($E$63=7,Dados!$AP$20,IF($E$63=8,Dados!$AT$20,0)))))))</f>
        <v>0</v>
      </c>
      <c r="FA12" s="316">
        <f>IF($E$64=2,Dados!$AE$20,IF($E$64=3,Dados!$AG$20,IF($E$64=4,Dados!$AI$20,IF($E$64=5,Dados!$AK$20,IF($E$64=6,Dados!$AM$20,IF($E$64=7,Dados!$AO$20,IF($E$64=8,Dados!$AS$20,0)))))))</f>
        <v>0</v>
      </c>
      <c r="FB12" s="304">
        <f>IF($E$64=2,Dados!$AF$20,IF($E$64=3,Dados!$AH$20,IF($E$64=4,Dados!$AJ$20,IF($E$64=5,Dados!$AL$20,IF($E$64=6,Dados!$AN$20,IF($E$64=7,Dados!$AP$20,IF($E$64=8,Dados!$AT$20,0)))))))</f>
        <v>0</v>
      </c>
      <c r="FC12" s="316">
        <f>IF($E$65=2,Dados!$AE$20,IF($E$65=3,Dados!$AG$20,IF($E$65=4,Dados!$AI$20,IF($E$65=5,Dados!$AK$20,IF($E$65=6,Dados!$AM$20,IF($E$65=7,Dados!$AO$20,IF($E$65=8,Dados!$AS$20,0)))))))</f>
        <v>0</v>
      </c>
      <c r="FD12" s="304">
        <f>IF($E$65=2,Dados!$AF$20,IF($E$65=3,Dados!$AH$20,IF($E$65=4,Dados!$AJ$20,IF($E$65=5,Dados!$AL$20,IF($E$65=6,Dados!$AN$20,IF($E$65=7,Dados!$AP$20,IF($E$65=8,Dados!$AT$20,0)))))))</f>
        <v>0</v>
      </c>
      <c r="FF12" s="316">
        <f>IF($E$70=2,Dados!$AE$20,IF($E$70=3,Dados!$AG$20,IF($E$70=4,Dados!$AI$20,IF($E$70=5,Dados!$AK$20,IF($E$70=6,Dados!$AM$20,IF($E$70=7,Dados!$AO$20,IF($E$70=8,Dados!$AS$20,0)))))))</f>
        <v>0</v>
      </c>
      <c r="FG12" s="304">
        <f>IF($E$70=2,Dados!$AF$20,IF($E$70=3,Dados!$AH$20,IF($E$70=4,Dados!$AJ$20,IF($E$70=5,Dados!$AL$20,IF($E$70=6,Dados!$AN$20,IF($E$70=7,Dados!$AP$20,IF($E$70=8,Dados!$AT$20,0)))))))</f>
        <v>0</v>
      </c>
      <c r="FH12" s="316">
        <f>IF($E$71=2,Dados!$AE$20,IF($E$71=3,Dados!$AG$20,IF($E$71=4,Dados!$AI$20,IF($E$71=5,Dados!$AK$20,IF($E$71=6,Dados!$AM$20,IF($E$71=7,Dados!$AO$20,IF($E$71=8,Dados!$AS$20,0)))))))</f>
        <v>0</v>
      </c>
      <c r="FI12" s="304">
        <f>IF($E$71=2,Dados!$AF$20,IF($E$71=3,Dados!$AH$20,IF($E$71=4,Dados!$AJ$20,IF($E$71=5,Dados!$AL$20,IF($E$71=6,Dados!$AN$20,IF($E$71=7,Dados!$AP$20,IF($E$71=8,Dados!$AT$20,0)))))))</f>
        <v>0</v>
      </c>
      <c r="FJ12" s="316">
        <f>IF($E$72=2,Dados!$AE$20,IF($E$72=3,Dados!$AG$20,IF($E$72=4,Dados!$AI$20,IF($E$72=5,Dados!$AK$20,IF($E$72=6,Dados!$AM$20,IF($E$72=7,Dados!$AO$20,IF($E$72=8,Dados!$AS$20,0)))))))</f>
        <v>0</v>
      </c>
      <c r="FK12" s="304">
        <f>IF($E$72=2,Dados!$AF$20,IF($E$72=3,Dados!$AH$20,IF($E$72=4,Dados!$AJ$20,IF($E$72=5,Dados!$AL$20,IF($E$72=6,Dados!$AN$20,IF($E$72=7,Dados!$AP$20,IF($E$72=8,Dados!$AT$20,0)))))))</f>
        <v>0</v>
      </c>
      <c r="FL12" s="316">
        <f>IF($E$73=2,Dados!$AE$20,IF($E$73=3,Dados!$AG$20,IF($E$73=4,Dados!$AI$20,IF($E$73=5,Dados!$AK$20,IF($E$73=6,Dados!$AM$20,IF($E$73=7,Dados!$AO$20,IF($E$73=8,Dados!$AS$20,0)))))))</f>
        <v>0</v>
      </c>
      <c r="FM12" s="304">
        <f>IF($E$73=2,Dados!$AF$20,IF($E$73=3,Dados!$AH$20,IF($E$73=4,Dados!$AJ$20,IF($E$73=5,Dados!$AL$20,IF($E$73=6,Dados!$AN$20,IF($E$73=7,Dados!$AP$20,IF($E$73=8,Dados!$AT$20,0)))))))</f>
        <v>0</v>
      </c>
      <c r="FN12" s="316">
        <f>IF($E$74=2,Dados!$AE$20,IF($E$74=3,Dados!$AG$20,IF($E$74=4,Dados!$AI$20,IF($E$74=5,Dados!$AK$20,IF($E$74=6,Dados!$AM$20,IF($E$74=7,Dados!$AO$20,IF($E$74=8,Dados!$AS$20,0)))))))</f>
        <v>0</v>
      </c>
      <c r="FO12" s="304">
        <f>IF($E$74=2,Dados!$AF$20,IF($E$74=3,Dados!$AH$20,IF($E$74=4,Dados!$AJ$20,IF($E$74=5,Dados!$AL$20,IF($E$74=6,Dados!$AN$20,IF($E$74=7,Dados!$AP$20,IF($E$74=8,Dados!$AT$20,0)))))))</f>
        <v>0</v>
      </c>
      <c r="FQ12" s="316">
        <f>IF($E$79=2,Dados!$AE$20,IF($E$79=3,Dados!$AG$20,IF($E$79=4,Dados!$AI$20,IF($E$79=5,Dados!$AK$20,IF($E$79=6,Dados!$AM$20,IF($E$79=7,Dados!$AO$20,IF($E$79=8,Dados!$AS$20,0)))))))</f>
        <v>0</v>
      </c>
      <c r="FR12" s="304">
        <f>IF($E$79=2,Dados!$AF$20,IF($E$79=3,Dados!$AH$20,IF($E$79=4,Dados!$AJ$20,IF($E$79=5,Dados!$AL$20,IF($E$79=6,Dados!$AN$20,IF($E$79=7,Dados!$AP$20,IF($E$79=8,Dados!$AT$20,0)))))))</f>
        <v>0</v>
      </c>
      <c r="FS12" s="316">
        <f>IF($E$80=2,Dados!$AE$20,IF($E$80=3,Dados!$AG$20,IF($E$80=4,Dados!$AI$20,IF($E$80=5,Dados!$AK$20,IF($E$80=6,Dados!$AM$20,IF($E$80=7,Dados!$AO$20,IF($E$80=8,Dados!$AS$20,0)))))))</f>
        <v>0</v>
      </c>
      <c r="FT12" s="304">
        <f>IF($E$80=2,Dados!$AF$20,IF($E$80=3,Dados!$AH$20,IF($E$80=4,Dados!$AJ$20,IF($E$80=5,Dados!$AL$20,IF($E$80=6,Dados!$AN$20,IF($E$80=7,Dados!$AP$20,IF($E$80=8,Dados!$AT$20,0)))))))</f>
        <v>0</v>
      </c>
      <c r="FU12" s="316">
        <f>IF($E$81=2,Dados!$AE$20,IF($E$81=3,Dados!$AG$20,IF($E$81=4,Dados!$AI$20,IF($E$81=5,Dados!$AK$20,IF($E$81=6,Dados!$AM$20,IF($E$81=7,Dados!$AO$20,IF($E$81=8,Dados!$AS$20,0)))))))</f>
        <v>0</v>
      </c>
      <c r="FV12" s="304">
        <f>IF($E$81=2,Dados!$AF$20,IF($E$81=3,Dados!$AH$20,IF($E$81=4,Dados!$AJ$20,IF($E$81=5,Dados!$AL$20,IF($E$81=6,Dados!$AN$20,IF($E$81=7,Dados!$AP$20,IF($E$81=8,Dados!$AT$20,0)))))))</f>
        <v>0</v>
      </c>
      <c r="FW12" s="316">
        <f>IF($E$82=2,Dados!$AE$20,IF($E$82=3,Dados!$AG$20,IF($E$82=4,Dados!$AI$20,IF($E$82=5,Dados!$AK$20,IF($E$82=6,Dados!$AM$20,IF($E$82=7,Dados!$AO$20,IF($E$82=8,Dados!$AS$20,0)))))))</f>
        <v>0</v>
      </c>
      <c r="FX12" s="304">
        <f>IF($E$82=2,Dados!$AF$20,IF($E$82=3,Dados!$AH$20,IF($E$82=4,Dados!$AJ$20,IF($E$82=5,Dados!$AL$20,IF($E$82=6,Dados!$AN$20,IF($E$82=7,Dados!$AP$20,IF($E$82=8,Dados!$AT$20,0)))))))</f>
        <v>0</v>
      </c>
      <c r="FY12" s="316">
        <f>IF($E$83=2,Dados!$AE$20,IF($E$83=3,Dados!$AG$20,IF($E$83=4,Dados!$AI$20,IF($E$83=5,Dados!$AK$20,IF($E$83=6,Dados!$AM$20,IF($E$83=7,Dados!$AO$20,IF($E$83=8,Dados!$AS$20,0)))))))</f>
        <v>0</v>
      </c>
      <c r="FZ12" s="304">
        <f>IF($E$83=2,Dados!$AF$20,IF($E$83=3,Dados!$AH$20,IF($E$83=4,Dados!$AJ$20,IF($E$83=5,Dados!$AL$20,IF($E$83=6,Dados!$AN$20,IF($E$83=7,Dados!$AP$20,IF($E$83=8,Dados!$AT$20,0)))))))</f>
        <v>0</v>
      </c>
      <c r="GB12" s="316">
        <f>IF($E$88=2,Dados!$AE$20,IF($E$88=3,Dados!$AG$20,IF($E$88=4,Dados!$AI$20,IF($E$88=5,Dados!$AK$20,IF($E$88=6,Dados!$AM$20,IF($E$88=7,Dados!$AO$20,IF($E$88=8,Dados!$AS$20,0)))))))</f>
        <v>0</v>
      </c>
      <c r="GC12" s="304">
        <f>IF($E$88=2,Dados!$AF$20,IF($E$88=3,Dados!$AH$20,IF($E$88=4,Dados!$AJ$20,IF($E$88=5,Dados!$AL$20,IF($E$88=6,Dados!$AN$20,IF($E$88=7,Dados!$AP$20,IF($E$88=8,Dados!$AT$20,0)))))))</f>
        <v>0</v>
      </c>
      <c r="GD12" s="316">
        <f>IF($E$89=2,Dados!$AE$20,IF($E$89=3,Dados!$AG$20,IF($E$89=4,Dados!$AI$20,IF($E$89=5,Dados!$AK$20,IF($E$89=6,Dados!$AM$20,IF($E$89=7,Dados!$AO$20,IF($E$89=8,Dados!$AS$20,0)))))))</f>
        <v>0</v>
      </c>
      <c r="GE12" s="304">
        <f>IF($E$89=2,Dados!$AF$20,IF($E$89=3,Dados!$AH$20,IF($E$89=4,Dados!$AJ$20,IF($E$89=5,Dados!$AL$20,IF($E$89=6,Dados!$AN$20,IF($E$89=7,Dados!$AP$20,IF($E$89=8,Dados!$AT$20,0)))))))</f>
        <v>0</v>
      </c>
      <c r="GF12" s="316">
        <f>IF($E$90=2,Dados!$AE$20,IF($E$90=3,Dados!$AG$20,IF($E$90=4,Dados!$AI$20,IF($E$90=5,Dados!$AK$20,IF($E$90=6,Dados!$AM$20,IF($E$90=7,Dados!$AO$20,IF($E$90=8,Dados!$AS$20,0)))))))</f>
        <v>0</v>
      </c>
      <c r="GG12" s="304">
        <f>IF($E$90=2,Dados!$AF$20,IF($E$90=3,Dados!$AH$20,IF($E$90=4,Dados!$AJ$20,IF($E$90=5,Dados!$AL$20,IF($E$90=6,Dados!$AN$20,IF($E$90=7,Dados!$AP$20,IF($E$90=8,Dados!$AT$20,0)))))))</f>
        <v>0</v>
      </c>
      <c r="GH12" s="316">
        <f>IF($E$91=2,Dados!$AE$20,IF($E$91=3,Dados!$AG$20,IF($E$91=4,Dados!$AI$20,IF($E$91=5,Dados!$AK$20,IF($E$91=6,Dados!$AM$20,IF($E$91=7,Dados!$AO$20,IF($E$91=8,Dados!$AS$20,0)))))))</f>
        <v>0</v>
      </c>
      <c r="GI12" s="304">
        <f>IF($E$91=2,Dados!$AF$20,IF($E$91=3,Dados!$AH$20,IF($E$91=4,Dados!$AJ$20,IF($E$91=5,Dados!$AL$20,IF($E$91=6,Dados!$AN$20,IF($E$91=7,Dados!$AP$20,IF($E$91=8,Dados!$AT$20,0)))))))</f>
        <v>0</v>
      </c>
      <c r="GJ12" s="316">
        <f>IF($E$92=2,Dados!$AE$20,IF($E$92=3,Dados!$AG$20,IF($E$92=4,Dados!$AI$20,IF($E$92=5,Dados!$AK$20,IF($E$92=6,Dados!$AM$20,IF($E$92=7,Dados!$AO$20,IF($E$92=8,Dados!$AS$20,0)))))))</f>
        <v>0</v>
      </c>
      <c r="GK12" s="304">
        <f>IF($E$92=2,Dados!$AF$20,IF($E$92=3,Dados!$AH$20,IF($E$92=4,Dados!$AJ$20,IF($E$92=5,Dados!$AL$20,IF($E$92=6,Dados!$AN$20,IF($E$92=7,Dados!$AP$20,IF($E$92=8,Dados!$AT$20,0)))))))</f>
        <v>0</v>
      </c>
      <c r="GM12" s="316">
        <f>IF($E$97=2,Dados!$AE$20,IF($E$97=3,Dados!$AG$20,IF($E$97=4,Dados!$AI$20,IF($E$97=5,Dados!$AK$20,IF($E$97=6,Dados!$AM$20,IF($E$97=7,Dados!$AO$20,IF($E$97=8,Dados!$AS$20,0)))))))</f>
        <v>0</v>
      </c>
      <c r="GN12" s="304">
        <f>IF($E$97=2,Dados!$AF$20,IF($E$97=3,Dados!$AH$20,IF($E$97=4,Dados!$AJ$20,IF($E$97=5,Dados!$AL$20,IF($E$97=6,Dados!$AN$20,IF($E$97=7,Dados!$AP$20,IF($E$97=8,Dados!$AT$20,0)))))))</f>
        <v>0</v>
      </c>
      <c r="GO12" s="316">
        <f>IF($E$98=2,Dados!$AE$20,IF($E$98=3,Dados!$AG$20,IF($E$98=4,Dados!$AI$20,IF($E$98=5,Dados!$AK$20,IF($E$98=6,Dados!$AM$20,IF($E$98=7,Dados!$AO$20,IF($E$98=8,Dados!$AS$20,0)))))))</f>
        <v>0</v>
      </c>
      <c r="GP12" s="304">
        <f>IF($E$98=2,Dados!$AF$20,IF($E$98=3,Dados!$AH$20,IF($E$98=4,Dados!$AJ$20,IF($E$98=5,Dados!$AL$20,IF($E$98=6,Dados!$AN$20,IF($E$98=7,Dados!$AP$20,IF($E$98=8,Dados!$AT$20,0)))))))</f>
        <v>0</v>
      </c>
      <c r="GQ12" s="316">
        <f>IF($E$99=2,Dados!$AE$20,IF($E$99=3,Dados!$AG$20,IF($E$99=4,Dados!$AI$20,IF($E$99=5,Dados!$AK$20,IF($E$99=6,Dados!$AM$20,IF($E$99=7,Dados!$AO$20,IF($E$99=8,Dados!$AS$20,0)))))))</f>
        <v>0</v>
      </c>
      <c r="GR12" s="304">
        <f>IF($E$99=2,Dados!$AF$20,IF($E$99=3,Dados!$AH$20,IF($E$99=4,Dados!$AJ$20,IF($E$99=5,Dados!$AL$20,IF($E$99=6,Dados!$AN$20,IF($E$99=7,Dados!$AP$20,IF($E$99=8,Dados!$AT$20,0)))))))</f>
        <v>0</v>
      </c>
      <c r="GS12" s="316">
        <f>IF($E$100=2,Dados!$AE$20,IF($E$100=3,Dados!$AG$20,IF($E$100=4,Dados!$AI$20,IF($E$100=5,Dados!$AK$20,IF($E$100=6,Dados!$AM$20,IF($E$100=7,Dados!$AO$20,IF($E$100=8,Dados!$AS$20,0)))))))</f>
        <v>0</v>
      </c>
      <c r="GT12" s="304">
        <f>IF($E$100=2,Dados!$AF$20,IF($E$100=3,Dados!$AH$20,IF($E$100=4,Dados!$AJ$20,IF($E$100=5,Dados!$AL$20,IF($E$100=6,Dados!$AN$20,IF($E$100=7,Dados!$AP$20,IF($E$100=8,Dados!$AT$20,0)))))))</f>
        <v>0</v>
      </c>
      <c r="GU12" s="316">
        <f>IF($E$101=2,Dados!$AE$20,IF($E$101=3,Dados!$AG$20,IF($E$101=4,Dados!$AI$20,IF($E$101=5,Dados!$AK$20,IF($E$101=6,Dados!$AM$20,IF($E$101=7,Dados!$AO$20,IF($E$101=8,Dados!$AS$20,0)))))))</f>
        <v>0</v>
      </c>
      <c r="GV12" s="304">
        <f>IF($E$101=2,Dados!$AF$20,IF($E$101=3,Dados!$AH$20,IF($E$101=4,Dados!$AJ$20,IF($E$101=5,Dados!$AL$20,IF($E$101=6,Dados!$AN$20,IF($E$101=7,Dados!$AP$20,IF($E$101=8,Dados!$AT$20,0)))))))</f>
        <v>0</v>
      </c>
      <c r="GX12" s="316">
        <f>IF($E$106=2,Dados!$AE$20,IF($E$106=3,Dados!$AG$20,IF($E$106=4,Dados!$AI$20,IF($E$106=5,Dados!$AK$20,IF($E$106=6,Dados!$AM$20,IF($E$106=7,Dados!$AO$20,IF($E$106=8,Dados!$AS$20,0)))))))</f>
        <v>0</v>
      </c>
      <c r="GY12" s="304">
        <f>IF($E$106=2,Dados!$AF$20,IF($E$106=3,Dados!$AH$20,IF($E$106=4,Dados!$AJ$20,IF($E$106=5,Dados!$AL$20,IF($E$106=6,Dados!$AN$20,IF($E$106=7,Dados!$AP$20,IF($E$106=8,Dados!$AT$20,0)))))))</f>
        <v>0</v>
      </c>
      <c r="GZ12" s="316">
        <f>IF($E$107=2,Dados!$AE$20,IF($E$107=3,Dados!$AG$20,IF($E$107=4,Dados!$AI$20,IF($E$107=5,Dados!$AK$20,IF($E$107=6,Dados!$AM$20,IF($E$107=7,Dados!$AO$20,IF($E$107=8,Dados!$AS$20,0)))))))</f>
        <v>0</v>
      </c>
      <c r="HA12" s="304">
        <f>IF($E$107=2,Dados!$AF$20,IF($E$107=3,Dados!$AH$20,IF($E$107=4,Dados!$AJ$20,IF($E$107=5,Dados!$AL$20,IF($E$107=6,Dados!$AN$20,IF($E$107=7,Dados!$AP$20,IF($E$107=8,Dados!$AT$20,0)))))))</f>
        <v>0</v>
      </c>
      <c r="HB12" s="316">
        <f>IF($E$108=2,Dados!$AE$20,IF($E$108=3,Dados!$AG$20,IF($E$108=4,Dados!$AI$20,IF($E$108=5,Dados!$AK$20,IF($E$108=6,Dados!$AM$20,IF($E$108=7,Dados!$AO$20,IF($E$108=8,Dados!$AS$20,0)))))))</f>
        <v>0</v>
      </c>
      <c r="HC12" s="304">
        <f>IF($E$108=2,Dados!$AF$20,IF($E$108=3,Dados!$AH$20,IF($E$108=4,Dados!$AJ$20,IF($E$108=5,Dados!$AL$20,IF($E$108=6,Dados!$AN$20,IF($E$108=7,Dados!$AP$20,IF($E$108=8,Dados!$AT$20,0)))))))</f>
        <v>0</v>
      </c>
      <c r="HD12" s="316">
        <f>IF($E$109=2,Dados!$AE$20,IF($E$109=3,Dados!$AG$20,IF($E$109=4,Dados!$AI$20,IF($E$109=5,Dados!$AK$20,IF($E$109=6,Dados!$AM$20,IF($E$109=7,Dados!$AO$20,IF($E$109=8,Dados!$AS$20,0)))))))</f>
        <v>0</v>
      </c>
      <c r="HE12" s="304">
        <f>IF($E$109=2,Dados!$AF$20,IF($E$109=3,Dados!$AH$20,IF($E$109=4,Dados!$AJ$20,IF($E$109=5,Dados!$AL$20,IF($E$109=6,Dados!$AN$20,IF($E$109=7,Dados!$AP$20,IF($E$109=8,Dados!$AT$20,0)))))))</f>
        <v>0</v>
      </c>
      <c r="HF12" s="316">
        <f>IF($E$110=2,Dados!$AE$20,IF($E$110=3,Dados!$AG$20,IF($E$110=4,Dados!$AI$20,IF($E$110=5,Dados!$AK$20,IF($E$110=6,Dados!$AM$20,IF($E$110=7,Dados!$AO$20,IF($E$110=8,Dados!$AS$20,0)))))))</f>
        <v>0</v>
      </c>
      <c r="HG12" s="304">
        <f>IF($E$110=2,Dados!$AF$20,IF($E$110=3,Dados!$AH$20,IF($E$110=4,Dados!$AJ$20,IF($E$110=5,Dados!$AL$20,IF($E$110=6,Dados!$AN$20,IF($E$110=7,Dados!$AP$20,IF($E$110=8,Dados!$AT$20,0)))))))</f>
        <v>0</v>
      </c>
    </row>
    <row r="13" spans="3:215" x14ac:dyDescent="0.2">
      <c r="P13" s="416"/>
      <c r="AE13" s="1160" t="str">
        <f>Rebanho!C55</f>
        <v>Bezerras em aleitamento</v>
      </c>
      <c r="AF13" s="1195">
        <f>IF(Rebanho!E55&gt;0,1,0)</f>
        <v>0</v>
      </c>
      <c r="AG13" s="1193">
        <f>Rebanho!E55</f>
        <v>0</v>
      </c>
      <c r="AH13" s="1336">
        <f>Rebanho!AS52</f>
        <v>0</v>
      </c>
      <c r="AI13" s="1178">
        <f>((SUMIFS($Z$7:$Z$110,$E$7:$E$110,"=2",$N$7:$N$110,"=8")+SUMIFS($Z$7:$Z$110,$E$7:$E$110,"=2",$N$7:$N$110,"=19")))*($AF$13)</f>
        <v>0</v>
      </c>
      <c r="AJ13" s="1178">
        <f>((SUMIFS($Z$7:$Z$110,$E$7:$E$110,"=3",$N$7:$N$110,"=8")+SUMIFS($Z$7:$Z$110,$E$7:$E$110,"=3",$N$7:$N$110,"=19")))*($AF$13)</f>
        <v>0</v>
      </c>
      <c r="AK13" s="1178">
        <f>((SUMIFS($Z$7:$Z$110,$E$7:$E$110,"=4",$N$7:$N$110,"=8")+SUMIFS($Z$7:$Z$110,$E$7:$E$110,"=4",$N$7:$N$110,"=19")))*($AF$13)</f>
        <v>0</v>
      </c>
      <c r="AL13" s="1178">
        <f>((SUMIFS($Z$7:$Z$110,$E$7:$E$110,"=5",$N$7:$N$110,"=8")+SUMIFS($Z$7:$Z$110,$E$7:$E$110,"=5",$N$7:$N$110,"=19")))*($AF$13)</f>
        <v>0</v>
      </c>
      <c r="AM13" s="1178">
        <f>((SUMIFS($Z$7:$Z$110,$E$7:$E$110,"=6",$N$7:$N$110,"=8")+SUMIFS($Z$7:$Z$110,$E$7:$E$110,"=6",$N$7:$N$110,"=19")))*($AF$13)</f>
        <v>0</v>
      </c>
      <c r="AN13" s="1178">
        <f>((SUMIFS($Z$7:$Z$110,$E$7:$E$110,"=7",$N$7:$N$110,"=8")+SUMIFS($Z$7:$Z$110,$E$7:$E$110,"=7",$N$7:$N$110,"=19")))*($AF$13)</f>
        <v>0</v>
      </c>
      <c r="AO13" s="1208">
        <f>((SUMIFS($Z$7:$Z$110,$E$7:$E$110,"=8",$N$7:$N$110,"=8")+SUMIFS($Z$7:$Z$110,$E$7:$E$110,"=8",$N$7:$N$110,"=19")))*($AF$13)</f>
        <v>0</v>
      </c>
      <c r="AP13" s="1208">
        <f t="shared" si="3"/>
        <v>0</v>
      </c>
      <c r="AQ13" s="1184">
        <f t="shared" si="2"/>
        <v>0</v>
      </c>
      <c r="AW13" s="4" t="s">
        <v>787</v>
      </c>
      <c r="AX13" s="94">
        <f>IF($E7=8,$V7,0)</f>
        <v>0</v>
      </c>
      <c r="AY13" s="94">
        <f>IF($E8=8,$V8,0)</f>
        <v>0</v>
      </c>
      <c r="AZ13" s="94">
        <f>IF($E9=8,$V9,0)</f>
        <v>0</v>
      </c>
      <c r="BA13" s="94">
        <f>IF($E10=8,$V10,0)</f>
        <v>0</v>
      </c>
      <c r="BB13" s="94">
        <f>IF($E11=8,$V11,0)</f>
        <v>0</v>
      </c>
      <c r="BC13" s="200">
        <f>SUM(AX13:BB13)</f>
        <v>0</v>
      </c>
      <c r="CF13" s="93">
        <v>8</v>
      </c>
      <c r="CG13" s="316" t="str">
        <f>IF($E$7=2,Dados!$AE$21,IF($E$7=3,Dados!$AG$21,IF($E$7=4,Dados!$AI$21,IF($E$7=5,Dados!$AK$21,IF($E$7=6,Dados!$AM$21,IF($E$7=7,Dados!$AO$21,IF($E$7=8,Dados!$AS$21,0)))))))</f>
        <v>Paratifo</v>
      </c>
      <c r="CH13" s="304" t="str">
        <f>IF($E$7=2,Dados!$AF$21,IF($E$7=3,Dados!$AH$21,IF($E$7=4,Dados!$AJ$21,IF($E$7=5,Dados!$AL$21,IF($E$7=6,Dados!$AN$21,IF($E$7=7,Dados!$AP$21,IF($E$7=8,Dados!$AT$21,0)))))))</f>
        <v>dose</v>
      </c>
      <c r="CI13" s="316" t="str">
        <f>IF($E$8=2,Dados!$AE$21,IF($E$8=3,Dados!$AG$21,IF($E$8=4,Dados!$AI$21,IF($E$8=5,Dados!$AK$21,IF($E$8=6,Dados!$AM$21,IF($E$8=7,Dados!$AO$21,IF($E$8=8,Dados!$AS$21,0)))))))</f>
        <v>Paratifo</v>
      </c>
      <c r="CJ13" s="304" t="str">
        <f>IF($E$8=2,Dados!$AF$21,IF($E$8=3,Dados!$AH$21,IF($E$8=4,Dados!$AJ$21,IF($E$8=5,Dados!$AL$21,IF($E$8=6,Dados!$AN$21,IF($E$8=7,Dados!$AP$21,IF($E$8=8,Dados!$AT$21,0)))))))</f>
        <v>dose</v>
      </c>
      <c r="CK13" s="316" t="str">
        <f>IF($E$9=2,Dados!$AE$21,IF($E$9=3,Dados!$AG$21,IF($E$9=4,Dados!$AI$21,IF($E$9=5,Dados!$AK$21,IF($E$9=6,Dados!$AM$21,IF($E$9=7,Dados!$AO$21,IF($E$9=8,Dados!$AS$21,0)))))))</f>
        <v>Paratifo</v>
      </c>
      <c r="CL13" s="304" t="str">
        <f>IF($E$9=2,Dados!$AF$21,IF($E$9=3,Dados!$AH$21,IF($E$9=4,Dados!$AJ$21,IF($E$9=5,Dados!$AL$21,IF($E$9=6,Dados!$AN$21,IF($E$9=7,Dados!$AP$21,IF($E$9=8,Dados!$AT$21,0)))))))</f>
        <v>dose</v>
      </c>
      <c r="CM13" s="316" t="str">
        <f>IF($E$10=2,Dados!$AE$21,IF($E$10=3,Dados!$AG$21,IF($E$10=4,Dados!$AI$21,IF($E$10=5,Dados!$AK$21,IF($E$10=6,Dados!$AM$21,IF($E$10=7,Dados!$AO$21,IF($E$10=8,Dados!$AS$21,0)))))))</f>
        <v>Paratifo</v>
      </c>
      <c r="CN13" s="304" t="str">
        <f>IF($E$10=2,Dados!$AF$21,IF($E$10=3,Dados!$AH$21,IF($E$10=4,Dados!$AJ$21,IF($E$10=5,Dados!$AL$21,IF($E$10=6,Dados!$AN$21,IF($E$10=7,Dados!$AP$21,IF($E$10=8,Dados!$AT$21,0)))))))</f>
        <v>dose</v>
      </c>
      <c r="CO13" s="316" t="str">
        <f>IF($E$11=2,Dados!$AE$21,IF($E$11=3,Dados!$AG$21,IF($E$11=4,Dados!$AI$21,IF($E$11=5,Dados!$AK$21,IF($E$11=6,Dados!$AM$21,IF($E$11=7,Dados!$AO$21,IF($E$11=8,Dados!$AS$21,0)))))))</f>
        <v>Paratifo</v>
      </c>
      <c r="CP13" s="304" t="str">
        <f>IF($E$11=2,Dados!$AF$21,IF($E$11=3,Dados!$AH$21,IF($E$11=4,Dados!$AJ$21,IF($E$11=5,Dados!$AL$21,IF($E$11=6,Dados!$AN$21,IF($E$11=7,Dados!$AP$21,IF($E$11=8,Dados!$AT$21,0)))))))</f>
        <v>dose</v>
      </c>
      <c r="CR13" s="316">
        <f>IF($E$16=2,Dados!$AE$21,IF($E$16=3,Dados!$AG$21,IF($E$16=4,Dados!$AI$21,IF($E$16=5,Dados!$AK$21,IF($E$16=6,Dados!$AM$21,IF($E$16=7,Dados!$AO$21,IF($E$16=8,Dados!$AS$21,0)))))))</f>
        <v>0</v>
      </c>
      <c r="CS13" s="304">
        <f>IF($E$16=2,Dados!$AF$21,IF($E$16=3,Dados!$AH$21,IF($E$16=4,Dados!$AJ$21,IF($E$16=5,Dados!$AL$21,IF($E$16=6,Dados!$AN$21,IF($E$16=7,Dados!$AP$21,IF($E$16=8,Dados!$AT$21,0)))))))</f>
        <v>0</v>
      </c>
      <c r="CT13" s="316">
        <f>IF($E$17=2,Dados!$AE$21,IF($E$17=3,Dados!$AG$21,IF($E$17=4,Dados!$AI$21,IF($E$17=5,Dados!$AK$21,IF($E$17=6,Dados!$AM$21,IF($E$17=7,Dados!$AO$21,IF($E$17=8,Dados!$AS$21,0)))))))</f>
        <v>0</v>
      </c>
      <c r="CU13" s="304">
        <f>IF($E$17=2,Dados!$AF$21,IF($E$17=3,Dados!$AH$21,IF($E$17=4,Dados!$AJ$21,IF($E$17=5,Dados!$AL$21,IF($E$17=6,Dados!$AN$21,IF($E$17=7,Dados!$AP$21,IF($E$17=8,Dados!$AT$21,0)))))))</f>
        <v>0</v>
      </c>
      <c r="CV13" s="316">
        <f>IF($E$18=2,Dados!$AE$21,IF($E$18=3,Dados!$AG$21,IF($E$18=4,Dados!$AI$21,IF($E$18=5,Dados!$AK$21,IF($E$18=6,Dados!$AM$21,IF($E$18=7,Dados!$AO$21,IF($E$18=8,Dados!$AS$21,0)))))))</f>
        <v>0</v>
      </c>
      <c r="CW13" s="304">
        <f>IF($E$18=2,Dados!$AF$21,IF($E$18=3,Dados!$AH$21,IF($E$18=4,Dados!$AJ$21,IF($E$18=5,Dados!$AL$21,IF($E$18=6,Dados!$AN$21,IF($E$18=7,Dados!$AP$21,IF($E$18=8,Dados!$AT$21,0)))))))</f>
        <v>0</v>
      </c>
      <c r="CX13" s="316" t="str">
        <f>IF($E$19=2,Dados!$AE$21,IF($E$19=3,Dados!$AG$21,IF($E$19=4,Dados!$AI$21,IF($E$19=5,Dados!$AK$21,IF($E$19=6,Dados!$AM$21,IF($E$19=7,Dados!$AO$21,IF($E$19=8,Dados!$AS$21,0)))))))</f>
        <v>Paratifo</v>
      </c>
      <c r="CY13" s="304" t="str">
        <f>IF($E$19=2,Dados!$AF$21,IF($E$19=3,Dados!$AH$21,IF($E$19=4,Dados!$AJ$21,IF($E$19=5,Dados!$AL$21,IF($E$19=6,Dados!$AN$21,IF($E$19=7,Dados!$AP$21,IF($E$19=8,Dados!$AT$21,0)))))))</f>
        <v>dose</v>
      </c>
      <c r="CZ13" s="316">
        <f>IF($E$20=2,Dados!$AE$21,IF($E$20=3,Dados!$AG$21,IF($E$20=4,Dados!$AI$21,IF($E$20=5,Dados!$AK$21,IF($E$20=6,Dados!$AM$21,IF($E$20=7,Dados!$AO$21,IF($E$20=8,Dados!$AS$21,0)))))))</f>
        <v>0</v>
      </c>
      <c r="DA13" s="304">
        <f>IF($E$20=2,Dados!$AF$21,IF($E$20=3,Dados!$AH$21,IF($E$20=4,Dados!$AJ$21,IF($E$20=5,Dados!$AL$21,IF($E$20=6,Dados!$AN$21,IF($E$20=7,Dados!$AP$21,IF($E$20=8,Dados!$AT$21,0)))))))</f>
        <v>0</v>
      </c>
      <c r="DC13" s="316">
        <f>IF($E$25=2,Dados!$AE$21,IF($E$25=3,Dados!$AG$21,IF($E$25=4,Dados!$AI$21,IF($E$25=5,Dados!$AK$21,IF($E$25=6,Dados!$AM$21,IF($E$25=7,Dados!$AO$21,IF($E$25=8,Dados!$AS$21,0)))))))</f>
        <v>0</v>
      </c>
      <c r="DD13" s="304" t="str">
        <f>IF($E$25=2,Dados!$AF$21,IF($E$25=3,Dados!$AH$21,IF($E$25=4,Dados!$AJ$21,IF($E$25=5,Dados!$AL$21,IF($E$25=6,Dados!$AN$21,IF($E$25=7,Dados!$AP$21,IF($E$25=8,Dados!$AT$21,0)))))))</f>
        <v>frasco</v>
      </c>
      <c r="DE13" s="316" t="str">
        <f>IF($E$26=2,Dados!$AE$21,IF($E$26=3,Dados!$AG$21,IF($E$26=4,Dados!$AI$21,IF($E$26=5,Dados!$AK$21,IF($E$26=6,Dados!$AM$21,IF($E$26=7,Dados!$AO$21,IF($E$26=8,Dados!$AS$21,0)))))))</f>
        <v>Cálcio</v>
      </c>
      <c r="DF13" s="304" t="str">
        <f>IF($E$26=2,Dados!$AF$21,IF($E$26=3,Dados!$AH$21,IF($E$26=4,Dados!$AJ$21,IF($E$26=5,Dados!$AL$21,IF($E$26=6,Dados!$AN$21,IF($E$26=7,Dados!$AP$21,IF($E$26=8,Dados!$AT$21,0)))))))</f>
        <v>Frasco</v>
      </c>
      <c r="DG13" s="316">
        <f>IF($E$27=2,Dados!$AE$21,IF($E$27=3,Dados!$AG$21,IF($E$27=4,Dados!$AI$21,IF($E$27=5,Dados!$AK$21,IF($E$27=6,Dados!$AM$21,IF($E$27=7,Dados!$AO$21,IF($E$27=8,Dados!$AS$21,0)))))))</f>
        <v>0</v>
      </c>
      <c r="DH13" s="304">
        <f>IF($E$27=2,Dados!$AF$21,IF($E$27=3,Dados!$AH$21,IF($E$27=4,Dados!$AJ$21,IF($E$27=5,Dados!$AL$21,IF($E$27=6,Dados!$AN$21,IF($E$27=7,Dados!$AP$21,IF($E$27=8,Dados!$AT$21,0)))))))</f>
        <v>0</v>
      </c>
      <c r="DI13" s="316">
        <f>IF($E$28=2,Dados!$AE$21,IF($E$28=3,Dados!$AG$21,IF($E$28=4,Dados!$AI$21,IF($E$28=5,Dados!$AK$21,IF($E$28=6,Dados!$AM$21,IF($E$28=7,Dados!$AO$21,IF($E$28=8,Dados!$AS$21,0)))))))</f>
        <v>0</v>
      </c>
      <c r="DJ13" s="304">
        <f>IF($E$28=2,Dados!$AF$21,IF($E$28=3,Dados!$AH$21,IF($E$28=4,Dados!$AJ$21,IF($E$28=5,Dados!$AL$21,IF($E$28=6,Dados!$AN$21,IF($E$28=7,Dados!$AP$21,IF($E$28=8,Dados!$AT$21,0)))))))</f>
        <v>0</v>
      </c>
      <c r="DK13" s="316">
        <f>IF($E$29=2,Dados!$AE$21,IF($E$29=3,Dados!$AG$21,IF($E$29=4,Dados!$AI$21,IF($E$29=5,Dados!$AK$21,IF($E$29=6,Dados!$AM$21,IF($E$29=7,Dados!$AO$21,IF($E$29=8,Dados!$AS$21,0)))))))</f>
        <v>0</v>
      </c>
      <c r="DL13" s="304">
        <f>IF($E$29=2,Dados!$AF$21,IF($E$29=3,Dados!$AH$21,IF($E$29=4,Dados!$AJ$21,IF($E$29=5,Dados!$AL$21,IF($E$29=6,Dados!$AN$21,IF($E$29=7,Dados!$AP$21,IF($E$29=8,Dados!$AT$21,0)))))))</f>
        <v>0</v>
      </c>
      <c r="DN13" s="316">
        <f>IF($E$34=2,Dados!$AE$21,IF($E$34=3,Dados!$AG$21,IF($E$34=4,Dados!$AI$21,IF($E$34=5,Dados!$AK$21,IF($E$34=6,Dados!$AM$21,IF($E$34=7,Dados!$AO$21,IF($E$34=8,Dados!$AS$21,0)))))))</f>
        <v>0</v>
      </c>
      <c r="DO13" s="304">
        <f>IF($E$34=2,Dados!$AF$21,IF($E$34=3,Dados!$AH$21,IF($E$34=4,Dados!$AJ$21,IF($E$34=5,Dados!$AL$21,IF($E$34=6,Dados!$AN$21,IF($E$34=7,Dados!$AP$21,IF($E$34=8,Dados!$AT$21,0)))))))</f>
        <v>0</v>
      </c>
      <c r="DP13" s="316">
        <f>IF($E$35=2,Dados!$AE$21,IF($E$35=3,Dados!$AG$21,IF($E$35=4,Dados!$AI$21,IF($E$35=5,Dados!$AK$21,IF($E$35=6,Dados!$AM$21,IF($E$35=7,Dados!$AO$21,IF($E$35=8,Dados!$AS$21,0)))))))</f>
        <v>0</v>
      </c>
      <c r="DQ13" s="304">
        <f>IF($E$35=2,Dados!$AF$21,IF($E$35=3,Dados!$AH$21,IF($E$35=4,Dados!$AJ$21,IF($E$35=5,Dados!$AL$21,IF($E$35=6,Dados!$AN$21,IF($E$35=7,Dados!$AP$21,IF($E$35=8,Dados!$AT$21,0)))))))</f>
        <v>0</v>
      </c>
      <c r="DR13" s="316">
        <f>IF($E$36=2,Dados!$AE$21,IF($E$36=3,Dados!$AG$21,IF($E$36=4,Dados!$AI$21,IF($E$36=5,Dados!$AK$21,IF($E$36=6,Dados!$AM$21,IF($E$36=7,Dados!$AO$21,IF($E$36=8,Dados!$AS$21,0)))))))</f>
        <v>0</v>
      </c>
      <c r="DS13" s="304">
        <f>IF($E$36=2,Dados!$AF$21,IF($E$36=3,Dados!$AH$21,IF($E$36=4,Dados!$AJ$21,IF($E$36=5,Dados!$AL$21,IF($E$36=6,Dados!$AN$21,IF($E$36=7,Dados!$AP$21,IF($E$36=8,Dados!$AT$21,0)))))))</f>
        <v>0</v>
      </c>
      <c r="DT13" s="316">
        <f>IF($E$37=2,Dados!$AE$21,IF($E$37=3,Dados!$AG$21,IF($E$37=4,Dados!$AI$21,IF($E$37=5,Dados!$AK$21,IF($E$37=6,Dados!$AM$21,IF($E$37=7,Dados!$AO$21,IF($E$37=8,Dados!$AS$21,0)))))))</f>
        <v>0</v>
      </c>
      <c r="DU13" s="304">
        <f>IF($E$37=2,Dados!$AF$21,IF($E$37=3,Dados!$AH$21,IF($E$37=4,Dados!$AJ$21,IF($E$37=5,Dados!$AL$21,IF($E$37=6,Dados!$AN$21,IF($E$37=7,Dados!$AP$21,IF($E$37=8,Dados!$AT$21,0)))))))</f>
        <v>0</v>
      </c>
      <c r="DV13" s="316">
        <f>IF($E$38=2,Dados!$AE$21,IF($E$38=3,Dados!$AG$21,IF($E$38=4,Dados!$AI$21,IF($E$38=5,Dados!$AK$21,IF($E$38=6,Dados!$AM$21,IF($E$38=7,Dados!$AO$21,IF($E$38=8,Dados!$AS$21,0)))))))</f>
        <v>0</v>
      </c>
      <c r="DW13" s="304">
        <f>IF($E$38=2,Dados!$AF$21,IF($E$38=3,Dados!$AH$21,IF($E$38=4,Dados!$AJ$21,IF($E$38=5,Dados!$AL$21,IF($E$38=6,Dados!$AN$21,IF($E$38=7,Dados!$AP$21,IF($E$38=8,Dados!$AT$21,0)))))))</f>
        <v>0</v>
      </c>
      <c r="DY13" s="316">
        <f>IF($E$43=2,Dados!$AE$21,IF($E$43=3,Dados!$AG$21,IF($E$43=4,Dados!$AI$21,IF($E$43=5,Dados!$AK$21,IF($E$43=6,Dados!$AM$21,IF($E$43=7,Dados!$AO$21,IF($E$43=8,Dados!$AS$21,0)))))))</f>
        <v>0</v>
      </c>
      <c r="DZ13" s="304">
        <f>IF($E$43=2,Dados!$AF$21,IF($E$43=3,Dados!$AH$21,IF($E$43=4,Dados!$AJ$21,IF($E$43=5,Dados!$AL$21,IF($E$43=6,Dados!$AN$21,IF($E$43=7,Dados!$AP$21,IF($E$43=8,Dados!$AT$21,0)))))))</f>
        <v>0</v>
      </c>
      <c r="EA13" s="316">
        <f>IF($E$44=2,Dados!$AE$21,IF($E$44=3,Dados!$AG$21,IF($E$44=4,Dados!$AI$21,IF($E$44=5,Dados!$AK$21,IF($E$44=6,Dados!$AM$21,IF($E$44=7,Dados!$AO$21,IF($E$44=8,Dados!$AS$21,0)))))))</f>
        <v>0</v>
      </c>
      <c r="EB13" s="304">
        <f>IF($E$44=2,Dados!$AF$21,IF($E$44=3,Dados!$AH$21,IF($E$44=4,Dados!$AJ$21,IF($E$44=5,Dados!$AL$21,IF($E$44=6,Dados!$AN$21,IF($E$44=7,Dados!$AP$21,IF($E$44=8,Dados!$AT$21,0)))))))</f>
        <v>0</v>
      </c>
      <c r="EC13" s="316">
        <f>IF($E$45=2,Dados!$AE$21,IF($E$45=3,Dados!$AG$21,IF($E$45=4,Dados!$AI$21,IF($E$45=5,Dados!$AK$21,IF($E$45=6,Dados!$AM$21,IF($E$45=7,Dados!$AO$21,IF($E$45=8,Dados!$AS$21,0)))))))</f>
        <v>0</v>
      </c>
      <c r="ED13" s="304">
        <f>IF($E$45=2,Dados!$AF$21,IF($E$45=3,Dados!$AH$21,IF($E$45=4,Dados!$AJ$21,IF($E$45=5,Dados!$AL$21,IF($E$45=6,Dados!$AN$21,IF($E$45=7,Dados!$AP$21,IF($E$45=8,Dados!$AT$21,0)))))))</f>
        <v>0</v>
      </c>
      <c r="EE13" s="316">
        <f>IF($E$46=2,Dados!$AE$21,IF($E$46=3,Dados!$AG$21,IF($E$46=4,Dados!$AI$21,IF($E$46=5,Dados!$AK$21,IF($E$46=6,Dados!$AM$21,IF($E$46=7,Dados!$AO$21,IF($E$46=8,Dados!$AS$21,0)))))))</f>
        <v>0</v>
      </c>
      <c r="EF13" s="304">
        <f>IF($E$46=2,Dados!$AF$21,IF($E$46=3,Dados!$AH$21,IF($E$46=4,Dados!$AJ$21,IF($E$46=5,Dados!$AL$21,IF($E$46=6,Dados!$AN$21,IF($E$46=7,Dados!$AP$21,IF($E$46=8,Dados!$AT$21,0)))))))</f>
        <v>0</v>
      </c>
      <c r="EG13" s="316">
        <f>IF($E$47=2,Dados!$AE$21,IF($E$47=3,Dados!$AG$21,IF($E$47=4,Dados!$AI$21,IF($E$47=5,Dados!$AK$21,IF($E$47=6,Dados!$AM$21,IF($E$47=7,Dados!$AO$21,IF($E$47=8,Dados!$AS$21,0)))))))</f>
        <v>0</v>
      </c>
      <c r="EH13" s="304">
        <f>IF($E$47=2,Dados!$AF$21,IF($E$47=3,Dados!$AH$21,IF($E$47=4,Dados!$AJ$21,IF($E$47=5,Dados!$AL$21,IF($E$47=6,Dados!$AN$21,IF($E$47=7,Dados!$AP$21,IF($E$47=8,Dados!$AT$21,0)))))))</f>
        <v>0</v>
      </c>
      <c r="EJ13" s="316">
        <f>IF($E$52=2,Dados!$AE$21,IF($E$52=3,Dados!$AG$21,IF($E$52=4,Dados!$AI$21,IF($E$52=5,Dados!$AK$21,IF($E$52=6,Dados!$AM$21,IF($E$52=7,Dados!$AO$21,IF($E$52=8,Dados!$AS$21,0)))))))</f>
        <v>0</v>
      </c>
      <c r="EK13" s="304">
        <f>IF($E$52=2,Dados!$AF$21,IF($E$52=3,Dados!$AH$21,IF($E$52=4,Dados!$AJ$21,IF($E$52=5,Dados!$AL$21,IF($E$52=6,Dados!$AN$21,IF($E$52=7,Dados!$AP$21,IF($E$52=8,Dados!$AT$21,0)))))))</f>
        <v>0</v>
      </c>
      <c r="EL13" s="316">
        <f>IF($E$53=2,Dados!$AE$21,IF($E$53=3,Dados!$AG$21,IF($E$53=4,Dados!$AI$21,IF($E$53=5,Dados!$AK$21,IF($E$53=6,Dados!$AM$21,IF($E$53=7,Dados!$AO$21,IF($E$53=8,Dados!$AS$21,0)))))))</f>
        <v>0</v>
      </c>
      <c r="EM13" s="304">
        <f>IF($E$53=2,Dados!$AF$21,IF($E$53=3,Dados!$AH$21,IF($E$53=4,Dados!$AJ$21,IF($E$53=5,Dados!$AL$21,IF($E$53=6,Dados!$AN$21,IF($E$53=7,Dados!$AP$21,IF($E$53=8,Dados!$AT$21,0)))))))</f>
        <v>0</v>
      </c>
      <c r="EN13" s="316">
        <f>IF($E$54=2,Dados!$AE$21,IF($E$54=3,Dados!$AG$21,IF($E$54=4,Dados!$AI$21,IF($E$54=5,Dados!$AK$21,IF($E$54=6,Dados!$AM$21,IF($E$54=7,Dados!$AO$21,IF($E$54=8,Dados!$AS$21,0)))))))</f>
        <v>0</v>
      </c>
      <c r="EO13" s="304">
        <f>IF($E$54=2,Dados!$AF$21,IF($E$54=3,Dados!$AH$21,IF($E$54=4,Dados!$AJ$21,IF($E$54=5,Dados!$AL$21,IF($E$54=6,Dados!$AN$21,IF($E$54=7,Dados!$AP$21,IF($E$54=8,Dados!$AT$21,0)))))))</f>
        <v>0</v>
      </c>
      <c r="EP13" s="316">
        <f>IF($E$55=2,Dados!$AE$21,IF($E$55=3,Dados!$AG$21,IF($E$55=4,Dados!$AI$21,IF($E$55=5,Dados!$AK$21,IF($E$55=6,Dados!$AM$21,IF($E$55=7,Dados!$AO$21,IF($E$55=8,Dados!$AS$21,0)))))))</f>
        <v>0</v>
      </c>
      <c r="EQ13" s="304">
        <f>IF($E$55=2,Dados!$AF$21,IF($E$55=3,Dados!$AH$21,IF($E$55=4,Dados!$AJ$21,IF($E$55=5,Dados!$AL$21,IF($E$55=6,Dados!$AN$21,IF($E$55=7,Dados!$AP$21,IF($E$55=8,Dados!$AT$21,0)))))))</f>
        <v>0</v>
      </c>
      <c r="ER13" s="316">
        <f>IF($E$56=2,Dados!$AE$21,IF($E$56=3,Dados!$AG$21,IF($E$56=4,Dados!$AI$21,IF($E$56=5,Dados!$AK$21,IF($E$56=6,Dados!$AM$21,IF($E$56=7,Dados!$AO$21,IF($E$56=8,Dados!$AS$21,0)))))))</f>
        <v>0</v>
      </c>
      <c r="ES13" s="304">
        <f>IF($E$56=2,Dados!$AF$21,IF($E$56=3,Dados!$AH$21,IF($E$56=4,Dados!$AJ$21,IF($E$56=5,Dados!$AL$21,IF($E$56=6,Dados!$AN$21,IF($E$56=7,Dados!$AP$21,IF($E$56=8,Dados!$AT$21,0)))))))</f>
        <v>0</v>
      </c>
      <c r="EU13" s="316">
        <f>IF($E$61=2,Dados!$AE$21,IF($E$61=3,Dados!$AG$21,IF($E$61=4,Dados!$AI$21,IF($E$61=5,Dados!$AK$21,IF($E$61=6,Dados!$AM$21,IF($E$61=7,Dados!$AO$21,IF($E$61=8,Dados!$AS$21,0)))))))</f>
        <v>0</v>
      </c>
      <c r="EV13" s="304">
        <f>IF($E$61=2,Dados!$AF$21,IF($E$61=3,Dados!$AH$21,IF($E$61=4,Dados!$AJ$21,IF($E$61=5,Dados!$AL$21,IF($E$61=6,Dados!$AN$21,IF($E$61=7,Dados!$AP$21,IF($E$61=8,Dados!$AT$21,0)))))))</f>
        <v>0</v>
      </c>
      <c r="EW13" s="316">
        <f>IF($E$62=2,Dados!$AE$21,IF($E$62=3,Dados!$AG$21,IF($E$62=4,Dados!$AI$21,IF($E$62=5,Dados!$AK$21,IF($E$62=6,Dados!$AM$21,IF($E$62=7,Dados!$AO$21,IF($E$62=8,Dados!$AS$21,0)))))))</f>
        <v>0</v>
      </c>
      <c r="EX13" s="304">
        <f>IF($E$62=2,Dados!$AF$21,IF($E$62=3,Dados!$AH$21,IF($E$62=4,Dados!$AJ$21,IF($E$62=5,Dados!$AL$21,IF($E$62=6,Dados!$AN$21,IF($E$62=7,Dados!$AP$21,IF($E$62=8,Dados!$AT$21,0)))))))</f>
        <v>0</v>
      </c>
      <c r="EY13" s="316">
        <f>IF($E$63=2,Dados!$AE$21,IF($E$63=3,Dados!$AG$21,IF($E$63=4,Dados!$AI$21,IF($E$63=5,Dados!$AK$21,IF($E$63=6,Dados!$AM$21,IF($E$63=7,Dados!$AO$21,IF($E$63=8,Dados!$AS$21,0)))))))</f>
        <v>0</v>
      </c>
      <c r="EZ13" s="304">
        <f>IF($E$63=2,Dados!$AF$21,IF($E$63=3,Dados!$AH$21,IF($E$63=4,Dados!$AJ$21,IF($E$63=5,Dados!$AL$21,IF($E$63=6,Dados!$AN$21,IF($E$63=7,Dados!$AP$21,IF($E$63=8,Dados!$AT$21,0)))))))</f>
        <v>0</v>
      </c>
      <c r="FA13" s="316">
        <f>IF($E$64=2,Dados!$AE$21,IF($E$64=3,Dados!$AG$21,IF($E$64=4,Dados!$AI$21,IF($E$64=5,Dados!$AK$21,IF($E$64=6,Dados!$AM$21,IF($E$64=7,Dados!$AO$21,IF($E$64=8,Dados!$AS$21,0)))))))</f>
        <v>0</v>
      </c>
      <c r="FB13" s="304">
        <f>IF($E$64=2,Dados!$AF$21,IF($E$64=3,Dados!$AH$21,IF($E$64=4,Dados!$AJ$21,IF($E$64=5,Dados!$AL$21,IF($E$64=6,Dados!$AN$21,IF($E$64=7,Dados!$AP$21,IF($E$64=8,Dados!$AT$21,0)))))))</f>
        <v>0</v>
      </c>
      <c r="FC13" s="316">
        <f>IF($E$65=2,Dados!$AE$21,IF($E$65=3,Dados!$AG$21,IF($E$65=4,Dados!$AI$21,IF($E$65=5,Dados!$AK$21,IF($E$65=6,Dados!$AM$21,IF($E$65=7,Dados!$AO$21,IF($E$65=8,Dados!$AS$21,0)))))))</f>
        <v>0</v>
      </c>
      <c r="FD13" s="304">
        <f>IF($E$65=2,Dados!$AF$21,IF($E$65=3,Dados!$AH$21,IF($E$65=4,Dados!$AJ$21,IF($E$65=5,Dados!$AL$21,IF($E$65=6,Dados!$AN$21,IF($E$65=7,Dados!$AP$21,IF($E$65=8,Dados!$AT$21,0)))))))</f>
        <v>0</v>
      </c>
      <c r="FF13" s="316">
        <f>IF($E$70=2,Dados!$AE$21,IF($E$70=3,Dados!$AG$21,IF($E$70=4,Dados!$AI$21,IF($E$70=5,Dados!$AK$21,IF($E$70=6,Dados!$AM$21,IF($E$70=7,Dados!$AO$21,IF($E$70=8,Dados!$AS$21,0)))))))</f>
        <v>0</v>
      </c>
      <c r="FG13" s="304">
        <f>IF($E$70=2,Dados!$AF$21,IF($E$70=3,Dados!$AH$21,IF($E$70=4,Dados!$AJ$21,IF($E$70=5,Dados!$AL$21,IF($E$70=6,Dados!$AN$21,IF($E$70=7,Dados!$AP$21,IF($E$70=8,Dados!$AT$21,0)))))))</f>
        <v>0</v>
      </c>
      <c r="FH13" s="316">
        <f>IF($E$71=2,Dados!$AE$21,IF($E$71=3,Dados!$AG$21,IF($E$71=4,Dados!$AI$21,IF($E$71=5,Dados!$AK$21,IF($E$71=6,Dados!$AM$21,IF($E$71=7,Dados!$AO$21,IF($E$71=8,Dados!$AS$21,0)))))))</f>
        <v>0</v>
      </c>
      <c r="FI13" s="304">
        <f>IF($E$71=2,Dados!$AF$21,IF($E$71=3,Dados!$AH$21,IF($E$71=4,Dados!$AJ$21,IF($E$71=5,Dados!$AL$21,IF($E$71=6,Dados!$AN$21,IF($E$71=7,Dados!$AP$21,IF($E$71=8,Dados!$AT$21,0)))))))</f>
        <v>0</v>
      </c>
      <c r="FJ13" s="316">
        <f>IF($E$72=2,Dados!$AE$21,IF($E$72=3,Dados!$AG$21,IF($E$72=4,Dados!$AI$21,IF($E$72=5,Dados!$AK$21,IF($E$72=6,Dados!$AM$21,IF($E$72=7,Dados!$AO$21,IF($E$72=8,Dados!$AS$21,0)))))))</f>
        <v>0</v>
      </c>
      <c r="FK13" s="304">
        <f>IF($E$72=2,Dados!$AF$21,IF($E$72=3,Dados!$AH$21,IF($E$72=4,Dados!$AJ$21,IF($E$72=5,Dados!$AL$21,IF($E$72=6,Dados!$AN$21,IF($E$72=7,Dados!$AP$21,IF($E$72=8,Dados!$AT$21,0)))))))</f>
        <v>0</v>
      </c>
      <c r="FL13" s="316">
        <f>IF($E$73=2,Dados!$AE$21,IF($E$73=3,Dados!$AG$21,IF($E$73=4,Dados!$AI$21,IF($E$73=5,Dados!$AK$21,IF($E$73=6,Dados!$AM$21,IF($E$73=7,Dados!$AO$21,IF($E$73=8,Dados!$AS$21,0)))))))</f>
        <v>0</v>
      </c>
      <c r="FM13" s="304">
        <f>IF($E$73=2,Dados!$AF$21,IF($E$73=3,Dados!$AH$21,IF($E$73=4,Dados!$AJ$21,IF($E$73=5,Dados!$AL$21,IF($E$73=6,Dados!$AN$21,IF($E$73=7,Dados!$AP$21,IF($E$73=8,Dados!$AT$21,0)))))))</f>
        <v>0</v>
      </c>
      <c r="FN13" s="316">
        <f>IF($E$74=2,Dados!$AE$21,IF($E$74=3,Dados!$AG$21,IF($E$74=4,Dados!$AI$21,IF($E$74=5,Dados!$AK$21,IF($E$74=6,Dados!$AM$21,IF($E$74=7,Dados!$AO$21,IF($E$74=8,Dados!$AS$21,0)))))))</f>
        <v>0</v>
      </c>
      <c r="FO13" s="304">
        <f>IF($E$74=2,Dados!$AF$21,IF($E$74=3,Dados!$AH$21,IF($E$74=4,Dados!$AJ$21,IF($E$74=5,Dados!$AL$21,IF($E$74=6,Dados!$AN$21,IF($E$74=7,Dados!$AP$21,IF($E$74=8,Dados!$AT$21,0)))))))</f>
        <v>0</v>
      </c>
      <c r="FQ13" s="316">
        <f>IF($E$79=2,Dados!$AE$21,IF($E$79=3,Dados!$AG$21,IF($E$79=4,Dados!$AI$21,IF($E$79=5,Dados!$AK$21,IF($E$79=6,Dados!$AM$21,IF($E$79=7,Dados!$AO$21,IF($E$79=8,Dados!$AS$21,0)))))))</f>
        <v>0</v>
      </c>
      <c r="FR13" s="304">
        <f>IF($E$79=2,Dados!$AF$21,IF($E$79=3,Dados!$AH$21,IF($E$79=4,Dados!$AJ$21,IF($E$79=5,Dados!$AL$21,IF($E$79=6,Dados!$AN$21,IF($E$79=7,Dados!$AP$21,IF($E$79=8,Dados!$AT$21,0)))))))</f>
        <v>0</v>
      </c>
      <c r="FS13" s="316">
        <f>IF($E$80=2,Dados!$AE$21,IF($E$80=3,Dados!$AG$21,IF($E$80=4,Dados!$AI$21,IF($E$80=5,Dados!$AK$21,IF($E$80=6,Dados!$AM$21,IF($E$80=7,Dados!$AO$21,IF($E$80=8,Dados!$AS$21,0)))))))</f>
        <v>0</v>
      </c>
      <c r="FT13" s="304">
        <f>IF($E$80=2,Dados!$AF$21,IF($E$80=3,Dados!$AH$21,IF($E$80=4,Dados!$AJ$21,IF($E$80=5,Dados!$AL$21,IF($E$80=6,Dados!$AN$21,IF($E$80=7,Dados!$AP$21,IF($E$80=8,Dados!$AT$21,0)))))))</f>
        <v>0</v>
      </c>
      <c r="FU13" s="316">
        <f>IF($E$81=2,Dados!$AE$21,IF($E$81=3,Dados!$AG$21,IF($E$81=4,Dados!$AI$21,IF($E$81=5,Dados!$AK$21,IF($E$81=6,Dados!$AM$21,IF($E$81=7,Dados!$AO$21,IF($E$81=8,Dados!$AS$21,0)))))))</f>
        <v>0</v>
      </c>
      <c r="FV13" s="304">
        <f>IF($E$81=2,Dados!$AF$21,IF($E$81=3,Dados!$AH$21,IF($E$81=4,Dados!$AJ$21,IF($E$81=5,Dados!$AL$21,IF($E$81=6,Dados!$AN$21,IF($E$81=7,Dados!$AP$21,IF($E$81=8,Dados!$AT$21,0)))))))</f>
        <v>0</v>
      </c>
      <c r="FW13" s="316">
        <f>IF($E$82=2,Dados!$AE$21,IF($E$82=3,Dados!$AG$21,IF($E$82=4,Dados!$AI$21,IF($E$82=5,Dados!$AK$21,IF($E$82=6,Dados!$AM$21,IF($E$82=7,Dados!$AO$21,IF($E$82=8,Dados!$AS$21,0)))))))</f>
        <v>0</v>
      </c>
      <c r="FX13" s="304">
        <f>IF($E$82=2,Dados!$AF$21,IF($E$82=3,Dados!$AH$21,IF($E$82=4,Dados!$AJ$21,IF($E$82=5,Dados!$AL$21,IF($E$82=6,Dados!$AN$21,IF($E$82=7,Dados!$AP$21,IF($E$82=8,Dados!$AT$21,0)))))))</f>
        <v>0</v>
      </c>
      <c r="FY13" s="316">
        <f>IF($E$83=2,Dados!$AE$21,IF($E$83=3,Dados!$AG$21,IF($E$83=4,Dados!$AI$21,IF($E$83=5,Dados!$AK$21,IF($E$83=6,Dados!$AM$21,IF($E$83=7,Dados!$AO$21,IF($E$83=8,Dados!$AS$21,0)))))))</f>
        <v>0</v>
      </c>
      <c r="FZ13" s="304">
        <f>IF($E$83=2,Dados!$AF$21,IF($E$83=3,Dados!$AH$21,IF($E$83=4,Dados!$AJ$21,IF($E$83=5,Dados!$AL$21,IF($E$83=6,Dados!$AN$21,IF($E$83=7,Dados!$AP$21,IF($E$83=8,Dados!$AT$21,0)))))))</f>
        <v>0</v>
      </c>
      <c r="GB13" s="316">
        <f>IF($E$88=2,Dados!$AE$21,IF($E$88=3,Dados!$AG$21,IF($E$88=4,Dados!$AI$21,IF($E$88=5,Dados!$AK$21,IF($E$88=6,Dados!$AM$21,IF($E$88=7,Dados!$AO$21,IF($E$88=8,Dados!$AS$21,0)))))))</f>
        <v>0</v>
      </c>
      <c r="GC13" s="304">
        <f>IF($E$88=2,Dados!$AF$21,IF($E$88=3,Dados!$AH$21,IF($E$88=4,Dados!$AJ$21,IF($E$88=5,Dados!$AL$21,IF($E$88=6,Dados!$AN$21,IF($E$88=7,Dados!$AP$21,IF($E$88=8,Dados!$AT$21,0)))))))</f>
        <v>0</v>
      </c>
      <c r="GD13" s="316">
        <f>IF($E$89=2,Dados!$AE$21,IF($E$89=3,Dados!$AG$21,IF($E$89=4,Dados!$AI$21,IF($E$89=5,Dados!$AK$21,IF($E$89=6,Dados!$AM$21,IF($E$89=7,Dados!$AO$21,IF($E$89=8,Dados!$AS$21,0)))))))</f>
        <v>0</v>
      </c>
      <c r="GE13" s="304">
        <f>IF($E$89=2,Dados!$AF$21,IF($E$89=3,Dados!$AH$21,IF($E$89=4,Dados!$AJ$21,IF($E$89=5,Dados!$AL$21,IF($E$89=6,Dados!$AN$21,IF($E$89=7,Dados!$AP$21,IF($E$89=8,Dados!$AT$21,0)))))))</f>
        <v>0</v>
      </c>
      <c r="GF13" s="316">
        <f>IF($E$90=2,Dados!$AE$21,IF($E$90=3,Dados!$AG$21,IF($E$90=4,Dados!$AI$21,IF($E$90=5,Dados!$AK$21,IF($E$90=6,Dados!$AM$21,IF($E$90=7,Dados!$AO$21,IF($E$90=8,Dados!$AS$21,0)))))))</f>
        <v>0</v>
      </c>
      <c r="GG13" s="304">
        <f>IF($E$90=2,Dados!$AF$21,IF($E$90=3,Dados!$AH$21,IF($E$90=4,Dados!$AJ$21,IF($E$90=5,Dados!$AL$21,IF($E$90=6,Dados!$AN$21,IF($E$90=7,Dados!$AP$21,IF($E$90=8,Dados!$AT$21,0)))))))</f>
        <v>0</v>
      </c>
      <c r="GH13" s="316">
        <f>IF($E$91=2,Dados!$AE$21,IF($E$91=3,Dados!$AG$21,IF($E$91=4,Dados!$AI$21,IF($E$91=5,Dados!$AK$21,IF($E$91=6,Dados!$AM$21,IF($E$91=7,Dados!$AO$21,IF($E$91=8,Dados!$AS$21,0)))))))</f>
        <v>0</v>
      </c>
      <c r="GI13" s="304">
        <f>IF($E$91=2,Dados!$AF$21,IF($E$91=3,Dados!$AH$21,IF($E$91=4,Dados!$AJ$21,IF($E$91=5,Dados!$AL$21,IF($E$91=6,Dados!$AN$21,IF($E$91=7,Dados!$AP$21,IF($E$91=8,Dados!$AT$21,0)))))))</f>
        <v>0</v>
      </c>
      <c r="GJ13" s="316">
        <f>IF($E$92=2,Dados!$AE$21,IF($E$92=3,Dados!$AG$21,IF($E$92=4,Dados!$AI$21,IF($E$92=5,Dados!$AK$21,IF($E$92=6,Dados!$AM$21,IF($E$92=7,Dados!$AO$21,IF($E$92=8,Dados!$AS$21,0)))))))</f>
        <v>0</v>
      </c>
      <c r="GK13" s="304">
        <f>IF($E$92=2,Dados!$AF$21,IF($E$92=3,Dados!$AH$21,IF($E$92=4,Dados!$AJ$21,IF($E$92=5,Dados!$AL$21,IF($E$92=6,Dados!$AN$21,IF($E$92=7,Dados!$AP$21,IF($E$92=8,Dados!$AT$21,0)))))))</f>
        <v>0</v>
      </c>
      <c r="GM13" s="316">
        <f>IF($E$97=2,Dados!$AE$21,IF($E$97=3,Dados!$AG$21,IF($E$97=4,Dados!$AI$21,IF($E$97=5,Dados!$AK$21,IF($E$97=6,Dados!$AM$21,IF($E$97=7,Dados!$AO$21,IF($E$97=8,Dados!$AS$21,0)))))))</f>
        <v>0</v>
      </c>
      <c r="GN13" s="304">
        <f>IF($E$97=2,Dados!$AF$21,IF($E$97=3,Dados!$AH$21,IF($E$97=4,Dados!$AJ$21,IF($E$97=5,Dados!$AL$21,IF($E$97=6,Dados!$AN$21,IF($E$97=7,Dados!$AP$21,IF($E$97=8,Dados!$AT$21,0)))))))</f>
        <v>0</v>
      </c>
      <c r="GO13" s="316">
        <f>IF($E$98=2,Dados!$AE$21,IF($E$98=3,Dados!$AG$21,IF($E$98=4,Dados!$AI$21,IF($E$98=5,Dados!$AK$21,IF($E$98=6,Dados!$AM$21,IF($E$98=7,Dados!$AO$21,IF($E$98=8,Dados!$AS$21,0)))))))</f>
        <v>0</v>
      </c>
      <c r="GP13" s="304">
        <f>IF($E$98=2,Dados!$AF$21,IF($E$98=3,Dados!$AH$21,IF($E$98=4,Dados!$AJ$21,IF($E$98=5,Dados!$AL$21,IF($E$98=6,Dados!$AN$21,IF($E$98=7,Dados!$AP$21,IF($E$98=8,Dados!$AT$21,0)))))))</f>
        <v>0</v>
      </c>
      <c r="GQ13" s="316">
        <f>IF($E$99=2,Dados!$AE$21,IF($E$99=3,Dados!$AG$21,IF($E$99=4,Dados!$AI$21,IF($E$99=5,Dados!$AK$21,IF($E$99=6,Dados!$AM$21,IF($E$99=7,Dados!$AO$21,IF($E$99=8,Dados!$AS$21,0)))))))</f>
        <v>0</v>
      </c>
      <c r="GR13" s="304">
        <f>IF($E$99=2,Dados!$AF$21,IF($E$99=3,Dados!$AH$21,IF($E$99=4,Dados!$AJ$21,IF($E$99=5,Dados!$AL$21,IF($E$99=6,Dados!$AN$21,IF($E$99=7,Dados!$AP$21,IF($E$99=8,Dados!$AT$21,0)))))))</f>
        <v>0</v>
      </c>
      <c r="GS13" s="316">
        <f>IF($E$100=2,Dados!$AE$21,IF($E$100=3,Dados!$AG$21,IF($E$100=4,Dados!$AI$21,IF($E$100=5,Dados!$AK$21,IF($E$100=6,Dados!$AM$21,IF($E$100=7,Dados!$AO$21,IF($E$100=8,Dados!$AS$21,0)))))))</f>
        <v>0</v>
      </c>
      <c r="GT13" s="304">
        <f>IF($E$100=2,Dados!$AF$21,IF($E$100=3,Dados!$AH$21,IF($E$100=4,Dados!$AJ$21,IF($E$100=5,Dados!$AL$21,IF($E$100=6,Dados!$AN$21,IF($E$100=7,Dados!$AP$21,IF($E$100=8,Dados!$AT$21,0)))))))</f>
        <v>0</v>
      </c>
      <c r="GU13" s="316">
        <f>IF($E$101=2,Dados!$AE$21,IF($E$101=3,Dados!$AG$21,IF($E$101=4,Dados!$AI$21,IF($E$101=5,Dados!$AK$21,IF($E$101=6,Dados!$AM$21,IF($E$101=7,Dados!$AO$21,IF($E$101=8,Dados!$AS$21,0)))))))</f>
        <v>0</v>
      </c>
      <c r="GV13" s="304">
        <f>IF($E$101=2,Dados!$AF$21,IF($E$101=3,Dados!$AH$21,IF($E$101=4,Dados!$AJ$21,IF($E$101=5,Dados!$AL$21,IF($E$101=6,Dados!$AN$21,IF($E$101=7,Dados!$AP$21,IF($E$101=8,Dados!$AT$21,0)))))))</f>
        <v>0</v>
      </c>
      <c r="GX13" s="316">
        <f>IF($E$106=2,Dados!$AE$21,IF($E$106=3,Dados!$AG$21,IF($E$106=4,Dados!$AI$21,IF($E$106=5,Dados!$AK$21,IF($E$106=6,Dados!$AM$21,IF($E$106=7,Dados!$AO$21,IF($E$106=8,Dados!$AS$21,0)))))))</f>
        <v>0</v>
      </c>
      <c r="GY13" s="304">
        <f>IF($E$106=2,Dados!$AF$21,IF($E$106=3,Dados!$AH$21,IF($E$106=4,Dados!$AJ$21,IF($E$106=5,Dados!$AL$21,IF($E$106=6,Dados!$AN$21,IF($E$106=7,Dados!$AP$21,IF($E$106=8,Dados!$AT$21,0)))))))</f>
        <v>0</v>
      </c>
      <c r="GZ13" s="316">
        <f>IF($E$107=2,Dados!$AE$21,IF($E$107=3,Dados!$AG$21,IF($E$107=4,Dados!$AI$21,IF($E$107=5,Dados!$AK$21,IF($E$107=6,Dados!$AM$21,IF($E$107=7,Dados!$AO$21,IF($E$107=8,Dados!$AS$21,0)))))))</f>
        <v>0</v>
      </c>
      <c r="HA13" s="304">
        <f>IF($E$107=2,Dados!$AF$21,IF($E$107=3,Dados!$AH$21,IF($E$107=4,Dados!$AJ$21,IF($E$107=5,Dados!$AL$21,IF($E$107=6,Dados!$AN$21,IF($E$107=7,Dados!$AP$21,IF($E$107=8,Dados!$AT$21,0)))))))</f>
        <v>0</v>
      </c>
      <c r="HB13" s="316">
        <f>IF($E$108=2,Dados!$AE$21,IF($E$108=3,Dados!$AG$21,IF($E$108=4,Dados!$AI$21,IF($E$108=5,Dados!$AK$21,IF($E$108=6,Dados!$AM$21,IF($E$108=7,Dados!$AO$21,IF($E$108=8,Dados!$AS$21,0)))))))</f>
        <v>0</v>
      </c>
      <c r="HC13" s="304">
        <f>IF($E$108=2,Dados!$AF$21,IF($E$108=3,Dados!$AH$21,IF($E$108=4,Dados!$AJ$21,IF($E$108=5,Dados!$AL$21,IF($E$108=6,Dados!$AN$21,IF($E$108=7,Dados!$AP$21,IF($E$108=8,Dados!$AT$21,0)))))))</f>
        <v>0</v>
      </c>
      <c r="HD13" s="316">
        <f>IF($E$109=2,Dados!$AE$21,IF($E$109=3,Dados!$AG$21,IF($E$109=4,Dados!$AI$21,IF($E$109=5,Dados!$AK$21,IF($E$109=6,Dados!$AM$21,IF($E$109=7,Dados!$AO$21,IF($E$109=8,Dados!$AS$21,0)))))))</f>
        <v>0</v>
      </c>
      <c r="HE13" s="304">
        <f>IF($E$109=2,Dados!$AF$21,IF($E$109=3,Dados!$AH$21,IF($E$109=4,Dados!$AJ$21,IF($E$109=5,Dados!$AL$21,IF($E$109=6,Dados!$AN$21,IF($E$109=7,Dados!$AP$21,IF($E$109=8,Dados!$AT$21,0)))))))</f>
        <v>0</v>
      </c>
      <c r="HF13" s="316">
        <f>IF($E$110=2,Dados!$AE$21,IF($E$110=3,Dados!$AG$21,IF($E$110=4,Dados!$AI$21,IF($E$110=5,Dados!$AK$21,IF($E$110=6,Dados!$AM$21,IF($E$110=7,Dados!$AO$21,IF($E$110=8,Dados!$AS$21,0)))))))</f>
        <v>0</v>
      </c>
      <c r="HG13" s="304">
        <f>IF($E$110=2,Dados!$AF$21,IF($E$110=3,Dados!$AH$21,IF($E$110=4,Dados!$AJ$21,IF($E$110=5,Dados!$AL$21,IF($E$110=6,Dados!$AN$21,IF($E$110=7,Dados!$AP$21,IF($E$110=8,Dados!$AT$21,0)))))))</f>
        <v>0</v>
      </c>
    </row>
    <row r="14" spans="3:215" x14ac:dyDescent="0.2">
      <c r="I14" s="126" t="s">
        <v>519</v>
      </c>
      <c r="K14" s="118"/>
      <c r="L14" s="118"/>
      <c r="P14" s="416"/>
      <c r="X14" s="2625" t="s">
        <v>414</v>
      </c>
      <c r="Y14" s="2625"/>
      <c r="Z14" s="183" t="s">
        <v>1246</v>
      </c>
      <c r="AE14" s="1160" t="str">
        <f>Rebanho!C56</f>
        <v>Bezerras desmamadas</v>
      </c>
      <c r="AF14" s="1195">
        <f>IF(Rebanho!E56&gt;0,1,0)</f>
        <v>0</v>
      </c>
      <c r="AG14" s="1193">
        <f>Rebanho!E56</f>
        <v>0</v>
      </c>
      <c r="AH14" s="1336">
        <f>Rebanho!AS53</f>
        <v>0</v>
      </c>
      <c r="AI14" s="1178">
        <f>((SUMIFS($Z$7:$Z$110,$E$7:$E$110,"=2",$N$7:$N$110,"=9")+SUMIFS($Z$7:$Z$110,$E$7:$E$110,"=2",$N$7:$N$110,"=19")))*($AF$14)</f>
        <v>0</v>
      </c>
      <c r="AJ14" s="1178">
        <f>((SUMIFS($Z$7:$Z$110,$E$7:$E$110,"=3",$N$7:$N$110,"=9")+SUMIFS($Z$7:$Z$110,$E$7:$E$110,"=3",$N$7:$N$110,"=19")))*($AF$14)</f>
        <v>0</v>
      </c>
      <c r="AK14" s="1178">
        <f>((SUMIFS($Z$7:$Z$110,$E$7:$E$110,"=4",$N$7:$N$110,"=9")+SUMIFS($Z$7:$Z$110,$E$7:$E$110,"=4",$N$7:$N$110,"=19")))*($AF$14)</f>
        <v>0</v>
      </c>
      <c r="AL14" s="1178">
        <f>((SUMIFS($Z$7:$Z$110,$E$7:$E$110,"=5",$N$7:$N$110,"=9")+SUMIFS($Z$7:$Z$110,$E$7:$E$110,"=5",$N$7:$N$110,"=19")))*($AF$14)</f>
        <v>0</v>
      </c>
      <c r="AM14" s="1178">
        <f>((SUMIFS($Z$7:$Z$110,$E$7:$E$110,"=6",$N$7:$N$110,"=9")+SUMIFS($Z$7:$Z$110,$E$7:$E$110,"=6",$N$7:$N$110,"=19")))*($AF$14)</f>
        <v>0</v>
      </c>
      <c r="AN14" s="1178">
        <f>((SUMIFS($Z$7:$Z$110,$E$7:$E$110,"=7",$N$7:$N$110,"=9")+SUMIFS($Z$7:$Z$110,$E$7:$E$110,"=7",$N$7:$N$110,"=19")))*($AF$14)</f>
        <v>0</v>
      </c>
      <c r="AO14" s="1208">
        <f>((SUMIFS($Z$7:$Z$110,$E$7:$E$110,"=8",$N$7:$N$110,"=9")+SUMIFS($Z$7:$Z$110,$E$7:$E$110,"=8",$N$7:$N$110,"=19")))*($AF$14)</f>
        <v>0</v>
      </c>
      <c r="AP14" s="1208">
        <f t="shared" si="3"/>
        <v>0</v>
      </c>
      <c r="AQ14" s="1184">
        <f t="shared" si="2"/>
        <v>0</v>
      </c>
      <c r="CF14" s="93">
        <v>9</v>
      </c>
      <c r="CG14" s="316" t="str">
        <f>IF($E$7=2,Dados!$AE$22,IF($E$7=3,Dados!$AG$22,IF($E$7=4,Dados!$AI$22,IF($E$7=5,Dados!$AK$22,IF($E$7=6,Dados!$AM$22,IF($E$7=7,Dados!$AO$22,IF($E$7=8,Dados!$AS$22,0)))))))</f>
        <v>Raiva</v>
      </c>
      <c r="CH14" s="304" t="str">
        <f>IF($E$7=2,Dados!$AF$22,IF($E$7=3,Dados!$AH$22,IF($E$7=4,Dados!$AJ$22,IF($E$7=5,Dados!$AL$22,IF($E$7=6,Dados!$AN$22,IF($E$7=7,Dados!$AP$22,IF($E$7=8,Dados!$AT$22,0)))))))</f>
        <v>dose</v>
      </c>
      <c r="CI14" s="316" t="str">
        <f>IF($E$8=2,Dados!$AE$22,IF($E$8=3,Dados!$AG$22,IF($E$8=4,Dados!$AI$22,IF($E$8=5,Dados!$AK$22,IF($E$8=6,Dados!$AM$22,IF($E$8=7,Dados!$AO$22,IF($E$8=8,Dados!$AS$22,0)))))))</f>
        <v>Raiva</v>
      </c>
      <c r="CJ14" s="304" t="str">
        <f>IF($E$8=2,Dados!$AF$22,IF($E$8=3,Dados!$AH$22,IF($E$8=4,Dados!$AJ$22,IF($E$8=5,Dados!$AL$22,IF($E$8=6,Dados!$AN$22,IF($E$8=7,Dados!$AP$22,IF($E$8=8,Dados!$AT$22,0)))))))</f>
        <v>dose</v>
      </c>
      <c r="CK14" s="316" t="str">
        <f>IF($E$9=2,Dados!$AE$22,IF($E$9=3,Dados!$AG$22,IF($E$9=4,Dados!$AI$22,IF($E$9=5,Dados!$AK$22,IF($E$9=6,Dados!$AM$22,IF($E$9=7,Dados!$AO$22,IF($E$9=8,Dados!$AS$22,0)))))))</f>
        <v>Raiva</v>
      </c>
      <c r="CL14" s="304" t="str">
        <f>IF($E$9=2,Dados!$AF$22,IF($E$9=3,Dados!$AH$22,IF($E$9=4,Dados!$AJ$22,IF($E$9=5,Dados!$AL$22,IF($E$9=6,Dados!$AN$22,IF($E$9=7,Dados!$AP$22,IF($E$9=8,Dados!$AT$22,0)))))))</f>
        <v>dose</v>
      </c>
      <c r="CM14" s="316" t="str">
        <f>IF($E$10=2,Dados!$AE$22,IF($E$10=3,Dados!$AG$22,IF($E$10=4,Dados!$AI$22,IF($E$10=5,Dados!$AK$22,IF($E$10=6,Dados!$AM$22,IF($E$10=7,Dados!$AO$22,IF($E$10=8,Dados!$AS$22,0)))))))</f>
        <v>Raiva</v>
      </c>
      <c r="CN14" s="304" t="str">
        <f>IF($E$10=2,Dados!$AF$22,IF($E$10=3,Dados!$AH$22,IF($E$10=4,Dados!$AJ$22,IF($E$10=5,Dados!$AL$22,IF($E$10=6,Dados!$AN$22,IF($E$10=7,Dados!$AP$22,IF($E$10=8,Dados!$AT$22,0)))))))</f>
        <v>dose</v>
      </c>
      <c r="CO14" s="316" t="str">
        <f>IF($E$11=2,Dados!$AE$22,IF($E$11=3,Dados!$AG$22,IF($E$11=4,Dados!$AI$22,IF($E$11=5,Dados!$AK$22,IF($E$11=6,Dados!$AM$22,IF($E$11=7,Dados!$AO$22,IF($E$11=8,Dados!$AS$22,0)))))))</f>
        <v>Raiva</v>
      </c>
      <c r="CP14" s="304" t="str">
        <f>IF($E$11=2,Dados!$AF$22,IF($E$11=3,Dados!$AH$22,IF($E$11=4,Dados!$AJ$22,IF($E$11=5,Dados!$AL$22,IF($E$11=6,Dados!$AN$22,IF($E$11=7,Dados!$AP$22,IF($E$11=8,Dados!$AT$22,0)))))))</f>
        <v>dose</v>
      </c>
      <c r="CR14" s="316">
        <f>IF($E$16=2,Dados!$AE$22,IF($E$16=3,Dados!$AG$22,IF($E$16=4,Dados!$AI$22,IF($E$16=5,Dados!$AK$22,IF($E$16=6,Dados!$AM$22,IF($E$16=7,Dados!$AO$22,IF($E$16=8,Dados!$AS$22,0)))))))</f>
        <v>0</v>
      </c>
      <c r="CS14" s="304">
        <f>IF($E$16=2,Dados!$AF$22,IF($E$16=3,Dados!$AH$22,IF($E$16=4,Dados!$AJ$22,IF($E$16=5,Dados!$AL$22,IF($E$16=6,Dados!$AN$22,IF($E$16=7,Dados!$AP$22,IF($E$16=8,Dados!$AT$22,0)))))))</f>
        <v>0</v>
      </c>
      <c r="CT14" s="316">
        <f>IF($E$17=2,Dados!$AE$22,IF($E$17=3,Dados!$AG$22,IF($E$17=4,Dados!$AI$22,IF($E$17=5,Dados!$AK$22,IF($E$17=6,Dados!$AM$22,IF($E$17=7,Dados!$AO$22,IF($E$17=8,Dados!$AS$22,0)))))))</f>
        <v>0</v>
      </c>
      <c r="CU14" s="304">
        <f>IF($E$17=2,Dados!$AF$22,IF($E$17=3,Dados!$AH$22,IF($E$17=4,Dados!$AJ$22,IF($E$17=5,Dados!$AL$22,IF($E$17=6,Dados!$AN$22,IF($E$17=7,Dados!$AP$22,IF($E$17=8,Dados!$AT$22,0)))))))</f>
        <v>0</v>
      </c>
      <c r="CV14" s="316">
        <f>IF($E$18=2,Dados!$AE$22,IF($E$18=3,Dados!$AG$22,IF($E$18=4,Dados!$AI$22,IF($E$18=5,Dados!$AK$22,IF($E$18=6,Dados!$AM$22,IF($E$18=7,Dados!$AO$22,IF($E$18=8,Dados!$AS$22,0)))))))</f>
        <v>0</v>
      </c>
      <c r="CW14" s="304">
        <f>IF($E$18=2,Dados!$AF$22,IF($E$18=3,Dados!$AH$22,IF($E$18=4,Dados!$AJ$22,IF($E$18=5,Dados!$AL$22,IF($E$18=6,Dados!$AN$22,IF($E$18=7,Dados!$AP$22,IF($E$18=8,Dados!$AT$22,0)))))))</f>
        <v>0</v>
      </c>
      <c r="CX14" s="316" t="str">
        <f>IF($E$19=2,Dados!$AE$22,IF($E$19=3,Dados!$AG$22,IF($E$19=4,Dados!$AI$22,IF($E$19=5,Dados!$AK$22,IF($E$19=6,Dados!$AM$22,IF($E$19=7,Dados!$AO$22,IF($E$19=8,Dados!$AS$22,0)))))))</f>
        <v>Raiva</v>
      </c>
      <c r="CY14" s="304" t="str">
        <f>IF($E$19=2,Dados!$AF$22,IF($E$19=3,Dados!$AH$22,IF($E$19=4,Dados!$AJ$22,IF($E$19=5,Dados!$AL$22,IF($E$19=6,Dados!$AN$22,IF($E$19=7,Dados!$AP$22,IF($E$19=8,Dados!$AT$22,0)))))))</f>
        <v>dose</v>
      </c>
      <c r="CZ14" s="316">
        <f>IF($E$20=2,Dados!$AE$22,IF($E$20=3,Dados!$AG$22,IF($E$20=4,Dados!$AI$22,IF($E$20=5,Dados!$AK$22,IF($E$20=6,Dados!$AM$22,IF($E$20=7,Dados!$AO$22,IF($E$20=8,Dados!$AS$22,0)))))))</f>
        <v>0</v>
      </c>
      <c r="DA14" s="304">
        <f>IF($E$20=2,Dados!$AF$22,IF($E$20=3,Dados!$AH$22,IF($E$20=4,Dados!$AJ$22,IF($E$20=5,Dados!$AL$22,IF($E$20=6,Dados!$AN$22,IF($E$20=7,Dados!$AP$22,IF($E$20=8,Dados!$AT$22,0)))))))</f>
        <v>0</v>
      </c>
      <c r="DC14" s="316">
        <f>IF($E$25=2,Dados!$AE$22,IF($E$25=3,Dados!$AG$22,IF($E$25=4,Dados!$AI$22,IF($E$25=5,Dados!$AK$22,IF($E$25=6,Dados!$AM$22,IF($E$25=7,Dados!$AO$22,IF($E$25=8,Dados!$AS$22,0)))))))</f>
        <v>0</v>
      </c>
      <c r="DD14" s="304" t="str">
        <f>IF($E$25=2,Dados!$AF$22,IF($E$25=3,Dados!$AH$22,IF($E$25=4,Dados!$AJ$22,IF($E$25=5,Dados!$AL$22,IF($E$25=6,Dados!$AN$22,IF($E$25=7,Dados!$AP$22,IF($E$25=8,Dados!$AT$22,0)))))))</f>
        <v>frasco</v>
      </c>
      <c r="DE14" s="316">
        <f>IF($E$26=2,Dados!$AE$22,IF($E$26=3,Dados!$AG$22,IF($E$26=4,Dados!$AI$22,IF($E$26=5,Dados!$AK$22,IF($E$26=6,Dados!$AM$22,IF($E$26=7,Dados!$AO$22,IF($E$26=8,Dados!$AS$22,0)))))))</f>
        <v>0</v>
      </c>
      <c r="DF14" s="304">
        <f>IF($E$26=2,Dados!$AF$22,IF($E$26=3,Dados!$AH$22,IF($E$26=4,Dados!$AJ$22,IF($E$26=5,Dados!$AL$22,IF($E$26=6,Dados!$AN$22,IF($E$26=7,Dados!$AP$22,IF($E$26=8,Dados!$AT$22,0)))))))</f>
        <v>0</v>
      </c>
      <c r="DG14" s="316">
        <f>IF($E$27=2,Dados!$AE$22,IF($E$27=3,Dados!$AG$22,IF($E$27=4,Dados!$AI$22,IF($E$27=5,Dados!$AK$22,IF($E$27=6,Dados!$AM$22,IF($E$27=7,Dados!$AO$22,IF($E$27=8,Dados!$AS$22,0)))))))</f>
        <v>0</v>
      </c>
      <c r="DH14" s="304">
        <f>IF($E$27=2,Dados!$AF$22,IF($E$27=3,Dados!$AH$22,IF($E$27=4,Dados!$AJ$22,IF($E$27=5,Dados!$AL$22,IF($E$27=6,Dados!$AN$22,IF($E$27=7,Dados!$AP$22,IF($E$27=8,Dados!$AT$22,0)))))))</f>
        <v>0</v>
      </c>
      <c r="DI14" s="316">
        <f>IF($E$28=2,Dados!$AE$22,IF($E$28=3,Dados!$AG$22,IF($E$28=4,Dados!$AI$22,IF($E$28=5,Dados!$AK$22,IF($E$28=6,Dados!$AM$22,IF($E$28=7,Dados!$AO$22,IF($E$28=8,Dados!$AS$22,0)))))))</f>
        <v>0</v>
      </c>
      <c r="DJ14" s="304">
        <f>IF($E$28=2,Dados!$AF$22,IF($E$28=3,Dados!$AH$22,IF($E$28=4,Dados!$AJ$22,IF($E$28=5,Dados!$AL$22,IF($E$28=6,Dados!$AN$22,IF($E$28=7,Dados!$AP$22,IF($E$28=8,Dados!$AT$22,0)))))))</f>
        <v>0</v>
      </c>
      <c r="DK14" s="316">
        <f>IF($E$29=2,Dados!$AE$22,IF($E$29=3,Dados!$AG$22,IF($E$29=4,Dados!$AI$22,IF($E$29=5,Dados!$AK$22,IF($E$29=6,Dados!$AM$22,IF($E$29=7,Dados!$AO$22,IF($E$29=8,Dados!$AS$22,0)))))))</f>
        <v>0</v>
      </c>
      <c r="DL14" s="304">
        <f>IF($E$29=2,Dados!$AF$22,IF($E$29=3,Dados!$AH$22,IF($E$29=4,Dados!$AJ$22,IF($E$29=5,Dados!$AL$22,IF($E$29=6,Dados!$AN$22,IF($E$29=7,Dados!$AP$22,IF($E$29=8,Dados!$AT$22,0)))))))</f>
        <v>0</v>
      </c>
      <c r="DN14" s="316">
        <f>IF($E$34=2,Dados!$AE$22,IF($E$34=3,Dados!$AG$22,IF($E$34=4,Dados!$AI$22,IF($E$34=5,Dados!$AK$22,IF($E$34=6,Dados!$AM$22,IF($E$34=7,Dados!$AO$22,IF($E$34=8,Dados!$AS$22,0)))))))</f>
        <v>0</v>
      </c>
      <c r="DO14" s="304">
        <f>IF($E$34=2,Dados!$AF$22,IF($E$34=3,Dados!$AH$22,IF($E$34=4,Dados!$AJ$22,IF($E$34=5,Dados!$AL$22,IF($E$34=6,Dados!$AN$22,IF($E$34=7,Dados!$AP$22,IF($E$34=8,Dados!$AT$22,0)))))))</f>
        <v>0</v>
      </c>
      <c r="DP14" s="316">
        <f>IF($E$35=2,Dados!$AE$22,IF($E$35=3,Dados!$AG$22,IF($E$35=4,Dados!$AI$22,IF($E$35=5,Dados!$AK$22,IF($E$35=6,Dados!$AM$22,IF($E$35=7,Dados!$AO$22,IF($E$35=8,Dados!$AS$22,0)))))))</f>
        <v>0</v>
      </c>
      <c r="DQ14" s="304">
        <f>IF($E$35=2,Dados!$AF$22,IF($E$35=3,Dados!$AH$22,IF($E$35=4,Dados!$AJ$22,IF($E$35=5,Dados!$AL$22,IF($E$35=6,Dados!$AN$22,IF($E$35=7,Dados!$AP$22,IF($E$35=8,Dados!$AT$22,0)))))))</f>
        <v>0</v>
      </c>
      <c r="DR14" s="316">
        <f>IF($E$36=2,Dados!$AE$22,IF($E$36=3,Dados!$AG$22,IF($E$36=4,Dados!$AI$22,IF($E$36=5,Dados!$AK$22,IF($E$36=6,Dados!$AM$22,IF($E$36=7,Dados!$AO$22,IF($E$36=8,Dados!$AS$22,0)))))))</f>
        <v>0</v>
      </c>
      <c r="DS14" s="304">
        <f>IF($E$36=2,Dados!$AF$22,IF($E$36=3,Dados!$AH$22,IF($E$36=4,Dados!$AJ$22,IF($E$36=5,Dados!$AL$22,IF($E$36=6,Dados!$AN$22,IF($E$36=7,Dados!$AP$22,IF($E$36=8,Dados!$AT$22,0)))))))</f>
        <v>0</v>
      </c>
      <c r="DT14" s="316">
        <f>IF($E$37=2,Dados!$AE$22,IF($E$37=3,Dados!$AG$22,IF($E$37=4,Dados!$AI$22,IF($E$37=5,Dados!$AK$22,IF($E$37=6,Dados!$AM$22,IF($E$37=7,Dados!$AO$22,IF($E$37=8,Dados!$AS$22,0)))))))</f>
        <v>0</v>
      </c>
      <c r="DU14" s="304">
        <f>IF($E$37=2,Dados!$AF$22,IF($E$37=3,Dados!$AH$22,IF($E$37=4,Dados!$AJ$22,IF($E$37=5,Dados!$AL$22,IF($E$37=6,Dados!$AN$22,IF($E$37=7,Dados!$AP$22,IF($E$37=8,Dados!$AT$22,0)))))))</f>
        <v>0</v>
      </c>
      <c r="DV14" s="316">
        <f>IF($E$38=2,Dados!$AE$22,IF($E$38=3,Dados!$AG$22,IF($E$38=4,Dados!$AI$22,IF($E$38=5,Dados!$AK$22,IF($E$38=6,Dados!$AM$22,IF($E$38=7,Dados!$AO$22,IF($E$38=8,Dados!$AS$22,0)))))))</f>
        <v>0</v>
      </c>
      <c r="DW14" s="304">
        <f>IF($E$38=2,Dados!$AF$22,IF($E$38=3,Dados!$AH$22,IF($E$38=4,Dados!$AJ$22,IF($E$38=5,Dados!$AL$22,IF($E$38=6,Dados!$AN$22,IF($E$38=7,Dados!$AP$22,IF($E$38=8,Dados!$AT$22,0)))))))</f>
        <v>0</v>
      </c>
      <c r="DY14" s="316">
        <f>IF($E$43=2,Dados!$AE$22,IF($E$43=3,Dados!$AG$22,IF($E$43=4,Dados!$AI$22,IF($E$43=5,Dados!$AK$22,IF($E$43=6,Dados!$AM$22,IF($E$43=7,Dados!$AO$22,IF($E$43=8,Dados!$AS$22,0)))))))</f>
        <v>0</v>
      </c>
      <c r="DZ14" s="304">
        <f>IF($E$43=2,Dados!$AF$22,IF($E$43=3,Dados!$AH$22,IF($E$43=4,Dados!$AJ$22,IF($E$43=5,Dados!$AL$22,IF($E$43=6,Dados!$AN$22,IF($E$43=7,Dados!$AP$22,IF($E$43=8,Dados!$AT$22,0)))))))</f>
        <v>0</v>
      </c>
      <c r="EA14" s="316">
        <f>IF($E$44=2,Dados!$AE$22,IF($E$44=3,Dados!$AG$22,IF($E$44=4,Dados!$AI$22,IF($E$44=5,Dados!$AK$22,IF($E$44=6,Dados!$AM$22,IF($E$44=7,Dados!$AO$22,IF($E$44=8,Dados!$AS$22,0)))))))</f>
        <v>0</v>
      </c>
      <c r="EB14" s="304">
        <f>IF($E$44=2,Dados!$AF$22,IF($E$44=3,Dados!$AH$22,IF($E$44=4,Dados!$AJ$22,IF($E$44=5,Dados!$AL$22,IF($E$44=6,Dados!$AN$22,IF($E$44=7,Dados!$AP$22,IF($E$44=8,Dados!$AT$22,0)))))))</f>
        <v>0</v>
      </c>
      <c r="EC14" s="316">
        <f>IF($E$45=2,Dados!$AE$22,IF($E$45=3,Dados!$AG$22,IF($E$45=4,Dados!$AI$22,IF($E$45=5,Dados!$AK$22,IF($E$45=6,Dados!$AM$22,IF($E$45=7,Dados!$AO$22,IF($E$45=8,Dados!$AS$22,0)))))))</f>
        <v>0</v>
      </c>
      <c r="ED14" s="304">
        <f>IF($E$45=2,Dados!$AF$22,IF($E$45=3,Dados!$AH$22,IF($E$45=4,Dados!$AJ$22,IF($E$45=5,Dados!$AL$22,IF($E$45=6,Dados!$AN$22,IF($E$45=7,Dados!$AP$22,IF($E$45=8,Dados!$AT$22,0)))))))</f>
        <v>0</v>
      </c>
      <c r="EE14" s="316">
        <f>IF($E$46=2,Dados!$AE$22,IF($E$46=3,Dados!$AG$22,IF($E$46=4,Dados!$AI$22,IF($E$46=5,Dados!$AK$22,IF($E$46=6,Dados!$AM$22,IF($E$46=7,Dados!$AO$22,IF($E$46=8,Dados!$AS$22,0)))))))</f>
        <v>0</v>
      </c>
      <c r="EF14" s="304">
        <f>IF($E$46=2,Dados!$AF$22,IF($E$46=3,Dados!$AH$22,IF($E$46=4,Dados!$AJ$22,IF($E$46=5,Dados!$AL$22,IF($E$46=6,Dados!$AN$22,IF($E$46=7,Dados!$AP$22,IF($E$46=8,Dados!$AT$22,0)))))))</f>
        <v>0</v>
      </c>
      <c r="EG14" s="316">
        <f>IF($E$47=2,Dados!$AE$22,IF($E$47=3,Dados!$AG$22,IF($E$47=4,Dados!$AI$22,IF($E$47=5,Dados!$AK$22,IF($E$47=6,Dados!$AM$22,IF($E$47=7,Dados!$AO$22,IF($E$47=8,Dados!$AS$22,0)))))))</f>
        <v>0</v>
      </c>
      <c r="EH14" s="304">
        <f>IF($E$47=2,Dados!$AF$22,IF($E$47=3,Dados!$AH$22,IF($E$47=4,Dados!$AJ$22,IF($E$47=5,Dados!$AL$22,IF($E$47=6,Dados!$AN$22,IF($E$47=7,Dados!$AP$22,IF($E$47=8,Dados!$AT$22,0)))))))</f>
        <v>0</v>
      </c>
      <c r="EJ14" s="316">
        <f>IF($E$52=2,Dados!$AE$22,IF($E$52=3,Dados!$AG$22,IF($E$52=4,Dados!$AI$22,IF($E$52=5,Dados!$AK$22,IF($E$52=6,Dados!$AM$22,IF($E$52=7,Dados!$AO$22,IF($E$52=8,Dados!$AS$22,0)))))))</f>
        <v>0</v>
      </c>
      <c r="EK14" s="304">
        <f>IF($E$52=2,Dados!$AF$22,IF($E$52=3,Dados!$AH$22,IF($E$52=4,Dados!$AJ$22,IF($E$52=5,Dados!$AL$22,IF($E$52=6,Dados!$AN$22,IF($E$52=7,Dados!$AP$22,IF($E$52=8,Dados!$AT$22,0)))))))</f>
        <v>0</v>
      </c>
      <c r="EL14" s="316">
        <f>IF($E$53=2,Dados!$AE$22,IF($E$53=3,Dados!$AG$22,IF($E$53=4,Dados!$AI$22,IF($E$53=5,Dados!$AK$22,IF($E$53=6,Dados!$AM$22,IF($E$53=7,Dados!$AO$22,IF($E$53=8,Dados!$AS$22,0)))))))</f>
        <v>0</v>
      </c>
      <c r="EM14" s="304">
        <f>IF($E$53=2,Dados!$AF$22,IF($E$53=3,Dados!$AH$22,IF($E$53=4,Dados!$AJ$22,IF($E$53=5,Dados!$AL$22,IF($E$53=6,Dados!$AN$22,IF($E$53=7,Dados!$AP$22,IF($E$53=8,Dados!$AT$22,0)))))))</f>
        <v>0</v>
      </c>
      <c r="EN14" s="316">
        <f>IF($E$54=2,Dados!$AE$22,IF($E$54=3,Dados!$AG$22,IF($E$54=4,Dados!$AI$22,IF($E$54=5,Dados!$AK$22,IF($E$54=6,Dados!$AM$22,IF($E$54=7,Dados!$AO$22,IF($E$54=8,Dados!$AS$22,0)))))))</f>
        <v>0</v>
      </c>
      <c r="EO14" s="304">
        <f>IF($E$54=2,Dados!$AF$22,IF($E$54=3,Dados!$AH$22,IF($E$54=4,Dados!$AJ$22,IF($E$54=5,Dados!$AL$22,IF($E$54=6,Dados!$AN$22,IF($E$54=7,Dados!$AP$22,IF($E$54=8,Dados!$AT$22,0)))))))</f>
        <v>0</v>
      </c>
      <c r="EP14" s="316">
        <f>IF($E$55=2,Dados!$AE$22,IF($E$55=3,Dados!$AG$22,IF($E$55=4,Dados!$AI$22,IF($E$55=5,Dados!$AK$22,IF($E$55=6,Dados!$AM$22,IF($E$55=7,Dados!$AO$22,IF($E$55=8,Dados!$AS$22,0)))))))</f>
        <v>0</v>
      </c>
      <c r="EQ14" s="304">
        <f>IF($E$55=2,Dados!$AF$22,IF($E$55=3,Dados!$AH$22,IF($E$55=4,Dados!$AJ$22,IF($E$55=5,Dados!$AL$22,IF($E$55=6,Dados!$AN$22,IF($E$55=7,Dados!$AP$22,IF($E$55=8,Dados!$AT$22,0)))))))</f>
        <v>0</v>
      </c>
      <c r="ER14" s="316">
        <f>IF($E$56=2,Dados!$AE$22,IF($E$56=3,Dados!$AG$22,IF($E$56=4,Dados!$AI$22,IF($E$56=5,Dados!$AK$22,IF($E$56=6,Dados!$AM$22,IF($E$56=7,Dados!$AO$22,IF($E$56=8,Dados!$AS$22,0)))))))</f>
        <v>0</v>
      </c>
      <c r="ES14" s="304">
        <f>IF($E$56=2,Dados!$AF$22,IF($E$56=3,Dados!$AH$22,IF($E$56=4,Dados!$AJ$22,IF($E$56=5,Dados!$AL$22,IF($E$56=6,Dados!$AN$22,IF($E$56=7,Dados!$AP$22,IF($E$56=8,Dados!$AT$22,0)))))))</f>
        <v>0</v>
      </c>
      <c r="EU14" s="316">
        <f>IF($E$61=2,Dados!$AE$22,IF($E$61=3,Dados!$AG$22,IF($E$61=4,Dados!$AI$22,IF($E$61=5,Dados!$AK$22,IF($E$61=6,Dados!$AM$22,IF($E$61=7,Dados!$AO$22,IF($E$61=8,Dados!$AS$22,0)))))))</f>
        <v>0</v>
      </c>
      <c r="EV14" s="304">
        <f>IF($E$61=2,Dados!$AF$22,IF($E$61=3,Dados!$AH$22,IF($E$61=4,Dados!$AJ$22,IF($E$61=5,Dados!$AL$22,IF($E$61=6,Dados!$AN$22,IF($E$61=7,Dados!$AP$22,IF($E$61=8,Dados!$AT$22,0)))))))</f>
        <v>0</v>
      </c>
      <c r="EW14" s="316">
        <f>IF($E$62=2,Dados!$AE$22,IF($E$62=3,Dados!$AG$22,IF($E$62=4,Dados!$AI$22,IF($E$62=5,Dados!$AK$22,IF($E$62=6,Dados!$AM$22,IF($E$62=7,Dados!$AO$22,IF($E$62=8,Dados!$AS$22,0)))))))</f>
        <v>0</v>
      </c>
      <c r="EX14" s="304">
        <f>IF($E$62=2,Dados!$AF$22,IF($E$62=3,Dados!$AH$22,IF($E$62=4,Dados!$AJ$22,IF($E$62=5,Dados!$AL$22,IF($E$62=6,Dados!$AN$22,IF($E$62=7,Dados!$AP$22,IF($E$62=8,Dados!$AT$22,0)))))))</f>
        <v>0</v>
      </c>
      <c r="EY14" s="316">
        <f>IF($E$63=2,Dados!$AE$22,IF($E$63=3,Dados!$AG$22,IF($E$63=4,Dados!$AI$22,IF($E$63=5,Dados!$AK$22,IF($E$63=6,Dados!$AM$22,IF($E$63=7,Dados!$AO$22,IF($E$63=8,Dados!$AS$22,0)))))))</f>
        <v>0</v>
      </c>
      <c r="EZ14" s="304">
        <f>IF($E$63=2,Dados!$AF$22,IF($E$63=3,Dados!$AH$22,IF($E$63=4,Dados!$AJ$22,IF($E$63=5,Dados!$AL$22,IF($E$63=6,Dados!$AN$22,IF($E$63=7,Dados!$AP$22,IF($E$63=8,Dados!$AT$22,0)))))))</f>
        <v>0</v>
      </c>
      <c r="FA14" s="316">
        <f>IF($E$64=2,Dados!$AE$22,IF($E$64=3,Dados!$AG$22,IF($E$64=4,Dados!$AI$22,IF($E$64=5,Dados!$AK$22,IF($E$64=6,Dados!$AM$22,IF($E$64=7,Dados!$AO$22,IF($E$64=8,Dados!$AS$22,0)))))))</f>
        <v>0</v>
      </c>
      <c r="FB14" s="304">
        <f>IF($E$64=2,Dados!$AF$22,IF($E$64=3,Dados!$AH$22,IF($E$64=4,Dados!$AJ$22,IF($E$64=5,Dados!$AL$22,IF($E$64=6,Dados!$AN$22,IF($E$64=7,Dados!$AP$22,IF($E$64=8,Dados!$AT$22,0)))))))</f>
        <v>0</v>
      </c>
      <c r="FC14" s="316">
        <f>IF($E$65=2,Dados!$AE$22,IF($E$65=3,Dados!$AG$22,IF($E$65=4,Dados!$AI$22,IF($E$65=5,Dados!$AK$22,IF($E$65=6,Dados!$AM$22,IF($E$65=7,Dados!$AO$22,IF($E$65=8,Dados!$AS$22,0)))))))</f>
        <v>0</v>
      </c>
      <c r="FD14" s="304">
        <f>IF($E$65=2,Dados!$AF$22,IF($E$65=3,Dados!$AH$22,IF($E$65=4,Dados!$AJ$22,IF($E$65=5,Dados!$AL$22,IF($E$65=6,Dados!$AN$22,IF($E$65=7,Dados!$AP$22,IF($E$65=8,Dados!$AT$22,0)))))))</f>
        <v>0</v>
      </c>
      <c r="FF14" s="316">
        <f>IF($E$70=2,Dados!$AE$22,IF($E$70=3,Dados!$AG$22,IF($E$70=4,Dados!$AI$22,IF($E$70=5,Dados!$AK$22,IF($E$70=6,Dados!$AM$22,IF($E$70=7,Dados!$AO$22,IF($E$70=8,Dados!$AS$22,0)))))))</f>
        <v>0</v>
      </c>
      <c r="FG14" s="304">
        <f>IF($E$70=2,Dados!$AF$22,IF($E$70=3,Dados!$AH$22,IF($E$70=4,Dados!$AJ$22,IF($E$70=5,Dados!$AL$22,IF($E$70=6,Dados!$AN$22,IF($E$70=7,Dados!$AP$22,IF($E$70=8,Dados!$AT$22,0)))))))</f>
        <v>0</v>
      </c>
      <c r="FH14" s="316">
        <f>IF($E$71=2,Dados!$AE$22,IF($E$71=3,Dados!$AG$22,IF($E$71=4,Dados!$AI$22,IF($E$71=5,Dados!$AK$22,IF($E$71=6,Dados!$AM$22,IF($E$71=7,Dados!$AO$22,IF($E$71=8,Dados!$AS$22,0)))))))</f>
        <v>0</v>
      </c>
      <c r="FI14" s="304">
        <f>IF($E$71=2,Dados!$AF$22,IF($E$71=3,Dados!$AH$22,IF($E$71=4,Dados!$AJ$22,IF($E$71=5,Dados!$AL$22,IF($E$71=6,Dados!$AN$22,IF($E$71=7,Dados!$AP$22,IF($E$71=8,Dados!$AT$22,0)))))))</f>
        <v>0</v>
      </c>
      <c r="FJ14" s="316">
        <f>IF($E$72=2,Dados!$AE$22,IF($E$72=3,Dados!$AG$22,IF($E$72=4,Dados!$AI$22,IF($E$72=5,Dados!$AK$22,IF($E$72=6,Dados!$AM$22,IF($E$72=7,Dados!$AO$22,IF($E$72=8,Dados!$AS$22,0)))))))</f>
        <v>0</v>
      </c>
      <c r="FK14" s="304">
        <f>IF($E$72=2,Dados!$AF$22,IF($E$72=3,Dados!$AH$22,IF($E$72=4,Dados!$AJ$22,IF($E$72=5,Dados!$AL$22,IF($E$72=6,Dados!$AN$22,IF($E$72=7,Dados!$AP$22,IF($E$72=8,Dados!$AT$22,0)))))))</f>
        <v>0</v>
      </c>
      <c r="FL14" s="316">
        <f>IF($E$73=2,Dados!$AE$22,IF($E$73=3,Dados!$AG$22,IF($E$73=4,Dados!$AI$22,IF($E$73=5,Dados!$AK$22,IF($E$73=6,Dados!$AM$22,IF($E$73=7,Dados!$AO$22,IF($E$73=8,Dados!$AS$22,0)))))))</f>
        <v>0</v>
      </c>
      <c r="FM14" s="304">
        <f>IF($E$73=2,Dados!$AF$22,IF($E$73=3,Dados!$AH$22,IF($E$73=4,Dados!$AJ$22,IF($E$73=5,Dados!$AL$22,IF($E$73=6,Dados!$AN$22,IF($E$73=7,Dados!$AP$22,IF($E$73=8,Dados!$AT$22,0)))))))</f>
        <v>0</v>
      </c>
      <c r="FN14" s="316">
        <f>IF($E$74=2,Dados!$AE$22,IF($E$74=3,Dados!$AG$22,IF($E$74=4,Dados!$AI$22,IF($E$74=5,Dados!$AK$22,IF($E$74=6,Dados!$AM$22,IF($E$74=7,Dados!$AO$22,IF($E$74=8,Dados!$AS$22,0)))))))</f>
        <v>0</v>
      </c>
      <c r="FO14" s="304">
        <f>IF($E$74=2,Dados!$AF$22,IF($E$74=3,Dados!$AH$22,IF($E$74=4,Dados!$AJ$22,IF($E$74=5,Dados!$AL$22,IF($E$74=6,Dados!$AN$22,IF($E$74=7,Dados!$AP$22,IF($E$74=8,Dados!$AT$22,0)))))))</f>
        <v>0</v>
      </c>
      <c r="FQ14" s="316">
        <f>IF($E$79=2,Dados!$AE$22,IF($E$79=3,Dados!$AG$22,IF($E$79=4,Dados!$AI$22,IF($E$79=5,Dados!$AK$22,IF($E$79=6,Dados!$AM$22,IF($E$79=7,Dados!$AO$22,IF($E$79=8,Dados!$AS$22,0)))))))</f>
        <v>0</v>
      </c>
      <c r="FR14" s="304">
        <f>IF($E$79=2,Dados!$AF$22,IF($E$79=3,Dados!$AH$22,IF($E$79=4,Dados!$AJ$22,IF($E$79=5,Dados!$AL$22,IF($E$79=6,Dados!$AN$22,IF($E$79=7,Dados!$AP$22,IF($E$79=8,Dados!$AT$22,0)))))))</f>
        <v>0</v>
      </c>
      <c r="FS14" s="316">
        <f>IF($E$80=2,Dados!$AE$22,IF($E$80=3,Dados!$AG$22,IF($E$80=4,Dados!$AI$22,IF($E$80=5,Dados!$AK$22,IF($E$80=6,Dados!$AM$22,IF($E$80=7,Dados!$AO$22,IF($E$80=8,Dados!$AS$22,0)))))))</f>
        <v>0</v>
      </c>
      <c r="FT14" s="304">
        <f>IF($E$80=2,Dados!$AF$22,IF($E$80=3,Dados!$AH$22,IF($E$80=4,Dados!$AJ$22,IF($E$80=5,Dados!$AL$22,IF($E$80=6,Dados!$AN$22,IF($E$80=7,Dados!$AP$22,IF($E$80=8,Dados!$AT$22,0)))))))</f>
        <v>0</v>
      </c>
      <c r="FU14" s="316">
        <f>IF($E$81=2,Dados!$AE$22,IF($E$81=3,Dados!$AG$22,IF($E$81=4,Dados!$AI$22,IF($E$81=5,Dados!$AK$22,IF($E$81=6,Dados!$AM$22,IF($E$81=7,Dados!$AO$22,IF($E$81=8,Dados!$AS$22,0)))))))</f>
        <v>0</v>
      </c>
      <c r="FV14" s="304">
        <f>IF($E$81=2,Dados!$AF$22,IF($E$81=3,Dados!$AH$22,IF($E$81=4,Dados!$AJ$22,IF($E$81=5,Dados!$AL$22,IF($E$81=6,Dados!$AN$22,IF($E$81=7,Dados!$AP$22,IF($E$81=8,Dados!$AT$22,0)))))))</f>
        <v>0</v>
      </c>
      <c r="FW14" s="316">
        <f>IF($E$82=2,Dados!$AE$22,IF($E$82=3,Dados!$AG$22,IF($E$82=4,Dados!$AI$22,IF($E$82=5,Dados!$AK$22,IF($E$82=6,Dados!$AM$22,IF($E$82=7,Dados!$AO$22,IF($E$82=8,Dados!$AS$22,0)))))))</f>
        <v>0</v>
      </c>
      <c r="FX14" s="304">
        <f>IF($E$82=2,Dados!$AF$22,IF($E$82=3,Dados!$AH$22,IF($E$82=4,Dados!$AJ$22,IF($E$82=5,Dados!$AL$22,IF($E$82=6,Dados!$AN$22,IF($E$82=7,Dados!$AP$22,IF($E$82=8,Dados!$AT$22,0)))))))</f>
        <v>0</v>
      </c>
      <c r="FY14" s="316">
        <f>IF($E$83=2,Dados!$AE$22,IF($E$83=3,Dados!$AG$22,IF($E$83=4,Dados!$AI$22,IF($E$83=5,Dados!$AK$22,IF($E$83=6,Dados!$AM$22,IF($E$83=7,Dados!$AO$22,IF($E$83=8,Dados!$AS$22,0)))))))</f>
        <v>0</v>
      </c>
      <c r="FZ14" s="304">
        <f>IF($E$83=2,Dados!$AF$22,IF($E$83=3,Dados!$AH$22,IF($E$83=4,Dados!$AJ$22,IF($E$83=5,Dados!$AL$22,IF($E$83=6,Dados!$AN$22,IF($E$83=7,Dados!$AP$22,IF($E$83=8,Dados!$AT$22,0)))))))</f>
        <v>0</v>
      </c>
      <c r="GB14" s="316">
        <f>IF($E$88=2,Dados!$AE$22,IF($E$88=3,Dados!$AG$22,IF($E$88=4,Dados!$AI$22,IF($E$88=5,Dados!$AK$22,IF($E$88=6,Dados!$AM$22,IF($E$88=7,Dados!$AO$22,IF($E$88=8,Dados!$AS$22,0)))))))</f>
        <v>0</v>
      </c>
      <c r="GC14" s="304">
        <f>IF($E$88=2,Dados!$AF$22,IF($E$88=3,Dados!$AH$22,IF($E$88=4,Dados!$AJ$22,IF($E$88=5,Dados!$AL$22,IF($E$88=6,Dados!$AN$22,IF($E$88=7,Dados!$AP$22,IF($E$88=8,Dados!$AT$22,0)))))))</f>
        <v>0</v>
      </c>
      <c r="GD14" s="316">
        <f>IF($E$89=2,Dados!$AE$22,IF($E$89=3,Dados!$AG$22,IF($E$89=4,Dados!$AI$22,IF($E$89=5,Dados!$AK$22,IF($E$89=6,Dados!$AM$22,IF($E$89=7,Dados!$AO$22,IF($E$89=8,Dados!$AS$22,0)))))))</f>
        <v>0</v>
      </c>
      <c r="GE14" s="304">
        <f>IF($E$89=2,Dados!$AF$22,IF($E$89=3,Dados!$AH$22,IF($E$89=4,Dados!$AJ$22,IF($E$89=5,Dados!$AL$22,IF($E$89=6,Dados!$AN$22,IF($E$89=7,Dados!$AP$22,IF($E$89=8,Dados!$AT$22,0)))))))</f>
        <v>0</v>
      </c>
      <c r="GF14" s="316">
        <f>IF($E$90=2,Dados!$AE$22,IF($E$90=3,Dados!$AG$22,IF($E$90=4,Dados!$AI$22,IF($E$90=5,Dados!$AK$22,IF($E$90=6,Dados!$AM$22,IF($E$90=7,Dados!$AO$22,IF($E$90=8,Dados!$AS$22,0)))))))</f>
        <v>0</v>
      </c>
      <c r="GG14" s="304">
        <f>IF($E$90=2,Dados!$AF$22,IF($E$90=3,Dados!$AH$22,IF($E$90=4,Dados!$AJ$22,IF($E$90=5,Dados!$AL$22,IF($E$90=6,Dados!$AN$22,IF($E$90=7,Dados!$AP$22,IF($E$90=8,Dados!$AT$22,0)))))))</f>
        <v>0</v>
      </c>
      <c r="GH14" s="316">
        <f>IF($E$91=2,Dados!$AE$22,IF($E$91=3,Dados!$AG$22,IF($E$91=4,Dados!$AI$22,IF($E$91=5,Dados!$AK$22,IF($E$91=6,Dados!$AM$22,IF($E$91=7,Dados!$AO$22,IF($E$91=8,Dados!$AS$22,0)))))))</f>
        <v>0</v>
      </c>
      <c r="GI14" s="304">
        <f>IF($E$91=2,Dados!$AF$22,IF($E$91=3,Dados!$AH$22,IF($E$91=4,Dados!$AJ$22,IF($E$91=5,Dados!$AL$22,IF($E$91=6,Dados!$AN$22,IF($E$91=7,Dados!$AP$22,IF($E$91=8,Dados!$AT$22,0)))))))</f>
        <v>0</v>
      </c>
      <c r="GJ14" s="316">
        <f>IF($E$92=2,Dados!$AE$22,IF($E$92=3,Dados!$AG$22,IF($E$92=4,Dados!$AI$22,IF($E$92=5,Dados!$AK$22,IF($E$92=6,Dados!$AM$22,IF($E$92=7,Dados!$AO$22,IF($E$92=8,Dados!$AS$22,0)))))))</f>
        <v>0</v>
      </c>
      <c r="GK14" s="304">
        <f>IF($E$92=2,Dados!$AF$22,IF($E$92=3,Dados!$AH$22,IF($E$92=4,Dados!$AJ$22,IF($E$92=5,Dados!$AL$22,IF($E$92=6,Dados!$AN$22,IF($E$92=7,Dados!$AP$22,IF($E$92=8,Dados!$AT$22,0)))))))</f>
        <v>0</v>
      </c>
      <c r="GM14" s="316">
        <f>IF($E$97=2,Dados!$AE$22,IF($E$97=3,Dados!$AG$22,IF($E$97=4,Dados!$AI$22,IF($E$97=5,Dados!$AK$22,IF($E$97=6,Dados!$AM$22,IF($E$97=7,Dados!$AO$22,IF($E$97=8,Dados!$AS$22,0)))))))</f>
        <v>0</v>
      </c>
      <c r="GN14" s="304">
        <f>IF($E$97=2,Dados!$AF$22,IF($E$97=3,Dados!$AH$22,IF($E$97=4,Dados!$AJ$22,IF($E$97=5,Dados!$AL$22,IF($E$97=6,Dados!$AN$22,IF($E$97=7,Dados!$AP$22,IF($E$97=8,Dados!$AT$22,0)))))))</f>
        <v>0</v>
      </c>
      <c r="GO14" s="316">
        <f>IF($E$98=2,Dados!$AE$22,IF($E$98=3,Dados!$AG$22,IF($E$98=4,Dados!$AI$22,IF($E$98=5,Dados!$AK$22,IF($E$98=6,Dados!$AM$22,IF($E$98=7,Dados!$AO$22,IF($E$98=8,Dados!$AS$22,0)))))))</f>
        <v>0</v>
      </c>
      <c r="GP14" s="304">
        <f>IF($E$98=2,Dados!$AF$22,IF($E$98=3,Dados!$AH$22,IF($E$98=4,Dados!$AJ$22,IF($E$98=5,Dados!$AL$22,IF($E$98=6,Dados!$AN$22,IF($E$98=7,Dados!$AP$22,IF($E$98=8,Dados!$AT$22,0)))))))</f>
        <v>0</v>
      </c>
      <c r="GQ14" s="316">
        <f>IF($E$99=2,Dados!$AE$22,IF($E$99=3,Dados!$AG$22,IF($E$99=4,Dados!$AI$22,IF($E$99=5,Dados!$AK$22,IF($E$99=6,Dados!$AM$22,IF($E$99=7,Dados!$AO$22,IF($E$99=8,Dados!$AS$22,0)))))))</f>
        <v>0</v>
      </c>
      <c r="GR14" s="304">
        <f>IF($E$99=2,Dados!$AF$22,IF($E$99=3,Dados!$AH$22,IF($E$99=4,Dados!$AJ$22,IF($E$99=5,Dados!$AL$22,IF($E$99=6,Dados!$AN$22,IF($E$99=7,Dados!$AP$22,IF($E$99=8,Dados!$AT$22,0)))))))</f>
        <v>0</v>
      </c>
      <c r="GS14" s="316">
        <f>IF($E$100=2,Dados!$AE$22,IF($E$100=3,Dados!$AG$22,IF($E$100=4,Dados!$AI$22,IF($E$100=5,Dados!$AK$22,IF($E$100=6,Dados!$AM$22,IF($E$100=7,Dados!$AO$22,IF($E$100=8,Dados!$AS$22,0)))))))</f>
        <v>0</v>
      </c>
      <c r="GT14" s="304">
        <f>IF($E$100=2,Dados!$AF$22,IF($E$100=3,Dados!$AH$22,IF($E$100=4,Dados!$AJ$22,IF($E$100=5,Dados!$AL$22,IF($E$100=6,Dados!$AN$22,IF($E$100=7,Dados!$AP$22,IF($E$100=8,Dados!$AT$22,0)))))))</f>
        <v>0</v>
      </c>
      <c r="GU14" s="316">
        <f>IF($E$101=2,Dados!$AE$22,IF($E$101=3,Dados!$AG$22,IF($E$101=4,Dados!$AI$22,IF($E$101=5,Dados!$AK$22,IF($E$101=6,Dados!$AM$22,IF($E$101=7,Dados!$AO$22,IF($E$101=8,Dados!$AS$22,0)))))))</f>
        <v>0</v>
      </c>
      <c r="GV14" s="304">
        <f>IF($E$101=2,Dados!$AF$22,IF($E$101=3,Dados!$AH$22,IF($E$101=4,Dados!$AJ$22,IF($E$101=5,Dados!$AL$22,IF($E$101=6,Dados!$AN$22,IF($E$101=7,Dados!$AP$22,IF($E$101=8,Dados!$AT$22,0)))))))</f>
        <v>0</v>
      </c>
      <c r="GX14" s="316">
        <f>IF($E$106=2,Dados!$AE$22,IF($E$106=3,Dados!$AG$22,IF($E$106=4,Dados!$AI$22,IF($E$106=5,Dados!$AK$22,IF($E$106=6,Dados!$AM$22,IF($E$106=7,Dados!$AO$22,IF($E$106=8,Dados!$AS$22,0)))))))</f>
        <v>0</v>
      </c>
      <c r="GY14" s="304">
        <f>IF($E$106=2,Dados!$AF$22,IF($E$106=3,Dados!$AH$22,IF($E$106=4,Dados!$AJ$22,IF($E$106=5,Dados!$AL$22,IF($E$106=6,Dados!$AN$22,IF($E$106=7,Dados!$AP$22,IF($E$106=8,Dados!$AT$22,0)))))))</f>
        <v>0</v>
      </c>
      <c r="GZ14" s="316">
        <f>IF($E$107=2,Dados!$AE$22,IF($E$107=3,Dados!$AG$22,IF($E$107=4,Dados!$AI$22,IF($E$107=5,Dados!$AK$22,IF($E$107=6,Dados!$AM$22,IF($E$107=7,Dados!$AO$22,IF($E$107=8,Dados!$AS$22,0)))))))</f>
        <v>0</v>
      </c>
      <c r="HA14" s="304">
        <f>IF($E$107=2,Dados!$AF$22,IF($E$107=3,Dados!$AH$22,IF($E$107=4,Dados!$AJ$22,IF($E$107=5,Dados!$AL$22,IF($E$107=6,Dados!$AN$22,IF($E$107=7,Dados!$AP$22,IF($E$107=8,Dados!$AT$22,0)))))))</f>
        <v>0</v>
      </c>
      <c r="HB14" s="316">
        <f>IF($E$108=2,Dados!$AE$22,IF($E$108=3,Dados!$AG$22,IF($E$108=4,Dados!$AI$22,IF($E$108=5,Dados!$AK$22,IF($E$108=6,Dados!$AM$22,IF($E$108=7,Dados!$AO$22,IF($E$108=8,Dados!$AS$22,0)))))))</f>
        <v>0</v>
      </c>
      <c r="HC14" s="304">
        <f>IF($E$108=2,Dados!$AF$22,IF($E$108=3,Dados!$AH$22,IF($E$108=4,Dados!$AJ$22,IF($E$108=5,Dados!$AL$22,IF($E$108=6,Dados!$AN$22,IF($E$108=7,Dados!$AP$22,IF($E$108=8,Dados!$AT$22,0)))))))</f>
        <v>0</v>
      </c>
      <c r="HD14" s="316">
        <f>IF($E$109=2,Dados!$AE$22,IF($E$109=3,Dados!$AG$22,IF($E$109=4,Dados!$AI$22,IF($E$109=5,Dados!$AK$22,IF($E$109=6,Dados!$AM$22,IF($E$109=7,Dados!$AO$22,IF($E$109=8,Dados!$AS$22,0)))))))</f>
        <v>0</v>
      </c>
      <c r="HE14" s="304">
        <f>IF($E$109=2,Dados!$AF$22,IF($E$109=3,Dados!$AH$22,IF($E$109=4,Dados!$AJ$22,IF($E$109=5,Dados!$AL$22,IF($E$109=6,Dados!$AN$22,IF($E$109=7,Dados!$AP$22,IF($E$109=8,Dados!$AT$22,0)))))))</f>
        <v>0</v>
      </c>
      <c r="HF14" s="316">
        <f>IF($E$110=2,Dados!$AE$22,IF($E$110=3,Dados!$AG$22,IF($E$110=4,Dados!$AI$22,IF($E$110=5,Dados!$AK$22,IF($E$110=6,Dados!$AM$22,IF($E$110=7,Dados!$AO$22,IF($E$110=8,Dados!$AS$22,0)))))))</f>
        <v>0</v>
      </c>
      <c r="HG14" s="304">
        <f>IF($E$110=2,Dados!$AF$22,IF($E$110=3,Dados!$AH$22,IF($E$110=4,Dados!$AJ$22,IF($E$110=5,Dados!$AL$22,IF($E$110=6,Dados!$AN$22,IF($E$110=7,Dados!$AP$22,IF($E$110=8,Dados!$AT$22,0)))))))</f>
        <v>0</v>
      </c>
    </row>
    <row r="15" spans="3:215" x14ac:dyDescent="0.2">
      <c r="D15" s="99" t="s">
        <v>507</v>
      </c>
      <c r="E15" s="116" t="s">
        <v>39</v>
      </c>
      <c r="F15" s="2630" t="s">
        <v>79</v>
      </c>
      <c r="G15" s="2631"/>
      <c r="H15" s="900" t="s">
        <v>637</v>
      </c>
      <c r="I15" s="899" t="s">
        <v>42</v>
      </c>
      <c r="J15" s="900" t="s">
        <v>431</v>
      </c>
      <c r="K15" s="900" t="s">
        <v>432</v>
      </c>
      <c r="L15" s="900" t="s">
        <v>518</v>
      </c>
      <c r="M15" s="117" t="s">
        <v>433</v>
      </c>
      <c r="N15" s="99" t="s">
        <v>426</v>
      </c>
      <c r="O15" s="99" t="s">
        <v>417</v>
      </c>
      <c r="P15" s="99" t="s">
        <v>418</v>
      </c>
      <c r="Q15" s="99" t="s">
        <v>434</v>
      </c>
      <c r="R15" s="99" t="s">
        <v>301</v>
      </c>
      <c r="S15" s="99" t="s">
        <v>436</v>
      </c>
      <c r="T15" s="98" t="s">
        <v>411</v>
      </c>
      <c r="U15" s="99" t="s">
        <v>412</v>
      </c>
      <c r="V15" s="99" t="s">
        <v>435</v>
      </c>
      <c r="W15" s="99" t="s">
        <v>437</v>
      </c>
      <c r="X15" s="99" t="s">
        <v>292</v>
      </c>
      <c r="Y15" s="99" t="s">
        <v>80</v>
      </c>
      <c r="Z15" s="99" t="s">
        <v>1247</v>
      </c>
      <c r="AE15" s="1160" t="str">
        <f>Rebanho!C57</f>
        <v>Novilhas sobreano</v>
      </c>
      <c r="AF15" s="1195">
        <f>IF(Rebanho!E57&gt;0,1,0)</f>
        <v>0</v>
      </c>
      <c r="AG15" s="1193">
        <f>Rebanho!E57</f>
        <v>0</v>
      </c>
      <c r="AH15" s="1336">
        <f>Rebanho!AS54</f>
        <v>0</v>
      </c>
      <c r="AI15" s="1178">
        <f>((SUMIFS($Z$7:$Z$110,$E$7:$E$110,"=2",$N$7:$N$110,"=10")+SUMIFS($Z$7:$Z$110,$E$7:$E$110,"=2",$N$7:$N$110,"=19")))*($AF$15)</f>
        <v>0</v>
      </c>
      <c r="AJ15" s="1178">
        <f>((SUMIFS($Z$7:$Z$110,$E$7:$E$110,"=3",$N$7:$N$110,"=10")+SUMIFS($Z$7:$Z$110,$E$7:$E$110,"=3",$N$7:$N$110,"=19")))*($AF$15)</f>
        <v>0</v>
      </c>
      <c r="AK15" s="1178">
        <f>((SUMIFS($Z$7:$Z$110,$E$7:$E$110,"=4",$N$7:$N$110,"=10")+SUMIFS($Z$7:$Z$110,$E$7:$E$110,"=4",$N$7:$N$110,"=19")))*($AF$15)</f>
        <v>0</v>
      </c>
      <c r="AL15" s="1178">
        <f>((SUMIFS($Z$7:$Z$110,$E$7:$E$110,"=5",$N$7:$N$110,"=10")+SUMIFS($Z$7:$Z$110,$E$7:$E$110,"=5",$N$7:$N$110,"=19")))*($AF$15)</f>
        <v>0</v>
      </c>
      <c r="AM15" s="1178">
        <f>((SUMIFS($Z$7:$Z$110,$E$7:$E$110,"=6",$N$7:$N$110,"=10")+SUMIFS($Z$7:$Z$110,$E$7:$E$110,"=6",$N$7:$N$110,"=19")))*($AF$15)</f>
        <v>0</v>
      </c>
      <c r="AN15" s="1178">
        <f>((SUMIFS($Z$7:$Z$110,$E$7:$E$110,"=7",$N$7:$N$110,"=10")+SUMIFS($Z$7:$Z$110,$E$7:$E$110,"=7",$N$7:$N$110,"=19")))*($AF$15)</f>
        <v>0</v>
      </c>
      <c r="AO15" s="1208">
        <f>((SUMIFS($Z$7:$Z$110,$E$7:$E$110,"=8",$N$7:$N$110,"=10")+SUMIFS($Z$7:$Z$110,$E$7:$E$110,"=8",$N$7:$N$110,"=19")))*($AF$15)</f>
        <v>0</v>
      </c>
      <c r="AP15" s="1208">
        <f t="shared" si="3"/>
        <v>0</v>
      </c>
      <c r="AQ15" s="1184">
        <f t="shared" si="2"/>
        <v>0</v>
      </c>
      <c r="AX15" s="287">
        <v>1</v>
      </c>
      <c r="AY15" s="287">
        <v>2</v>
      </c>
      <c r="AZ15" s="287">
        <v>3</v>
      </c>
      <c r="BA15" s="287">
        <v>4</v>
      </c>
      <c r="BB15" s="287">
        <v>5</v>
      </c>
      <c r="BC15" s="288" t="s">
        <v>2</v>
      </c>
      <c r="CF15" s="93">
        <v>10</v>
      </c>
      <c r="CG15" s="316">
        <f>IF($E$7=2,Dados!$AE$23,IF($E$7=3,Dados!$AG$23,IF($E$7=4,Dados!$AI$23,IF($E$7=5,Dados!$AK$23,IF($E$7=6,Dados!$AM$23,IF($E$7=7,Dados!$AO$23,IF($E$7=8,Dados!$AS$23,0)))))))</f>
        <v>0</v>
      </c>
      <c r="CH15" s="304">
        <f>IF($E$7=2,Dados!$AF$23,IF($E$7=3,Dados!$AH$23,IF($E$7=4,Dados!$AJ$23,IF($E$7=5,Dados!$AL$23,IF($E$7=6,Dados!$AN$23,IF($E$7=7,Dados!$AP$23,IF($E$7=8,Dados!$AT$23,0)))))))</f>
        <v>0</v>
      </c>
      <c r="CI15" s="316">
        <f>IF($E$8=2,Dados!$AE$23,IF($E$8=3,Dados!$AG$23,IF($E$8=4,Dados!$AI$23,IF($E$8=5,Dados!$AK$23,IF($E$8=6,Dados!$AM$23,IF($E$8=7,Dados!$AO$23,IF($E$8=8,Dados!$AS$23,0)))))))</f>
        <v>0</v>
      </c>
      <c r="CJ15" s="304">
        <f>IF($E$8=2,Dados!$AF$23,IF($E$8=3,Dados!$AH$23,IF($E$8=4,Dados!$AJ$23,IF($E$8=5,Dados!$AL$23,IF($E$8=6,Dados!$AN$23,IF($E$8=7,Dados!$AP$23,IF($E$8=8,Dados!$AT$23,0)))))))</f>
        <v>0</v>
      </c>
      <c r="CK15" s="316">
        <f>IF($E$9=2,Dados!$AE$23,IF($E$9=3,Dados!$AG$23,IF($E$9=4,Dados!$AI$23,IF($E$9=5,Dados!$AK$23,IF($E$9=6,Dados!$AM$23,IF($E$9=7,Dados!$AO$23,IF($E$9=8,Dados!$AS$23,0)))))))</f>
        <v>0</v>
      </c>
      <c r="CL15" s="304">
        <f>IF($E$9=2,Dados!$AF$23,IF($E$9=3,Dados!$AH$23,IF($E$9=4,Dados!$AJ$23,IF($E$9=5,Dados!$AL$23,IF($E$9=6,Dados!$AN$23,IF($E$9=7,Dados!$AP$23,IF($E$9=8,Dados!$AT$23,0)))))))</f>
        <v>0</v>
      </c>
      <c r="CM15" s="316">
        <f>IF($E$10=2,Dados!$AE$23,IF($E$10=3,Dados!$AG$23,IF($E$10=4,Dados!$AI$23,IF($E$10=5,Dados!$AK$23,IF($E$10=6,Dados!$AM$23,IF($E$10=7,Dados!$AO$23,IF($E$10=8,Dados!$AS$23,0)))))))</f>
        <v>0</v>
      </c>
      <c r="CN15" s="304">
        <f>IF($E$10=2,Dados!$AF$23,IF($E$10=3,Dados!$AH$23,IF($E$10=4,Dados!$AJ$23,IF($E$10=5,Dados!$AL$23,IF($E$10=6,Dados!$AN$23,IF($E$10=7,Dados!$AP$23,IF($E$10=8,Dados!$AT$23,0)))))))</f>
        <v>0</v>
      </c>
      <c r="CO15" s="316">
        <f>IF($E$11=2,Dados!$AE$23,IF($E$11=3,Dados!$AG$23,IF($E$11=4,Dados!$AI$23,IF($E$11=5,Dados!$AK$23,IF($E$11=6,Dados!$AM$23,IF($E$11=7,Dados!$AO$23,IF($E$11=8,Dados!$AS$23,0)))))))</f>
        <v>0</v>
      </c>
      <c r="CP15" s="304">
        <f>IF($E$11=2,Dados!$AF$23,IF($E$11=3,Dados!$AH$23,IF($E$11=4,Dados!$AJ$23,IF($E$11=5,Dados!$AL$23,IF($E$11=6,Dados!$AN$23,IF($E$11=7,Dados!$AP$23,IF($E$11=8,Dados!$AT$23,0)))))))</f>
        <v>0</v>
      </c>
      <c r="CR15" s="316">
        <f>IF($E$16=2,Dados!$AE$23,IF($E$16=3,Dados!$AG$23,IF($E$16=4,Dados!$AI$23,IF($E$16=5,Dados!$AK$23,IF($E$16=6,Dados!$AM$23,IF($E$16=7,Dados!$AO$23,IF($E$16=8,Dados!$AS$23,0)))))))</f>
        <v>0</v>
      </c>
      <c r="CS15" s="304">
        <f>IF($E$16=2,Dados!$AF$23,IF($E$16=3,Dados!$AH$23,IF($E$16=4,Dados!$AJ$23,IF($E$16=5,Dados!$AL$23,IF($E$16=6,Dados!$AN$23,IF($E$16=7,Dados!$AP$23,IF($E$16=8,Dados!$AT$23,0)))))))</f>
        <v>0</v>
      </c>
      <c r="CT15" s="316">
        <f>IF($E$17=2,Dados!$AE$23,IF($E$17=3,Dados!$AG$23,IF($E$17=4,Dados!$AI$23,IF($E$17=5,Dados!$AK$23,IF($E$17=6,Dados!$AM$23,IF($E$17=7,Dados!$AO$23,IF($E$17=8,Dados!$AS$23,0)))))))</f>
        <v>0</v>
      </c>
      <c r="CU15" s="304">
        <f>IF($E$17=2,Dados!$AF$23,IF($E$17=3,Dados!$AH$23,IF($E$17=4,Dados!$AJ$23,IF($E$17=5,Dados!$AL$23,IF($E$17=6,Dados!$AN$23,IF($E$17=7,Dados!$AP$23,IF($E$17=8,Dados!$AT$23,0)))))))</f>
        <v>0</v>
      </c>
      <c r="CV15" s="316">
        <f>IF($E$18=2,Dados!$AE$23,IF($E$18=3,Dados!$AG$23,IF($E$18=4,Dados!$AI$23,IF($E$18=5,Dados!$AK$23,IF($E$18=6,Dados!$AM$23,IF($E$18=7,Dados!$AO$23,IF($E$18=8,Dados!$AS$23,0)))))))</f>
        <v>0</v>
      </c>
      <c r="CW15" s="304">
        <f>IF($E$18=2,Dados!$AF$23,IF($E$18=3,Dados!$AH$23,IF($E$18=4,Dados!$AJ$23,IF($E$18=5,Dados!$AL$23,IF($E$18=6,Dados!$AN$23,IF($E$18=7,Dados!$AP$23,IF($E$18=8,Dados!$AT$23,0)))))))</f>
        <v>0</v>
      </c>
      <c r="CX15" s="316">
        <f>IF($E$19=2,Dados!$AE$23,IF($E$19=3,Dados!$AG$23,IF($E$19=4,Dados!$AI$23,IF($E$19=5,Dados!$AK$23,IF($E$19=6,Dados!$AM$23,IF($E$19=7,Dados!$AO$23,IF($E$19=8,Dados!$AS$23,0)))))))</f>
        <v>0</v>
      </c>
      <c r="CY15" s="304">
        <f>IF($E$19=2,Dados!$AF$23,IF($E$19=3,Dados!$AH$23,IF($E$19=4,Dados!$AJ$23,IF($E$19=5,Dados!$AL$23,IF($E$19=6,Dados!$AN$23,IF($E$19=7,Dados!$AP$23,IF($E$19=8,Dados!$AT$23,0)))))))</f>
        <v>0</v>
      </c>
      <c r="CZ15" s="316">
        <f>IF($E$20=2,Dados!$AE$23,IF($E$20=3,Dados!$AG$23,IF($E$20=4,Dados!$AI$23,IF($E$20=5,Dados!$AK$23,IF($E$20=6,Dados!$AM$23,IF($E$20=7,Dados!$AO$23,IF($E$20=8,Dados!$AS$23,0)))))))</f>
        <v>0</v>
      </c>
      <c r="DA15" s="304">
        <f>IF($E$20=2,Dados!$AF$23,IF($E$20=3,Dados!$AH$23,IF($E$20=4,Dados!$AJ$23,IF($E$20=5,Dados!$AL$23,IF($E$20=6,Dados!$AN$23,IF($E$20=7,Dados!$AP$23,IF($E$20=8,Dados!$AT$23,0)))))))</f>
        <v>0</v>
      </c>
      <c r="DC15" s="316">
        <f>IF($E$25=2,Dados!$AE$23,IF($E$25=3,Dados!$AG$23,IF($E$25=4,Dados!$AI$23,IF($E$25=5,Dados!$AK$23,IF($E$25=6,Dados!$AM$23,IF($E$25=7,Dados!$AO$23,IF($E$25=8,Dados!$AS$23,0)))))))</f>
        <v>0</v>
      </c>
      <c r="DD15" s="304">
        <f>IF($E$25=2,Dados!$AF$23,IF($E$25=3,Dados!$AH$23,IF($E$25=4,Dados!$AJ$23,IF($E$25=5,Dados!$AL$23,IF($E$25=6,Dados!$AN$23,IF($E$25=7,Dados!$AP$23,IF($E$25=8,Dados!$AT$23,0)))))))</f>
        <v>0</v>
      </c>
      <c r="DE15" s="316">
        <f>IF($E$26=2,Dados!$AE$23,IF($E$26=3,Dados!$AG$23,IF($E$26=4,Dados!$AI$23,IF($E$26=5,Dados!$AK$23,IF($E$26=6,Dados!$AM$23,IF($E$26=7,Dados!$AO$23,IF($E$26=8,Dados!$AS$23,0)))))))</f>
        <v>0</v>
      </c>
      <c r="DF15" s="304">
        <f>IF($E$26=2,Dados!$AF$23,IF($E$26=3,Dados!$AH$23,IF($E$26=4,Dados!$AJ$23,IF($E$26=5,Dados!$AL$23,IF($E$26=6,Dados!$AN$23,IF($E$26=7,Dados!$AP$23,IF($E$26=8,Dados!$AT$23,0)))))))</f>
        <v>0</v>
      </c>
      <c r="DG15" s="316">
        <f>IF($E$27=2,Dados!$AE$23,IF($E$27=3,Dados!$AG$23,IF($E$27=4,Dados!$AI$23,IF($E$27=5,Dados!$AK$23,IF($E$27=6,Dados!$AM$23,IF($E$27=7,Dados!$AO$23,IF($E$27=8,Dados!$AS$23,0)))))))</f>
        <v>0</v>
      </c>
      <c r="DH15" s="304">
        <f>IF($E$27=2,Dados!$AF$23,IF($E$27=3,Dados!$AH$23,IF($E$27=4,Dados!$AJ$23,IF($E$27=5,Dados!$AL$23,IF($E$27=6,Dados!$AN$23,IF($E$27=7,Dados!$AP$23,IF($E$27=8,Dados!$AT$23,0)))))))</f>
        <v>0</v>
      </c>
      <c r="DI15" s="316">
        <f>IF($E$28=2,Dados!$AE$23,IF($E$28=3,Dados!$AG$23,IF($E$28=4,Dados!$AI$23,IF($E$28=5,Dados!$AK$23,IF($E$28=6,Dados!$AM$23,IF($E$28=7,Dados!$AO$23,IF($E$28=8,Dados!$AS$23,0)))))))</f>
        <v>0</v>
      </c>
      <c r="DJ15" s="304">
        <f>IF($E$28=2,Dados!$AF$23,IF($E$28=3,Dados!$AH$23,IF($E$28=4,Dados!$AJ$23,IF($E$28=5,Dados!$AL$23,IF($E$28=6,Dados!$AN$23,IF($E$28=7,Dados!$AP$23,IF($E$28=8,Dados!$AT$23,0)))))))</f>
        <v>0</v>
      </c>
      <c r="DK15" s="316">
        <f>IF($E$29=2,Dados!$AE$23,IF($E$29=3,Dados!$AG$23,IF($E$29=4,Dados!$AI$23,IF($E$29=5,Dados!$AK$23,IF($E$29=6,Dados!$AM$23,IF($E$29=7,Dados!$AO$23,IF($E$29=8,Dados!$AS$23,0)))))))</f>
        <v>0</v>
      </c>
      <c r="DL15" s="304">
        <f>IF($E$29=2,Dados!$AF$23,IF($E$29=3,Dados!$AH$23,IF($E$29=4,Dados!$AJ$23,IF($E$29=5,Dados!$AL$23,IF($E$29=6,Dados!$AN$23,IF($E$29=7,Dados!$AP$23,IF($E$29=8,Dados!$AT$23,0)))))))</f>
        <v>0</v>
      </c>
      <c r="DN15" s="316">
        <f>IF($E$34=2,Dados!$AE$23,IF($E$34=3,Dados!$AG$23,IF($E$34=4,Dados!$AI$23,IF($E$34=5,Dados!$AK$23,IF($E$34=6,Dados!$AM$23,IF($E$34=7,Dados!$AO$23,IF($E$34=8,Dados!$AS$23,0)))))))</f>
        <v>0</v>
      </c>
      <c r="DO15" s="304">
        <f>IF($E$34=2,Dados!$AF$23,IF($E$34=3,Dados!$AH$23,IF($E$34=4,Dados!$AJ$23,IF($E$34=5,Dados!$AL$23,IF($E$34=6,Dados!$AN$23,IF($E$34=7,Dados!$AP$23,IF($E$34=8,Dados!$AT$23,0)))))))</f>
        <v>0</v>
      </c>
      <c r="DP15" s="316">
        <f>IF($E$35=2,Dados!$AE$23,IF($E$35=3,Dados!$AG$23,IF($E$35=4,Dados!$AI$23,IF($E$35=5,Dados!$AK$23,IF($E$35=6,Dados!$AM$23,IF($E$35=7,Dados!$AO$23,IF($E$35=8,Dados!$AS$23,0)))))))</f>
        <v>0</v>
      </c>
      <c r="DQ15" s="304">
        <f>IF($E$35=2,Dados!$AF$23,IF($E$35=3,Dados!$AH$23,IF($E$35=4,Dados!$AJ$23,IF($E$35=5,Dados!$AL$23,IF($E$35=6,Dados!$AN$23,IF($E$35=7,Dados!$AP$23,IF($E$35=8,Dados!$AT$23,0)))))))</f>
        <v>0</v>
      </c>
      <c r="DR15" s="316">
        <f>IF($E$36=2,Dados!$AE$23,IF($E$36=3,Dados!$AG$23,IF($E$36=4,Dados!$AI$23,IF($E$36=5,Dados!$AK$23,IF($E$36=6,Dados!$AM$23,IF($E$36=7,Dados!$AO$23,IF($E$36=8,Dados!$AS$23,0)))))))</f>
        <v>0</v>
      </c>
      <c r="DS15" s="304">
        <f>IF($E$36=2,Dados!$AF$23,IF($E$36=3,Dados!$AH$23,IF($E$36=4,Dados!$AJ$23,IF($E$36=5,Dados!$AL$23,IF($E$36=6,Dados!$AN$23,IF($E$36=7,Dados!$AP$23,IF($E$36=8,Dados!$AT$23,0)))))))</f>
        <v>0</v>
      </c>
      <c r="DT15" s="316">
        <f>IF($E$37=2,Dados!$AE$23,IF($E$37=3,Dados!$AG$23,IF($E$37=4,Dados!$AI$23,IF($E$37=5,Dados!$AK$23,IF($E$37=6,Dados!$AM$23,IF($E$37=7,Dados!$AO$23,IF($E$37=8,Dados!$AS$23,0)))))))</f>
        <v>0</v>
      </c>
      <c r="DU15" s="304">
        <f>IF($E$37=2,Dados!$AF$23,IF($E$37=3,Dados!$AH$23,IF($E$37=4,Dados!$AJ$23,IF($E$37=5,Dados!$AL$23,IF($E$37=6,Dados!$AN$23,IF($E$37=7,Dados!$AP$23,IF($E$37=8,Dados!$AT$23,0)))))))</f>
        <v>0</v>
      </c>
      <c r="DV15" s="316">
        <f>IF($E$38=2,Dados!$AE$23,IF($E$38=3,Dados!$AG$23,IF($E$38=4,Dados!$AI$23,IF($E$38=5,Dados!$AK$23,IF($E$38=6,Dados!$AM$23,IF($E$38=7,Dados!$AO$23,IF($E$38=8,Dados!$AS$23,0)))))))</f>
        <v>0</v>
      </c>
      <c r="DW15" s="304">
        <f>IF($E$38=2,Dados!$AF$23,IF($E$38=3,Dados!$AH$23,IF($E$38=4,Dados!$AJ$23,IF($E$38=5,Dados!$AL$23,IF($E$38=6,Dados!$AN$23,IF($E$38=7,Dados!$AP$23,IF($E$38=8,Dados!$AT$23,0)))))))</f>
        <v>0</v>
      </c>
      <c r="DY15" s="316">
        <f>IF($E$43=2,Dados!$AE$23,IF($E$43=3,Dados!$AG$23,IF($E$43=4,Dados!$AI$23,IF($E$43=5,Dados!$AK$23,IF($E$43=6,Dados!$AM$23,IF($E$43=7,Dados!$AO$23,IF($E$43=8,Dados!$AS$23,0)))))))</f>
        <v>0</v>
      </c>
      <c r="DZ15" s="304">
        <f>IF($E$43=2,Dados!$AF$23,IF($E$43=3,Dados!$AH$23,IF($E$43=4,Dados!$AJ$23,IF($E$43=5,Dados!$AL$23,IF($E$43=6,Dados!$AN$23,IF($E$43=7,Dados!$AP$23,IF($E$43=8,Dados!$AT$23,0)))))))</f>
        <v>0</v>
      </c>
      <c r="EA15" s="316">
        <f>IF($E$44=2,Dados!$AE$23,IF($E$44=3,Dados!$AG$23,IF($E$44=4,Dados!$AI$23,IF($E$44=5,Dados!$AK$23,IF($E$44=6,Dados!$AM$23,IF($E$44=7,Dados!$AO$23,IF($E$44=8,Dados!$AS$23,0)))))))</f>
        <v>0</v>
      </c>
      <c r="EB15" s="304">
        <f>IF($E$44=2,Dados!$AF$23,IF($E$44=3,Dados!$AH$23,IF($E$44=4,Dados!$AJ$23,IF($E$44=5,Dados!$AL$23,IF($E$44=6,Dados!$AN$23,IF($E$44=7,Dados!$AP$23,IF($E$44=8,Dados!$AT$23,0)))))))</f>
        <v>0</v>
      </c>
      <c r="EC15" s="316">
        <f>IF($E$45=2,Dados!$AE$23,IF($E$45=3,Dados!$AG$23,IF($E$45=4,Dados!$AI$23,IF($E$45=5,Dados!$AK$23,IF($E$45=6,Dados!$AM$23,IF($E$45=7,Dados!$AO$23,IF($E$45=8,Dados!$AS$23,0)))))))</f>
        <v>0</v>
      </c>
      <c r="ED15" s="304">
        <f>IF($E$45=2,Dados!$AF$23,IF($E$45=3,Dados!$AH$23,IF($E$45=4,Dados!$AJ$23,IF($E$45=5,Dados!$AL$23,IF($E$45=6,Dados!$AN$23,IF($E$45=7,Dados!$AP$23,IF($E$45=8,Dados!$AT$23,0)))))))</f>
        <v>0</v>
      </c>
      <c r="EE15" s="316">
        <f>IF($E$46=2,Dados!$AE$23,IF($E$46=3,Dados!$AG$23,IF($E$46=4,Dados!$AI$23,IF($E$46=5,Dados!$AK$23,IF($E$46=6,Dados!$AM$23,IF($E$46=7,Dados!$AO$23,IF($E$46=8,Dados!$AS$23,0)))))))</f>
        <v>0</v>
      </c>
      <c r="EF15" s="304">
        <f>IF($E$46=2,Dados!$AF$23,IF($E$46=3,Dados!$AH$23,IF($E$46=4,Dados!$AJ$23,IF($E$46=5,Dados!$AL$23,IF($E$46=6,Dados!$AN$23,IF($E$46=7,Dados!$AP$23,IF($E$46=8,Dados!$AT$23,0)))))))</f>
        <v>0</v>
      </c>
      <c r="EG15" s="316">
        <f>IF($E$47=2,Dados!$AE$23,IF($E$47=3,Dados!$AG$23,IF($E$47=4,Dados!$AI$23,IF($E$47=5,Dados!$AK$23,IF($E$47=6,Dados!$AM$23,IF($E$47=7,Dados!$AO$23,IF($E$47=8,Dados!$AS$23,0)))))))</f>
        <v>0</v>
      </c>
      <c r="EH15" s="304">
        <f>IF($E$47=2,Dados!$AF$23,IF($E$47=3,Dados!$AH$23,IF($E$47=4,Dados!$AJ$23,IF($E$47=5,Dados!$AL$23,IF($E$47=6,Dados!$AN$23,IF($E$47=7,Dados!$AP$23,IF($E$47=8,Dados!$AT$23,0)))))))</f>
        <v>0</v>
      </c>
      <c r="EJ15" s="316">
        <f>IF($E$52=2,Dados!$AE$23,IF($E$52=3,Dados!$AG$23,IF($E$52=4,Dados!$AI$23,IF($E$52=5,Dados!$AK$23,IF($E$52=6,Dados!$AM$23,IF($E$52=7,Dados!$AO$23,IF($E$52=8,Dados!$AS$23,0)))))))</f>
        <v>0</v>
      </c>
      <c r="EK15" s="304">
        <f>IF($E$52=2,Dados!$AF$23,IF($E$52=3,Dados!$AH$23,IF($E$52=4,Dados!$AJ$23,IF($E$52=5,Dados!$AL$23,IF($E$52=6,Dados!$AN$23,IF($E$52=7,Dados!$AP$23,IF($E$52=8,Dados!$AT$23,0)))))))</f>
        <v>0</v>
      </c>
      <c r="EL15" s="316">
        <f>IF($E$53=2,Dados!$AE$23,IF($E$53=3,Dados!$AG$23,IF($E$53=4,Dados!$AI$23,IF($E$53=5,Dados!$AK$23,IF($E$53=6,Dados!$AM$23,IF($E$53=7,Dados!$AO$23,IF($E$53=8,Dados!$AS$23,0)))))))</f>
        <v>0</v>
      </c>
      <c r="EM15" s="304">
        <f>IF($E$53=2,Dados!$AF$23,IF($E$53=3,Dados!$AH$23,IF($E$53=4,Dados!$AJ$23,IF($E$53=5,Dados!$AL$23,IF($E$53=6,Dados!$AN$23,IF($E$53=7,Dados!$AP$23,IF($E$53=8,Dados!$AT$23,0)))))))</f>
        <v>0</v>
      </c>
      <c r="EN15" s="316">
        <f>IF($E$54=2,Dados!$AE$23,IF($E$54=3,Dados!$AG$23,IF($E$54=4,Dados!$AI$23,IF($E$54=5,Dados!$AK$23,IF($E$54=6,Dados!$AM$23,IF($E$54=7,Dados!$AO$23,IF($E$54=8,Dados!$AS$23,0)))))))</f>
        <v>0</v>
      </c>
      <c r="EO15" s="304">
        <f>IF($E$54=2,Dados!$AF$23,IF($E$54=3,Dados!$AH$23,IF($E$54=4,Dados!$AJ$23,IF($E$54=5,Dados!$AL$23,IF($E$54=6,Dados!$AN$23,IF($E$54=7,Dados!$AP$23,IF($E$54=8,Dados!$AT$23,0)))))))</f>
        <v>0</v>
      </c>
      <c r="EP15" s="316">
        <f>IF($E$55=2,Dados!$AE$23,IF($E$55=3,Dados!$AG$23,IF($E$55=4,Dados!$AI$23,IF($E$55=5,Dados!$AK$23,IF($E$55=6,Dados!$AM$23,IF($E$55=7,Dados!$AO$23,IF($E$55=8,Dados!$AS$23,0)))))))</f>
        <v>0</v>
      </c>
      <c r="EQ15" s="304">
        <f>IF($E$55=2,Dados!$AF$23,IF($E$55=3,Dados!$AH$23,IF($E$55=4,Dados!$AJ$23,IF($E$55=5,Dados!$AL$23,IF($E$55=6,Dados!$AN$23,IF($E$55=7,Dados!$AP$23,IF($E$55=8,Dados!$AT$23,0)))))))</f>
        <v>0</v>
      </c>
      <c r="ER15" s="316">
        <f>IF($E$56=2,Dados!$AE$23,IF($E$56=3,Dados!$AG$23,IF($E$56=4,Dados!$AI$23,IF($E$56=5,Dados!$AK$23,IF($E$56=6,Dados!$AM$23,IF($E$56=7,Dados!$AO$23,IF($E$56=8,Dados!$AS$23,0)))))))</f>
        <v>0</v>
      </c>
      <c r="ES15" s="304">
        <f>IF($E$56=2,Dados!$AF$23,IF($E$56=3,Dados!$AH$23,IF($E$56=4,Dados!$AJ$23,IF($E$56=5,Dados!$AL$23,IF($E$56=6,Dados!$AN$23,IF($E$56=7,Dados!$AP$23,IF($E$56=8,Dados!$AT$23,0)))))))</f>
        <v>0</v>
      </c>
      <c r="EU15" s="316">
        <f>IF($E$61=2,Dados!$AE$23,IF($E$61=3,Dados!$AG$23,IF($E$61=4,Dados!$AI$23,IF($E$61=5,Dados!$AK$23,IF($E$61=6,Dados!$AM$23,IF($E$61=7,Dados!$AO$23,IF($E$61=8,Dados!$AS$23,0)))))))</f>
        <v>0</v>
      </c>
      <c r="EV15" s="304">
        <f>IF($E$61=2,Dados!$AF$23,IF($E$61=3,Dados!$AH$23,IF($E$61=4,Dados!$AJ$23,IF($E$61=5,Dados!$AL$23,IF($E$61=6,Dados!$AN$23,IF($E$61=7,Dados!$AP$23,IF($E$61=8,Dados!$AT$23,0)))))))</f>
        <v>0</v>
      </c>
      <c r="EW15" s="316">
        <f>IF($E$62=2,Dados!$AE$23,IF($E$62=3,Dados!$AG$23,IF($E$62=4,Dados!$AI$23,IF($E$62=5,Dados!$AK$23,IF($E$62=6,Dados!$AM$23,IF($E$62=7,Dados!$AO$23,IF($E$62=8,Dados!$AS$23,0)))))))</f>
        <v>0</v>
      </c>
      <c r="EX15" s="304">
        <f>IF($E$62=2,Dados!$AF$23,IF($E$62=3,Dados!$AH$23,IF($E$62=4,Dados!$AJ$23,IF($E$62=5,Dados!$AL$23,IF($E$62=6,Dados!$AN$23,IF($E$62=7,Dados!$AP$23,IF($E$62=8,Dados!$AT$23,0)))))))</f>
        <v>0</v>
      </c>
      <c r="EY15" s="316">
        <f>IF($E$63=2,Dados!$AE$23,IF($E$63=3,Dados!$AG$23,IF($E$63=4,Dados!$AI$23,IF($E$63=5,Dados!$AK$23,IF($E$63=6,Dados!$AM$23,IF($E$63=7,Dados!$AO$23,IF($E$63=8,Dados!$AS$23,0)))))))</f>
        <v>0</v>
      </c>
      <c r="EZ15" s="304">
        <f>IF($E$63=2,Dados!$AF$23,IF($E$63=3,Dados!$AH$23,IF($E$63=4,Dados!$AJ$23,IF($E$63=5,Dados!$AL$23,IF($E$63=6,Dados!$AN$23,IF($E$63=7,Dados!$AP$23,IF($E$63=8,Dados!$AT$23,0)))))))</f>
        <v>0</v>
      </c>
      <c r="FA15" s="316">
        <f>IF($E$64=2,Dados!$AE$23,IF($E$64=3,Dados!$AG$23,IF($E$64=4,Dados!$AI$23,IF($E$64=5,Dados!$AK$23,IF($E$64=6,Dados!$AM$23,IF($E$64=7,Dados!$AO$23,IF($E$64=8,Dados!$AS$23,0)))))))</f>
        <v>0</v>
      </c>
      <c r="FB15" s="304">
        <f>IF($E$64=2,Dados!$AF$23,IF($E$64=3,Dados!$AH$23,IF($E$64=4,Dados!$AJ$23,IF($E$64=5,Dados!$AL$23,IF($E$64=6,Dados!$AN$23,IF($E$64=7,Dados!$AP$23,IF($E$64=8,Dados!$AT$23,0)))))))</f>
        <v>0</v>
      </c>
      <c r="FC15" s="316">
        <f>IF($E$65=2,Dados!$AE$23,IF($E$65=3,Dados!$AG$23,IF($E$65=4,Dados!$AI$23,IF($E$65=5,Dados!$AK$23,IF($E$65=6,Dados!$AM$23,IF($E$65=7,Dados!$AO$23,IF($E$65=8,Dados!$AS$23,0)))))))</f>
        <v>0</v>
      </c>
      <c r="FD15" s="304">
        <f>IF($E$65=2,Dados!$AF$23,IF($E$65=3,Dados!$AH$23,IF($E$65=4,Dados!$AJ$23,IF($E$65=5,Dados!$AL$23,IF($E$65=6,Dados!$AN$23,IF($E$65=7,Dados!$AP$23,IF($E$65=8,Dados!$AT$23,0)))))))</f>
        <v>0</v>
      </c>
      <c r="FF15" s="316">
        <f>IF($E$70=2,Dados!$AE$23,IF($E$70=3,Dados!$AG$23,IF($E$70=4,Dados!$AI$23,IF($E$70=5,Dados!$AK$23,IF($E$70=6,Dados!$AM$23,IF($E$70=7,Dados!$AO$23,IF($E$70=8,Dados!$AS$23,0)))))))</f>
        <v>0</v>
      </c>
      <c r="FG15" s="304">
        <f>IF($E$70=2,Dados!$AF$23,IF($E$70=3,Dados!$AH$23,IF($E$70=4,Dados!$AJ$23,IF($E$70=5,Dados!$AL$23,IF($E$70=6,Dados!$AN$23,IF($E$70=7,Dados!$AP$23,IF($E$70=8,Dados!$AT$23,0)))))))</f>
        <v>0</v>
      </c>
      <c r="FH15" s="316">
        <f>IF($E$71=2,Dados!$AE$23,IF($E$71=3,Dados!$AG$23,IF($E$71=4,Dados!$AI$23,IF($E$71=5,Dados!$AK$23,IF($E$71=6,Dados!$AM$23,IF($E$71=7,Dados!$AO$23,IF($E$71=8,Dados!$AS$23,0)))))))</f>
        <v>0</v>
      </c>
      <c r="FI15" s="304">
        <f>IF($E$71=2,Dados!$AF$23,IF($E$71=3,Dados!$AH$23,IF($E$71=4,Dados!$AJ$23,IF($E$71=5,Dados!$AL$23,IF($E$71=6,Dados!$AN$23,IF($E$71=7,Dados!$AP$23,IF($E$71=8,Dados!$AT$23,0)))))))</f>
        <v>0</v>
      </c>
      <c r="FJ15" s="316">
        <f>IF($E$72=2,Dados!$AE$23,IF($E$72=3,Dados!$AG$23,IF($E$72=4,Dados!$AI$23,IF($E$72=5,Dados!$AK$23,IF($E$72=6,Dados!$AM$23,IF($E$72=7,Dados!$AO$23,IF($E$72=8,Dados!$AS$23,0)))))))</f>
        <v>0</v>
      </c>
      <c r="FK15" s="304">
        <f>IF($E$72=2,Dados!$AF$23,IF($E$72=3,Dados!$AH$23,IF($E$72=4,Dados!$AJ$23,IF($E$72=5,Dados!$AL$23,IF($E$72=6,Dados!$AN$23,IF($E$72=7,Dados!$AP$23,IF($E$72=8,Dados!$AT$23,0)))))))</f>
        <v>0</v>
      </c>
      <c r="FL15" s="316">
        <f>IF($E$73=2,Dados!$AE$23,IF($E$73=3,Dados!$AG$23,IF($E$73=4,Dados!$AI$23,IF($E$73=5,Dados!$AK$23,IF($E$73=6,Dados!$AM$23,IF($E$73=7,Dados!$AO$23,IF($E$73=8,Dados!$AS$23,0)))))))</f>
        <v>0</v>
      </c>
      <c r="FM15" s="304">
        <f>IF($E$73=2,Dados!$AF$23,IF($E$73=3,Dados!$AH$23,IF($E$73=4,Dados!$AJ$23,IF($E$73=5,Dados!$AL$23,IF($E$73=6,Dados!$AN$23,IF($E$73=7,Dados!$AP$23,IF($E$73=8,Dados!$AT$23,0)))))))</f>
        <v>0</v>
      </c>
      <c r="FN15" s="316">
        <f>IF($E$74=2,Dados!$AE$23,IF($E$74=3,Dados!$AG$23,IF($E$74=4,Dados!$AI$23,IF($E$74=5,Dados!$AK$23,IF($E$74=6,Dados!$AM$23,IF($E$74=7,Dados!$AO$23,IF($E$74=8,Dados!$AS$23,0)))))))</f>
        <v>0</v>
      </c>
      <c r="FO15" s="304">
        <f>IF($E$74=2,Dados!$AF$23,IF($E$74=3,Dados!$AH$23,IF($E$74=4,Dados!$AJ$23,IF($E$74=5,Dados!$AL$23,IF($E$74=6,Dados!$AN$23,IF($E$74=7,Dados!$AP$23,IF($E$74=8,Dados!$AT$23,0)))))))</f>
        <v>0</v>
      </c>
      <c r="FQ15" s="316">
        <f>IF($E$79=2,Dados!$AE$23,IF($E$79=3,Dados!$AG$23,IF($E$79=4,Dados!$AI$23,IF($E$79=5,Dados!$AK$23,IF($E$79=6,Dados!$AM$23,IF($E$79=7,Dados!$AO$23,IF($E$79=8,Dados!$AS$23,0)))))))</f>
        <v>0</v>
      </c>
      <c r="FR15" s="304">
        <f>IF($E$79=2,Dados!$AF$23,IF($E$79=3,Dados!$AH$23,IF($E$79=4,Dados!$AJ$23,IF($E$79=5,Dados!$AL$23,IF($E$79=6,Dados!$AN$23,IF($E$79=7,Dados!$AP$23,IF($E$79=8,Dados!$AT$23,0)))))))</f>
        <v>0</v>
      </c>
      <c r="FS15" s="316">
        <f>IF($E$80=2,Dados!$AE$23,IF($E$80=3,Dados!$AG$23,IF($E$80=4,Dados!$AI$23,IF($E$80=5,Dados!$AK$23,IF($E$80=6,Dados!$AM$23,IF($E$80=7,Dados!$AO$23,IF($E$80=8,Dados!$AS$23,0)))))))</f>
        <v>0</v>
      </c>
      <c r="FT15" s="304">
        <f>IF($E$80=2,Dados!$AF$23,IF($E$80=3,Dados!$AH$23,IF($E$80=4,Dados!$AJ$23,IF($E$80=5,Dados!$AL$23,IF($E$80=6,Dados!$AN$23,IF($E$80=7,Dados!$AP$23,IF($E$80=8,Dados!$AT$23,0)))))))</f>
        <v>0</v>
      </c>
      <c r="FU15" s="316">
        <f>IF($E$81=2,Dados!$AE$23,IF($E$81=3,Dados!$AG$23,IF($E$81=4,Dados!$AI$23,IF($E$81=5,Dados!$AK$23,IF($E$81=6,Dados!$AM$23,IF($E$81=7,Dados!$AO$23,IF($E$81=8,Dados!$AS$23,0)))))))</f>
        <v>0</v>
      </c>
      <c r="FV15" s="304">
        <f>IF($E$81=2,Dados!$AF$23,IF($E$81=3,Dados!$AH$23,IF($E$81=4,Dados!$AJ$23,IF($E$81=5,Dados!$AL$23,IF($E$81=6,Dados!$AN$23,IF($E$81=7,Dados!$AP$23,IF($E$81=8,Dados!$AT$23,0)))))))</f>
        <v>0</v>
      </c>
      <c r="FW15" s="316">
        <f>IF($E$82=2,Dados!$AE$23,IF($E$82=3,Dados!$AG$23,IF($E$82=4,Dados!$AI$23,IF($E$82=5,Dados!$AK$23,IF($E$82=6,Dados!$AM$23,IF($E$82=7,Dados!$AO$23,IF($E$82=8,Dados!$AS$23,0)))))))</f>
        <v>0</v>
      </c>
      <c r="FX15" s="304">
        <f>IF($E$82=2,Dados!$AF$23,IF($E$82=3,Dados!$AH$23,IF($E$82=4,Dados!$AJ$23,IF($E$82=5,Dados!$AL$23,IF($E$82=6,Dados!$AN$23,IF($E$82=7,Dados!$AP$23,IF($E$82=8,Dados!$AT$23,0)))))))</f>
        <v>0</v>
      </c>
      <c r="FY15" s="316">
        <f>IF($E$83=2,Dados!$AE$23,IF($E$83=3,Dados!$AG$23,IF($E$83=4,Dados!$AI$23,IF($E$83=5,Dados!$AK$23,IF($E$83=6,Dados!$AM$23,IF($E$83=7,Dados!$AO$23,IF($E$83=8,Dados!$AS$23,0)))))))</f>
        <v>0</v>
      </c>
      <c r="FZ15" s="304">
        <f>IF($E$83=2,Dados!$AF$23,IF($E$83=3,Dados!$AH$23,IF($E$83=4,Dados!$AJ$23,IF($E$83=5,Dados!$AL$23,IF($E$83=6,Dados!$AN$23,IF($E$83=7,Dados!$AP$23,IF($E$83=8,Dados!$AT$23,0)))))))</f>
        <v>0</v>
      </c>
      <c r="GB15" s="316">
        <f>IF($E$88=2,Dados!$AE$23,IF($E$88=3,Dados!$AG$23,IF($E$88=4,Dados!$AI$23,IF($E$88=5,Dados!$AK$23,IF($E$88=6,Dados!$AM$23,IF($E$88=7,Dados!$AO$23,IF($E$88=8,Dados!$AS$23,0)))))))</f>
        <v>0</v>
      </c>
      <c r="GC15" s="304">
        <f>IF($E$88=2,Dados!$AF$23,IF($E$88=3,Dados!$AH$23,IF($E$88=4,Dados!$AJ$23,IF($E$88=5,Dados!$AL$23,IF($E$88=6,Dados!$AN$23,IF($E$88=7,Dados!$AP$23,IF($E$88=8,Dados!$AT$23,0)))))))</f>
        <v>0</v>
      </c>
      <c r="GD15" s="316">
        <f>IF($E$89=2,Dados!$AE$23,IF($E$89=3,Dados!$AG$23,IF($E$89=4,Dados!$AI$23,IF($E$89=5,Dados!$AK$23,IF($E$89=6,Dados!$AM$23,IF($E$89=7,Dados!$AO$23,IF($E$89=8,Dados!$AS$23,0)))))))</f>
        <v>0</v>
      </c>
      <c r="GE15" s="304">
        <f>IF($E$89=2,Dados!$AF$23,IF($E$89=3,Dados!$AH$23,IF($E$89=4,Dados!$AJ$23,IF($E$89=5,Dados!$AL$23,IF($E$89=6,Dados!$AN$23,IF($E$89=7,Dados!$AP$23,IF($E$89=8,Dados!$AT$23,0)))))))</f>
        <v>0</v>
      </c>
      <c r="GF15" s="316">
        <f>IF($E$90=2,Dados!$AE$23,IF($E$90=3,Dados!$AG$23,IF($E$90=4,Dados!$AI$23,IF($E$90=5,Dados!$AK$23,IF($E$90=6,Dados!$AM$23,IF($E$90=7,Dados!$AO$23,IF($E$90=8,Dados!$AS$23,0)))))))</f>
        <v>0</v>
      </c>
      <c r="GG15" s="304">
        <f>IF($E$90=2,Dados!$AF$23,IF($E$90=3,Dados!$AH$23,IF($E$90=4,Dados!$AJ$23,IF($E$90=5,Dados!$AL$23,IF($E$90=6,Dados!$AN$23,IF($E$90=7,Dados!$AP$23,IF($E$90=8,Dados!$AT$23,0)))))))</f>
        <v>0</v>
      </c>
      <c r="GH15" s="316">
        <f>IF($E$91=2,Dados!$AE$23,IF($E$91=3,Dados!$AG$23,IF($E$91=4,Dados!$AI$23,IF($E$91=5,Dados!$AK$23,IF($E$91=6,Dados!$AM$23,IF($E$91=7,Dados!$AO$23,IF($E$91=8,Dados!$AS$23,0)))))))</f>
        <v>0</v>
      </c>
      <c r="GI15" s="304">
        <f>IF($E$91=2,Dados!$AF$23,IF($E$91=3,Dados!$AH$23,IF($E$91=4,Dados!$AJ$23,IF($E$91=5,Dados!$AL$23,IF($E$91=6,Dados!$AN$23,IF($E$91=7,Dados!$AP$23,IF($E$91=8,Dados!$AT$23,0)))))))</f>
        <v>0</v>
      </c>
      <c r="GJ15" s="316">
        <f>IF($E$92=2,Dados!$AE$23,IF($E$92=3,Dados!$AG$23,IF($E$92=4,Dados!$AI$23,IF($E$92=5,Dados!$AK$23,IF($E$92=6,Dados!$AM$23,IF($E$92=7,Dados!$AO$23,IF($E$92=8,Dados!$AS$23,0)))))))</f>
        <v>0</v>
      </c>
      <c r="GK15" s="304">
        <f>IF($E$92=2,Dados!$AF$23,IF($E$92=3,Dados!$AH$23,IF($E$92=4,Dados!$AJ$23,IF($E$92=5,Dados!$AL$23,IF($E$92=6,Dados!$AN$23,IF($E$92=7,Dados!$AP$23,IF($E$92=8,Dados!$AT$23,0)))))))</f>
        <v>0</v>
      </c>
      <c r="GM15" s="316">
        <f>IF($E$97=2,Dados!$AE$23,IF($E$97=3,Dados!$AG$23,IF($E$97=4,Dados!$AI$23,IF($E$97=5,Dados!$AK$23,IF($E$97=6,Dados!$AM$23,IF($E$97=7,Dados!$AO$23,IF($E$97=8,Dados!$AS$23,0)))))))</f>
        <v>0</v>
      </c>
      <c r="GN15" s="304">
        <f>IF($E$97=2,Dados!$AF$23,IF($E$97=3,Dados!$AH$23,IF($E$97=4,Dados!$AJ$23,IF($E$97=5,Dados!$AL$23,IF($E$97=6,Dados!$AN$23,IF($E$97=7,Dados!$AP$23,IF($E$97=8,Dados!$AT$23,0)))))))</f>
        <v>0</v>
      </c>
      <c r="GO15" s="316">
        <f>IF($E$98=2,Dados!$AE$23,IF($E$98=3,Dados!$AG$23,IF($E$98=4,Dados!$AI$23,IF($E$98=5,Dados!$AK$23,IF($E$98=6,Dados!$AM$23,IF($E$98=7,Dados!$AO$23,IF($E$98=8,Dados!$AS$23,0)))))))</f>
        <v>0</v>
      </c>
      <c r="GP15" s="304">
        <f>IF($E$98=2,Dados!$AF$23,IF($E$98=3,Dados!$AH$23,IF($E$98=4,Dados!$AJ$23,IF($E$98=5,Dados!$AL$23,IF($E$98=6,Dados!$AN$23,IF($E$98=7,Dados!$AP$23,IF($E$98=8,Dados!$AT$23,0)))))))</f>
        <v>0</v>
      </c>
      <c r="GQ15" s="316">
        <f>IF($E$99=2,Dados!$AE$23,IF($E$99=3,Dados!$AG$23,IF($E$99=4,Dados!$AI$23,IF($E$99=5,Dados!$AK$23,IF($E$99=6,Dados!$AM$23,IF($E$99=7,Dados!$AO$23,IF($E$99=8,Dados!$AS$23,0)))))))</f>
        <v>0</v>
      </c>
      <c r="GR15" s="304">
        <f>IF($E$99=2,Dados!$AF$23,IF($E$99=3,Dados!$AH$23,IF($E$99=4,Dados!$AJ$23,IF($E$99=5,Dados!$AL$23,IF($E$99=6,Dados!$AN$23,IF($E$99=7,Dados!$AP$23,IF($E$99=8,Dados!$AT$23,0)))))))</f>
        <v>0</v>
      </c>
      <c r="GS15" s="316">
        <f>IF($E$100=2,Dados!$AE$23,IF($E$100=3,Dados!$AG$23,IF($E$100=4,Dados!$AI$23,IF($E$100=5,Dados!$AK$23,IF($E$100=6,Dados!$AM$23,IF($E$100=7,Dados!$AO$23,IF($E$100=8,Dados!$AS$23,0)))))))</f>
        <v>0</v>
      </c>
      <c r="GT15" s="304">
        <f>IF($E$100=2,Dados!$AF$23,IF($E$100=3,Dados!$AH$23,IF($E$100=4,Dados!$AJ$23,IF($E$100=5,Dados!$AL$23,IF($E$100=6,Dados!$AN$23,IF($E$100=7,Dados!$AP$23,IF($E$100=8,Dados!$AT$23,0)))))))</f>
        <v>0</v>
      </c>
      <c r="GU15" s="316">
        <f>IF($E$101=2,Dados!$AE$23,IF($E$101=3,Dados!$AG$23,IF($E$101=4,Dados!$AI$23,IF($E$101=5,Dados!$AK$23,IF($E$101=6,Dados!$AM$23,IF($E$101=7,Dados!$AO$23,IF($E$101=8,Dados!$AS$23,0)))))))</f>
        <v>0</v>
      </c>
      <c r="GV15" s="304">
        <f>IF($E$101=2,Dados!$AF$23,IF($E$101=3,Dados!$AH$23,IF($E$101=4,Dados!$AJ$23,IF($E$101=5,Dados!$AL$23,IF($E$101=6,Dados!$AN$23,IF($E$101=7,Dados!$AP$23,IF($E$101=8,Dados!$AT$23,0)))))))</f>
        <v>0</v>
      </c>
      <c r="GX15" s="316">
        <f>IF($E$106=2,Dados!$AE$23,IF($E$106=3,Dados!$AG$23,IF($E$106=4,Dados!$AI$23,IF($E$106=5,Dados!$AK$23,IF($E$106=6,Dados!$AM$23,IF($E$106=7,Dados!$AO$23,IF($E$106=8,Dados!$AS$23,0)))))))</f>
        <v>0</v>
      </c>
      <c r="GY15" s="304">
        <f>IF($E$106=2,Dados!$AF$23,IF($E$106=3,Dados!$AH$23,IF($E$106=4,Dados!$AJ$23,IF($E$106=5,Dados!$AL$23,IF($E$106=6,Dados!$AN$23,IF($E$106=7,Dados!$AP$23,IF($E$106=8,Dados!$AT$23,0)))))))</f>
        <v>0</v>
      </c>
      <c r="GZ15" s="316">
        <f>IF($E$107=2,Dados!$AE$23,IF($E$107=3,Dados!$AG$23,IF($E$107=4,Dados!$AI$23,IF($E$107=5,Dados!$AK$23,IF($E$107=6,Dados!$AM$23,IF($E$107=7,Dados!$AO$23,IF($E$107=8,Dados!$AS$23,0)))))))</f>
        <v>0</v>
      </c>
      <c r="HA15" s="304">
        <f>IF($E$107=2,Dados!$AF$23,IF($E$107=3,Dados!$AH$23,IF($E$107=4,Dados!$AJ$23,IF($E$107=5,Dados!$AL$23,IF($E$107=6,Dados!$AN$23,IF($E$107=7,Dados!$AP$23,IF($E$107=8,Dados!$AT$23,0)))))))</f>
        <v>0</v>
      </c>
      <c r="HB15" s="316">
        <f>IF($E$108=2,Dados!$AE$23,IF($E$108=3,Dados!$AG$23,IF($E$108=4,Dados!$AI$23,IF($E$108=5,Dados!$AK$23,IF($E$108=6,Dados!$AM$23,IF($E$108=7,Dados!$AO$23,IF($E$108=8,Dados!$AS$23,0)))))))</f>
        <v>0</v>
      </c>
      <c r="HC15" s="304">
        <f>IF($E$108=2,Dados!$AF$23,IF($E$108=3,Dados!$AH$23,IF($E$108=4,Dados!$AJ$23,IF($E$108=5,Dados!$AL$23,IF($E$108=6,Dados!$AN$23,IF($E$108=7,Dados!$AP$23,IF($E$108=8,Dados!$AT$23,0)))))))</f>
        <v>0</v>
      </c>
      <c r="HD15" s="316">
        <f>IF($E$109=2,Dados!$AE$23,IF($E$109=3,Dados!$AG$23,IF($E$109=4,Dados!$AI$23,IF($E$109=5,Dados!$AK$23,IF($E$109=6,Dados!$AM$23,IF($E$109=7,Dados!$AO$23,IF($E$109=8,Dados!$AS$23,0)))))))</f>
        <v>0</v>
      </c>
      <c r="HE15" s="304">
        <f>IF($E$109=2,Dados!$AF$23,IF($E$109=3,Dados!$AH$23,IF($E$109=4,Dados!$AJ$23,IF($E$109=5,Dados!$AL$23,IF($E$109=6,Dados!$AN$23,IF($E$109=7,Dados!$AP$23,IF($E$109=8,Dados!$AT$23,0)))))))</f>
        <v>0</v>
      </c>
      <c r="HF15" s="316">
        <f>IF($E$110=2,Dados!$AE$23,IF($E$110=3,Dados!$AG$23,IF($E$110=4,Dados!$AI$23,IF($E$110=5,Dados!$AK$23,IF($E$110=6,Dados!$AM$23,IF($E$110=7,Dados!$AO$23,IF($E$110=8,Dados!$AS$23,0)))))))</f>
        <v>0</v>
      </c>
      <c r="HG15" s="304">
        <f>IF($E$110=2,Dados!$AF$23,IF($E$110=3,Dados!$AH$23,IF($E$110=4,Dados!$AJ$23,IF($E$110=5,Dados!$AL$23,IF($E$110=6,Dados!$AN$23,IF($E$110=7,Dados!$AP$23,IF($E$110=8,Dados!$AT$23,0)))))))</f>
        <v>0</v>
      </c>
    </row>
    <row r="16" spans="3:215" ht="15.75" customHeight="1" x14ac:dyDescent="0.2">
      <c r="C16" s="156">
        <f>IF(R16=1,0,S16)</f>
        <v>0</v>
      </c>
      <c r="D16" s="2727"/>
      <c r="E16" s="179">
        <v>3</v>
      </c>
      <c r="F16" s="2719">
        <v>2</v>
      </c>
      <c r="G16" s="2633"/>
      <c r="H16" s="295"/>
      <c r="I16" s="229">
        <v>2</v>
      </c>
      <c r="J16" s="314">
        <v>1000</v>
      </c>
      <c r="K16" s="157">
        <v>400</v>
      </c>
      <c r="L16" s="305">
        <f>1/50</f>
        <v>0.02</v>
      </c>
      <c r="M16" s="127">
        <f>IF(I16=1,K16,IF(I16=2,K16/J16,IF(I16=3,K16*L16,0)))</f>
        <v>0.4</v>
      </c>
      <c r="N16" s="3">
        <v>23</v>
      </c>
      <c r="O16" s="30">
        <v>2</v>
      </c>
      <c r="P16" s="837">
        <f>IF(N16=1,0,VLOOKUP(N16,Rebanho!$AN$45:$AV$72,4)*O16)</f>
        <v>6233.72984888889</v>
      </c>
      <c r="Q16" s="838">
        <f>VLOOKUP(N16,Rebanho!$AN$45:$AV$72,7)*O16</f>
        <v>2285170.5240414818</v>
      </c>
      <c r="R16" s="93">
        <v>1</v>
      </c>
      <c r="S16" s="29"/>
      <c r="T16" s="102">
        <f>VLOOKUP(R16,'Mão-de-obra'!$CJ$10:$CL$29,3)</f>
        <v>0</v>
      </c>
      <c r="U16" s="102">
        <f>T16*S16</f>
        <v>0</v>
      </c>
      <c r="V16" s="127">
        <f>IF(I16=1,M16*P16,IF(I16=2,M16*Q16*L16,IF(I16=3,M16,0)))</f>
        <v>18281.364192331854</v>
      </c>
      <c r="W16" s="129">
        <f>U16+V16</f>
        <v>18281.364192331854</v>
      </c>
      <c r="X16" s="93">
        <v>1</v>
      </c>
      <c r="Y16" s="93">
        <v>1</v>
      </c>
      <c r="Z16" s="127">
        <f>IF(P16=0,0,((W16/P16+U16/P16)*O16))</f>
        <v>5.8653052459725545</v>
      </c>
      <c r="AE16" s="1160" t="str">
        <f>Rebanho!C58</f>
        <v>Novilhas preenhe</v>
      </c>
      <c r="AF16" s="1195">
        <f>IF(Rebanho!E58&gt;0,1,0)</f>
        <v>0</v>
      </c>
      <c r="AG16" s="1193">
        <f>Rebanho!E58</f>
        <v>0</v>
      </c>
      <c r="AH16" s="1336">
        <f>Rebanho!AS55</f>
        <v>0</v>
      </c>
      <c r="AI16" s="1178">
        <f>((SUMIFS($Z$7:$Z$110,$E$7:$E$110,"=2",$N$7:$N$110,"=11")+SUMIFS($Z$7:$Z$110,$E$7:$E$110,"=2",$N$7:$N$110,"=19")))*($AF$16)</f>
        <v>0</v>
      </c>
      <c r="AJ16" s="1178">
        <f>((SUMIFS($Z$7:$Z$110,$E$7:$E$110,"=3",$N$7:$N$110,"=11")+SUMIFS($Z$7:$Z$110,$E$7:$E$110,"=3",$N$7:$N$110,"=19")))*($AF$16)</f>
        <v>0</v>
      </c>
      <c r="AK16" s="1178">
        <f>((SUMIFS($Z$7:$Z$110,$E$7:$E$110,"=4",$N$7:$N$110,"=11")+SUMIFS($Z$7:$Z$110,$E$7:$E$110,"=4",$N$7:$N$110,"=19")))*($AF$16)</f>
        <v>0</v>
      </c>
      <c r="AL16" s="1178">
        <f>((SUMIFS($Z$7:$Z$110,$E$7:$E$110,"=5",$N$7:$N$110,"=11")+SUMIFS($Z$7:$Z$110,$E$7:$E$110,"=5",$N$7:$N$110,"=19")))*($AF$16)</f>
        <v>0</v>
      </c>
      <c r="AM16" s="1178">
        <f>((SUMIFS($Z$7:$Z$110,$E$7:$E$110,"=6",$N$7:$N$110,"=11")+SUMIFS($Z$7:$Z$110,$E$7:$E$110,"=6",$N$7:$N$110,"=19")))*($AF$16)</f>
        <v>0</v>
      </c>
      <c r="AN16" s="1178">
        <f>((SUMIFS($Z$7:$Z$110,$E$7:$E$110,"=7",$N$7:$N$110,"=11")+SUMIFS($Z$7:$Z$110,$E$7:$E$110,"=7",$N$7:$N$110,"=19")))*($AF$16)</f>
        <v>0</v>
      </c>
      <c r="AO16" s="1208">
        <f>((SUMIFS($Z$7:$Z$110,$E$7:$E$110,"=8",$N$7:$N$110,"=11")+SUMIFS($Z$7:$Z$110,$E$7:$E$110,"=8",$N$7:$N$110,"=19")))*($AF$16)</f>
        <v>0</v>
      </c>
      <c r="AP16" s="1208">
        <f t="shared" si="3"/>
        <v>0</v>
      </c>
      <c r="AQ16" s="1184">
        <f t="shared" si="2"/>
        <v>0</v>
      </c>
      <c r="AW16" s="3" t="s">
        <v>302</v>
      </c>
      <c r="AX16" s="94">
        <f>IF($E16=2,$V16,0)</f>
        <v>0</v>
      </c>
      <c r="AY16" s="94">
        <f>IF($E17=2,$V17,0)</f>
        <v>0</v>
      </c>
      <c r="AZ16" s="94">
        <f>IF($E18=2,$V18,0)</f>
        <v>0</v>
      </c>
      <c r="BA16" s="94">
        <f>IF($E19=2,$V19,0)</f>
        <v>626.20444444444456</v>
      </c>
      <c r="BB16" s="94">
        <f>IF($E20=2,$V20,0)</f>
        <v>0</v>
      </c>
      <c r="BC16" s="200">
        <f t="shared" ref="BC16:BC21" si="4">SUM(AX16:BB16)</f>
        <v>626.20444444444456</v>
      </c>
      <c r="CF16" s="93">
        <v>11</v>
      </c>
      <c r="CG16" s="316">
        <f>IF($E$7=2,Dados!$AE$24,IF($E$7=3,Dados!$AG$24,IF($E$7=4,Dados!$AI$24,IF($E$7=5,Dados!$AK$24,IF($E$7=6,Dados!$AM$24,IF($E$7=7,Dados!$AO$24,IF($E$7=8,Dados!$AS$24,0)))))))</f>
        <v>0</v>
      </c>
      <c r="CH16" s="304">
        <f>IF($E$7=2,Dados!$AF$24,IF($E$7=3,Dados!$AH$24,IF($E$7=4,Dados!$AJ$24,IF($E$7=5,Dados!$AL$24,IF($E$7=6,Dados!$AN$24,IF($E$7=7,Dados!$AP$24,IF($E$7=8,Dados!$AT$24,0)))))))</f>
        <v>0</v>
      </c>
      <c r="CI16" s="316">
        <f>IF($E$8=2,Dados!$AE$24,IF($E$8=3,Dados!$AG$24,IF($E$8=4,Dados!$AI$24,IF($E$8=5,Dados!$AK$24,IF($E$8=6,Dados!$AM$24,IF($E$8=7,Dados!$AO$24,IF($E$8=8,Dados!$AS$24,0)))))))</f>
        <v>0</v>
      </c>
      <c r="CJ16" s="304">
        <f>IF($E$8=2,Dados!$AF$24,IF($E$8=3,Dados!$AH$24,IF($E$8=4,Dados!$AJ$24,IF($E$8=5,Dados!$AL$24,IF($E$8=6,Dados!$AN$24,IF($E$8=7,Dados!$AP$24,IF($E$8=8,Dados!$AT$24,0)))))))</f>
        <v>0</v>
      </c>
      <c r="CK16" s="316">
        <f>IF($E$9=2,Dados!$AE$24,IF($E$9=3,Dados!$AG$24,IF($E$9=4,Dados!$AI$24,IF($E$9=5,Dados!$AK$24,IF($E$9=6,Dados!$AM$24,IF($E$9=7,Dados!$AO$24,IF($E$9=8,Dados!$AS$24,0)))))))</f>
        <v>0</v>
      </c>
      <c r="CL16" s="304">
        <f>IF($E$9=2,Dados!$AF$24,IF($E$9=3,Dados!$AH$24,IF($E$9=4,Dados!$AJ$24,IF($E$9=5,Dados!$AL$24,IF($E$9=6,Dados!$AN$24,IF($E$9=7,Dados!$AP$24,IF($E$9=8,Dados!$AT$24,0)))))))</f>
        <v>0</v>
      </c>
      <c r="CM16" s="316">
        <f>IF($E$10=2,Dados!$AE$24,IF($E$10=3,Dados!$AG$24,IF($E$10=4,Dados!$AI$24,IF($E$10=5,Dados!$AK$24,IF($E$10=6,Dados!$AM$24,IF($E$10=7,Dados!$AO$24,IF($E$10=8,Dados!$AS$24,0)))))))</f>
        <v>0</v>
      </c>
      <c r="CN16" s="304">
        <f>IF($E$10=2,Dados!$AF$24,IF($E$10=3,Dados!$AH$24,IF($E$10=4,Dados!$AJ$24,IF($E$10=5,Dados!$AL$24,IF($E$10=6,Dados!$AN$24,IF($E$10=7,Dados!$AP$24,IF($E$10=8,Dados!$AT$24,0)))))))</f>
        <v>0</v>
      </c>
      <c r="CO16" s="316">
        <f>IF($E$11=2,Dados!$AE$24,IF($E$11=3,Dados!$AG$24,IF($E$11=4,Dados!$AI$24,IF($E$11=5,Dados!$AK$24,IF($E$11=6,Dados!$AM$24,IF($E$11=7,Dados!$AO$24,IF($E$11=8,Dados!$AS$24,0)))))))</f>
        <v>0</v>
      </c>
      <c r="CP16" s="304">
        <f>IF($E$11=2,Dados!$AF$24,IF($E$11=3,Dados!$AH$24,IF($E$11=4,Dados!$AJ$24,IF($E$11=5,Dados!$AL$24,IF($E$11=6,Dados!$AN$24,IF($E$11=7,Dados!$AP$24,IF($E$11=8,Dados!$AT$24,0)))))))</f>
        <v>0</v>
      </c>
      <c r="CR16" s="316">
        <f>IF($E$16=2,Dados!$AE$24,IF($E$16=3,Dados!$AG$24,IF($E$16=4,Dados!$AI$24,IF($E$16=5,Dados!$AK$24,IF($E$16=6,Dados!$AM$24,IF($E$16=7,Dados!$AO$24,IF($E$16=8,Dados!$AS$24,0)))))))</f>
        <v>0</v>
      </c>
      <c r="CS16" s="304">
        <f>IF($E$16=2,Dados!$AF$24,IF($E$16=3,Dados!$AH$24,IF($E$16=4,Dados!$AJ$24,IF($E$16=5,Dados!$AL$24,IF($E$16=6,Dados!$AN$24,IF($E$16=7,Dados!$AP$24,IF($E$16=8,Dados!$AT$24,0)))))))</f>
        <v>0</v>
      </c>
      <c r="CT16" s="316">
        <f>IF($E$17=2,Dados!$AE$24,IF($E$17=3,Dados!$AG$24,IF($E$17=4,Dados!$AI$24,IF($E$17=5,Dados!$AK$24,IF($E$17=6,Dados!$AM$24,IF($E$17=7,Dados!$AO$24,IF($E$17=8,Dados!$AS$24,0)))))))</f>
        <v>0</v>
      </c>
      <c r="CU16" s="304">
        <f>IF($E$17=2,Dados!$AF$24,IF($E$17=3,Dados!$AH$24,IF($E$17=4,Dados!$AJ$24,IF($E$17=5,Dados!$AL$24,IF($E$17=6,Dados!$AN$24,IF($E$17=7,Dados!$AP$24,IF($E$17=8,Dados!$AT$24,0)))))))</f>
        <v>0</v>
      </c>
      <c r="CV16" s="316">
        <f>IF($E$18=2,Dados!$AE$24,IF($E$18=3,Dados!$AG$24,IF($E$18=4,Dados!$AI$24,IF($E$18=5,Dados!$AK$24,IF($E$18=6,Dados!$AM$24,IF($E$18=7,Dados!$AO$24,IF($E$18=8,Dados!$AS$24,0)))))))</f>
        <v>0</v>
      </c>
      <c r="CW16" s="304">
        <f>IF($E$18=2,Dados!$AF$24,IF($E$18=3,Dados!$AH$24,IF($E$18=4,Dados!$AJ$24,IF($E$18=5,Dados!$AL$24,IF($E$18=6,Dados!$AN$24,IF($E$18=7,Dados!$AP$24,IF($E$18=8,Dados!$AT$24,0)))))))</f>
        <v>0</v>
      </c>
      <c r="CX16" s="316">
        <f>IF($E$19=2,Dados!$AE$24,IF($E$19=3,Dados!$AG$24,IF($E$19=4,Dados!$AI$24,IF($E$19=5,Dados!$AK$24,IF($E$19=6,Dados!$AM$24,IF($E$19=7,Dados!$AO$24,IF($E$19=8,Dados!$AS$24,0)))))))</f>
        <v>0</v>
      </c>
      <c r="CY16" s="304">
        <f>IF($E$19=2,Dados!$AF$24,IF($E$19=3,Dados!$AH$24,IF($E$19=4,Dados!$AJ$24,IF($E$19=5,Dados!$AL$24,IF($E$19=6,Dados!$AN$24,IF($E$19=7,Dados!$AP$24,IF($E$19=8,Dados!$AT$24,0)))))))</f>
        <v>0</v>
      </c>
      <c r="CZ16" s="316">
        <f>IF($E$20=2,Dados!$AE$24,IF($E$20=3,Dados!$AG$24,IF($E$20=4,Dados!$AI$24,IF($E$20=5,Dados!$AK$24,IF($E$20=6,Dados!$AM$24,IF($E$20=7,Dados!$AO$24,IF($E$20=8,Dados!$AS$24,0)))))))</f>
        <v>0</v>
      </c>
      <c r="DA16" s="304">
        <f>IF($E$20=2,Dados!$AF$24,IF($E$20=3,Dados!$AH$24,IF($E$20=4,Dados!$AJ$24,IF($E$20=5,Dados!$AL$24,IF($E$20=6,Dados!$AN$24,IF($E$20=7,Dados!$AP$24,IF($E$20=8,Dados!$AT$24,0)))))))</f>
        <v>0</v>
      </c>
      <c r="DC16" s="316">
        <f>IF($E$25=2,Dados!$AE$24,IF($E$25=3,Dados!$AG$24,IF($E$25=4,Dados!$AI$24,IF($E$25=5,Dados!$AK$24,IF($E$25=6,Dados!$AM$24,IF($E$25=7,Dados!$AO$24,IF($E$25=8,Dados!$AS$24,0)))))))</f>
        <v>0</v>
      </c>
      <c r="DD16" s="304">
        <f>IF($E$25=2,Dados!$AF$24,IF($E$25=3,Dados!$AH$24,IF($E$25=4,Dados!$AJ$24,IF($E$25=5,Dados!$AL$24,IF($E$25=6,Dados!$AN$24,IF($E$25=7,Dados!$AP$24,IF($E$25=8,Dados!$AT$24,0)))))))</f>
        <v>0</v>
      </c>
      <c r="DE16" s="316">
        <f>IF($E$26=2,Dados!$AE$24,IF($E$26=3,Dados!$AG$24,IF($E$26=4,Dados!$AI$24,IF($E$26=5,Dados!$AK$24,IF($E$26=6,Dados!$AM$24,IF($E$26=7,Dados!$AO$24,IF($E$26=8,Dados!$AS$24,0)))))))</f>
        <v>0</v>
      </c>
      <c r="DF16" s="304">
        <f>IF($E$26=2,Dados!$AF$24,IF($E$26=3,Dados!$AH$24,IF($E$26=4,Dados!$AJ$24,IF($E$26=5,Dados!$AL$24,IF($E$26=6,Dados!$AN$24,IF($E$26=7,Dados!$AP$24,IF($E$26=8,Dados!$AT$24,0)))))))</f>
        <v>0</v>
      </c>
      <c r="DG16" s="316">
        <f>IF($E$27=2,Dados!$AE$24,IF($E$27=3,Dados!$AG$24,IF($E$27=4,Dados!$AI$24,IF($E$27=5,Dados!$AK$24,IF($E$27=6,Dados!$AM$24,IF($E$27=7,Dados!$AO$24,IF($E$27=8,Dados!$AS$24,0)))))))</f>
        <v>0</v>
      </c>
      <c r="DH16" s="304">
        <f>IF($E$27=2,Dados!$AF$24,IF($E$27=3,Dados!$AH$24,IF($E$27=4,Dados!$AJ$24,IF($E$27=5,Dados!$AL$24,IF($E$27=6,Dados!$AN$24,IF($E$27=7,Dados!$AP$24,IF($E$27=8,Dados!$AT$24,0)))))))</f>
        <v>0</v>
      </c>
      <c r="DI16" s="316">
        <f>IF($E$28=2,Dados!$AE$24,IF($E$28=3,Dados!$AG$24,IF($E$28=4,Dados!$AI$24,IF($E$28=5,Dados!$AK$24,IF($E$28=6,Dados!$AM$24,IF($E$28=7,Dados!$AO$24,IF($E$28=8,Dados!$AS$24,0)))))))</f>
        <v>0</v>
      </c>
      <c r="DJ16" s="304">
        <f>IF($E$28=2,Dados!$AF$24,IF($E$28=3,Dados!$AH$24,IF($E$28=4,Dados!$AJ$24,IF($E$28=5,Dados!$AL$24,IF($E$28=6,Dados!$AN$24,IF($E$28=7,Dados!$AP$24,IF($E$28=8,Dados!$AT$24,0)))))))</f>
        <v>0</v>
      </c>
      <c r="DK16" s="316">
        <f>IF($E$29=2,Dados!$AE$24,IF($E$29=3,Dados!$AG$24,IF($E$29=4,Dados!$AI$24,IF($E$29=5,Dados!$AK$24,IF($E$29=6,Dados!$AM$24,IF($E$29=7,Dados!$AO$24,IF($E$29=8,Dados!$AS$24,0)))))))</f>
        <v>0</v>
      </c>
      <c r="DL16" s="304">
        <f>IF($E$29=2,Dados!$AF$24,IF($E$29=3,Dados!$AH$24,IF($E$29=4,Dados!$AJ$24,IF($E$29=5,Dados!$AL$24,IF($E$29=6,Dados!$AN$24,IF($E$29=7,Dados!$AP$24,IF($E$29=8,Dados!$AT$24,0)))))))</f>
        <v>0</v>
      </c>
      <c r="DN16" s="316">
        <f>IF($E$34=2,Dados!$AE$24,IF($E$34=3,Dados!$AG$24,IF($E$34=4,Dados!$AI$24,IF($E$34=5,Dados!$AK$24,IF($E$34=6,Dados!$AM$24,IF($E$34=7,Dados!$AO$24,IF($E$34=8,Dados!$AS$24,0)))))))</f>
        <v>0</v>
      </c>
      <c r="DO16" s="304">
        <f>IF($E$34=2,Dados!$AF$24,IF($E$34=3,Dados!$AH$24,IF($E$34=4,Dados!$AJ$24,IF($E$34=5,Dados!$AL$24,IF($E$34=6,Dados!$AN$24,IF($E$34=7,Dados!$AP$24,IF($E$34=8,Dados!$AT$24,0)))))))</f>
        <v>0</v>
      </c>
      <c r="DP16" s="316">
        <f>IF($E$35=2,Dados!$AE$24,IF($E$35=3,Dados!$AG$24,IF($E$35=4,Dados!$AI$24,IF($E$35=5,Dados!$AK$24,IF($E$35=6,Dados!$AM$24,IF($E$35=7,Dados!$AO$24,IF($E$35=8,Dados!$AS$24,0)))))))</f>
        <v>0</v>
      </c>
      <c r="DQ16" s="304">
        <f>IF($E$35=2,Dados!$AF$24,IF($E$35=3,Dados!$AH$24,IF($E$35=4,Dados!$AJ$24,IF($E$35=5,Dados!$AL$24,IF($E$35=6,Dados!$AN$24,IF($E$35=7,Dados!$AP$24,IF($E$35=8,Dados!$AT$24,0)))))))</f>
        <v>0</v>
      </c>
      <c r="DR16" s="316">
        <f>IF($E$36=2,Dados!$AE$24,IF($E$36=3,Dados!$AG$24,IF($E$36=4,Dados!$AI$24,IF($E$36=5,Dados!$AK$24,IF($E$36=6,Dados!$AM$24,IF($E$36=7,Dados!$AO$24,IF($E$36=8,Dados!$AS$24,0)))))))</f>
        <v>0</v>
      </c>
      <c r="DS16" s="304">
        <f>IF($E$36=2,Dados!$AF$24,IF($E$36=3,Dados!$AH$24,IF($E$36=4,Dados!$AJ$24,IF($E$36=5,Dados!$AL$24,IF($E$36=6,Dados!$AN$24,IF($E$36=7,Dados!$AP$24,IF($E$36=8,Dados!$AT$24,0)))))))</f>
        <v>0</v>
      </c>
      <c r="DT16" s="316">
        <f>IF($E$37=2,Dados!$AE$24,IF($E$37=3,Dados!$AG$24,IF($E$37=4,Dados!$AI$24,IF($E$37=5,Dados!$AK$24,IF($E$37=6,Dados!$AM$24,IF($E$37=7,Dados!$AO$24,IF($E$37=8,Dados!$AS$24,0)))))))</f>
        <v>0</v>
      </c>
      <c r="DU16" s="304">
        <f>IF($E$37=2,Dados!$AF$24,IF($E$37=3,Dados!$AH$24,IF($E$37=4,Dados!$AJ$24,IF($E$37=5,Dados!$AL$24,IF($E$37=6,Dados!$AN$24,IF($E$37=7,Dados!$AP$24,IF($E$37=8,Dados!$AT$24,0)))))))</f>
        <v>0</v>
      </c>
      <c r="DV16" s="316">
        <f>IF($E$38=2,Dados!$AE$24,IF($E$38=3,Dados!$AG$24,IF($E$38=4,Dados!$AI$24,IF($E$38=5,Dados!$AK$24,IF($E$38=6,Dados!$AM$24,IF($E$38=7,Dados!$AO$24,IF($E$38=8,Dados!$AS$24,0)))))))</f>
        <v>0</v>
      </c>
      <c r="DW16" s="304">
        <f>IF($E$38=2,Dados!$AF$24,IF($E$38=3,Dados!$AH$24,IF($E$38=4,Dados!$AJ$24,IF($E$38=5,Dados!$AL$24,IF($E$38=6,Dados!$AN$24,IF($E$38=7,Dados!$AP$24,IF($E$38=8,Dados!$AT$24,0)))))))</f>
        <v>0</v>
      </c>
      <c r="DY16" s="316">
        <f>IF($E$43=2,Dados!$AE$24,IF($E$43=3,Dados!$AG$24,IF($E$43=4,Dados!$AI$24,IF($E$43=5,Dados!$AK$24,IF($E$43=6,Dados!$AM$24,IF($E$43=7,Dados!$AO$24,IF($E$43=8,Dados!$AS$24,0)))))))</f>
        <v>0</v>
      </c>
      <c r="DZ16" s="304">
        <f>IF($E$43=2,Dados!$AF$24,IF($E$43=3,Dados!$AH$24,IF($E$43=4,Dados!$AJ$24,IF($E$43=5,Dados!$AL$24,IF($E$43=6,Dados!$AN$24,IF($E$43=7,Dados!$AP$24,IF($E$43=8,Dados!$AT$24,0)))))))</f>
        <v>0</v>
      </c>
      <c r="EA16" s="316">
        <f>IF($E$44=2,Dados!$AE$24,IF($E$44=3,Dados!$AG$24,IF($E$44=4,Dados!$AI$24,IF($E$44=5,Dados!$AK$24,IF($E$44=6,Dados!$AM$24,IF($E$44=7,Dados!$AO$24,IF($E$44=8,Dados!$AS$24,0)))))))</f>
        <v>0</v>
      </c>
      <c r="EB16" s="304">
        <f>IF($E$44=2,Dados!$AF$24,IF($E$44=3,Dados!$AH$24,IF($E$44=4,Dados!$AJ$24,IF($E$44=5,Dados!$AL$24,IF($E$44=6,Dados!$AN$24,IF($E$44=7,Dados!$AP$24,IF($E$44=8,Dados!$AT$24,0)))))))</f>
        <v>0</v>
      </c>
      <c r="EC16" s="316">
        <f>IF($E$45=2,Dados!$AE$24,IF($E$45=3,Dados!$AG$24,IF($E$45=4,Dados!$AI$24,IF($E$45=5,Dados!$AK$24,IF($E$45=6,Dados!$AM$24,IF($E$45=7,Dados!$AO$24,IF($E$45=8,Dados!$AS$24,0)))))))</f>
        <v>0</v>
      </c>
      <c r="ED16" s="304">
        <f>IF($E$45=2,Dados!$AF$24,IF($E$45=3,Dados!$AH$24,IF($E$45=4,Dados!$AJ$24,IF($E$45=5,Dados!$AL$24,IF($E$45=6,Dados!$AN$24,IF($E$45=7,Dados!$AP$24,IF($E$45=8,Dados!$AT$24,0)))))))</f>
        <v>0</v>
      </c>
      <c r="EE16" s="316">
        <f>IF($E$46=2,Dados!$AE$24,IF($E$46=3,Dados!$AG$24,IF($E$46=4,Dados!$AI$24,IF($E$46=5,Dados!$AK$24,IF($E$46=6,Dados!$AM$24,IF($E$46=7,Dados!$AO$24,IF($E$46=8,Dados!$AS$24,0)))))))</f>
        <v>0</v>
      </c>
      <c r="EF16" s="304">
        <f>IF($E$46=2,Dados!$AF$24,IF($E$46=3,Dados!$AH$24,IF($E$46=4,Dados!$AJ$24,IF($E$46=5,Dados!$AL$24,IF($E$46=6,Dados!$AN$24,IF($E$46=7,Dados!$AP$24,IF($E$46=8,Dados!$AT$24,0)))))))</f>
        <v>0</v>
      </c>
      <c r="EG16" s="316">
        <f>IF($E$47=2,Dados!$AE$24,IF($E$47=3,Dados!$AG$24,IF($E$47=4,Dados!$AI$24,IF($E$47=5,Dados!$AK$24,IF($E$47=6,Dados!$AM$24,IF($E$47=7,Dados!$AO$24,IF($E$47=8,Dados!$AS$24,0)))))))</f>
        <v>0</v>
      </c>
      <c r="EH16" s="304">
        <f>IF($E$47=2,Dados!$AF$24,IF($E$47=3,Dados!$AH$24,IF($E$47=4,Dados!$AJ$24,IF($E$47=5,Dados!$AL$24,IF($E$47=6,Dados!$AN$24,IF($E$47=7,Dados!$AP$24,IF($E$47=8,Dados!$AT$24,0)))))))</f>
        <v>0</v>
      </c>
      <c r="EJ16" s="316">
        <f>IF($E$52=2,Dados!$AE$24,IF($E$52=3,Dados!$AG$24,IF($E$52=4,Dados!$AI$24,IF($E$52=5,Dados!$AK$24,IF($E$52=6,Dados!$AM$24,IF($E$52=7,Dados!$AO$24,IF($E$52=8,Dados!$AS$24,0)))))))</f>
        <v>0</v>
      </c>
      <c r="EK16" s="304">
        <f>IF($E$52=2,Dados!$AF$24,IF($E$52=3,Dados!$AH$24,IF($E$52=4,Dados!$AJ$24,IF($E$52=5,Dados!$AL$24,IF($E$52=6,Dados!$AN$24,IF($E$52=7,Dados!$AP$24,IF($E$52=8,Dados!$AT$24,0)))))))</f>
        <v>0</v>
      </c>
      <c r="EL16" s="316">
        <f>IF($E$53=2,Dados!$AE$24,IF($E$53=3,Dados!$AG$24,IF($E$53=4,Dados!$AI$24,IF($E$53=5,Dados!$AK$24,IF($E$53=6,Dados!$AM$24,IF($E$53=7,Dados!$AO$24,IF($E$53=8,Dados!$AS$24,0)))))))</f>
        <v>0</v>
      </c>
      <c r="EM16" s="304">
        <f>IF($E$53=2,Dados!$AF$24,IF($E$53=3,Dados!$AH$24,IF($E$53=4,Dados!$AJ$24,IF($E$53=5,Dados!$AL$24,IF($E$53=6,Dados!$AN$24,IF($E$53=7,Dados!$AP$24,IF($E$53=8,Dados!$AT$24,0)))))))</f>
        <v>0</v>
      </c>
      <c r="EN16" s="316">
        <f>IF($E$54=2,Dados!$AE$24,IF($E$54=3,Dados!$AG$24,IF($E$54=4,Dados!$AI$24,IF($E$54=5,Dados!$AK$24,IF($E$54=6,Dados!$AM$24,IF($E$54=7,Dados!$AO$24,IF($E$54=8,Dados!$AS$24,0)))))))</f>
        <v>0</v>
      </c>
      <c r="EO16" s="304">
        <f>IF($E$54=2,Dados!$AF$24,IF($E$54=3,Dados!$AH$24,IF($E$54=4,Dados!$AJ$24,IF($E$54=5,Dados!$AL$24,IF($E$54=6,Dados!$AN$24,IF($E$54=7,Dados!$AP$24,IF($E$54=8,Dados!$AT$24,0)))))))</f>
        <v>0</v>
      </c>
      <c r="EP16" s="316">
        <f>IF($E$55=2,Dados!$AE$24,IF($E$55=3,Dados!$AG$24,IF($E$55=4,Dados!$AI$24,IF($E$55=5,Dados!$AK$24,IF($E$55=6,Dados!$AM$24,IF($E$55=7,Dados!$AO$24,IF($E$55=8,Dados!$AS$24,0)))))))</f>
        <v>0</v>
      </c>
      <c r="EQ16" s="304">
        <f>IF($E$55=2,Dados!$AF$24,IF($E$55=3,Dados!$AH$24,IF($E$55=4,Dados!$AJ$24,IF($E$55=5,Dados!$AL$24,IF($E$55=6,Dados!$AN$24,IF($E$55=7,Dados!$AP$24,IF($E$55=8,Dados!$AT$24,0)))))))</f>
        <v>0</v>
      </c>
      <c r="ER16" s="316">
        <f>IF($E$56=2,Dados!$AE$24,IF($E$56=3,Dados!$AG$24,IF($E$56=4,Dados!$AI$24,IF($E$56=5,Dados!$AK$24,IF($E$56=6,Dados!$AM$24,IF($E$56=7,Dados!$AO$24,IF($E$56=8,Dados!$AS$24,0)))))))</f>
        <v>0</v>
      </c>
      <c r="ES16" s="304">
        <f>IF($E$56=2,Dados!$AF$24,IF($E$56=3,Dados!$AH$24,IF($E$56=4,Dados!$AJ$24,IF($E$56=5,Dados!$AL$24,IF($E$56=6,Dados!$AN$24,IF($E$56=7,Dados!$AP$24,IF($E$56=8,Dados!$AT$24,0)))))))</f>
        <v>0</v>
      </c>
      <c r="EU16" s="316">
        <f>IF($E$61=2,Dados!$AE$24,IF($E$61=3,Dados!$AG$24,IF($E$61=4,Dados!$AI$24,IF($E$61=5,Dados!$AK$24,IF($E$61=6,Dados!$AM$24,IF($E$61=7,Dados!$AO$24,IF($E$61=8,Dados!$AS$24,0)))))))</f>
        <v>0</v>
      </c>
      <c r="EV16" s="304">
        <f>IF($E$61=2,Dados!$AF$24,IF($E$61=3,Dados!$AH$24,IF($E$61=4,Dados!$AJ$24,IF($E$61=5,Dados!$AL$24,IF($E$61=6,Dados!$AN$24,IF($E$61=7,Dados!$AP$24,IF($E$61=8,Dados!$AT$24,0)))))))</f>
        <v>0</v>
      </c>
      <c r="EW16" s="316">
        <f>IF($E$62=2,Dados!$AE$24,IF($E$62=3,Dados!$AG$24,IF($E$62=4,Dados!$AI$24,IF($E$62=5,Dados!$AK$24,IF($E$62=6,Dados!$AM$24,IF($E$62=7,Dados!$AO$24,IF($E$62=8,Dados!$AS$24,0)))))))</f>
        <v>0</v>
      </c>
      <c r="EX16" s="304">
        <f>IF($E$62=2,Dados!$AF$24,IF($E$62=3,Dados!$AH$24,IF($E$62=4,Dados!$AJ$24,IF($E$62=5,Dados!$AL$24,IF($E$62=6,Dados!$AN$24,IF($E$62=7,Dados!$AP$24,IF($E$62=8,Dados!$AT$24,0)))))))</f>
        <v>0</v>
      </c>
      <c r="EY16" s="316">
        <f>IF($E$63=2,Dados!$AE$24,IF($E$63=3,Dados!$AG$24,IF($E$63=4,Dados!$AI$24,IF($E$63=5,Dados!$AK$24,IF($E$63=6,Dados!$AM$24,IF($E$63=7,Dados!$AO$24,IF($E$63=8,Dados!$AS$24,0)))))))</f>
        <v>0</v>
      </c>
      <c r="EZ16" s="304">
        <f>IF($E$63=2,Dados!$AF$24,IF($E$63=3,Dados!$AH$24,IF($E$63=4,Dados!$AJ$24,IF($E$63=5,Dados!$AL$24,IF($E$63=6,Dados!$AN$24,IF($E$63=7,Dados!$AP$24,IF($E$63=8,Dados!$AT$24,0)))))))</f>
        <v>0</v>
      </c>
      <c r="FA16" s="316">
        <f>IF($E$64=2,Dados!$AE$24,IF($E$64=3,Dados!$AG$24,IF($E$64=4,Dados!$AI$24,IF($E$64=5,Dados!$AK$24,IF($E$64=6,Dados!$AM$24,IF($E$64=7,Dados!$AO$24,IF($E$64=8,Dados!$AS$24,0)))))))</f>
        <v>0</v>
      </c>
      <c r="FB16" s="304">
        <f>IF($E$64=2,Dados!$AF$24,IF($E$64=3,Dados!$AH$24,IF($E$64=4,Dados!$AJ$24,IF($E$64=5,Dados!$AL$24,IF($E$64=6,Dados!$AN$24,IF($E$64=7,Dados!$AP$24,IF($E$64=8,Dados!$AT$24,0)))))))</f>
        <v>0</v>
      </c>
      <c r="FC16" s="316">
        <f>IF($E$65=2,Dados!$AE$24,IF($E$65=3,Dados!$AG$24,IF($E$65=4,Dados!$AI$24,IF($E$65=5,Dados!$AK$24,IF($E$65=6,Dados!$AM$24,IF($E$65=7,Dados!$AO$24,IF($E$65=8,Dados!$AS$24,0)))))))</f>
        <v>0</v>
      </c>
      <c r="FD16" s="304">
        <f>IF($E$65=2,Dados!$AF$24,IF($E$65=3,Dados!$AH$24,IF($E$65=4,Dados!$AJ$24,IF($E$65=5,Dados!$AL$24,IF($E$65=6,Dados!$AN$24,IF($E$65=7,Dados!$AP$24,IF($E$65=8,Dados!$AT$24,0)))))))</f>
        <v>0</v>
      </c>
      <c r="FF16" s="316">
        <f>IF($E$70=2,Dados!$AE$24,IF($E$70=3,Dados!$AG$24,IF($E$70=4,Dados!$AI$24,IF($E$70=5,Dados!$AK$24,IF($E$70=6,Dados!$AM$24,IF($E$70=7,Dados!$AO$24,IF($E$70=8,Dados!$AS$24,0)))))))</f>
        <v>0</v>
      </c>
      <c r="FG16" s="304">
        <f>IF($E$70=2,Dados!$AF$24,IF($E$70=3,Dados!$AH$24,IF($E$70=4,Dados!$AJ$24,IF($E$70=5,Dados!$AL$24,IF($E$70=6,Dados!$AN$24,IF($E$70=7,Dados!$AP$24,IF($E$70=8,Dados!$AT$24,0)))))))</f>
        <v>0</v>
      </c>
      <c r="FH16" s="316">
        <f>IF($E$71=2,Dados!$AE$24,IF($E$71=3,Dados!$AG$24,IF($E$71=4,Dados!$AI$24,IF($E$71=5,Dados!$AK$24,IF($E$71=6,Dados!$AM$24,IF($E$71=7,Dados!$AO$24,IF($E$71=8,Dados!$AS$24,0)))))))</f>
        <v>0</v>
      </c>
      <c r="FI16" s="304">
        <f>IF($E$71=2,Dados!$AF$24,IF($E$71=3,Dados!$AH$24,IF($E$71=4,Dados!$AJ$24,IF($E$71=5,Dados!$AL$24,IF($E$71=6,Dados!$AN$24,IF($E$71=7,Dados!$AP$24,IF($E$71=8,Dados!$AT$24,0)))))))</f>
        <v>0</v>
      </c>
      <c r="FJ16" s="316">
        <f>IF($E$72=2,Dados!$AE$24,IF($E$72=3,Dados!$AG$24,IF($E$72=4,Dados!$AI$24,IF($E$72=5,Dados!$AK$24,IF($E$72=6,Dados!$AM$24,IF($E$72=7,Dados!$AO$24,IF($E$72=8,Dados!$AS$24,0)))))))</f>
        <v>0</v>
      </c>
      <c r="FK16" s="304">
        <f>IF($E$72=2,Dados!$AF$24,IF($E$72=3,Dados!$AH$24,IF($E$72=4,Dados!$AJ$24,IF($E$72=5,Dados!$AL$24,IF($E$72=6,Dados!$AN$24,IF($E$72=7,Dados!$AP$24,IF($E$72=8,Dados!$AT$24,0)))))))</f>
        <v>0</v>
      </c>
      <c r="FL16" s="316">
        <f>IF($E$73=2,Dados!$AE$24,IF($E$73=3,Dados!$AG$24,IF($E$73=4,Dados!$AI$24,IF($E$73=5,Dados!$AK$24,IF($E$73=6,Dados!$AM$24,IF($E$73=7,Dados!$AO$24,IF($E$73=8,Dados!$AS$24,0)))))))</f>
        <v>0</v>
      </c>
      <c r="FM16" s="304">
        <f>IF($E$73=2,Dados!$AF$24,IF($E$73=3,Dados!$AH$24,IF($E$73=4,Dados!$AJ$24,IF($E$73=5,Dados!$AL$24,IF($E$73=6,Dados!$AN$24,IF($E$73=7,Dados!$AP$24,IF($E$73=8,Dados!$AT$24,0)))))))</f>
        <v>0</v>
      </c>
      <c r="FN16" s="316">
        <f>IF($E$74=2,Dados!$AE$24,IF($E$74=3,Dados!$AG$24,IF($E$74=4,Dados!$AI$24,IF($E$74=5,Dados!$AK$24,IF($E$74=6,Dados!$AM$24,IF($E$74=7,Dados!$AO$24,IF($E$74=8,Dados!$AS$24,0)))))))</f>
        <v>0</v>
      </c>
      <c r="FO16" s="304">
        <f>IF($E$74=2,Dados!$AF$24,IF($E$74=3,Dados!$AH$24,IF($E$74=4,Dados!$AJ$24,IF($E$74=5,Dados!$AL$24,IF($E$74=6,Dados!$AN$24,IF($E$74=7,Dados!$AP$24,IF($E$74=8,Dados!$AT$24,0)))))))</f>
        <v>0</v>
      </c>
      <c r="FQ16" s="316">
        <f>IF($E$79=2,Dados!$AE$24,IF($E$79=3,Dados!$AG$24,IF($E$79=4,Dados!$AI$24,IF($E$79=5,Dados!$AK$24,IF($E$79=6,Dados!$AM$24,IF($E$79=7,Dados!$AO$24,IF($E$79=8,Dados!$AS$24,0)))))))</f>
        <v>0</v>
      </c>
      <c r="FR16" s="304">
        <f>IF($E$79=2,Dados!$AF$24,IF($E$79=3,Dados!$AH$24,IF($E$79=4,Dados!$AJ$24,IF($E$79=5,Dados!$AL$24,IF($E$79=6,Dados!$AN$24,IF($E$79=7,Dados!$AP$24,IF($E$79=8,Dados!$AT$24,0)))))))</f>
        <v>0</v>
      </c>
      <c r="FS16" s="316">
        <f>IF($E$80=2,Dados!$AE$24,IF($E$80=3,Dados!$AG$24,IF($E$80=4,Dados!$AI$24,IF($E$80=5,Dados!$AK$24,IF($E$80=6,Dados!$AM$24,IF($E$80=7,Dados!$AO$24,IF($E$80=8,Dados!$AS$24,0)))))))</f>
        <v>0</v>
      </c>
      <c r="FT16" s="304">
        <f>IF($E$80=2,Dados!$AF$24,IF($E$80=3,Dados!$AH$24,IF($E$80=4,Dados!$AJ$24,IF($E$80=5,Dados!$AL$24,IF($E$80=6,Dados!$AN$24,IF($E$80=7,Dados!$AP$24,IF($E$80=8,Dados!$AT$24,0)))))))</f>
        <v>0</v>
      </c>
      <c r="FU16" s="316">
        <f>IF($E$81=2,Dados!$AE$24,IF($E$81=3,Dados!$AG$24,IF($E$81=4,Dados!$AI$24,IF($E$81=5,Dados!$AK$24,IF($E$81=6,Dados!$AM$24,IF($E$81=7,Dados!$AO$24,IF($E$81=8,Dados!$AS$24,0)))))))</f>
        <v>0</v>
      </c>
      <c r="FV16" s="304">
        <f>IF($E$81=2,Dados!$AF$24,IF($E$81=3,Dados!$AH$24,IF($E$81=4,Dados!$AJ$24,IF($E$81=5,Dados!$AL$24,IF($E$81=6,Dados!$AN$24,IF($E$81=7,Dados!$AP$24,IF($E$81=8,Dados!$AT$24,0)))))))</f>
        <v>0</v>
      </c>
      <c r="FW16" s="316">
        <f>IF($E$82=2,Dados!$AE$24,IF($E$82=3,Dados!$AG$24,IF($E$82=4,Dados!$AI$24,IF($E$82=5,Dados!$AK$24,IF($E$82=6,Dados!$AM$24,IF($E$82=7,Dados!$AO$24,IF($E$82=8,Dados!$AS$24,0)))))))</f>
        <v>0</v>
      </c>
      <c r="FX16" s="304">
        <f>IF($E$82=2,Dados!$AF$24,IF($E$82=3,Dados!$AH$24,IF($E$82=4,Dados!$AJ$24,IF($E$82=5,Dados!$AL$24,IF($E$82=6,Dados!$AN$24,IF($E$82=7,Dados!$AP$24,IF($E$82=8,Dados!$AT$24,0)))))))</f>
        <v>0</v>
      </c>
      <c r="FY16" s="316">
        <f>IF($E$83=2,Dados!$AE$24,IF($E$83=3,Dados!$AG$24,IF($E$83=4,Dados!$AI$24,IF($E$83=5,Dados!$AK$24,IF($E$83=6,Dados!$AM$24,IF($E$83=7,Dados!$AO$24,IF($E$83=8,Dados!$AS$24,0)))))))</f>
        <v>0</v>
      </c>
      <c r="FZ16" s="304">
        <f>IF($E$83=2,Dados!$AF$24,IF($E$83=3,Dados!$AH$24,IF($E$83=4,Dados!$AJ$24,IF($E$83=5,Dados!$AL$24,IF($E$83=6,Dados!$AN$24,IF($E$83=7,Dados!$AP$24,IF($E$83=8,Dados!$AT$24,0)))))))</f>
        <v>0</v>
      </c>
      <c r="GB16" s="316">
        <f>IF($E$88=2,Dados!$AE$24,IF($E$88=3,Dados!$AG$24,IF($E$88=4,Dados!$AI$24,IF($E$88=5,Dados!$AK$24,IF($E$88=6,Dados!$AM$24,IF($E$88=7,Dados!$AO$24,IF($E$88=8,Dados!$AS$24,0)))))))</f>
        <v>0</v>
      </c>
      <c r="GC16" s="304">
        <f>IF($E$88=2,Dados!$AF$24,IF($E$88=3,Dados!$AH$24,IF($E$88=4,Dados!$AJ$24,IF($E$88=5,Dados!$AL$24,IF($E$88=6,Dados!$AN$24,IF($E$88=7,Dados!$AP$24,IF($E$88=8,Dados!$AT$24,0)))))))</f>
        <v>0</v>
      </c>
      <c r="GD16" s="316">
        <f>IF($E$89=2,Dados!$AE$24,IF($E$89=3,Dados!$AG$24,IF($E$89=4,Dados!$AI$24,IF($E$89=5,Dados!$AK$24,IF($E$89=6,Dados!$AM$24,IF($E$89=7,Dados!$AO$24,IF($E$89=8,Dados!$AS$24,0)))))))</f>
        <v>0</v>
      </c>
      <c r="GE16" s="304">
        <f>IF($E$89=2,Dados!$AF$24,IF($E$89=3,Dados!$AH$24,IF($E$89=4,Dados!$AJ$24,IF($E$89=5,Dados!$AL$24,IF($E$89=6,Dados!$AN$24,IF($E$89=7,Dados!$AP$24,IF($E$89=8,Dados!$AT$24,0)))))))</f>
        <v>0</v>
      </c>
      <c r="GF16" s="316">
        <f>IF($E$90=2,Dados!$AE$24,IF($E$90=3,Dados!$AG$24,IF($E$90=4,Dados!$AI$24,IF($E$90=5,Dados!$AK$24,IF($E$90=6,Dados!$AM$24,IF($E$90=7,Dados!$AO$24,IF($E$90=8,Dados!$AS$24,0)))))))</f>
        <v>0</v>
      </c>
      <c r="GG16" s="304">
        <f>IF($E$90=2,Dados!$AF$24,IF($E$90=3,Dados!$AH$24,IF($E$90=4,Dados!$AJ$24,IF($E$90=5,Dados!$AL$24,IF($E$90=6,Dados!$AN$24,IF($E$90=7,Dados!$AP$24,IF($E$90=8,Dados!$AT$24,0)))))))</f>
        <v>0</v>
      </c>
      <c r="GH16" s="316">
        <f>IF($E$91=2,Dados!$AE$24,IF($E$91=3,Dados!$AG$24,IF($E$91=4,Dados!$AI$24,IF($E$91=5,Dados!$AK$24,IF($E$91=6,Dados!$AM$24,IF($E$91=7,Dados!$AO$24,IF($E$91=8,Dados!$AS$24,0)))))))</f>
        <v>0</v>
      </c>
      <c r="GI16" s="304">
        <f>IF($E$91=2,Dados!$AF$24,IF($E$91=3,Dados!$AH$24,IF($E$91=4,Dados!$AJ$24,IF($E$91=5,Dados!$AL$24,IF($E$91=6,Dados!$AN$24,IF($E$91=7,Dados!$AP$24,IF($E$91=8,Dados!$AT$24,0)))))))</f>
        <v>0</v>
      </c>
      <c r="GJ16" s="316">
        <f>IF($E$92=2,Dados!$AE$24,IF($E$92=3,Dados!$AG$24,IF($E$92=4,Dados!$AI$24,IF($E$92=5,Dados!$AK$24,IF($E$92=6,Dados!$AM$24,IF($E$92=7,Dados!$AO$24,IF($E$92=8,Dados!$AS$24,0)))))))</f>
        <v>0</v>
      </c>
      <c r="GK16" s="304">
        <f>IF($E$92=2,Dados!$AF$24,IF($E$92=3,Dados!$AH$24,IF($E$92=4,Dados!$AJ$24,IF($E$92=5,Dados!$AL$24,IF($E$92=6,Dados!$AN$24,IF($E$92=7,Dados!$AP$24,IF($E$92=8,Dados!$AT$24,0)))))))</f>
        <v>0</v>
      </c>
      <c r="GM16" s="316">
        <f>IF($E$97=2,Dados!$AE$24,IF($E$97=3,Dados!$AG$24,IF($E$97=4,Dados!$AI$24,IF($E$97=5,Dados!$AK$24,IF($E$97=6,Dados!$AM$24,IF($E$97=7,Dados!$AO$24,IF($E$97=8,Dados!$AS$24,0)))))))</f>
        <v>0</v>
      </c>
      <c r="GN16" s="304">
        <f>IF($E$97=2,Dados!$AF$24,IF($E$97=3,Dados!$AH$24,IF($E$97=4,Dados!$AJ$24,IF($E$97=5,Dados!$AL$24,IF($E$97=6,Dados!$AN$24,IF($E$97=7,Dados!$AP$24,IF($E$97=8,Dados!$AT$24,0)))))))</f>
        <v>0</v>
      </c>
      <c r="GO16" s="316">
        <f>IF($E$98=2,Dados!$AE$24,IF($E$98=3,Dados!$AG$24,IF($E$98=4,Dados!$AI$24,IF($E$98=5,Dados!$AK$24,IF($E$98=6,Dados!$AM$24,IF($E$98=7,Dados!$AO$24,IF($E$98=8,Dados!$AS$24,0)))))))</f>
        <v>0</v>
      </c>
      <c r="GP16" s="304">
        <f>IF($E$98=2,Dados!$AF$24,IF($E$98=3,Dados!$AH$24,IF($E$98=4,Dados!$AJ$24,IF($E$98=5,Dados!$AL$24,IF($E$98=6,Dados!$AN$24,IF($E$98=7,Dados!$AP$24,IF($E$98=8,Dados!$AT$24,0)))))))</f>
        <v>0</v>
      </c>
      <c r="GQ16" s="316">
        <f>IF($E$99=2,Dados!$AE$24,IF($E$99=3,Dados!$AG$24,IF($E$99=4,Dados!$AI$24,IF($E$99=5,Dados!$AK$24,IF($E$99=6,Dados!$AM$24,IF($E$99=7,Dados!$AO$24,IF($E$99=8,Dados!$AS$24,0)))))))</f>
        <v>0</v>
      </c>
      <c r="GR16" s="304">
        <f>IF($E$99=2,Dados!$AF$24,IF($E$99=3,Dados!$AH$24,IF($E$99=4,Dados!$AJ$24,IF($E$99=5,Dados!$AL$24,IF($E$99=6,Dados!$AN$24,IF($E$99=7,Dados!$AP$24,IF($E$99=8,Dados!$AT$24,0)))))))</f>
        <v>0</v>
      </c>
      <c r="GS16" s="316">
        <f>IF($E$100=2,Dados!$AE$24,IF($E$100=3,Dados!$AG$24,IF($E$100=4,Dados!$AI$24,IF($E$100=5,Dados!$AK$24,IF($E$100=6,Dados!$AM$24,IF($E$100=7,Dados!$AO$24,IF($E$100=8,Dados!$AS$24,0)))))))</f>
        <v>0</v>
      </c>
      <c r="GT16" s="304">
        <f>IF($E$100=2,Dados!$AF$24,IF($E$100=3,Dados!$AH$24,IF($E$100=4,Dados!$AJ$24,IF($E$100=5,Dados!$AL$24,IF($E$100=6,Dados!$AN$24,IF($E$100=7,Dados!$AP$24,IF($E$100=8,Dados!$AT$24,0)))))))</f>
        <v>0</v>
      </c>
      <c r="GU16" s="316">
        <f>IF($E$101=2,Dados!$AE$24,IF($E$101=3,Dados!$AG$24,IF($E$101=4,Dados!$AI$24,IF($E$101=5,Dados!$AK$24,IF($E$101=6,Dados!$AM$24,IF($E$101=7,Dados!$AO$24,IF($E$101=8,Dados!$AS$24,0)))))))</f>
        <v>0</v>
      </c>
      <c r="GV16" s="304">
        <f>IF($E$101=2,Dados!$AF$24,IF($E$101=3,Dados!$AH$24,IF($E$101=4,Dados!$AJ$24,IF($E$101=5,Dados!$AL$24,IF($E$101=6,Dados!$AN$24,IF($E$101=7,Dados!$AP$24,IF($E$101=8,Dados!$AT$24,0)))))))</f>
        <v>0</v>
      </c>
      <c r="GX16" s="316">
        <f>IF($E$106=2,Dados!$AE$24,IF($E$106=3,Dados!$AG$24,IF($E$106=4,Dados!$AI$24,IF($E$106=5,Dados!$AK$24,IF($E$106=6,Dados!$AM$24,IF($E$106=7,Dados!$AO$24,IF($E$106=8,Dados!$AS$24,0)))))))</f>
        <v>0</v>
      </c>
      <c r="GY16" s="304">
        <f>IF($E$106=2,Dados!$AF$24,IF($E$106=3,Dados!$AH$24,IF($E$106=4,Dados!$AJ$24,IF($E$106=5,Dados!$AL$24,IF($E$106=6,Dados!$AN$24,IF($E$106=7,Dados!$AP$24,IF($E$106=8,Dados!$AT$24,0)))))))</f>
        <v>0</v>
      </c>
      <c r="GZ16" s="316">
        <f>IF($E$107=2,Dados!$AE$24,IF($E$107=3,Dados!$AG$24,IF($E$107=4,Dados!$AI$24,IF($E$107=5,Dados!$AK$24,IF($E$107=6,Dados!$AM$24,IF($E$107=7,Dados!$AO$24,IF($E$107=8,Dados!$AS$24,0)))))))</f>
        <v>0</v>
      </c>
      <c r="HA16" s="304">
        <f>IF($E$107=2,Dados!$AF$24,IF($E$107=3,Dados!$AH$24,IF($E$107=4,Dados!$AJ$24,IF($E$107=5,Dados!$AL$24,IF($E$107=6,Dados!$AN$24,IF($E$107=7,Dados!$AP$24,IF($E$107=8,Dados!$AT$24,0)))))))</f>
        <v>0</v>
      </c>
      <c r="HB16" s="316">
        <f>IF($E$108=2,Dados!$AE$24,IF($E$108=3,Dados!$AG$24,IF($E$108=4,Dados!$AI$24,IF($E$108=5,Dados!$AK$24,IF($E$108=6,Dados!$AM$24,IF($E$108=7,Dados!$AO$24,IF($E$108=8,Dados!$AS$24,0)))))))</f>
        <v>0</v>
      </c>
      <c r="HC16" s="304">
        <f>IF($E$108=2,Dados!$AF$24,IF($E$108=3,Dados!$AH$24,IF($E$108=4,Dados!$AJ$24,IF($E$108=5,Dados!$AL$24,IF($E$108=6,Dados!$AN$24,IF($E$108=7,Dados!$AP$24,IF($E$108=8,Dados!$AT$24,0)))))))</f>
        <v>0</v>
      </c>
      <c r="HD16" s="316">
        <f>IF($E$109=2,Dados!$AE$24,IF($E$109=3,Dados!$AG$24,IF($E$109=4,Dados!$AI$24,IF($E$109=5,Dados!$AK$24,IF($E$109=6,Dados!$AM$24,IF($E$109=7,Dados!$AO$24,IF($E$109=8,Dados!$AS$24,0)))))))</f>
        <v>0</v>
      </c>
      <c r="HE16" s="304">
        <f>IF($E$109=2,Dados!$AF$24,IF($E$109=3,Dados!$AH$24,IF($E$109=4,Dados!$AJ$24,IF($E$109=5,Dados!$AL$24,IF($E$109=6,Dados!$AN$24,IF($E$109=7,Dados!$AP$24,IF($E$109=8,Dados!$AT$24,0)))))))</f>
        <v>0</v>
      </c>
      <c r="HF16" s="316">
        <f>IF($E$110=2,Dados!$AE$24,IF($E$110=3,Dados!$AG$24,IF($E$110=4,Dados!$AI$24,IF($E$110=5,Dados!$AK$24,IF($E$110=6,Dados!$AM$24,IF($E$110=7,Dados!$AO$24,IF($E$110=8,Dados!$AS$24,0)))))))</f>
        <v>0</v>
      </c>
      <c r="HG16" s="304">
        <f>IF($E$110=2,Dados!$AF$24,IF($E$110=3,Dados!$AH$24,IF($E$110=4,Dados!$AJ$24,IF($E$110=5,Dados!$AL$24,IF($E$110=6,Dados!$AN$24,IF($E$110=7,Dados!$AP$24,IF($E$110=8,Dados!$AT$24,0)))))))</f>
        <v>0</v>
      </c>
    </row>
    <row r="17" spans="3:215" ht="15.75" customHeight="1" x14ac:dyDescent="0.2">
      <c r="C17" s="156">
        <f>IF(R17=1,0,S17)</f>
        <v>0</v>
      </c>
      <c r="D17" s="2721"/>
      <c r="E17" s="180">
        <v>3</v>
      </c>
      <c r="F17" s="2718">
        <v>5</v>
      </c>
      <c r="G17" s="2719"/>
      <c r="H17" s="295"/>
      <c r="I17" s="229">
        <v>3</v>
      </c>
      <c r="J17" s="314">
        <v>500</v>
      </c>
      <c r="K17" s="157">
        <v>6</v>
      </c>
      <c r="L17" s="305">
        <v>12</v>
      </c>
      <c r="M17" s="127">
        <f>IF(I17=1,K17,IF(I17=2,K17/J17,IF(I17=3,K17*L17,0)))</f>
        <v>72</v>
      </c>
      <c r="N17" s="3">
        <v>23</v>
      </c>
      <c r="O17" s="30">
        <v>1</v>
      </c>
      <c r="P17" s="837">
        <f>IF(N17=1,0,VLOOKUP(N17,Rebanho!$AN$45:$AV$72,4)*O17)</f>
        <v>3116.864924444445</v>
      </c>
      <c r="Q17" s="838">
        <f>VLOOKUP(N17,Rebanho!$AN$45:$AV$72,7)*O17</f>
        <v>1142585.2620207409</v>
      </c>
      <c r="R17" s="3">
        <v>1</v>
      </c>
      <c r="S17" s="29"/>
      <c r="T17" s="102">
        <f>VLOOKUP(R17,'Mão-de-obra'!$CJ$10:$CL$29,3)</f>
        <v>0</v>
      </c>
      <c r="U17" s="102">
        <f>T17*S17</f>
        <v>0</v>
      </c>
      <c r="V17" s="127">
        <f>IF(I17=1,M17*P17,IF(I17=2,M17*Q17*L17,IF(I17=3,M17,0)))</f>
        <v>72</v>
      </c>
      <c r="W17" s="129">
        <f>U17+V17</f>
        <v>72</v>
      </c>
      <c r="X17" s="93">
        <v>1</v>
      </c>
      <c r="Y17" s="93">
        <v>1</v>
      </c>
      <c r="Z17" s="127">
        <f t="shared" ref="Z17:Z20" si="5">IF(P17=0,0,((W17/P17+U17/P17)*O17))</f>
        <v>2.3100134829498072E-2</v>
      </c>
      <c r="AE17" s="1160" t="str">
        <f>Rebanho!C59</f>
        <v>Vacas primíparas</v>
      </c>
      <c r="AF17" s="1195">
        <f>IF(Rebanho!E59&gt;0,1,0)</f>
        <v>0</v>
      </c>
      <c r="AG17" s="1193">
        <f>Rebanho!E59</f>
        <v>0</v>
      </c>
      <c r="AH17" s="1336">
        <f>Rebanho!AS56</f>
        <v>0</v>
      </c>
      <c r="AI17" s="1178">
        <f>((SUMIFS($Z$7:$Z$110,$E$7:$E$110,"=2",$N$7:$N$110,"=12")+SUMIFS($Z$7:$Z$110,$E$7:$E$110,"=2",$N$7:$N$110,"=19")))*($AF$17)</f>
        <v>0</v>
      </c>
      <c r="AJ17" s="1178">
        <f>((SUMIFS($Z$7:$Z$110,$E$7:$E$110,"=3",$N$7:$N$110,"=12")+SUMIFS($Z$7:$Z$110,$E$7:$E$110,"=3",$N$7:$N$110,"=19")))*($AF$17)</f>
        <v>0</v>
      </c>
      <c r="AK17" s="1178">
        <f>((SUMIFS($Z$7:$Z$110,$E$7:$E$110,"=4",$N$7:$N$110,"=12")+SUMIFS($Z$7:$Z$110,$E$7:$E$110,"=4",$N$7:$N$110,"=19")))*($AF$17)</f>
        <v>0</v>
      </c>
      <c r="AL17" s="1178">
        <f>((SUMIFS($Z$7:$Z$110,$E$7:$E$110,"=5",$N$7:$N$110,"=12")+SUMIFS($Z$7:$Z$110,$E$7:$E$110,"=5",$N$7:$N$110,"=19")))*($AF$17)</f>
        <v>0</v>
      </c>
      <c r="AM17" s="1178">
        <f>((SUMIFS($Z$7:$Z$110,$E$7:$E$110,"=6",$N$7:$N$110,"=12")+SUMIFS($Z$7:$Z$110,$E$7:$E$110,"=6",$N$7:$N$110,"=19")))*($AF$17)</f>
        <v>0</v>
      </c>
      <c r="AN17" s="1178">
        <f>((SUMIFS($Z$7:$Z$110,$E$7:$E$110,"=7",$N$7:$N$110,"=12")+SUMIFS($Z$7:$Z$110,$E$7:$E$110,"=7",$N$7:$N$110,"=19")))*($AF$17)</f>
        <v>0</v>
      </c>
      <c r="AO17" s="1208">
        <f>((SUMIFS($Z$7:$Z$110,$E$7:$E$110,"=8",$N$7:$N$110,"=12")+SUMIFS($Z$7:$Z$110,$E$7:$E$110,"=8",$N$7:$N$110,"=19")))*($AF$17)</f>
        <v>0</v>
      </c>
      <c r="AP17" s="1208">
        <f t="shared" si="3"/>
        <v>0</v>
      </c>
      <c r="AQ17" s="1184">
        <f t="shared" si="2"/>
        <v>0</v>
      </c>
      <c r="AW17" s="3" t="s">
        <v>466</v>
      </c>
      <c r="AX17" s="94">
        <f>IF($E16=3,$V16,0)</f>
        <v>18281.364192331854</v>
      </c>
      <c r="AY17" s="94">
        <f>IF($E17=3,$V17,0)</f>
        <v>72</v>
      </c>
      <c r="AZ17" s="94">
        <f>IF($E18=3,$V18,0)</f>
        <v>320</v>
      </c>
      <c r="BA17" s="94">
        <f>IF($E19=3,$V19,0)</f>
        <v>0</v>
      </c>
      <c r="BB17" s="94">
        <f>IF($E20=3,$V20,0)</f>
        <v>0</v>
      </c>
      <c r="BC17" s="200">
        <f t="shared" si="4"/>
        <v>18673.364192331854</v>
      </c>
      <c r="CF17" s="93">
        <v>12</v>
      </c>
      <c r="CG17" s="316">
        <f>IF($E$7=2,Dados!$AE$25,IF($E$7=3,Dados!$AG$25,IF($E$7=4,Dados!$AI$25,IF($E$7=5,Dados!$AK$25,IF($E$7=6,Dados!$AM$25,IF($E$7=7,Dados!$AO$25,IF($E$7=8,Dados!$AS$25,0)))))))</f>
        <v>0</v>
      </c>
      <c r="CH17" s="304">
        <f>IF($E$7=2,Dados!$AF$25,IF($E$7=3,Dados!$AH$25,IF($E$7=4,Dados!$AJ$25,IF($E$7=5,Dados!$AL$25,IF($E$7=6,Dados!$AN$25,IF($E$7=7,Dados!$AP$25,IF($E$7=8,Dados!$AT$25,0)))))))</f>
        <v>0</v>
      </c>
      <c r="CI17" s="316">
        <f>IF($E$8=2,Dados!$AE$25,IF($E$8=3,Dados!$AG$25,IF($E$8=4,Dados!$AI$25,IF($E$8=5,Dados!$AK$25,IF($E$8=6,Dados!$AM$25,IF($E$8=7,Dados!$AO$25,IF($E$8=8,Dados!$AS$25,0)))))))</f>
        <v>0</v>
      </c>
      <c r="CJ17" s="304">
        <f>IF($E$8=2,Dados!$AF$25,IF($E$8=3,Dados!$AH$25,IF($E$8=4,Dados!$AJ$25,IF($E$8=5,Dados!$AL$25,IF($E$8=6,Dados!$AN$25,IF($E$8=7,Dados!$AP$25,IF($E$8=8,Dados!$AT$25,0)))))))</f>
        <v>0</v>
      </c>
      <c r="CK17" s="316">
        <f>IF($E$9=2,Dados!$AE$25,IF($E$9=3,Dados!$AG$25,IF($E$9=4,Dados!$AI$25,IF($E$9=5,Dados!$AK$25,IF($E$9=6,Dados!$AM$25,IF($E$9=7,Dados!$AO$25,IF($E$9=8,Dados!$AS$25,0)))))))</f>
        <v>0</v>
      </c>
      <c r="CL17" s="304">
        <f>IF($E$9=2,Dados!$AF$25,IF($E$9=3,Dados!$AH$25,IF($E$9=4,Dados!$AJ$25,IF($E$9=5,Dados!$AL$25,IF($E$9=6,Dados!$AN$25,IF($E$9=7,Dados!$AP$25,IF($E$9=8,Dados!$AT$25,0)))))))</f>
        <v>0</v>
      </c>
      <c r="CM17" s="316">
        <f>IF($E$10=2,Dados!$AE$25,IF($E$10=3,Dados!$AG$25,IF($E$10=4,Dados!$AI$25,IF($E$10=5,Dados!$AK$25,IF($E$10=6,Dados!$AM$25,IF($E$10=7,Dados!$AO$25,IF($E$10=8,Dados!$AS$25,0)))))))</f>
        <v>0</v>
      </c>
      <c r="CN17" s="304">
        <f>IF($E$10=2,Dados!$AF$25,IF($E$10=3,Dados!$AH$25,IF($E$10=4,Dados!$AJ$25,IF($E$10=5,Dados!$AL$25,IF($E$10=6,Dados!$AN$25,IF($E$10=7,Dados!$AP$25,IF($E$10=8,Dados!$AT$25,0)))))))</f>
        <v>0</v>
      </c>
      <c r="CO17" s="316">
        <f>IF($E$11=2,Dados!$AE$25,IF($E$11=3,Dados!$AG$25,IF($E$11=4,Dados!$AI$25,IF($E$11=5,Dados!$AK$25,IF($E$11=6,Dados!$AM$25,IF($E$11=7,Dados!$AO$25,IF($E$11=8,Dados!$AS$25,0)))))))</f>
        <v>0</v>
      </c>
      <c r="CP17" s="304">
        <f>IF($E$11=2,Dados!$AF$25,IF($E$11=3,Dados!$AH$25,IF($E$11=4,Dados!$AJ$25,IF($E$11=5,Dados!$AL$25,IF($E$11=6,Dados!$AN$25,IF($E$11=7,Dados!$AP$25,IF($E$11=8,Dados!$AT$25,0)))))))</f>
        <v>0</v>
      </c>
      <c r="CR17" s="316">
        <f>IF($E$16=2,Dados!$AE$25,IF($E$16=3,Dados!$AG$25,IF($E$16=4,Dados!$AI$25,IF($E$16=5,Dados!$AK$25,IF($E$16=6,Dados!$AM$25,IF($E$16=7,Dados!$AO$25,IF($E$16=8,Dados!$AS$25,0)))))))</f>
        <v>0</v>
      </c>
      <c r="CS17" s="304">
        <f>IF($E$16=2,Dados!$AF$25,IF($E$16=3,Dados!$AH$25,IF($E$16=4,Dados!$AJ$25,IF($E$16=5,Dados!$AL$25,IF($E$16=6,Dados!$AN$25,IF($E$16=7,Dados!$AP$25,IF($E$16=8,Dados!$AT$25,0)))))))</f>
        <v>0</v>
      </c>
      <c r="CT17" s="316">
        <f>IF($E$17=2,Dados!$AE$25,IF($E$17=3,Dados!$AG$25,IF($E$17=4,Dados!$AI$25,IF($E$17=5,Dados!$AK$25,IF($E$17=6,Dados!$AM$25,IF($E$17=7,Dados!$AO$25,IF($E$17=8,Dados!$AS$25,0)))))))</f>
        <v>0</v>
      </c>
      <c r="CU17" s="304">
        <f>IF($E$17=2,Dados!$AF$25,IF($E$17=3,Dados!$AH$25,IF($E$17=4,Dados!$AJ$25,IF($E$17=5,Dados!$AL$25,IF($E$17=6,Dados!$AN$25,IF($E$17=7,Dados!$AP$25,IF($E$17=8,Dados!$AT$25,0)))))))</f>
        <v>0</v>
      </c>
      <c r="CV17" s="316">
        <f>IF($E$18=2,Dados!$AE$25,IF($E$18=3,Dados!$AG$25,IF($E$18=4,Dados!$AI$25,IF($E$18=5,Dados!$AK$25,IF($E$18=6,Dados!$AM$25,IF($E$18=7,Dados!$AO$25,IF($E$18=8,Dados!$AS$25,0)))))))</f>
        <v>0</v>
      </c>
      <c r="CW17" s="304">
        <f>IF($E$18=2,Dados!$AF$25,IF($E$18=3,Dados!$AH$25,IF($E$18=4,Dados!$AJ$25,IF($E$18=5,Dados!$AL$25,IF($E$18=6,Dados!$AN$25,IF($E$18=7,Dados!$AP$25,IF($E$18=8,Dados!$AT$25,0)))))))</f>
        <v>0</v>
      </c>
      <c r="CX17" s="316">
        <f>IF($E$19=2,Dados!$AE$25,IF($E$19=3,Dados!$AG$25,IF($E$19=4,Dados!$AI$25,IF($E$19=5,Dados!$AK$25,IF($E$19=6,Dados!$AM$25,IF($E$19=7,Dados!$AO$25,IF($E$19=8,Dados!$AS$25,0)))))))</f>
        <v>0</v>
      </c>
      <c r="CY17" s="304">
        <f>IF($E$19=2,Dados!$AF$25,IF($E$19=3,Dados!$AH$25,IF($E$19=4,Dados!$AJ$25,IF($E$19=5,Dados!$AL$25,IF($E$19=6,Dados!$AN$25,IF($E$19=7,Dados!$AP$25,IF($E$19=8,Dados!$AT$25,0)))))))</f>
        <v>0</v>
      </c>
      <c r="CZ17" s="316">
        <f>IF($E$20=2,Dados!$AE$25,IF($E$20=3,Dados!$AG$25,IF($E$20=4,Dados!$AI$25,IF($E$20=5,Dados!$AK$25,IF($E$20=6,Dados!$AM$25,IF($E$20=7,Dados!$AO$25,IF($E$20=8,Dados!$AS$25,0)))))))</f>
        <v>0</v>
      </c>
      <c r="DA17" s="304">
        <f>IF($E$20=2,Dados!$AF$25,IF($E$20=3,Dados!$AH$25,IF($E$20=4,Dados!$AJ$25,IF($E$20=5,Dados!$AL$25,IF($E$20=6,Dados!$AN$25,IF($E$20=7,Dados!$AP$25,IF($E$20=8,Dados!$AT$25,0)))))))</f>
        <v>0</v>
      </c>
      <c r="DC17" s="316">
        <f>IF($E$25=2,Dados!$AE$25,IF($E$25=3,Dados!$AG$25,IF($E$25=4,Dados!$AI$25,IF($E$25=5,Dados!$AK$25,IF($E$25=6,Dados!$AM$25,IF($E$25=7,Dados!$AO$25,IF($E$25=8,Dados!$AS$25,0)))))))</f>
        <v>0</v>
      </c>
      <c r="DD17" s="304">
        <f>IF($E$25=2,Dados!$AF$25,IF($E$25=3,Dados!$AH$25,IF($E$25=4,Dados!$AJ$25,IF($E$25=5,Dados!$AL$25,IF($E$25=6,Dados!$AN$25,IF($E$25=7,Dados!$AP$25,IF($E$25=8,Dados!$AT$25,0)))))))</f>
        <v>0</v>
      </c>
      <c r="DE17" s="316">
        <f>IF($E$26=2,Dados!$AE$25,IF($E$26=3,Dados!$AG$25,IF($E$26=4,Dados!$AI$25,IF($E$26=5,Dados!$AK$25,IF($E$26=6,Dados!$AM$25,IF($E$26=7,Dados!$AO$25,IF($E$26=8,Dados!$AS$25,0)))))))</f>
        <v>0</v>
      </c>
      <c r="DF17" s="304">
        <f>IF($E$26=2,Dados!$AF$25,IF($E$26=3,Dados!$AH$25,IF($E$26=4,Dados!$AJ$25,IF($E$26=5,Dados!$AL$25,IF($E$26=6,Dados!$AN$25,IF($E$26=7,Dados!$AP$25,IF($E$26=8,Dados!$AT$25,0)))))))</f>
        <v>0</v>
      </c>
      <c r="DG17" s="316">
        <f>IF($E$27=2,Dados!$AE$25,IF($E$27=3,Dados!$AG$25,IF($E$27=4,Dados!$AI$25,IF($E$27=5,Dados!$AK$25,IF($E$27=6,Dados!$AM$25,IF($E$27=7,Dados!$AO$25,IF($E$27=8,Dados!$AS$25,0)))))))</f>
        <v>0</v>
      </c>
      <c r="DH17" s="304">
        <f>IF($E$27=2,Dados!$AF$25,IF($E$27=3,Dados!$AH$25,IF($E$27=4,Dados!$AJ$25,IF($E$27=5,Dados!$AL$25,IF($E$27=6,Dados!$AN$25,IF($E$27=7,Dados!$AP$25,IF($E$27=8,Dados!$AT$25,0)))))))</f>
        <v>0</v>
      </c>
      <c r="DI17" s="316">
        <f>IF($E$28=2,Dados!$AE$25,IF($E$28=3,Dados!$AG$25,IF($E$28=4,Dados!$AI$25,IF($E$28=5,Dados!$AK$25,IF($E$28=6,Dados!$AM$25,IF($E$28=7,Dados!$AO$25,IF($E$28=8,Dados!$AS$25,0)))))))</f>
        <v>0</v>
      </c>
      <c r="DJ17" s="304">
        <f>IF($E$28=2,Dados!$AF$25,IF($E$28=3,Dados!$AH$25,IF($E$28=4,Dados!$AJ$25,IF($E$28=5,Dados!$AL$25,IF($E$28=6,Dados!$AN$25,IF($E$28=7,Dados!$AP$25,IF($E$28=8,Dados!$AT$25,0)))))))</f>
        <v>0</v>
      </c>
      <c r="DK17" s="316">
        <f>IF($E$29=2,Dados!$AE$25,IF($E$29=3,Dados!$AG$25,IF($E$29=4,Dados!$AI$25,IF($E$29=5,Dados!$AK$25,IF($E$29=6,Dados!$AM$25,IF($E$29=7,Dados!$AO$25,IF($E$29=8,Dados!$AS$25,0)))))))</f>
        <v>0</v>
      </c>
      <c r="DL17" s="304">
        <f>IF($E$29=2,Dados!$AF$25,IF($E$29=3,Dados!$AH$25,IF($E$29=4,Dados!$AJ$25,IF($E$29=5,Dados!$AL$25,IF($E$29=6,Dados!$AN$25,IF($E$29=7,Dados!$AP$25,IF($E$29=8,Dados!$AT$25,0)))))))</f>
        <v>0</v>
      </c>
      <c r="DN17" s="316">
        <f>IF($E$34=2,Dados!$AE$25,IF($E$34=3,Dados!$AG$25,IF($E$34=4,Dados!$AI$25,IF($E$34=5,Dados!$AK$25,IF($E$34=6,Dados!$AM$25,IF($E$34=7,Dados!$AO$25,IF($E$34=8,Dados!$AS$25,0)))))))</f>
        <v>0</v>
      </c>
      <c r="DO17" s="304">
        <f>IF($E$34=2,Dados!$AF$25,IF($E$34=3,Dados!$AH$25,IF($E$34=4,Dados!$AJ$25,IF($E$34=5,Dados!$AL$25,IF($E$34=6,Dados!$AN$25,IF($E$34=7,Dados!$AP$25,IF($E$34=8,Dados!$AT$25,0)))))))</f>
        <v>0</v>
      </c>
      <c r="DP17" s="316">
        <f>IF($E$35=2,Dados!$AE$25,IF($E$35=3,Dados!$AG$25,IF($E$35=4,Dados!$AI$25,IF($E$35=5,Dados!$AK$25,IF($E$35=6,Dados!$AM$25,IF($E$35=7,Dados!$AO$25,IF($E$35=8,Dados!$AS$25,0)))))))</f>
        <v>0</v>
      </c>
      <c r="DQ17" s="304">
        <f>IF($E$35=2,Dados!$AF$25,IF($E$35=3,Dados!$AH$25,IF($E$35=4,Dados!$AJ$25,IF($E$35=5,Dados!$AL$25,IF($E$35=6,Dados!$AN$25,IF($E$35=7,Dados!$AP$25,IF($E$35=8,Dados!$AT$25,0)))))))</f>
        <v>0</v>
      </c>
      <c r="DR17" s="316">
        <f>IF($E$36=2,Dados!$AE$25,IF($E$36=3,Dados!$AG$25,IF($E$36=4,Dados!$AI$25,IF($E$36=5,Dados!$AK$25,IF($E$36=6,Dados!$AM$25,IF($E$36=7,Dados!$AO$25,IF($E$36=8,Dados!$AS$25,0)))))))</f>
        <v>0</v>
      </c>
      <c r="DS17" s="304">
        <f>IF($E$36=2,Dados!$AF$25,IF($E$36=3,Dados!$AH$25,IF($E$36=4,Dados!$AJ$25,IF($E$36=5,Dados!$AL$25,IF($E$36=6,Dados!$AN$25,IF($E$36=7,Dados!$AP$25,IF($E$36=8,Dados!$AT$25,0)))))))</f>
        <v>0</v>
      </c>
      <c r="DT17" s="316">
        <f>IF($E$37=2,Dados!$AE$25,IF($E$37=3,Dados!$AG$25,IF($E$37=4,Dados!$AI$25,IF($E$37=5,Dados!$AK$25,IF($E$37=6,Dados!$AM$25,IF($E$37=7,Dados!$AO$25,IF($E$37=8,Dados!$AS$25,0)))))))</f>
        <v>0</v>
      </c>
      <c r="DU17" s="304">
        <f>IF($E$37=2,Dados!$AF$25,IF($E$37=3,Dados!$AH$25,IF($E$37=4,Dados!$AJ$25,IF($E$37=5,Dados!$AL$25,IF($E$37=6,Dados!$AN$25,IF($E$37=7,Dados!$AP$25,IF($E$37=8,Dados!$AT$25,0)))))))</f>
        <v>0</v>
      </c>
      <c r="DV17" s="316">
        <f>IF($E$38=2,Dados!$AE$25,IF($E$38=3,Dados!$AG$25,IF($E$38=4,Dados!$AI$25,IF($E$38=5,Dados!$AK$25,IF($E$38=6,Dados!$AM$25,IF($E$38=7,Dados!$AO$25,IF($E$38=8,Dados!$AS$25,0)))))))</f>
        <v>0</v>
      </c>
      <c r="DW17" s="304">
        <f>IF($E$38=2,Dados!$AF$25,IF($E$38=3,Dados!$AH$25,IF($E$38=4,Dados!$AJ$25,IF($E$38=5,Dados!$AL$25,IF($E$38=6,Dados!$AN$25,IF($E$38=7,Dados!$AP$25,IF($E$38=8,Dados!$AT$25,0)))))))</f>
        <v>0</v>
      </c>
      <c r="DY17" s="316">
        <f>IF($E$43=2,Dados!$AE$25,IF($E$43=3,Dados!$AG$25,IF($E$43=4,Dados!$AI$25,IF($E$43=5,Dados!$AK$25,IF($E$43=6,Dados!$AM$25,IF($E$43=7,Dados!$AO$25,IF($E$43=8,Dados!$AS$25,0)))))))</f>
        <v>0</v>
      </c>
      <c r="DZ17" s="304">
        <f>IF($E$43=2,Dados!$AF$25,IF($E$43=3,Dados!$AH$25,IF($E$43=4,Dados!$AJ$25,IF($E$43=5,Dados!$AL$25,IF($E$43=6,Dados!$AN$25,IF($E$43=7,Dados!$AP$25,IF($E$43=8,Dados!$AT$25,0)))))))</f>
        <v>0</v>
      </c>
      <c r="EA17" s="316">
        <f>IF($E$44=2,Dados!$AE$25,IF($E$44=3,Dados!$AG$25,IF($E$44=4,Dados!$AI$25,IF($E$44=5,Dados!$AK$25,IF($E$44=6,Dados!$AM$25,IF($E$44=7,Dados!$AO$25,IF($E$44=8,Dados!$AS$25,0)))))))</f>
        <v>0</v>
      </c>
      <c r="EB17" s="304">
        <f>IF($E$44=2,Dados!$AF$25,IF($E$44=3,Dados!$AH$25,IF($E$44=4,Dados!$AJ$25,IF($E$44=5,Dados!$AL$25,IF($E$44=6,Dados!$AN$25,IF($E$44=7,Dados!$AP$25,IF($E$44=8,Dados!$AT$25,0)))))))</f>
        <v>0</v>
      </c>
      <c r="EC17" s="316">
        <f>IF($E$45=2,Dados!$AE$25,IF($E$45=3,Dados!$AG$25,IF($E$45=4,Dados!$AI$25,IF($E$45=5,Dados!$AK$25,IF($E$45=6,Dados!$AM$25,IF($E$45=7,Dados!$AO$25,IF($E$45=8,Dados!$AS$25,0)))))))</f>
        <v>0</v>
      </c>
      <c r="ED17" s="304">
        <f>IF($E$45=2,Dados!$AF$25,IF($E$45=3,Dados!$AH$25,IF($E$45=4,Dados!$AJ$25,IF($E$45=5,Dados!$AL$25,IF($E$45=6,Dados!$AN$25,IF($E$45=7,Dados!$AP$25,IF($E$45=8,Dados!$AT$25,0)))))))</f>
        <v>0</v>
      </c>
      <c r="EE17" s="316">
        <f>IF($E$46=2,Dados!$AE$25,IF($E$46=3,Dados!$AG$25,IF($E$46=4,Dados!$AI$25,IF($E$46=5,Dados!$AK$25,IF($E$46=6,Dados!$AM$25,IF($E$46=7,Dados!$AO$25,IF($E$46=8,Dados!$AS$25,0)))))))</f>
        <v>0</v>
      </c>
      <c r="EF17" s="304">
        <f>IF($E$46=2,Dados!$AF$25,IF($E$46=3,Dados!$AH$25,IF($E$46=4,Dados!$AJ$25,IF($E$46=5,Dados!$AL$25,IF($E$46=6,Dados!$AN$25,IF($E$46=7,Dados!$AP$25,IF($E$46=8,Dados!$AT$25,0)))))))</f>
        <v>0</v>
      </c>
      <c r="EG17" s="316">
        <f>IF($E$47=2,Dados!$AE$25,IF($E$47=3,Dados!$AG$25,IF($E$47=4,Dados!$AI$25,IF($E$47=5,Dados!$AK$25,IF($E$47=6,Dados!$AM$25,IF($E$47=7,Dados!$AO$25,IF($E$47=8,Dados!$AS$25,0)))))))</f>
        <v>0</v>
      </c>
      <c r="EH17" s="304">
        <f>IF($E$47=2,Dados!$AF$25,IF($E$47=3,Dados!$AH$25,IF($E$47=4,Dados!$AJ$25,IF($E$47=5,Dados!$AL$25,IF($E$47=6,Dados!$AN$25,IF($E$47=7,Dados!$AP$25,IF($E$47=8,Dados!$AT$25,0)))))))</f>
        <v>0</v>
      </c>
      <c r="EJ17" s="316">
        <f>IF($E$52=2,Dados!$AE$25,IF($E$52=3,Dados!$AG$25,IF($E$52=4,Dados!$AI$25,IF($E$52=5,Dados!$AK$25,IF($E$52=6,Dados!$AM$25,IF($E$52=7,Dados!$AO$25,IF($E$52=8,Dados!$AS$25,0)))))))</f>
        <v>0</v>
      </c>
      <c r="EK17" s="304">
        <f>IF($E$52=2,Dados!$AF$25,IF($E$52=3,Dados!$AH$25,IF($E$52=4,Dados!$AJ$25,IF($E$52=5,Dados!$AL$25,IF($E$52=6,Dados!$AN$25,IF($E$52=7,Dados!$AP$25,IF($E$52=8,Dados!$AT$25,0)))))))</f>
        <v>0</v>
      </c>
      <c r="EL17" s="316">
        <f>IF($E$53=2,Dados!$AE$25,IF($E$53=3,Dados!$AG$25,IF($E$53=4,Dados!$AI$25,IF($E$53=5,Dados!$AK$25,IF($E$53=6,Dados!$AM$25,IF($E$53=7,Dados!$AO$25,IF($E$53=8,Dados!$AS$25,0)))))))</f>
        <v>0</v>
      </c>
      <c r="EM17" s="304">
        <f>IF($E$53=2,Dados!$AF$25,IF($E$53=3,Dados!$AH$25,IF($E$53=4,Dados!$AJ$25,IF($E$53=5,Dados!$AL$25,IF($E$53=6,Dados!$AN$25,IF($E$53=7,Dados!$AP$25,IF($E$53=8,Dados!$AT$25,0)))))))</f>
        <v>0</v>
      </c>
      <c r="EN17" s="316">
        <f>IF($E$54=2,Dados!$AE$25,IF($E$54=3,Dados!$AG$25,IF($E$54=4,Dados!$AI$25,IF($E$54=5,Dados!$AK$25,IF($E$54=6,Dados!$AM$25,IF($E$54=7,Dados!$AO$25,IF($E$54=8,Dados!$AS$25,0)))))))</f>
        <v>0</v>
      </c>
      <c r="EO17" s="304">
        <f>IF($E$54=2,Dados!$AF$25,IF($E$54=3,Dados!$AH$25,IF($E$54=4,Dados!$AJ$25,IF($E$54=5,Dados!$AL$25,IF($E$54=6,Dados!$AN$25,IF($E$54=7,Dados!$AP$25,IF($E$54=8,Dados!$AT$25,0)))))))</f>
        <v>0</v>
      </c>
      <c r="EP17" s="316">
        <f>IF($E$55=2,Dados!$AE$25,IF($E$55=3,Dados!$AG$25,IF($E$55=4,Dados!$AI$25,IF($E$55=5,Dados!$AK$25,IF($E$55=6,Dados!$AM$25,IF($E$55=7,Dados!$AO$25,IF($E$55=8,Dados!$AS$25,0)))))))</f>
        <v>0</v>
      </c>
      <c r="EQ17" s="304">
        <f>IF($E$55=2,Dados!$AF$25,IF($E$55=3,Dados!$AH$25,IF($E$55=4,Dados!$AJ$25,IF($E$55=5,Dados!$AL$25,IF($E$55=6,Dados!$AN$25,IF($E$55=7,Dados!$AP$25,IF($E$55=8,Dados!$AT$25,0)))))))</f>
        <v>0</v>
      </c>
      <c r="ER17" s="316">
        <f>IF($E$56=2,Dados!$AE$25,IF($E$56=3,Dados!$AG$25,IF($E$56=4,Dados!$AI$25,IF($E$56=5,Dados!$AK$25,IF($E$56=6,Dados!$AM$25,IF($E$56=7,Dados!$AO$25,IF($E$56=8,Dados!$AS$25,0)))))))</f>
        <v>0</v>
      </c>
      <c r="ES17" s="304">
        <f>IF($E$56=2,Dados!$AF$25,IF($E$56=3,Dados!$AH$25,IF($E$56=4,Dados!$AJ$25,IF($E$56=5,Dados!$AL$25,IF($E$56=6,Dados!$AN$25,IF($E$56=7,Dados!$AP$25,IF($E$56=8,Dados!$AT$25,0)))))))</f>
        <v>0</v>
      </c>
      <c r="EU17" s="316">
        <f>IF($E$61=2,Dados!$AE$25,IF($E$61=3,Dados!$AG$25,IF($E$61=4,Dados!$AI$25,IF($E$61=5,Dados!$AK$25,IF($E$61=6,Dados!$AM$25,IF($E$61=7,Dados!$AO$25,IF($E$61=8,Dados!$AS$25,0)))))))</f>
        <v>0</v>
      </c>
      <c r="EV17" s="304">
        <f>IF($E$61=2,Dados!$AF$25,IF($E$61=3,Dados!$AH$25,IF($E$61=4,Dados!$AJ$25,IF($E$61=5,Dados!$AL$25,IF($E$61=6,Dados!$AN$25,IF($E$61=7,Dados!$AP$25,IF($E$61=8,Dados!$AT$25,0)))))))</f>
        <v>0</v>
      </c>
      <c r="EW17" s="316">
        <f>IF($E$62=2,Dados!$AE$25,IF($E$62=3,Dados!$AG$25,IF($E$62=4,Dados!$AI$25,IF($E$62=5,Dados!$AK$25,IF($E$62=6,Dados!$AM$25,IF($E$62=7,Dados!$AO$25,IF($E$62=8,Dados!$AS$25,0)))))))</f>
        <v>0</v>
      </c>
      <c r="EX17" s="304">
        <f>IF($E$62=2,Dados!$AF$25,IF($E$62=3,Dados!$AH$25,IF($E$62=4,Dados!$AJ$25,IF($E$62=5,Dados!$AL$25,IF($E$62=6,Dados!$AN$25,IF($E$62=7,Dados!$AP$25,IF($E$62=8,Dados!$AT$25,0)))))))</f>
        <v>0</v>
      </c>
      <c r="EY17" s="316">
        <f>IF($E$63=2,Dados!$AE$25,IF($E$63=3,Dados!$AG$25,IF($E$63=4,Dados!$AI$25,IF($E$63=5,Dados!$AK$25,IF($E$63=6,Dados!$AM$25,IF($E$63=7,Dados!$AO$25,IF($E$63=8,Dados!$AS$25,0)))))))</f>
        <v>0</v>
      </c>
      <c r="EZ17" s="304">
        <f>IF($E$63=2,Dados!$AF$25,IF($E$63=3,Dados!$AH$25,IF($E$63=4,Dados!$AJ$25,IF($E$63=5,Dados!$AL$25,IF($E$63=6,Dados!$AN$25,IF($E$63=7,Dados!$AP$25,IF($E$63=8,Dados!$AT$25,0)))))))</f>
        <v>0</v>
      </c>
      <c r="FA17" s="316">
        <f>IF($E$64=2,Dados!$AE$25,IF($E$64=3,Dados!$AG$25,IF($E$64=4,Dados!$AI$25,IF($E$64=5,Dados!$AK$25,IF($E$64=6,Dados!$AM$25,IF($E$64=7,Dados!$AO$25,IF($E$64=8,Dados!$AS$25,0)))))))</f>
        <v>0</v>
      </c>
      <c r="FB17" s="304">
        <f>IF($E$64=2,Dados!$AF$25,IF($E$64=3,Dados!$AH$25,IF($E$64=4,Dados!$AJ$25,IF($E$64=5,Dados!$AL$25,IF($E$64=6,Dados!$AN$25,IF($E$64=7,Dados!$AP$25,IF($E$64=8,Dados!$AT$25,0)))))))</f>
        <v>0</v>
      </c>
      <c r="FC17" s="316">
        <f>IF($E$65=2,Dados!$AE$25,IF($E$65=3,Dados!$AG$25,IF($E$65=4,Dados!$AI$25,IF($E$65=5,Dados!$AK$25,IF($E$65=6,Dados!$AM$25,IF($E$65=7,Dados!$AO$25,IF($E$65=8,Dados!$AS$25,0)))))))</f>
        <v>0</v>
      </c>
      <c r="FD17" s="304">
        <f>IF($E$65=2,Dados!$AF$25,IF($E$65=3,Dados!$AH$25,IF($E$65=4,Dados!$AJ$25,IF($E$65=5,Dados!$AL$25,IF($E$65=6,Dados!$AN$25,IF($E$65=7,Dados!$AP$25,IF($E$65=8,Dados!$AT$25,0)))))))</f>
        <v>0</v>
      </c>
      <c r="FF17" s="316">
        <f>IF($E$70=2,Dados!$AE$25,IF($E$70=3,Dados!$AG$25,IF($E$70=4,Dados!$AI$25,IF($E$70=5,Dados!$AK$25,IF($E$70=6,Dados!$AM$25,IF($E$70=7,Dados!$AO$25,IF($E$70=8,Dados!$AS$25,0)))))))</f>
        <v>0</v>
      </c>
      <c r="FG17" s="304">
        <f>IF($E$70=2,Dados!$AF$25,IF($E$70=3,Dados!$AH$25,IF($E$70=4,Dados!$AJ$25,IF($E$70=5,Dados!$AL$25,IF($E$70=6,Dados!$AN$25,IF($E$70=7,Dados!$AP$25,IF($E$70=8,Dados!$AT$25,0)))))))</f>
        <v>0</v>
      </c>
      <c r="FH17" s="316">
        <f>IF($E$71=2,Dados!$AE$25,IF($E$71=3,Dados!$AG$25,IF($E$71=4,Dados!$AI$25,IF($E$71=5,Dados!$AK$25,IF($E$71=6,Dados!$AM$25,IF($E$71=7,Dados!$AO$25,IF($E$71=8,Dados!$AS$25,0)))))))</f>
        <v>0</v>
      </c>
      <c r="FI17" s="304">
        <f>IF($E$71=2,Dados!$AF$25,IF($E$71=3,Dados!$AH$25,IF($E$71=4,Dados!$AJ$25,IF($E$71=5,Dados!$AL$25,IF($E$71=6,Dados!$AN$25,IF($E$71=7,Dados!$AP$25,IF($E$71=8,Dados!$AT$25,0)))))))</f>
        <v>0</v>
      </c>
      <c r="FJ17" s="316">
        <f>IF($E$72=2,Dados!$AE$25,IF($E$72=3,Dados!$AG$25,IF($E$72=4,Dados!$AI$25,IF($E$72=5,Dados!$AK$25,IF($E$72=6,Dados!$AM$25,IF($E$72=7,Dados!$AO$25,IF($E$72=8,Dados!$AS$25,0)))))))</f>
        <v>0</v>
      </c>
      <c r="FK17" s="304">
        <f>IF($E$72=2,Dados!$AF$25,IF($E$72=3,Dados!$AH$25,IF($E$72=4,Dados!$AJ$25,IF($E$72=5,Dados!$AL$25,IF($E$72=6,Dados!$AN$25,IF($E$72=7,Dados!$AP$25,IF($E$72=8,Dados!$AT$25,0)))))))</f>
        <v>0</v>
      </c>
      <c r="FL17" s="316">
        <f>IF($E$73=2,Dados!$AE$25,IF($E$73=3,Dados!$AG$25,IF($E$73=4,Dados!$AI$25,IF($E$73=5,Dados!$AK$25,IF($E$73=6,Dados!$AM$25,IF($E$73=7,Dados!$AO$25,IF($E$73=8,Dados!$AS$25,0)))))))</f>
        <v>0</v>
      </c>
      <c r="FM17" s="304">
        <f>IF($E$73=2,Dados!$AF$25,IF($E$73=3,Dados!$AH$25,IF($E$73=4,Dados!$AJ$25,IF($E$73=5,Dados!$AL$25,IF($E$73=6,Dados!$AN$25,IF($E$73=7,Dados!$AP$25,IF($E$73=8,Dados!$AT$25,0)))))))</f>
        <v>0</v>
      </c>
      <c r="FN17" s="316">
        <f>IF($E$74=2,Dados!$AE$25,IF($E$74=3,Dados!$AG$25,IF($E$74=4,Dados!$AI$25,IF($E$74=5,Dados!$AK$25,IF($E$74=6,Dados!$AM$25,IF($E$74=7,Dados!$AO$25,IF($E$74=8,Dados!$AS$25,0)))))))</f>
        <v>0</v>
      </c>
      <c r="FO17" s="304">
        <f>IF($E$74=2,Dados!$AF$25,IF($E$74=3,Dados!$AH$25,IF($E$74=4,Dados!$AJ$25,IF($E$74=5,Dados!$AL$25,IF($E$74=6,Dados!$AN$25,IF($E$74=7,Dados!$AP$25,IF($E$74=8,Dados!$AT$25,0)))))))</f>
        <v>0</v>
      </c>
      <c r="FQ17" s="316">
        <f>IF($E$79=2,Dados!$AE$25,IF($E$79=3,Dados!$AG$25,IF($E$79=4,Dados!$AI$25,IF($E$79=5,Dados!$AK$25,IF($E$79=6,Dados!$AM$25,IF($E$79=7,Dados!$AO$25,IF($E$79=8,Dados!$AS$25,0)))))))</f>
        <v>0</v>
      </c>
      <c r="FR17" s="304">
        <f>IF($E$79=2,Dados!$AF$25,IF($E$79=3,Dados!$AH$25,IF($E$79=4,Dados!$AJ$25,IF($E$79=5,Dados!$AL$25,IF($E$79=6,Dados!$AN$25,IF($E$79=7,Dados!$AP$25,IF($E$79=8,Dados!$AT$25,0)))))))</f>
        <v>0</v>
      </c>
      <c r="FS17" s="316">
        <f>IF($E$80=2,Dados!$AE$25,IF($E$80=3,Dados!$AG$25,IF($E$80=4,Dados!$AI$25,IF($E$80=5,Dados!$AK$25,IF($E$80=6,Dados!$AM$25,IF($E$80=7,Dados!$AO$25,IF($E$80=8,Dados!$AS$25,0)))))))</f>
        <v>0</v>
      </c>
      <c r="FT17" s="304">
        <f>IF($E$80=2,Dados!$AF$25,IF($E$80=3,Dados!$AH$25,IF($E$80=4,Dados!$AJ$25,IF($E$80=5,Dados!$AL$25,IF($E$80=6,Dados!$AN$25,IF($E$80=7,Dados!$AP$25,IF($E$80=8,Dados!$AT$25,0)))))))</f>
        <v>0</v>
      </c>
      <c r="FU17" s="316">
        <f>IF($E$81=2,Dados!$AE$25,IF($E$81=3,Dados!$AG$25,IF($E$81=4,Dados!$AI$25,IF($E$81=5,Dados!$AK$25,IF($E$81=6,Dados!$AM$25,IF($E$81=7,Dados!$AO$25,IF($E$81=8,Dados!$AS$25,0)))))))</f>
        <v>0</v>
      </c>
      <c r="FV17" s="304">
        <f>IF($E$81=2,Dados!$AF$25,IF($E$81=3,Dados!$AH$25,IF($E$81=4,Dados!$AJ$25,IF($E$81=5,Dados!$AL$25,IF($E$81=6,Dados!$AN$25,IF($E$81=7,Dados!$AP$25,IF($E$81=8,Dados!$AT$25,0)))))))</f>
        <v>0</v>
      </c>
      <c r="FW17" s="316">
        <f>IF($E$82=2,Dados!$AE$25,IF($E$82=3,Dados!$AG$25,IF($E$82=4,Dados!$AI$25,IF($E$82=5,Dados!$AK$25,IF($E$82=6,Dados!$AM$25,IF($E$82=7,Dados!$AO$25,IF($E$82=8,Dados!$AS$25,0)))))))</f>
        <v>0</v>
      </c>
      <c r="FX17" s="304">
        <f>IF($E$82=2,Dados!$AF$25,IF($E$82=3,Dados!$AH$25,IF($E$82=4,Dados!$AJ$25,IF($E$82=5,Dados!$AL$25,IF($E$82=6,Dados!$AN$25,IF($E$82=7,Dados!$AP$25,IF($E$82=8,Dados!$AT$25,0)))))))</f>
        <v>0</v>
      </c>
      <c r="FY17" s="316">
        <f>IF($E$83=2,Dados!$AE$25,IF($E$83=3,Dados!$AG$25,IF($E$83=4,Dados!$AI$25,IF($E$83=5,Dados!$AK$25,IF($E$83=6,Dados!$AM$25,IF($E$83=7,Dados!$AO$25,IF($E$83=8,Dados!$AS$25,0)))))))</f>
        <v>0</v>
      </c>
      <c r="FZ17" s="304">
        <f>IF($E$83=2,Dados!$AF$25,IF($E$83=3,Dados!$AH$25,IF($E$83=4,Dados!$AJ$25,IF($E$83=5,Dados!$AL$25,IF($E$83=6,Dados!$AN$25,IF($E$83=7,Dados!$AP$25,IF($E$83=8,Dados!$AT$25,0)))))))</f>
        <v>0</v>
      </c>
      <c r="GB17" s="316">
        <f>IF($E$88=2,Dados!$AE$25,IF($E$88=3,Dados!$AG$25,IF($E$88=4,Dados!$AI$25,IF($E$88=5,Dados!$AK$25,IF($E$88=6,Dados!$AM$25,IF($E$88=7,Dados!$AO$25,IF($E$88=8,Dados!$AS$25,0)))))))</f>
        <v>0</v>
      </c>
      <c r="GC17" s="304">
        <f>IF($E$88=2,Dados!$AF$25,IF($E$88=3,Dados!$AH$25,IF($E$88=4,Dados!$AJ$25,IF($E$88=5,Dados!$AL$25,IF($E$88=6,Dados!$AN$25,IF($E$88=7,Dados!$AP$25,IF($E$88=8,Dados!$AT$25,0)))))))</f>
        <v>0</v>
      </c>
      <c r="GD17" s="316">
        <f>IF($E$89=2,Dados!$AE$25,IF($E$89=3,Dados!$AG$25,IF($E$89=4,Dados!$AI$25,IF($E$89=5,Dados!$AK$25,IF($E$89=6,Dados!$AM$25,IF($E$89=7,Dados!$AO$25,IF($E$89=8,Dados!$AS$25,0)))))))</f>
        <v>0</v>
      </c>
      <c r="GE17" s="304">
        <f>IF($E$89=2,Dados!$AF$25,IF($E$89=3,Dados!$AH$25,IF($E$89=4,Dados!$AJ$25,IF($E$89=5,Dados!$AL$25,IF($E$89=6,Dados!$AN$25,IF($E$89=7,Dados!$AP$25,IF($E$89=8,Dados!$AT$25,0)))))))</f>
        <v>0</v>
      </c>
      <c r="GF17" s="316">
        <f>IF($E$90=2,Dados!$AE$25,IF($E$90=3,Dados!$AG$25,IF($E$90=4,Dados!$AI$25,IF($E$90=5,Dados!$AK$25,IF($E$90=6,Dados!$AM$25,IF($E$90=7,Dados!$AO$25,IF($E$90=8,Dados!$AS$25,0)))))))</f>
        <v>0</v>
      </c>
      <c r="GG17" s="304">
        <f>IF($E$90=2,Dados!$AF$25,IF($E$90=3,Dados!$AH$25,IF($E$90=4,Dados!$AJ$25,IF($E$90=5,Dados!$AL$25,IF($E$90=6,Dados!$AN$25,IF($E$90=7,Dados!$AP$25,IF($E$90=8,Dados!$AT$25,0)))))))</f>
        <v>0</v>
      </c>
      <c r="GH17" s="316">
        <f>IF($E$91=2,Dados!$AE$25,IF($E$91=3,Dados!$AG$25,IF($E$91=4,Dados!$AI$25,IF($E$91=5,Dados!$AK$25,IF($E$91=6,Dados!$AM$25,IF($E$91=7,Dados!$AO$25,IF($E$91=8,Dados!$AS$25,0)))))))</f>
        <v>0</v>
      </c>
      <c r="GI17" s="304">
        <f>IF($E$91=2,Dados!$AF$25,IF($E$91=3,Dados!$AH$25,IF($E$91=4,Dados!$AJ$25,IF($E$91=5,Dados!$AL$25,IF($E$91=6,Dados!$AN$25,IF($E$91=7,Dados!$AP$25,IF($E$91=8,Dados!$AT$25,0)))))))</f>
        <v>0</v>
      </c>
      <c r="GJ17" s="316">
        <f>IF($E$92=2,Dados!$AE$25,IF($E$92=3,Dados!$AG$25,IF($E$92=4,Dados!$AI$25,IF($E$92=5,Dados!$AK$25,IF($E$92=6,Dados!$AM$25,IF($E$92=7,Dados!$AO$25,IF($E$92=8,Dados!$AS$25,0)))))))</f>
        <v>0</v>
      </c>
      <c r="GK17" s="304">
        <f>IF($E$92=2,Dados!$AF$25,IF($E$92=3,Dados!$AH$25,IF($E$92=4,Dados!$AJ$25,IF($E$92=5,Dados!$AL$25,IF($E$92=6,Dados!$AN$25,IF($E$92=7,Dados!$AP$25,IF($E$92=8,Dados!$AT$25,0)))))))</f>
        <v>0</v>
      </c>
      <c r="GM17" s="316">
        <f>IF($E$97=2,Dados!$AE$25,IF($E$97=3,Dados!$AG$25,IF($E$97=4,Dados!$AI$25,IF($E$97=5,Dados!$AK$25,IF($E$97=6,Dados!$AM$25,IF($E$97=7,Dados!$AO$25,IF($E$97=8,Dados!$AS$25,0)))))))</f>
        <v>0</v>
      </c>
      <c r="GN17" s="304">
        <f>IF($E$97=2,Dados!$AF$25,IF($E$97=3,Dados!$AH$25,IF($E$97=4,Dados!$AJ$25,IF($E$97=5,Dados!$AL$25,IF($E$97=6,Dados!$AN$25,IF($E$97=7,Dados!$AP$25,IF($E$97=8,Dados!$AT$25,0)))))))</f>
        <v>0</v>
      </c>
      <c r="GO17" s="316">
        <f>IF($E$98=2,Dados!$AE$25,IF($E$98=3,Dados!$AG$25,IF($E$98=4,Dados!$AI$25,IF($E$98=5,Dados!$AK$25,IF($E$98=6,Dados!$AM$25,IF($E$98=7,Dados!$AO$25,IF($E$98=8,Dados!$AS$25,0)))))))</f>
        <v>0</v>
      </c>
      <c r="GP17" s="304">
        <f>IF($E$98=2,Dados!$AF$25,IF($E$98=3,Dados!$AH$25,IF($E$98=4,Dados!$AJ$25,IF($E$98=5,Dados!$AL$25,IF($E$98=6,Dados!$AN$25,IF($E$98=7,Dados!$AP$25,IF($E$98=8,Dados!$AT$25,0)))))))</f>
        <v>0</v>
      </c>
      <c r="GQ17" s="316">
        <f>IF($E$99=2,Dados!$AE$25,IF($E$99=3,Dados!$AG$25,IF($E$99=4,Dados!$AI$25,IF($E$99=5,Dados!$AK$25,IF($E$99=6,Dados!$AM$25,IF($E$99=7,Dados!$AO$25,IF($E$99=8,Dados!$AS$25,0)))))))</f>
        <v>0</v>
      </c>
      <c r="GR17" s="304">
        <f>IF($E$99=2,Dados!$AF$25,IF($E$99=3,Dados!$AH$25,IF($E$99=4,Dados!$AJ$25,IF($E$99=5,Dados!$AL$25,IF($E$99=6,Dados!$AN$25,IF($E$99=7,Dados!$AP$25,IF($E$99=8,Dados!$AT$25,0)))))))</f>
        <v>0</v>
      </c>
      <c r="GS17" s="316">
        <f>IF($E$100=2,Dados!$AE$25,IF($E$100=3,Dados!$AG$25,IF($E$100=4,Dados!$AI$25,IF($E$100=5,Dados!$AK$25,IF($E$100=6,Dados!$AM$25,IF($E$100=7,Dados!$AO$25,IF($E$100=8,Dados!$AS$25,0)))))))</f>
        <v>0</v>
      </c>
      <c r="GT17" s="304">
        <f>IF($E$100=2,Dados!$AF$25,IF($E$100=3,Dados!$AH$25,IF($E$100=4,Dados!$AJ$25,IF($E$100=5,Dados!$AL$25,IF($E$100=6,Dados!$AN$25,IF($E$100=7,Dados!$AP$25,IF($E$100=8,Dados!$AT$25,0)))))))</f>
        <v>0</v>
      </c>
      <c r="GU17" s="316">
        <f>IF($E$101=2,Dados!$AE$25,IF($E$101=3,Dados!$AG$25,IF($E$101=4,Dados!$AI$25,IF($E$101=5,Dados!$AK$25,IF($E$101=6,Dados!$AM$25,IF($E$101=7,Dados!$AO$25,IF($E$101=8,Dados!$AS$25,0)))))))</f>
        <v>0</v>
      </c>
      <c r="GV17" s="304">
        <f>IF($E$101=2,Dados!$AF$25,IF($E$101=3,Dados!$AH$25,IF($E$101=4,Dados!$AJ$25,IF($E$101=5,Dados!$AL$25,IF($E$101=6,Dados!$AN$25,IF($E$101=7,Dados!$AP$25,IF($E$101=8,Dados!$AT$25,0)))))))</f>
        <v>0</v>
      </c>
      <c r="GX17" s="316">
        <f>IF($E$106=2,Dados!$AE$25,IF($E$106=3,Dados!$AG$25,IF($E$106=4,Dados!$AI$25,IF($E$106=5,Dados!$AK$25,IF($E$106=6,Dados!$AM$25,IF($E$106=7,Dados!$AO$25,IF($E$106=8,Dados!$AS$25,0)))))))</f>
        <v>0</v>
      </c>
      <c r="GY17" s="304">
        <f>IF($E$106=2,Dados!$AF$25,IF($E$106=3,Dados!$AH$25,IF($E$106=4,Dados!$AJ$25,IF($E$106=5,Dados!$AL$25,IF($E$106=6,Dados!$AN$25,IF($E$106=7,Dados!$AP$25,IF($E$106=8,Dados!$AT$25,0)))))))</f>
        <v>0</v>
      </c>
      <c r="GZ17" s="316">
        <f>IF($E$107=2,Dados!$AE$25,IF($E$107=3,Dados!$AG$25,IF($E$107=4,Dados!$AI$25,IF($E$107=5,Dados!$AK$25,IF($E$107=6,Dados!$AM$25,IF($E$107=7,Dados!$AO$25,IF($E$107=8,Dados!$AS$25,0)))))))</f>
        <v>0</v>
      </c>
      <c r="HA17" s="304">
        <f>IF($E$107=2,Dados!$AF$25,IF($E$107=3,Dados!$AH$25,IF($E$107=4,Dados!$AJ$25,IF($E$107=5,Dados!$AL$25,IF($E$107=6,Dados!$AN$25,IF($E$107=7,Dados!$AP$25,IF($E$107=8,Dados!$AT$25,0)))))))</f>
        <v>0</v>
      </c>
      <c r="HB17" s="316">
        <f>IF($E$108=2,Dados!$AE$25,IF($E$108=3,Dados!$AG$25,IF($E$108=4,Dados!$AI$25,IF($E$108=5,Dados!$AK$25,IF($E$108=6,Dados!$AM$25,IF($E$108=7,Dados!$AO$25,IF($E$108=8,Dados!$AS$25,0)))))))</f>
        <v>0</v>
      </c>
      <c r="HC17" s="304">
        <f>IF($E$108=2,Dados!$AF$25,IF($E$108=3,Dados!$AH$25,IF($E$108=4,Dados!$AJ$25,IF($E$108=5,Dados!$AL$25,IF($E$108=6,Dados!$AN$25,IF($E$108=7,Dados!$AP$25,IF($E$108=8,Dados!$AT$25,0)))))))</f>
        <v>0</v>
      </c>
      <c r="HD17" s="316">
        <f>IF($E$109=2,Dados!$AE$25,IF($E$109=3,Dados!$AG$25,IF($E$109=4,Dados!$AI$25,IF($E$109=5,Dados!$AK$25,IF($E$109=6,Dados!$AM$25,IF($E$109=7,Dados!$AO$25,IF($E$109=8,Dados!$AS$25,0)))))))</f>
        <v>0</v>
      </c>
      <c r="HE17" s="304">
        <f>IF($E$109=2,Dados!$AF$25,IF($E$109=3,Dados!$AH$25,IF($E$109=4,Dados!$AJ$25,IF($E$109=5,Dados!$AL$25,IF($E$109=6,Dados!$AN$25,IF($E$109=7,Dados!$AP$25,IF($E$109=8,Dados!$AT$25,0)))))))</f>
        <v>0</v>
      </c>
      <c r="HF17" s="316">
        <f>IF($E$110=2,Dados!$AE$25,IF($E$110=3,Dados!$AG$25,IF($E$110=4,Dados!$AI$25,IF($E$110=5,Dados!$AK$25,IF($E$110=6,Dados!$AM$25,IF($E$110=7,Dados!$AO$25,IF($E$110=8,Dados!$AS$25,0)))))))</f>
        <v>0</v>
      </c>
      <c r="HG17" s="304">
        <f>IF($E$110=2,Dados!$AF$25,IF($E$110=3,Dados!$AH$25,IF($E$110=4,Dados!$AJ$25,IF($E$110=5,Dados!$AL$25,IF($E$110=6,Dados!$AN$25,IF($E$110=7,Dados!$AP$25,IF($E$110=8,Dados!$AT$25,0)))))))</f>
        <v>0</v>
      </c>
    </row>
    <row r="18" spans="3:215" ht="15.75" customHeight="1" x14ac:dyDescent="0.2">
      <c r="C18" s="156">
        <f>IF(R18=1,0,S18)</f>
        <v>0</v>
      </c>
      <c r="D18" s="2721"/>
      <c r="E18" s="180">
        <v>3</v>
      </c>
      <c r="F18" s="2718">
        <v>4</v>
      </c>
      <c r="G18" s="2719"/>
      <c r="H18" s="284" t="s">
        <v>1416</v>
      </c>
      <c r="I18" s="229">
        <v>3</v>
      </c>
      <c r="J18" s="314">
        <v>1000</v>
      </c>
      <c r="K18" s="157">
        <v>20</v>
      </c>
      <c r="L18" s="907">
        <v>16</v>
      </c>
      <c r="M18" s="127">
        <f>IF(I18=1,K18,IF(I18=2,K18/J18,IF(I18=3,K18*L18,0)))</f>
        <v>320</v>
      </c>
      <c r="N18" s="3">
        <v>23</v>
      </c>
      <c r="O18" s="30">
        <v>1</v>
      </c>
      <c r="P18" s="837">
        <f>IF(N18=1,0,VLOOKUP(N18,Rebanho!$AN$45:$AV$72,4)*O18)</f>
        <v>3116.864924444445</v>
      </c>
      <c r="Q18" s="838">
        <f>VLOOKUP(N18,Rebanho!$AN$45:$AV$72,7)*O18</f>
        <v>1142585.2620207409</v>
      </c>
      <c r="R18" s="3">
        <v>1</v>
      </c>
      <c r="S18" s="29"/>
      <c r="T18" s="102">
        <f>VLOOKUP(R18,'Mão-de-obra'!$CJ$10:$CL$29,3)</f>
        <v>0</v>
      </c>
      <c r="U18" s="102">
        <f>T18*S18</f>
        <v>0</v>
      </c>
      <c r="V18" s="127">
        <f>IF(I18=1,M18*P18,IF(I18=2,M18*Q18*L18,IF(I18=3,M18,0)))</f>
        <v>320</v>
      </c>
      <c r="W18" s="129">
        <f>U18+V18</f>
        <v>320</v>
      </c>
      <c r="X18" s="93">
        <v>1</v>
      </c>
      <c r="Y18" s="93">
        <v>1</v>
      </c>
      <c r="Z18" s="127">
        <f t="shared" si="5"/>
        <v>0.10266726590888031</v>
      </c>
      <c r="AE18" s="1160" t="str">
        <f>Rebanho!C60</f>
        <v>Vacas em lactação multiparas</v>
      </c>
      <c r="AF18" s="1195">
        <f>IF(Rebanho!E60&gt;0,1,0)</f>
        <v>0</v>
      </c>
      <c r="AG18" s="1193">
        <f>Rebanho!E60</f>
        <v>0</v>
      </c>
      <c r="AH18" s="1336">
        <f>Rebanho!AS57</f>
        <v>0</v>
      </c>
      <c r="AI18" s="1178">
        <f>((SUMIFS($Z$7:$Z$110,$E$7:$E$110,"=2",$N$7:$N$110,"=13")+SUMIFS($Z$7:$Z$110,$E$7:$E$110,"=2",$N$7:$N$110,"=19")))*($AF$18)</f>
        <v>0</v>
      </c>
      <c r="AJ18" s="1178">
        <f>((SUMIFS($Z$7:$Z$110,$E$7:$E$110,"=3",$N$7:$N$110,"=13")+SUMIFS($Z$7:$Z$110,$E$7:$E$110,"=3",$N$7:$N$110,"=19")))*($AF$18)</f>
        <v>0</v>
      </c>
      <c r="AK18" s="1178">
        <f>((SUMIFS($Z$7:$Z$110,$E$7:$E$110,"=4",$N$7:$N$110,"=13")+SUMIFS($Z$7:$Z$110,$E$7:$E$110,"=4",$N$7:$N$110,"=19")))*($AF$18)</f>
        <v>0</v>
      </c>
      <c r="AL18" s="1178">
        <f>((SUMIFS($Z$7:$Z$110,$E$7:$E$110,"=5",$N$7:$N$110,"=13")+SUMIFS($Z$7:$Z$110,$E$7:$E$110,"=5",$N$7:$N$110,"=19")))*($AF$18)</f>
        <v>0</v>
      </c>
      <c r="AM18" s="1178">
        <f>((SUMIFS($Z$7:$Z$110,$E$7:$E$110,"=6",$N$7:$N$110,"=13")+SUMIFS($Z$7:$Z$110,$E$7:$E$110,"=6",$N$7:$N$110,"=19")))*($AF$18)</f>
        <v>0</v>
      </c>
      <c r="AN18" s="1178">
        <f>((SUMIFS($Z$7:$Z$110,$E$7:$E$110,"=7",$N$7:$N$110,"=13")+SUMIFS($Z$7:$Z$110,$E$7:$E$110,"=7",$N$7:$N$110,"=19")))*($AF$18)</f>
        <v>0</v>
      </c>
      <c r="AO18" s="1208">
        <f>((SUMIFS($Z$7:$Z$110,$E$7:$E$110,"=8",$N$7:$N$110,"=13")+SUMIFS($Z$7:$Z$110,$E$7:$E$110,"=8",$N$7:$N$110,"=19")))*($AF$18)</f>
        <v>0</v>
      </c>
      <c r="AP18" s="1208">
        <f t="shared" si="3"/>
        <v>0</v>
      </c>
      <c r="AQ18" s="1184">
        <f t="shared" si="2"/>
        <v>0</v>
      </c>
      <c r="AU18" s="93">
        <v>2</v>
      </c>
      <c r="AW18" s="3" t="s">
        <v>76</v>
      </c>
      <c r="AX18" s="94">
        <f>IF($E16=4,$V16,0)</f>
        <v>0</v>
      </c>
      <c r="AY18" s="94">
        <f>IF($E17=4,$V17,0)</f>
        <v>0</v>
      </c>
      <c r="AZ18" s="94">
        <f>IF($E18=4,$V18,0)</f>
        <v>0</v>
      </c>
      <c r="BA18" s="94">
        <f>IF($E19=4,$V19,0)</f>
        <v>0</v>
      </c>
      <c r="BB18" s="94">
        <f>IF($E20=4,$V20,0)</f>
        <v>0</v>
      </c>
      <c r="BC18" s="200">
        <f t="shared" si="4"/>
        <v>0</v>
      </c>
      <c r="CF18" s="93">
        <v>13</v>
      </c>
      <c r="CG18" s="316">
        <f>IF($E$7=2,Dados!$AE$26,IF($E$7=3,Dados!$AG$26,IF($E$7=4,Dados!$AI$26,IF($E$7=5,Dados!$AK$26,IF($E$7=6,Dados!$AM$26,IF($E$7=7,Dados!$AO$26,IF($E$7=8,Dados!$AS$26,0)))))))</f>
        <v>0</v>
      </c>
      <c r="CH18" s="304">
        <f>IF($E$7=2,Dados!$AF$26,IF($E$7=3,Dados!$AH$26,IF($E$7=4,Dados!$AJ$26,IF($E$7=5,Dados!$AL$26,IF($E$7=6,Dados!$AN$26,IF($E$7=7,Dados!$AP$26,IF($E$7=8,Dados!$AT$26,0)))))))</f>
        <v>0</v>
      </c>
      <c r="CI18" s="316">
        <f>IF($E$8=2,Dados!$AE$26,IF($E$8=3,Dados!$AG$26,IF($E$8=4,Dados!$AI$26,IF($E$8=5,Dados!$AK$26,IF($E$8=6,Dados!$AM$26,IF($E$8=7,Dados!$AO$26,IF($E$8=8,Dados!$AS$26,0)))))))</f>
        <v>0</v>
      </c>
      <c r="CJ18" s="304">
        <f>IF($E$8=2,Dados!$AF$26,IF($E$8=3,Dados!$AH$26,IF($E$8=4,Dados!$AJ$26,IF($E$8=5,Dados!$AL$26,IF($E$8=6,Dados!$AN$26,IF($E$8=7,Dados!$AP$26,IF($E$8=8,Dados!$AT$26,0)))))))</f>
        <v>0</v>
      </c>
      <c r="CK18" s="316">
        <f>IF($E$9=2,Dados!$AE$26,IF($E$9=3,Dados!$AG$26,IF($E$9=4,Dados!$AI$26,IF($E$9=5,Dados!$AK$26,IF($E$9=6,Dados!$AM$26,IF($E$9=7,Dados!$AO$26,IF($E$9=8,Dados!$AS$26,0)))))))</f>
        <v>0</v>
      </c>
      <c r="CL18" s="304">
        <f>IF($E$9=2,Dados!$AF$26,IF($E$9=3,Dados!$AH$26,IF($E$9=4,Dados!$AJ$26,IF($E$9=5,Dados!$AL$26,IF($E$9=6,Dados!$AN$26,IF($E$9=7,Dados!$AP$26,IF($E$9=8,Dados!$AT$26,0)))))))</f>
        <v>0</v>
      </c>
      <c r="CM18" s="316">
        <f>IF($E$10=2,Dados!$AE$26,IF($E$10=3,Dados!$AG$26,IF($E$10=4,Dados!$AI$26,IF($E$10=5,Dados!$AK$26,IF($E$10=6,Dados!$AM$26,IF($E$10=7,Dados!$AO$26,IF($E$10=8,Dados!$AS$26,0)))))))</f>
        <v>0</v>
      </c>
      <c r="CN18" s="304">
        <f>IF($E$10=2,Dados!$AF$26,IF($E$10=3,Dados!$AH$26,IF($E$10=4,Dados!$AJ$26,IF($E$10=5,Dados!$AL$26,IF($E$10=6,Dados!$AN$26,IF($E$10=7,Dados!$AP$26,IF($E$10=8,Dados!$AT$26,0)))))))</f>
        <v>0</v>
      </c>
      <c r="CO18" s="316">
        <f>IF($E$11=2,Dados!$AE$26,IF($E$11=3,Dados!$AG$26,IF($E$11=4,Dados!$AI$26,IF($E$11=5,Dados!$AK$26,IF($E$11=6,Dados!$AM$26,IF($E$11=7,Dados!$AO$26,IF($E$11=8,Dados!$AS$26,0)))))))</f>
        <v>0</v>
      </c>
      <c r="CP18" s="304">
        <f>IF($E$11=2,Dados!$AF$26,IF($E$11=3,Dados!$AH$26,IF($E$11=4,Dados!$AJ$26,IF($E$11=5,Dados!$AL$26,IF($E$11=6,Dados!$AN$26,IF($E$11=7,Dados!$AP$26,IF($E$11=8,Dados!$AT$26,0)))))))</f>
        <v>0</v>
      </c>
      <c r="CR18" s="316">
        <f>IF($E$16=2,Dados!$AE$26,IF($E$16=3,Dados!$AG$26,IF($E$16=4,Dados!$AI$26,IF($E$16=5,Dados!$AK$26,IF($E$16=6,Dados!$AM$26,IF($E$16=7,Dados!$AO$26,IF($E$16=8,Dados!$AS$26,0)))))))</f>
        <v>0</v>
      </c>
      <c r="CS18" s="304">
        <f>IF($E$16=2,Dados!$AF$26,IF($E$16=3,Dados!$AH$26,IF($E$16=4,Dados!$AJ$26,IF($E$16=5,Dados!$AL$26,IF($E$16=6,Dados!$AN$26,IF($E$16=7,Dados!$AP$26,IF($E$16=8,Dados!$AT$26,0)))))))</f>
        <v>0</v>
      </c>
      <c r="CT18" s="316">
        <f>IF($E$17=2,Dados!$AE$26,IF($E$17=3,Dados!$AG$26,IF($E$17=4,Dados!$AI$26,IF($E$17=5,Dados!$AK$26,IF($E$17=6,Dados!$AM$26,IF($E$17=7,Dados!$AO$26,IF($E$17=8,Dados!$AS$26,0)))))))</f>
        <v>0</v>
      </c>
      <c r="CU18" s="304">
        <f>IF($E$17=2,Dados!$AF$26,IF($E$17=3,Dados!$AH$26,IF($E$17=4,Dados!$AJ$26,IF($E$17=5,Dados!$AL$26,IF($E$17=6,Dados!$AN$26,IF($E$17=7,Dados!$AP$26,IF($E$17=8,Dados!$AT$26,0)))))))</f>
        <v>0</v>
      </c>
      <c r="CV18" s="316">
        <f>IF($E$18=2,Dados!$AE$26,IF($E$18=3,Dados!$AG$26,IF($E$18=4,Dados!$AI$26,IF($E$18=5,Dados!$AK$26,IF($E$18=6,Dados!$AM$26,IF($E$18=7,Dados!$AO$26,IF($E$18=8,Dados!$AS$26,0)))))))</f>
        <v>0</v>
      </c>
      <c r="CW18" s="304">
        <f>IF($E$18=2,Dados!$AF$26,IF($E$18=3,Dados!$AH$26,IF($E$18=4,Dados!$AJ$26,IF($E$18=5,Dados!$AL$26,IF($E$18=6,Dados!$AN$26,IF($E$18=7,Dados!$AP$26,IF($E$18=8,Dados!$AT$26,0)))))))</f>
        <v>0</v>
      </c>
      <c r="CX18" s="316">
        <f>IF($E$19=2,Dados!$AE$26,IF($E$19=3,Dados!$AG$26,IF($E$19=4,Dados!$AI$26,IF($E$19=5,Dados!$AK$26,IF($E$19=6,Dados!$AM$26,IF($E$19=7,Dados!$AO$26,IF($E$19=8,Dados!$AS$26,0)))))))</f>
        <v>0</v>
      </c>
      <c r="CY18" s="304">
        <f>IF($E$19=2,Dados!$AF$26,IF($E$19=3,Dados!$AH$26,IF($E$19=4,Dados!$AJ$26,IF($E$19=5,Dados!$AL$26,IF($E$19=6,Dados!$AN$26,IF($E$19=7,Dados!$AP$26,IF($E$19=8,Dados!$AT$26,0)))))))</f>
        <v>0</v>
      </c>
      <c r="CZ18" s="316">
        <f>IF($E$20=2,Dados!$AE$26,IF($E$20=3,Dados!$AG$26,IF($E$20=4,Dados!$AI$26,IF($E$20=5,Dados!$AK$26,IF($E$20=6,Dados!$AM$26,IF($E$20=7,Dados!$AO$26,IF($E$20=8,Dados!$AS$26,0)))))))</f>
        <v>0</v>
      </c>
      <c r="DA18" s="304">
        <f>IF($E$20=2,Dados!$AF$26,IF($E$20=3,Dados!$AH$26,IF($E$20=4,Dados!$AJ$26,IF($E$20=5,Dados!$AL$26,IF($E$20=6,Dados!$AN$26,IF($E$20=7,Dados!$AP$26,IF($E$20=8,Dados!$AT$26,0)))))))</f>
        <v>0</v>
      </c>
      <c r="DC18" s="316">
        <f>IF($E$25=2,Dados!$AE$26,IF($E$25=3,Dados!$AG$26,IF($E$25=4,Dados!$AI$26,IF($E$25=5,Dados!$AK$26,IF($E$25=6,Dados!$AM$26,IF($E$25=7,Dados!$AO$26,IF($E$25=8,Dados!$AS$26,0)))))))</f>
        <v>0</v>
      </c>
      <c r="DD18" s="304">
        <f>IF($E$25=2,Dados!$AF$26,IF($E$25=3,Dados!$AH$26,IF($E$25=4,Dados!$AJ$26,IF($E$25=5,Dados!$AL$26,IF($E$25=6,Dados!$AN$26,IF($E$25=7,Dados!$AP$26,IF($E$25=8,Dados!$AT$26,0)))))))</f>
        <v>0</v>
      </c>
      <c r="DE18" s="316">
        <f>IF($E$26=2,Dados!$AE$26,IF($E$26=3,Dados!$AG$26,IF($E$26=4,Dados!$AI$26,IF($E$26=5,Dados!$AK$26,IF($E$26=6,Dados!$AM$26,IF($E$26=7,Dados!$AO$26,IF($E$26=8,Dados!$AS$26,0)))))))</f>
        <v>0</v>
      </c>
      <c r="DF18" s="304">
        <f>IF($E$26=2,Dados!$AF$26,IF($E$26=3,Dados!$AH$26,IF($E$26=4,Dados!$AJ$26,IF($E$26=5,Dados!$AL$26,IF($E$26=6,Dados!$AN$26,IF($E$26=7,Dados!$AP$26,IF($E$26=8,Dados!$AT$26,0)))))))</f>
        <v>0</v>
      </c>
      <c r="DG18" s="316">
        <f>IF($E$27=2,Dados!$AE$26,IF($E$27=3,Dados!$AG$26,IF($E$27=4,Dados!$AI$26,IF($E$27=5,Dados!$AK$26,IF($E$27=6,Dados!$AM$26,IF($E$27=7,Dados!$AO$26,IF($E$27=8,Dados!$AS$26,0)))))))</f>
        <v>0</v>
      </c>
      <c r="DH18" s="304">
        <f>IF($E$27=2,Dados!$AF$26,IF($E$27=3,Dados!$AH$26,IF($E$27=4,Dados!$AJ$26,IF($E$27=5,Dados!$AL$26,IF($E$27=6,Dados!$AN$26,IF($E$27=7,Dados!$AP$26,IF($E$27=8,Dados!$AT$26,0)))))))</f>
        <v>0</v>
      </c>
      <c r="DI18" s="316">
        <f>IF($E$28=2,Dados!$AE$26,IF($E$28=3,Dados!$AG$26,IF($E$28=4,Dados!$AI$26,IF($E$28=5,Dados!$AK$26,IF($E$28=6,Dados!$AM$26,IF($E$28=7,Dados!$AO$26,IF($E$28=8,Dados!$AS$26,0)))))))</f>
        <v>0</v>
      </c>
      <c r="DJ18" s="304">
        <f>IF($E$28=2,Dados!$AF$26,IF($E$28=3,Dados!$AH$26,IF($E$28=4,Dados!$AJ$26,IF($E$28=5,Dados!$AL$26,IF($E$28=6,Dados!$AN$26,IF($E$28=7,Dados!$AP$26,IF($E$28=8,Dados!$AT$26,0)))))))</f>
        <v>0</v>
      </c>
      <c r="DK18" s="316">
        <f>IF($E$29=2,Dados!$AE$26,IF($E$29=3,Dados!$AG$26,IF($E$29=4,Dados!$AI$26,IF($E$29=5,Dados!$AK$26,IF($E$29=6,Dados!$AM$26,IF($E$29=7,Dados!$AO$26,IF($E$29=8,Dados!$AS$26,0)))))))</f>
        <v>0</v>
      </c>
      <c r="DL18" s="304">
        <f>IF($E$29=2,Dados!$AF$26,IF($E$29=3,Dados!$AH$26,IF($E$29=4,Dados!$AJ$26,IF($E$29=5,Dados!$AL$26,IF($E$29=6,Dados!$AN$26,IF($E$29=7,Dados!$AP$26,IF($E$29=8,Dados!$AT$26,0)))))))</f>
        <v>0</v>
      </c>
      <c r="DN18" s="316">
        <f>IF($E$34=2,Dados!$AE$26,IF($E$34=3,Dados!$AG$26,IF($E$34=4,Dados!$AI$26,IF($E$34=5,Dados!$AK$26,IF($E$34=6,Dados!$AM$26,IF($E$34=7,Dados!$AO$26,IF($E$34=8,Dados!$AS$26,0)))))))</f>
        <v>0</v>
      </c>
      <c r="DO18" s="304">
        <f>IF($E$34=2,Dados!$AF$26,IF($E$34=3,Dados!$AH$26,IF($E$34=4,Dados!$AJ$26,IF($E$34=5,Dados!$AL$26,IF($E$34=6,Dados!$AN$26,IF($E$34=7,Dados!$AP$26,IF($E$34=8,Dados!$AT$26,0)))))))</f>
        <v>0</v>
      </c>
      <c r="DP18" s="316">
        <f>IF($E$35=2,Dados!$AE$26,IF($E$35=3,Dados!$AG$26,IF($E$35=4,Dados!$AI$26,IF($E$35=5,Dados!$AK$26,IF($E$35=6,Dados!$AM$26,IF($E$35=7,Dados!$AO$26,IF($E$35=8,Dados!$AS$26,0)))))))</f>
        <v>0</v>
      </c>
      <c r="DQ18" s="304">
        <f>IF($E$35=2,Dados!$AF$26,IF($E$35=3,Dados!$AH$26,IF($E$35=4,Dados!$AJ$26,IF($E$35=5,Dados!$AL$26,IF($E$35=6,Dados!$AN$26,IF($E$35=7,Dados!$AP$26,IF($E$35=8,Dados!$AT$26,0)))))))</f>
        <v>0</v>
      </c>
      <c r="DR18" s="316">
        <f>IF($E$36=2,Dados!$AE$26,IF($E$36=3,Dados!$AG$26,IF($E$36=4,Dados!$AI$26,IF($E$36=5,Dados!$AK$26,IF($E$36=6,Dados!$AM$26,IF($E$36=7,Dados!$AO$26,IF($E$36=8,Dados!$AS$26,0)))))))</f>
        <v>0</v>
      </c>
      <c r="DS18" s="304">
        <f>IF($E$36=2,Dados!$AF$26,IF($E$36=3,Dados!$AH$26,IF($E$36=4,Dados!$AJ$26,IF($E$36=5,Dados!$AL$26,IF($E$36=6,Dados!$AN$26,IF($E$36=7,Dados!$AP$26,IF($E$36=8,Dados!$AT$26,0)))))))</f>
        <v>0</v>
      </c>
      <c r="DT18" s="316">
        <f>IF($E$37=2,Dados!$AE$26,IF($E$37=3,Dados!$AG$26,IF($E$37=4,Dados!$AI$26,IF($E$37=5,Dados!$AK$26,IF($E$37=6,Dados!$AM$26,IF($E$37=7,Dados!$AO$26,IF($E$37=8,Dados!$AS$26,0)))))))</f>
        <v>0</v>
      </c>
      <c r="DU18" s="304">
        <f>IF($E$37=2,Dados!$AF$26,IF($E$37=3,Dados!$AH$26,IF($E$37=4,Dados!$AJ$26,IF($E$37=5,Dados!$AL$26,IF($E$37=6,Dados!$AN$26,IF($E$37=7,Dados!$AP$26,IF($E$37=8,Dados!$AT$26,0)))))))</f>
        <v>0</v>
      </c>
      <c r="DV18" s="316">
        <f>IF($E$38=2,Dados!$AE$26,IF($E$38=3,Dados!$AG$26,IF($E$38=4,Dados!$AI$26,IF($E$38=5,Dados!$AK$26,IF($E$38=6,Dados!$AM$26,IF($E$38=7,Dados!$AO$26,IF($E$38=8,Dados!$AS$26,0)))))))</f>
        <v>0</v>
      </c>
      <c r="DW18" s="304">
        <f>IF($E$38=2,Dados!$AF$26,IF($E$38=3,Dados!$AH$26,IF($E$38=4,Dados!$AJ$26,IF($E$38=5,Dados!$AL$26,IF($E$38=6,Dados!$AN$26,IF($E$38=7,Dados!$AP$26,IF($E$38=8,Dados!$AT$26,0)))))))</f>
        <v>0</v>
      </c>
      <c r="DY18" s="316">
        <f>IF($E$43=2,Dados!$AE$26,IF($E$43=3,Dados!$AG$26,IF($E$43=4,Dados!$AI$26,IF($E$43=5,Dados!$AK$26,IF($E$43=6,Dados!$AM$26,IF($E$43=7,Dados!$AO$26,IF($E$43=8,Dados!$AS$26,0)))))))</f>
        <v>0</v>
      </c>
      <c r="DZ18" s="304">
        <f>IF($E$43=2,Dados!$AF$26,IF($E$43=3,Dados!$AH$26,IF($E$43=4,Dados!$AJ$26,IF($E$43=5,Dados!$AL$26,IF($E$43=6,Dados!$AN$26,IF($E$43=7,Dados!$AP$26,IF($E$43=8,Dados!$AT$26,0)))))))</f>
        <v>0</v>
      </c>
      <c r="EA18" s="316">
        <f>IF($E$44=2,Dados!$AE$26,IF($E$44=3,Dados!$AG$26,IF($E$44=4,Dados!$AI$26,IF($E$44=5,Dados!$AK$26,IF($E$44=6,Dados!$AM$26,IF($E$44=7,Dados!$AO$26,IF($E$44=8,Dados!$AS$26,0)))))))</f>
        <v>0</v>
      </c>
      <c r="EB18" s="304">
        <f>IF($E$44=2,Dados!$AF$26,IF($E$44=3,Dados!$AH$26,IF($E$44=4,Dados!$AJ$26,IF($E$44=5,Dados!$AL$26,IF($E$44=6,Dados!$AN$26,IF($E$44=7,Dados!$AP$26,IF($E$44=8,Dados!$AT$26,0)))))))</f>
        <v>0</v>
      </c>
      <c r="EC18" s="316">
        <f>IF($E$45=2,Dados!$AE$26,IF($E$45=3,Dados!$AG$26,IF($E$45=4,Dados!$AI$26,IF($E$45=5,Dados!$AK$26,IF($E$45=6,Dados!$AM$26,IF($E$45=7,Dados!$AO$26,IF($E$45=8,Dados!$AS$26,0)))))))</f>
        <v>0</v>
      </c>
      <c r="ED18" s="304">
        <f>IF($E$45=2,Dados!$AF$26,IF($E$45=3,Dados!$AH$26,IF($E$45=4,Dados!$AJ$26,IF($E$45=5,Dados!$AL$26,IF($E$45=6,Dados!$AN$26,IF($E$45=7,Dados!$AP$26,IF($E$45=8,Dados!$AT$26,0)))))))</f>
        <v>0</v>
      </c>
      <c r="EE18" s="316">
        <f>IF($E$46=2,Dados!$AE$26,IF($E$46=3,Dados!$AG$26,IF($E$46=4,Dados!$AI$26,IF($E$46=5,Dados!$AK$26,IF($E$46=6,Dados!$AM$26,IF($E$46=7,Dados!$AO$26,IF($E$46=8,Dados!$AS$26,0)))))))</f>
        <v>0</v>
      </c>
      <c r="EF18" s="304">
        <f>IF($E$46=2,Dados!$AF$26,IF($E$46=3,Dados!$AH$26,IF($E$46=4,Dados!$AJ$26,IF($E$46=5,Dados!$AL$26,IF($E$46=6,Dados!$AN$26,IF($E$46=7,Dados!$AP$26,IF($E$46=8,Dados!$AT$26,0)))))))</f>
        <v>0</v>
      </c>
      <c r="EG18" s="316">
        <f>IF($E$47=2,Dados!$AE$26,IF($E$47=3,Dados!$AG$26,IF($E$47=4,Dados!$AI$26,IF($E$47=5,Dados!$AK$26,IF($E$47=6,Dados!$AM$26,IF($E$47=7,Dados!$AO$26,IF($E$47=8,Dados!$AS$26,0)))))))</f>
        <v>0</v>
      </c>
      <c r="EH18" s="304">
        <f>IF($E$47=2,Dados!$AF$26,IF($E$47=3,Dados!$AH$26,IF($E$47=4,Dados!$AJ$26,IF($E$47=5,Dados!$AL$26,IF($E$47=6,Dados!$AN$26,IF($E$47=7,Dados!$AP$26,IF($E$47=8,Dados!$AT$26,0)))))))</f>
        <v>0</v>
      </c>
      <c r="EJ18" s="316">
        <f>IF($E$52=2,Dados!$AE$26,IF($E$52=3,Dados!$AG$26,IF($E$52=4,Dados!$AI$26,IF($E$52=5,Dados!$AK$26,IF($E$52=6,Dados!$AM$26,IF($E$52=7,Dados!$AO$26,IF($E$52=8,Dados!$AS$26,0)))))))</f>
        <v>0</v>
      </c>
      <c r="EK18" s="304">
        <f>IF($E$52=2,Dados!$AF$26,IF($E$52=3,Dados!$AH$26,IF($E$52=4,Dados!$AJ$26,IF($E$52=5,Dados!$AL$26,IF($E$52=6,Dados!$AN$26,IF($E$52=7,Dados!$AP$26,IF($E$52=8,Dados!$AT$26,0)))))))</f>
        <v>0</v>
      </c>
      <c r="EL18" s="316">
        <f>IF($E$53=2,Dados!$AE$26,IF($E$53=3,Dados!$AG$26,IF($E$53=4,Dados!$AI$26,IF($E$53=5,Dados!$AK$26,IF($E$53=6,Dados!$AM$26,IF($E$53=7,Dados!$AO$26,IF($E$53=8,Dados!$AS$26,0)))))))</f>
        <v>0</v>
      </c>
      <c r="EM18" s="304">
        <f>IF($E$53=2,Dados!$AF$26,IF($E$53=3,Dados!$AH$26,IF($E$53=4,Dados!$AJ$26,IF($E$53=5,Dados!$AL$26,IF($E$53=6,Dados!$AN$26,IF($E$53=7,Dados!$AP$26,IF($E$53=8,Dados!$AT$26,0)))))))</f>
        <v>0</v>
      </c>
      <c r="EN18" s="316">
        <f>IF($E$54=2,Dados!$AE$26,IF($E$54=3,Dados!$AG$26,IF($E$54=4,Dados!$AI$26,IF($E$54=5,Dados!$AK$26,IF($E$54=6,Dados!$AM$26,IF($E$54=7,Dados!$AO$26,IF($E$54=8,Dados!$AS$26,0)))))))</f>
        <v>0</v>
      </c>
      <c r="EO18" s="304">
        <f>IF($E$54=2,Dados!$AF$26,IF($E$54=3,Dados!$AH$26,IF($E$54=4,Dados!$AJ$26,IF($E$54=5,Dados!$AL$26,IF($E$54=6,Dados!$AN$26,IF($E$54=7,Dados!$AP$26,IF($E$54=8,Dados!$AT$26,0)))))))</f>
        <v>0</v>
      </c>
      <c r="EP18" s="316">
        <f>IF($E$55=2,Dados!$AE$26,IF($E$55=3,Dados!$AG$26,IF($E$55=4,Dados!$AI$26,IF($E$55=5,Dados!$AK$26,IF($E$55=6,Dados!$AM$26,IF($E$55=7,Dados!$AO$26,IF($E$55=8,Dados!$AS$26,0)))))))</f>
        <v>0</v>
      </c>
      <c r="EQ18" s="304">
        <f>IF($E$55=2,Dados!$AF$26,IF($E$55=3,Dados!$AH$26,IF($E$55=4,Dados!$AJ$26,IF($E$55=5,Dados!$AL$26,IF($E$55=6,Dados!$AN$26,IF($E$55=7,Dados!$AP$26,IF($E$55=8,Dados!$AT$26,0)))))))</f>
        <v>0</v>
      </c>
      <c r="ER18" s="316">
        <f>IF($E$56=2,Dados!$AE$26,IF($E$56=3,Dados!$AG$26,IF($E$56=4,Dados!$AI$26,IF($E$56=5,Dados!$AK$26,IF($E$56=6,Dados!$AM$26,IF($E$56=7,Dados!$AO$26,IF($E$56=8,Dados!$AS$26,0)))))))</f>
        <v>0</v>
      </c>
      <c r="ES18" s="304">
        <f>IF($E$56=2,Dados!$AF$26,IF($E$56=3,Dados!$AH$26,IF($E$56=4,Dados!$AJ$26,IF($E$56=5,Dados!$AL$26,IF($E$56=6,Dados!$AN$26,IF($E$56=7,Dados!$AP$26,IF($E$56=8,Dados!$AT$26,0)))))))</f>
        <v>0</v>
      </c>
      <c r="EU18" s="316">
        <f>IF($E$61=2,Dados!$AE$26,IF($E$61=3,Dados!$AG$26,IF($E$61=4,Dados!$AI$26,IF($E$61=5,Dados!$AK$26,IF($E$61=6,Dados!$AM$26,IF($E$61=7,Dados!$AO$26,IF($E$61=8,Dados!$AS$26,0)))))))</f>
        <v>0</v>
      </c>
      <c r="EV18" s="304">
        <f>IF($E$61=2,Dados!$AF$26,IF($E$61=3,Dados!$AH$26,IF($E$61=4,Dados!$AJ$26,IF($E$61=5,Dados!$AL$26,IF($E$61=6,Dados!$AN$26,IF($E$61=7,Dados!$AP$26,IF($E$61=8,Dados!$AT$26,0)))))))</f>
        <v>0</v>
      </c>
      <c r="EW18" s="316">
        <f>IF($E$62=2,Dados!$AE$26,IF($E$62=3,Dados!$AG$26,IF($E$62=4,Dados!$AI$26,IF($E$62=5,Dados!$AK$26,IF($E$62=6,Dados!$AM$26,IF($E$62=7,Dados!$AO$26,IF($E$62=8,Dados!$AS$26,0)))))))</f>
        <v>0</v>
      </c>
      <c r="EX18" s="304">
        <f>IF($E$62=2,Dados!$AF$26,IF($E$62=3,Dados!$AH$26,IF($E$62=4,Dados!$AJ$26,IF($E$62=5,Dados!$AL$26,IF($E$62=6,Dados!$AN$26,IF($E$62=7,Dados!$AP$26,IF($E$62=8,Dados!$AT$26,0)))))))</f>
        <v>0</v>
      </c>
      <c r="EY18" s="316">
        <f>IF($E$63=2,Dados!$AE$26,IF($E$63=3,Dados!$AG$26,IF($E$63=4,Dados!$AI$26,IF($E$63=5,Dados!$AK$26,IF($E$63=6,Dados!$AM$26,IF($E$63=7,Dados!$AO$26,IF($E$63=8,Dados!$AS$26,0)))))))</f>
        <v>0</v>
      </c>
      <c r="EZ18" s="304">
        <f>IF($E$63=2,Dados!$AF$26,IF($E$63=3,Dados!$AH$26,IF($E$63=4,Dados!$AJ$26,IF($E$63=5,Dados!$AL$26,IF($E$63=6,Dados!$AN$26,IF($E$63=7,Dados!$AP$26,IF($E$63=8,Dados!$AT$26,0)))))))</f>
        <v>0</v>
      </c>
      <c r="FA18" s="316">
        <f>IF($E$64=2,Dados!$AE$26,IF($E$64=3,Dados!$AG$26,IF($E$64=4,Dados!$AI$26,IF($E$64=5,Dados!$AK$26,IF($E$64=6,Dados!$AM$26,IF($E$64=7,Dados!$AO$26,IF($E$64=8,Dados!$AS$26,0)))))))</f>
        <v>0</v>
      </c>
      <c r="FB18" s="304">
        <f>IF($E$64=2,Dados!$AF$26,IF($E$64=3,Dados!$AH$26,IF($E$64=4,Dados!$AJ$26,IF($E$64=5,Dados!$AL$26,IF($E$64=6,Dados!$AN$26,IF($E$64=7,Dados!$AP$26,IF($E$64=8,Dados!$AT$26,0)))))))</f>
        <v>0</v>
      </c>
      <c r="FC18" s="316">
        <f>IF($E$65=2,Dados!$AE$26,IF($E$65=3,Dados!$AG$26,IF($E$65=4,Dados!$AI$26,IF($E$65=5,Dados!$AK$26,IF($E$65=6,Dados!$AM$26,IF($E$65=7,Dados!$AO$26,IF($E$65=8,Dados!$AS$26,0)))))))</f>
        <v>0</v>
      </c>
      <c r="FD18" s="304">
        <f>IF($E$65=2,Dados!$AF$26,IF($E$65=3,Dados!$AH$26,IF($E$65=4,Dados!$AJ$26,IF($E$65=5,Dados!$AL$26,IF($E$65=6,Dados!$AN$26,IF($E$65=7,Dados!$AP$26,IF($E$65=8,Dados!$AT$26,0)))))))</f>
        <v>0</v>
      </c>
      <c r="FF18" s="316">
        <f>IF($E$70=2,Dados!$AE$26,IF($E$70=3,Dados!$AG$26,IF($E$70=4,Dados!$AI$26,IF($E$70=5,Dados!$AK$26,IF($E$70=6,Dados!$AM$26,IF($E$70=7,Dados!$AO$26,IF($E$70=8,Dados!$AS$26,0)))))))</f>
        <v>0</v>
      </c>
      <c r="FG18" s="304">
        <f>IF($E$70=2,Dados!$AF$26,IF($E$70=3,Dados!$AH$26,IF($E$70=4,Dados!$AJ$26,IF($E$70=5,Dados!$AL$26,IF($E$70=6,Dados!$AN$26,IF($E$70=7,Dados!$AP$26,IF($E$70=8,Dados!$AT$26,0)))))))</f>
        <v>0</v>
      </c>
      <c r="FH18" s="316">
        <f>IF($E$71=2,Dados!$AE$26,IF($E$71=3,Dados!$AG$26,IF($E$71=4,Dados!$AI$26,IF($E$71=5,Dados!$AK$26,IF($E$71=6,Dados!$AM$26,IF($E$71=7,Dados!$AO$26,IF($E$71=8,Dados!$AS$26,0)))))))</f>
        <v>0</v>
      </c>
      <c r="FI18" s="304">
        <f>IF($E$71=2,Dados!$AF$26,IF($E$71=3,Dados!$AH$26,IF($E$71=4,Dados!$AJ$26,IF($E$71=5,Dados!$AL$26,IF($E$71=6,Dados!$AN$26,IF($E$71=7,Dados!$AP$26,IF($E$71=8,Dados!$AT$26,0)))))))</f>
        <v>0</v>
      </c>
      <c r="FJ18" s="316">
        <f>IF($E$72=2,Dados!$AE$26,IF($E$72=3,Dados!$AG$26,IF($E$72=4,Dados!$AI$26,IF($E$72=5,Dados!$AK$26,IF($E$72=6,Dados!$AM$26,IF($E$72=7,Dados!$AO$26,IF($E$72=8,Dados!$AS$26,0)))))))</f>
        <v>0</v>
      </c>
      <c r="FK18" s="304">
        <f>IF($E$72=2,Dados!$AF$26,IF($E$72=3,Dados!$AH$26,IF($E$72=4,Dados!$AJ$26,IF($E$72=5,Dados!$AL$26,IF($E$72=6,Dados!$AN$26,IF($E$72=7,Dados!$AP$26,IF($E$72=8,Dados!$AT$26,0)))))))</f>
        <v>0</v>
      </c>
      <c r="FL18" s="316">
        <f>IF($E$73=2,Dados!$AE$26,IF($E$73=3,Dados!$AG$26,IF($E$73=4,Dados!$AI$26,IF($E$73=5,Dados!$AK$26,IF($E$73=6,Dados!$AM$26,IF($E$73=7,Dados!$AO$26,IF($E$73=8,Dados!$AS$26,0)))))))</f>
        <v>0</v>
      </c>
      <c r="FM18" s="304">
        <f>IF($E$73=2,Dados!$AF$26,IF($E$73=3,Dados!$AH$26,IF($E$73=4,Dados!$AJ$26,IF($E$73=5,Dados!$AL$26,IF($E$73=6,Dados!$AN$26,IF($E$73=7,Dados!$AP$26,IF($E$73=8,Dados!$AT$26,0)))))))</f>
        <v>0</v>
      </c>
      <c r="FN18" s="316">
        <f>IF($E$74=2,Dados!$AE$26,IF($E$74=3,Dados!$AG$26,IF($E$74=4,Dados!$AI$26,IF($E$74=5,Dados!$AK$26,IF($E$74=6,Dados!$AM$26,IF($E$74=7,Dados!$AO$26,IF($E$74=8,Dados!$AS$26,0)))))))</f>
        <v>0</v>
      </c>
      <c r="FO18" s="304">
        <f>IF($E$74=2,Dados!$AF$26,IF($E$74=3,Dados!$AH$26,IF($E$74=4,Dados!$AJ$26,IF($E$74=5,Dados!$AL$26,IF($E$74=6,Dados!$AN$26,IF($E$74=7,Dados!$AP$26,IF($E$74=8,Dados!$AT$26,0)))))))</f>
        <v>0</v>
      </c>
      <c r="FQ18" s="316">
        <f>IF($E$79=2,Dados!$AE$26,IF($E$79=3,Dados!$AG$26,IF($E$79=4,Dados!$AI$26,IF($E$79=5,Dados!$AK$26,IF($E$79=6,Dados!$AM$26,IF($E$79=7,Dados!$AO$26,IF($E$79=8,Dados!$AS$26,0)))))))</f>
        <v>0</v>
      </c>
      <c r="FR18" s="304">
        <f>IF($E$79=2,Dados!$AF$26,IF($E$79=3,Dados!$AH$26,IF($E$79=4,Dados!$AJ$26,IF($E$79=5,Dados!$AL$26,IF($E$79=6,Dados!$AN$26,IF($E$79=7,Dados!$AP$26,IF($E$79=8,Dados!$AT$26,0)))))))</f>
        <v>0</v>
      </c>
      <c r="FS18" s="316">
        <f>IF($E$80=2,Dados!$AE$26,IF($E$80=3,Dados!$AG$26,IF($E$80=4,Dados!$AI$26,IF($E$80=5,Dados!$AK$26,IF($E$80=6,Dados!$AM$26,IF($E$80=7,Dados!$AO$26,IF($E$80=8,Dados!$AS$26,0)))))))</f>
        <v>0</v>
      </c>
      <c r="FT18" s="304">
        <f>IF($E$80=2,Dados!$AF$26,IF($E$80=3,Dados!$AH$26,IF($E$80=4,Dados!$AJ$26,IF($E$80=5,Dados!$AL$26,IF($E$80=6,Dados!$AN$26,IF($E$80=7,Dados!$AP$26,IF($E$80=8,Dados!$AT$26,0)))))))</f>
        <v>0</v>
      </c>
      <c r="FU18" s="316">
        <f>IF($E$81=2,Dados!$AE$26,IF($E$81=3,Dados!$AG$26,IF($E$81=4,Dados!$AI$26,IF($E$81=5,Dados!$AK$26,IF($E$81=6,Dados!$AM$26,IF($E$81=7,Dados!$AO$26,IF($E$81=8,Dados!$AS$26,0)))))))</f>
        <v>0</v>
      </c>
      <c r="FV18" s="304">
        <f>IF($E$81=2,Dados!$AF$26,IF($E$81=3,Dados!$AH$26,IF($E$81=4,Dados!$AJ$26,IF($E$81=5,Dados!$AL$26,IF($E$81=6,Dados!$AN$26,IF($E$81=7,Dados!$AP$26,IF($E$81=8,Dados!$AT$26,0)))))))</f>
        <v>0</v>
      </c>
      <c r="FW18" s="316">
        <f>IF($E$82=2,Dados!$AE$26,IF($E$82=3,Dados!$AG$26,IF($E$82=4,Dados!$AI$26,IF($E$82=5,Dados!$AK$26,IF($E$82=6,Dados!$AM$26,IF($E$82=7,Dados!$AO$26,IF($E$82=8,Dados!$AS$26,0)))))))</f>
        <v>0</v>
      </c>
      <c r="FX18" s="304">
        <f>IF($E$82=2,Dados!$AF$26,IF($E$82=3,Dados!$AH$26,IF($E$82=4,Dados!$AJ$26,IF($E$82=5,Dados!$AL$26,IF($E$82=6,Dados!$AN$26,IF($E$82=7,Dados!$AP$26,IF($E$82=8,Dados!$AT$26,0)))))))</f>
        <v>0</v>
      </c>
      <c r="FY18" s="316">
        <f>IF($E$83=2,Dados!$AE$26,IF($E$83=3,Dados!$AG$26,IF($E$83=4,Dados!$AI$26,IF($E$83=5,Dados!$AK$26,IF($E$83=6,Dados!$AM$26,IF($E$83=7,Dados!$AO$26,IF($E$83=8,Dados!$AS$26,0)))))))</f>
        <v>0</v>
      </c>
      <c r="FZ18" s="304">
        <f>IF($E$83=2,Dados!$AF$26,IF($E$83=3,Dados!$AH$26,IF($E$83=4,Dados!$AJ$26,IF($E$83=5,Dados!$AL$26,IF($E$83=6,Dados!$AN$26,IF($E$83=7,Dados!$AP$26,IF($E$83=8,Dados!$AT$26,0)))))))</f>
        <v>0</v>
      </c>
      <c r="GB18" s="316">
        <f>IF($E$88=2,Dados!$AE$26,IF($E$88=3,Dados!$AG$26,IF($E$88=4,Dados!$AI$26,IF($E$88=5,Dados!$AK$26,IF($E$88=6,Dados!$AM$26,IF($E$88=7,Dados!$AO$26,IF($E$88=8,Dados!$AS$26,0)))))))</f>
        <v>0</v>
      </c>
      <c r="GC18" s="304">
        <f>IF($E$88=2,Dados!$AF$26,IF($E$88=3,Dados!$AH$26,IF($E$88=4,Dados!$AJ$26,IF($E$88=5,Dados!$AL$26,IF($E$88=6,Dados!$AN$26,IF($E$88=7,Dados!$AP$26,IF($E$88=8,Dados!$AT$26,0)))))))</f>
        <v>0</v>
      </c>
      <c r="GD18" s="316">
        <f>IF($E$89=2,Dados!$AE$26,IF($E$89=3,Dados!$AG$26,IF($E$89=4,Dados!$AI$26,IF($E$89=5,Dados!$AK$26,IF($E$89=6,Dados!$AM$26,IF($E$89=7,Dados!$AO$26,IF($E$89=8,Dados!$AS$26,0)))))))</f>
        <v>0</v>
      </c>
      <c r="GE18" s="304">
        <f>IF($E$89=2,Dados!$AF$26,IF($E$89=3,Dados!$AH$26,IF($E$89=4,Dados!$AJ$26,IF($E$89=5,Dados!$AL$26,IF($E$89=6,Dados!$AN$26,IF($E$89=7,Dados!$AP$26,IF($E$89=8,Dados!$AT$26,0)))))))</f>
        <v>0</v>
      </c>
      <c r="GF18" s="316">
        <f>IF($E$90=2,Dados!$AE$26,IF($E$90=3,Dados!$AG$26,IF($E$90=4,Dados!$AI$26,IF($E$90=5,Dados!$AK$26,IF($E$90=6,Dados!$AM$26,IF($E$90=7,Dados!$AO$26,IF($E$90=8,Dados!$AS$26,0)))))))</f>
        <v>0</v>
      </c>
      <c r="GG18" s="304">
        <f>IF($E$90=2,Dados!$AF$26,IF($E$90=3,Dados!$AH$26,IF($E$90=4,Dados!$AJ$26,IF($E$90=5,Dados!$AL$26,IF($E$90=6,Dados!$AN$26,IF($E$90=7,Dados!$AP$26,IF($E$90=8,Dados!$AT$26,0)))))))</f>
        <v>0</v>
      </c>
      <c r="GH18" s="316">
        <f>IF($E$91=2,Dados!$AE$26,IF($E$91=3,Dados!$AG$26,IF($E$91=4,Dados!$AI$26,IF($E$91=5,Dados!$AK$26,IF($E$91=6,Dados!$AM$26,IF($E$91=7,Dados!$AO$26,IF($E$91=8,Dados!$AS$26,0)))))))</f>
        <v>0</v>
      </c>
      <c r="GI18" s="304">
        <f>IF($E$91=2,Dados!$AF$26,IF($E$91=3,Dados!$AH$26,IF($E$91=4,Dados!$AJ$26,IF($E$91=5,Dados!$AL$26,IF($E$91=6,Dados!$AN$26,IF($E$91=7,Dados!$AP$26,IF($E$91=8,Dados!$AT$26,0)))))))</f>
        <v>0</v>
      </c>
      <c r="GJ18" s="316">
        <f>IF($E$92=2,Dados!$AE$26,IF($E$92=3,Dados!$AG$26,IF($E$92=4,Dados!$AI$26,IF($E$92=5,Dados!$AK$26,IF($E$92=6,Dados!$AM$26,IF($E$92=7,Dados!$AO$26,IF($E$92=8,Dados!$AS$26,0)))))))</f>
        <v>0</v>
      </c>
      <c r="GK18" s="304">
        <f>IF($E$92=2,Dados!$AF$26,IF($E$92=3,Dados!$AH$26,IF($E$92=4,Dados!$AJ$26,IF($E$92=5,Dados!$AL$26,IF($E$92=6,Dados!$AN$26,IF($E$92=7,Dados!$AP$26,IF($E$92=8,Dados!$AT$26,0)))))))</f>
        <v>0</v>
      </c>
      <c r="GM18" s="316">
        <f>IF($E$97=2,Dados!$AE$26,IF($E$97=3,Dados!$AG$26,IF($E$97=4,Dados!$AI$26,IF($E$97=5,Dados!$AK$26,IF($E$97=6,Dados!$AM$26,IF($E$97=7,Dados!$AO$26,IF($E$97=8,Dados!$AS$26,0)))))))</f>
        <v>0</v>
      </c>
      <c r="GN18" s="304">
        <f>IF($E$97=2,Dados!$AF$26,IF($E$97=3,Dados!$AH$26,IF($E$97=4,Dados!$AJ$26,IF($E$97=5,Dados!$AL$26,IF($E$97=6,Dados!$AN$26,IF($E$97=7,Dados!$AP$26,IF($E$97=8,Dados!$AT$26,0)))))))</f>
        <v>0</v>
      </c>
      <c r="GO18" s="316">
        <f>IF($E$98=2,Dados!$AE$26,IF($E$98=3,Dados!$AG$26,IF($E$98=4,Dados!$AI$26,IF($E$98=5,Dados!$AK$26,IF($E$98=6,Dados!$AM$26,IF($E$98=7,Dados!$AO$26,IF($E$98=8,Dados!$AS$26,0)))))))</f>
        <v>0</v>
      </c>
      <c r="GP18" s="304">
        <f>IF($E$98=2,Dados!$AF$26,IF($E$98=3,Dados!$AH$26,IF($E$98=4,Dados!$AJ$26,IF($E$98=5,Dados!$AL$26,IF($E$98=6,Dados!$AN$26,IF($E$98=7,Dados!$AP$26,IF($E$98=8,Dados!$AT$26,0)))))))</f>
        <v>0</v>
      </c>
      <c r="GQ18" s="316">
        <f>IF($E$99=2,Dados!$AE$26,IF($E$99=3,Dados!$AG$26,IF($E$99=4,Dados!$AI$26,IF($E$99=5,Dados!$AK$26,IF($E$99=6,Dados!$AM$26,IF($E$99=7,Dados!$AO$26,IF($E$99=8,Dados!$AS$26,0)))))))</f>
        <v>0</v>
      </c>
      <c r="GR18" s="304">
        <f>IF($E$99=2,Dados!$AF$26,IF($E$99=3,Dados!$AH$26,IF($E$99=4,Dados!$AJ$26,IF($E$99=5,Dados!$AL$26,IF($E$99=6,Dados!$AN$26,IF($E$99=7,Dados!$AP$26,IF($E$99=8,Dados!$AT$26,0)))))))</f>
        <v>0</v>
      </c>
      <c r="GS18" s="316">
        <f>IF($E$100=2,Dados!$AE$26,IF($E$100=3,Dados!$AG$26,IF($E$100=4,Dados!$AI$26,IF($E$100=5,Dados!$AK$26,IF($E$100=6,Dados!$AM$26,IF($E$100=7,Dados!$AO$26,IF($E$100=8,Dados!$AS$26,0)))))))</f>
        <v>0</v>
      </c>
      <c r="GT18" s="304">
        <f>IF($E$100=2,Dados!$AF$26,IF($E$100=3,Dados!$AH$26,IF($E$100=4,Dados!$AJ$26,IF($E$100=5,Dados!$AL$26,IF($E$100=6,Dados!$AN$26,IF($E$100=7,Dados!$AP$26,IF($E$100=8,Dados!$AT$26,0)))))))</f>
        <v>0</v>
      </c>
      <c r="GU18" s="316">
        <f>IF($E$101=2,Dados!$AE$26,IF($E$101=3,Dados!$AG$26,IF($E$101=4,Dados!$AI$26,IF($E$101=5,Dados!$AK$26,IF($E$101=6,Dados!$AM$26,IF($E$101=7,Dados!$AO$26,IF($E$101=8,Dados!$AS$26,0)))))))</f>
        <v>0</v>
      </c>
      <c r="GV18" s="304">
        <f>IF($E$101=2,Dados!$AF$26,IF($E$101=3,Dados!$AH$26,IF($E$101=4,Dados!$AJ$26,IF($E$101=5,Dados!$AL$26,IF($E$101=6,Dados!$AN$26,IF($E$101=7,Dados!$AP$26,IF($E$101=8,Dados!$AT$26,0)))))))</f>
        <v>0</v>
      </c>
      <c r="GX18" s="316">
        <f>IF($E$106=2,Dados!$AE$26,IF($E$106=3,Dados!$AG$26,IF($E$106=4,Dados!$AI$26,IF($E$106=5,Dados!$AK$26,IF($E$106=6,Dados!$AM$26,IF($E$106=7,Dados!$AO$26,IF($E$106=8,Dados!$AS$26,0)))))))</f>
        <v>0</v>
      </c>
      <c r="GY18" s="304">
        <f>IF($E$106=2,Dados!$AF$26,IF($E$106=3,Dados!$AH$26,IF($E$106=4,Dados!$AJ$26,IF($E$106=5,Dados!$AL$26,IF($E$106=6,Dados!$AN$26,IF($E$106=7,Dados!$AP$26,IF($E$106=8,Dados!$AT$26,0)))))))</f>
        <v>0</v>
      </c>
      <c r="GZ18" s="316">
        <f>IF($E$107=2,Dados!$AE$26,IF($E$107=3,Dados!$AG$26,IF($E$107=4,Dados!$AI$26,IF($E$107=5,Dados!$AK$26,IF($E$107=6,Dados!$AM$26,IF($E$107=7,Dados!$AO$26,IF($E$107=8,Dados!$AS$26,0)))))))</f>
        <v>0</v>
      </c>
      <c r="HA18" s="304">
        <f>IF($E$107=2,Dados!$AF$26,IF($E$107=3,Dados!$AH$26,IF($E$107=4,Dados!$AJ$26,IF($E$107=5,Dados!$AL$26,IF($E$107=6,Dados!$AN$26,IF($E$107=7,Dados!$AP$26,IF($E$107=8,Dados!$AT$26,0)))))))</f>
        <v>0</v>
      </c>
      <c r="HB18" s="316">
        <f>IF($E$108=2,Dados!$AE$26,IF($E$108=3,Dados!$AG$26,IF($E$108=4,Dados!$AI$26,IF($E$108=5,Dados!$AK$26,IF($E$108=6,Dados!$AM$26,IF($E$108=7,Dados!$AO$26,IF($E$108=8,Dados!$AS$26,0)))))))</f>
        <v>0</v>
      </c>
      <c r="HC18" s="304">
        <f>IF($E$108=2,Dados!$AF$26,IF($E$108=3,Dados!$AH$26,IF($E$108=4,Dados!$AJ$26,IF($E$108=5,Dados!$AL$26,IF($E$108=6,Dados!$AN$26,IF($E$108=7,Dados!$AP$26,IF($E$108=8,Dados!$AT$26,0)))))))</f>
        <v>0</v>
      </c>
      <c r="HD18" s="316">
        <f>IF($E$109=2,Dados!$AE$26,IF($E$109=3,Dados!$AG$26,IF($E$109=4,Dados!$AI$26,IF($E$109=5,Dados!$AK$26,IF($E$109=6,Dados!$AM$26,IF($E$109=7,Dados!$AO$26,IF($E$109=8,Dados!$AS$26,0)))))))</f>
        <v>0</v>
      </c>
      <c r="HE18" s="304">
        <f>IF($E$109=2,Dados!$AF$26,IF($E$109=3,Dados!$AH$26,IF($E$109=4,Dados!$AJ$26,IF($E$109=5,Dados!$AL$26,IF($E$109=6,Dados!$AN$26,IF($E$109=7,Dados!$AP$26,IF($E$109=8,Dados!$AT$26,0)))))))</f>
        <v>0</v>
      </c>
      <c r="HF18" s="316">
        <f>IF($E$110=2,Dados!$AE$26,IF($E$110=3,Dados!$AG$26,IF($E$110=4,Dados!$AI$26,IF($E$110=5,Dados!$AK$26,IF($E$110=6,Dados!$AM$26,IF($E$110=7,Dados!$AO$26,IF($E$110=8,Dados!$AS$26,0)))))))</f>
        <v>0</v>
      </c>
      <c r="HG18" s="304">
        <f>IF($E$110=2,Dados!$AF$26,IF($E$110=3,Dados!$AH$26,IF($E$110=4,Dados!$AJ$26,IF($E$110=5,Dados!$AL$26,IF($E$110=6,Dados!$AN$26,IF($E$110=7,Dados!$AP$26,IF($E$110=8,Dados!$AT$26,0)))))))</f>
        <v>0</v>
      </c>
    </row>
    <row r="19" spans="3:215" ht="15.75" customHeight="1" x14ac:dyDescent="0.2">
      <c r="C19" s="156">
        <f>IF(R19=1,0,S19)</f>
        <v>0</v>
      </c>
      <c r="D19" s="2721"/>
      <c r="E19" s="180">
        <v>2</v>
      </c>
      <c r="F19" s="2718">
        <v>5</v>
      </c>
      <c r="G19" s="2719"/>
      <c r="H19" s="284" t="s">
        <v>1394</v>
      </c>
      <c r="I19" s="229">
        <v>1</v>
      </c>
      <c r="J19" s="314">
        <v>1</v>
      </c>
      <c r="K19" s="157">
        <v>0.8</v>
      </c>
      <c r="L19" s="305"/>
      <c r="M19" s="127">
        <f>IF(I19=1,K19,IF(I19=2,K19/J19,IF(I19=3,K19*L19,0)))</f>
        <v>0.8</v>
      </c>
      <c r="N19" s="128">
        <v>4</v>
      </c>
      <c r="O19" s="30">
        <v>1</v>
      </c>
      <c r="P19" s="837">
        <f>IF(N19=1,0,VLOOKUP(N19,Rebanho!$AN$45:$AV$72,4)*O19)</f>
        <v>782.75555555555559</v>
      </c>
      <c r="Q19" s="838">
        <f>VLOOKUP(N19,Rebanho!$AN$45:$AV$72,7)*O19</f>
        <v>242654.22222222222</v>
      </c>
      <c r="R19" s="3">
        <v>1</v>
      </c>
      <c r="S19" s="29"/>
      <c r="T19" s="102">
        <f>VLOOKUP(R19,'Mão-de-obra'!$CJ$10:$CL$29,3)</f>
        <v>0</v>
      </c>
      <c r="U19" s="102">
        <f>T19*S19</f>
        <v>0</v>
      </c>
      <c r="V19" s="127">
        <f>IF(I19=1,M19*P19,IF(I19=2,M19*Q19*L19,IF(I19=3,M19,0)))</f>
        <v>626.20444444444456</v>
      </c>
      <c r="W19" s="129">
        <f>U19+V19</f>
        <v>626.20444444444456</v>
      </c>
      <c r="X19" s="93">
        <v>1</v>
      </c>
      <c r="Y19" s="93">
        <v>1</v>
      </c>
      <c r="Z19" s="127">
        <f t="shared" si="5"/>
        <v>0.80000000000000016</v>
      </c>
      <c r="AE19" s="1160" t="str">
        <f>Rebanho!C61</f>
        <v>Vacas solteiras secas</v>
      </c>
      <c r="AF19" s="1195">
        <f>IF(Rebanho!E61&gt;0,1,0)</f>
        <v>0</v>
      </c>
      <c r="AG19" s="1193">
        <f>Rebanho!E61</f>
        <v>0</v>
      </c>
      <c r="AH19" s="1336">
        <f>Rebanho!AS58</f>
        <v>0</v>
      </c>
      <c r="AI19" s="1178">
        <f>((SUMIFS($Z$7:$Z$110,$E$7:$E$110,"=2",$N$7:$N$110,"=14")+SUMIFS($Z$7:$Z$110,$E$7:$E$110,"=2",$N$7:$N$110,"=19")))*($AF$19)</f>
        <v>0</v>
      </c>
      <c r="AJ19" s="1178">
        <f>((SUMIFS($Z$7:$Z$110,$E$7:$E$110,"=3",$N$7:$N$110,"=14")+SUMIFS($Z$7:$Z$110,$E$7:$E$110,"=3",$N$7:$N$110,"=19")))*($AF$19)</f>
        <v>0</v>
      </c>
      <c r="AK19" s="1178">
        <f>((SUMIFS($Z$7:$Z$110,$E$7:$E$110,"=4",$N$7:$N$110,"=14")+SUMIFS($Z$7:$Z$110,$E$7:$E$110,"=4",$N$7:$N$110,"=19")))*($AF$19)</f>
        <v>0</v>
      </c>
      <c r="AL19" s="1178">
        <f>((SUMIFS($Z$7:$Z$110,$E$7:$E$110,"=5",$N$7:$N$110,"=14")+SUMIFS($Z$7:$Z$110,$E$7:$E$110,"=5",$N$7:$N$110,"=19")))*($AF$19)</f>
        <v>0</v>
      </c>
      <c r="AM19" s="1178">
        <f>((SUMIFS($Z$7:$Z$110,$E$7:$E$110,"=6",$N$7:$N$110,"=14")+SUMIFS($Z$7:$Z$110,$E$7:$E$110,"=6",$N$7:$N$110,"=19")))*($AF$19)</f>
        <v>0</v>
      </c>
      <c r="AN19" s="1178">
        <f>((SUMIFS($Z$7:$Z$110,$E$7:$E$110,"=7",$N$7:$N$110,"=14")+SUMIFS($Z$7:$Z$110,$E$7:$E$110,"=7",$N$7:$N$110,"=19")))*($AF$19)</f>
        <v>0</v>
      </c>
      <c r="AO19" s="1208">
        <f>((SUMIFS($Z$7:$Z$110,$E$7:$E$110,"=8",$N$7:$N$110,"=14")+SUMIFS($Z$7:$Z$110,$E$7:$E$110,"=8",$N$7:$N$110,"=19")))*($AF$19)</f>
        <v>0</v>
      </c>
      <c r="AP19" s="1208">
        <f t="shared" si="3"/>
        <v>0</v>
      </c>
      <c r="AQ19" s="1184">
        <f t="shared" si="2"/>
        <v>0</v>
      </c>
      <c r="AW19" s="3" t="s">
        <v>528</v>
      </c>
      <c r="AX19" s="94">
        <f>IF($E16=5,$V16,0)</f>
        <v>0</v>
      </c>
      <c r="AY19" s="94">
        <f>IF($E17=5,$V17,0)</f>
        <v>0</v>
      </c>
      <c r="AZ19" s="94">
        <f>IF($E18=5,$V18,0)</f>
        <v>0</v>
      </c>
      <c r="BA19" s="94">
        <f>IF($E19=5,$V19,0)</f>
        <v>0</v>
      </c>
      <c r="BB19" s="94">
        <f>IF($E20=5,$V20,0)</f>
        <v>0</v>
      </c>
      <c r="BC19" s="200">
        <f t="shared" si="4"/>
        <v>0</v>
      </c>
      <c r="CF19" s="93">
        <v>14</v>
      </c>
      <c r="CG19" s="316">
        <f>IF($E$7=2,Dados!$AE$27,IF($E$7=3,Dados!$AG$27,IF($E$7=4,Dados!$AI$27,IF($E$7=5,Dados!$AK$27,IF($E$7=6,Dados!$AM$27,IF($E$7=7,Dados!$AO$27,IF($E$7=8,Dados!$AS$27,0)))))))</f>
        <v>0</v>
      </c>
      <c r="CH19" s="304">
        <f>IF($E$7=2,Dados!$AF$27,IF($E$7=3,Dados!$AH$27,IF($E$7=4,Dados!$AJ$27,IF($E$7=5,Dados!$AL$27,IF($E$7=6,Dados!$AN$27,IF($E$7=7,Dados!$AP$27,IF($E$7=8,Dados!$AT$27,0)))))))</f>
        <v>0</v>
      </c>
      <c r="CI19" s="316">
        <f>IF($E$8=2,Dados!$AE$27,IF($E$8=3,Dados!$AG$27,IF($E$8=4,Dados!$AI$27,IF($E$8=5,Dados!$AK$27,IF($E$8=6,Dados!$AM$27,IF($E$8=7,Dados!$AO$27,IF($E$8=8,Dados!$AS$27,0)))))))</f>
        <v>0</v>
      </c>
      <c r="CJ19" s="304">
        <f>IF($E$8=2,Dados!$AF$27,IF($E$8=3,Dados!$AH$27,IF($E$8=4,Dados!$AJ$27,IF($E$8=5,Dados!$AL$27,IF($E$8=6,Dados!$AN$27,IF($E$8=7,Dados!$AP$27,IF($E$8=8,Dados!$AT$27,0)))))))</f>
        <v>0</v>
      </c>
      <c r="CK19" s="316">
        <f>IF($E$9=2,Dados!$AE$27,IF($E$9=3,Dados!$AG$27,IF($E$9=4,Dados!$AI$27,IF($E$9=5,Dados!$AK$27,IF($E$9=6,Dados!$AM$27,IF($E$9=7,Dados!$AO$27,IF($E$9=8,Dados!$AS$27,0)))))))</f>
        <v>0</v>
      </c>
      <c r="CL19" s="304">
        <f>IF($E$9=2,Dados!$AF$27,IF($E$9=3,Dados!$AH$27,IF($E$9=4,Dados!$AJ$27,IF($E$9=5,Dados!$AL$27,IF($E$9=6,Dados!$AN$27,IF($E$9=7,Dados!$AP$27,IF($E$9=8,Dados!$AT$27,0)))))))</f>
        <v>0</v>
      </c>
      <c r="CM19" s="316">
        <f>IF($E$10=2,Dados!$AE$27,IF($E$10=3,Dados!$AG$27,IF($E$10=4,Dados!$AI$27,IF($E$10=5,Dados!$AK$27,IF($E$10=6,Dados!$AM$27,IF($E$10=7,Dados!$AO$27,IF($E$10=8,Dados!$AS$27,0)))))))</f>
        <v>0</v>
      </c>
      <c r="CN19" s="304">
        <f>IF($E$10=2,Dados!$AF$27,IF($E$10=3,Dados!$AH$27,IF($E$10=4,Dados!$AJ$27,IF($E$10=5,Dados!$AL$27,IF($E$10=6,Dados!$AN$27,IF($E$10=7,Dados!$AP$27,IF($E$10=8,Dados!$AT$27,0)))))))</f>
        <v>0</v>
      </c>
      <c r="CO19" s="316">
        <f>IF($E$11=2,Dados!$AE$27,IF($E$11=3,Dados!$AG$27,IF($E$11=4,Dados!$AI$27,IF($E$11=5,Dados!$AK$27,IF($E$11=6,Dados!$AM$27,IF($E$11=7,Dados!$AO$27,IF($E$11=8,Dados!$AS$27,0)))))))</f>
        <v>0</v>
      </c>
      <c r="CP19" s="304">
        <f>IF($E$11=2,Dados!$AF$27,IF($E$11=3,Dados!$AH$27,IF($E$11=4,Dados!$AJ$27,IF($E$11=5,Dados!$AL$27,IF($E$11=6,Dados!$AN$27,IF($E$11=7,Dados!$AP$27,IF($E$11=8,Dados!$AT$27,0)))))))</f>
        <v>0</v>
      </c>
      <c r="CR19" s="316">
        <f>IF($E$16=2,Dados!$AE$27,IF($E$16=3,Dados!$AG$27,IF($E$16=4,Dados!$AI$27,IF($E$16=5,Dados!$AK$27,IF($E$16=6,Dados!$AM$27,IF($E$16=7,Dados!$AO$27,IF($E$16=8,Dados!$AS$27,0)))))))</f>
        <v>0</v>
      </c>
      <c r="CS19" s="304">
        <f>IF($E$16=2,Dados!$AF$27,IF($E$16=3,Dados!$AH$27,IF($E$16=4,Dados!$AJ$27,IF($E$16=5,Dados!$AL$27,IF($E$16=6,Dados!$AN$27,IF($E$16=7,Dados!$AP$27,IF($E$16=8,Dados!$AT$27,0)))))))</f>
        <v>0</v>
      </c>
      <c r="CT19" s="316">
        <f>IF($E$17=2,Dados!$AE$27,IF($E$17=3,Dados!$AG$27,IF($E$17=4,Dados!$AI$27,IF($E$17=5,Dados!$AK$27,IF($E$17=6,Dados!$AM$27,IF($E$17=7,Dados!$AO$27,IF($E$17=8,Dados!$AS$27,0)))))))</f>
        <v>0</v>
      </c>
      <c r="CU19" s="304">
        <f>IF($E$17=2,Dados!$AF$27,IF($E$17=3,Dados!$AH$27,IF($E$17=4,Dados!$AJ$27,IF($E$17=5,Dados!$AL$27,IF($E$17=6,Dados!$AN$27,IF($E$17=7,Dados!$AP$27,IF($E$17=8,Dados!$AT$27,0)))))))</f>
        <v>0</v>
      </c>
      <c r="CV19" s="316">
        <f>IF($E$18=2,Dados!$AE$27,IF($E$18=3,Dados!$AG$27,IF($E$18=4,Dados!$AI$27,IF($E$18=5,Dados!$AK$27,IF($E$18=6,Dados!$AM$27,IF($E$18=7,Dados!$AO$27,IF($E$18=8,Dados!$AS$27,0)))))))</f>
        <v>0</v>
      </c>
      <c r="CW19" s="304">
        <f>IF($E$18=2,Dados!$AF$27,IF($E$18=3,Dados!$AH$27,IF($E$18=4,Dados!$AJ$27,IF($E$18=5,Dados!$AL$27,IF($E$18=6,Dados!$AN$27,IF($E$18=7,Dados!$AP$27,IF($E$18=8,Dados!$AT$27,0)))))))</f>
        <v>0</v>
      </c>
      <c r="CX19" s="316">
        <f>IF($E$19=2,Dados!$AE$27,IF($E$19=3,Dados!$AG$27,IF($E$19=4,Dados!$AI$27,IF($E$19=5,Dados!$AK$27,IF($E$19=6,Dados!$AM$27,IF($E$19=7,Dados!$AO$27,IF($E$19=8,Dados!$AS$27,0)))))))</f>
        <v>0</v>
      </c>
      <c r="CY19" s="304">
        <f>IF($E$19=2,Dados!$AF$27,IF($E$19=3,Dados!$AH$27,IF($E$19=4,Dados!$AJ$27,IF($E$19=5,Dados!$AL$27,IF($E$19=6,Dados!$AN$27,IF($E$19=7,Dados!$AP$27,IF($E$19=8,Dados!$AT$27,0)))))))</f>
        <v>0</v>
      </c>
      <c r="CZ19" s="316">
        <f>IF($E$20=2,Dados!$AE$27,IF($E$20=3,Dados!$AG$27,IF($E$20=4,Dados!$AI$27,IF($E$20=5,Dados!$AK$27,IF($E$20=6,Dados!$AM$27,IF($E$20=7,Dados!$AO$27,IF($E$20=8,Dados!$AS$27,0)))))))</f>
        <v>0</v>
      </c>
      <c r="DA19" s="304">
        <f>IF($E$20=2,Dados!$AF$27,IF($E$20=3,Dados!$AH$27,IF($E$20=4,Dados!$AJ$27,IF($E$20=5,Dados!$AL$27,IF($E$20=6,Dados!$AN$27,IF($E$20=7,Dados!$AP$27,IF($E$20=8,Dados!$AT$27,0)))))))</f>
        <v>0</v>
      </c>
      <c r="DC19" s="316">
        <f>IF($E$25=2,Dados!$AE$27,IF($E$25=3,Dados!$AG$27,IF($E$25=4,Dados!$AI$27,IF($E$25=5,Dados!$AK$27,IF($E$25=6,Dados!$AM$27,IF($E$25=7,Dados!$AO$27,IF($E$25=8,Dados!$AS$27,0)))))))</f>
        <v>0</v>
      </c>
      <c r="DD19" s="304">
        <f>IF($E$25=2,Dados!$AF$27,IF($E$25=3,Dados!$AH$27,IF($E$25=4,Dados!$AJ$27,IF($E$25=5,Dados!$AL$27,IF($E$25=6,Dados!$AN$27,IF($E$25=7,Dados!$AP$27,IF($E$25=8,Dados!$AT$27,0)))))))</f>
        <v>0</v>
      </c>
      <c r="DE19" s="316">
        <f>IF($E$26=2,Dados!$AE$27,IF($E$26=3,Dados!$AG$27,IF($E$26=4,Dados!$AI$27,IF($E$26=5,Dados!$AK$27,IF($E$26=6,Dados!$AM$27,IF($E$26=7,Dados!$AO$27,IF($E$26=8,Dados!$AS$27,0)))))))</f>
        <v>0</v>
      </c>
      <c r="DF19" s="304">
        <f>IF($E$26=2,Dados!$AF$27,IF($E$26=3,Dados!$AH$27,IF($E$26=4,Dados!$AJ$27,IF($E$26=5,Dados!$AL$27,IF($E$26=6,Dados!$AN$27,IF($E$26=7,Dados!$AP$27,IF($E$26=8,Dados!$AT$27,0)))))))</f>
        <v>0</v>
      </c>
      <c r="DG19" s="316">
        <f>IF($E$27=2,Dados!$AE$27,IF($E$27=3,Dados!$AG$27,IF($E$27=4,Dados!$AI$27,IF($E$27=5,Dados!$AK$27,IF($E$27=6,Dados!$AM$27,IF($E$27=7,Dados!$AO$27,IF($E$27=8,Dados!$AS$27,0)))))))</f>
        <v>0</v>
      </c>
      <c r="DH19" s="304">
        <f>IF($E$27=2,Dados!$AF$27,IF($E$27=3,Dados!$AH$27,IF($E$27=4,Dados!$AJ$27,IF($E$27=5,Dados!$AL$27,IF($E$27=6,Dados!$AN$27,IF($E$27=7,Dados!$AP$27,IF($E$27=8,Dados!$AT$27,0)))))))</f>
        <v>0</v>
      </c>
      <c r="DI19" s="316">
        <f>IF($E$28=2,Dados!$AE$27,IF($E$28=3,Dados!$AG$27,IF($E$28=4,Dados!$AI$27,IF($E$28=5,Dados!$AK$27,IF($E$28=6,Dados!$AM$27,IF($E$28=7,Dados!$AO$27,IF($E$28=8,Dados!$AS$27,0)))))))</f>
        <v>0</v>
      </c>
      <c r="DJ19" s="304">
        <f>IF($E$28=2,Dados!$AF$27,IF($E$28=3,Dados!$AH$27,IF($E$28=4,Dados!$AJ$27,IF($E$28=5,Dados!$AL$27,IF($E$28=6,Dados!$AN$27,IF($E$28=7,Dados!$AP$27,IF($E$28=8,Dados!$AT$27,0)))))))</f>
        <v>0</v>
      </c>
      <c r="DK19" s="316">
        <f>IF($E$29=2,Dados!$AE$27,IF($E$29=3,Dados!$AG$27,IF($E$29=4,Dados!$AI$27,IF($E$29=5,Dados!$AK$27,IF($E$29=6,Dados!$AM$27,IF($E$29=7,Dados!$AO$27,IF($E$29=8,Dados!$AS$27,0)))))))</f>
        <v>0</v>
      </c>
      <c r="DL19" s="304">
        <f>IF($E$29=2,Dados!$AF$27,IF($E$29=3,Dados!$AH$27,IF($E$29=4,Dados!$AJ$27,IF($E$29=5,Dados!$AL$27,IF($E$29=6,Dados!$AN$27,IF($E$29=7,Dados!$AP$27,IF($E$29=8,Dados!$AT$27,0)))))))</f>
        <v>0</v>
      </c>
      <c r="DN19" s="316">
        <f>IF($E$34=2,Dados!$AE$27,IF($E$34=3,Dados!$AG$27,IF($E$34=4,Dados!$AI$27,IF($E$34=5,Dados!$AK$27,IF($E$34=6,Dados!$AM$27,IF($E$34=7,Dados!$AO$27,IF($E$34=8,Dados!$AS$27,0)))))))</f>
        <v>0</v>
      </c>
      <c r="DO19" s="304">
        <f>IF($E$34=2,Dados!$AF$27,IF($E$34=3,Dados!$AH$27,IF($E$34=4,Dados!$AJ$27,IF($E$34=5,Dados!$AL$27,IF($E$34=6,Dados!$AN$27,IF($E$34=7,Dados!$AP$27,IF($E$34=8,Dados!$AT$27,0)))))))</f>
        <v>0</v>
      </c>
      <c r="DP19" s="316">
        <f>IF($E$35=2,Dados!$AE$27,IF($E$35=3,Dados!$AG$27,IF($E$35=4,Dados!$AI$27,IF($E$35=5,Dados!$AK$27,IF($E$35=6,Dados!$AM$27,IF($E$35=7,Dados!$AO$27,IF($E$35=8,Dados!$AS$27,0)))))))</f>
        <v>0</v>
      </c>
      <c r="DQ19" s="304">
        <f>IF($E$35=2,Dados!$AF$27,IF($E$35=3,Dados!$AH$27,IF($E$35=4,Dados!$AJ$27,IF($E$35=5,Dados!$AL$27,IF($E$35=6,Dados!$AN$27,IF($E$35=7,Dados!$AP$27,IF($E$35=8,Dados!$AT$27,0)))))))</f>
        <v>0</v>
      </c>
      <c r="DR19" s="316">
        <f>IF($E$36=2,Dados!$AE$27,IF($E$36=3,Dados!$AG$27,IF($E$36=4,Dados!$AI$27,IF($E$36=5,Dados!$AK$27,IF($E$36=6,Dados!$AM$27,IF($E$36=7,Dados!$AO$27,IF($E$36=8,Dados!$AS$27,0)))))))</f>
        <v>0</v>
      </c>
      <c r="DS19" s="304">
        <f>IF($E$36=2,Dados!$AF$27,IF($E$36=3,Dados!$AH$27,IF($E$36=4,Dados!$AJ$27,IF($E$36=5,Dados!$AL$27,IF($E$36=6,Dados!$AN$27,IF($E$36=7,Dados!$AP$27,IF($E$36=8,Dados!$AT$27,0)))))))</f>
        <v>0</v>
      </c>
      <c r="DT19" s="316">
        <f>IF($E$37=2,Dados!$AE$27,IF($E$37=3,Dados!$AG$27,IF($E$37=4,Dados!$AI$27,IF($E$37=5,Dados!$AK$27,IF($E$37=6,Dados!$AM$27,IF($E$37=7,Dados!$AO$27,IF($E$37=8,Dados!$AS$27,0)))))))</f>
        <v>0</v>
      </c>
      <c r="DU19" s="304">
        <f>IF($E$37=2,Dados!$AF$27,IF($E$37=3,Dados!$AH$27,IF($E$37=4,Dados!$AJ$27,IF($E$37=5,Dados!$AL$27,IF($E$37=6,Dados!$AN$27,IF($E$37=7,Dados!$AP$27,IF($E$37=8,Dados!$AT$27,0)))))))</f>
        <v>0</v>
      </c>
      <c r="DV19" s="316">
        <f>IF($E$38=2,Dados!$AE$27,IF($E$38=3,Dados!$AG$27,IF($E$38=4,Dados!$AI$27,IF($E$38=5,Dados!$AK$27,IF($E$38=6,Dados!$AM$27,IF($E$38=7,Dados!$AO$27,IF($E$38=8,Dados!$AS$27,0)))))))</f>
        <v>0</v>
      </c>
      <c r="DW19" s="304">
        <f>IF($E$38=2,Dados!$AF$27,IF($E$38=3,Dados!$AH$27,IF($E$38=4,Dados!$AJ$27,IF($E$38=5,Dados!$AL$27,IF($E$38=6,Dados!$AN$27,IF($E$38=7,Dados!$AP$27,IF($E$38=8,Dados!$AT$27,0)))))))</f>
        <v>0</v>
      </c>
      <c r="DY19" s="316">
        <f>IF($E$43=2,Dados!$AE$27,IF($E$43=3,Dados!$AG$27,IF($E$43=4,Dados!$AI$27,IF($E$43=5,Dados!$AK$27,IF($E$43=6,Dados!$AM$27,IF($E$43=7,Dados!$AO$27,IF($E$43=8,Dados!$AS$27,0)))))))</f>
        <v>0</v>
      </c>
      <c r="DZ19" s="304">
        <f>IF($E$43=2,Dados!$AF$27,IF($E$43=3,Dados!$AH$27,IF($E$43=4,Dados!$AJ$27,IF($E$43=5,Dados!$AL$27,IF($E$43=6,Dados!$AN$27,IF($E$43=7,Dados!$AP$27,IF($E$43=8,Dados!$AT$27,0)))))))</f>
        <v>0</v>
      </c>
      <c r="EA19" s="316">
        <f>IF($E$44=2,Dados!$AE$27,IF($E$44=3,Dados!$AG$27,IF($E$44=4,Dados!$AI$27,IF($E$44=5,Dados!$AK$27,IF($E$44=6,Dados!$AM$27,IF($E$44=7,Dados!$AO$27,IF($E$44=8,Dados!$AS$27,0)))))))</f>
        <v>0</v>
      </c>
      <c r="EB19" s="304">
        <f>IF($E$44=2,Dados!$AF$27,IF($E$44=3,Dados!$AH$27,IF($E$44=4,Dados!$AJ$27,IF($E$44=5,Dados!$AL$27,IF($E$44=6,Dados!$AN$27,IF($E$44=7,Dados!$AP$27,IF($E$44=8,Dados!$AT$27,0)))))))</f>
        <v>0</v>
      </c>
      <c r="EC19" s="316">
        <f>IF($E$45=2,Dados!$AE$27,IF($E$45=3,Dados!$AG$27,IF($E$45=4,Dados!$AI$27,IF($E$45=5,Dados!$AK$27,IF($E$45=6,Dados!$AM$27,IF($E$45=7,Dados!$AO$27,IF($E$45=8,Dados!$AS$27,0)))))))</f>
        <v>0</v>
      </c>
      <c r="ED19" s="304">
        <f>IF($E$45=2,Dados!$AF$27,IF($E$45=3,Dados!$AH$27,IF($E$45=4,Dados!$AJ$27,IF($E$45=5,Dados!$AL$27,IF($E$45=6,Dados!$AN$27,IF($E$45=7,Dados!$AP$27,IF($E$45=8,Dados!$AT$27,0)))))))</f>
        <v>0</v>
      </c>
      <c r="EE19" s="316">
        <f>IF($E$46=2,Dados!$AE$27,IF($E$46=3,Dados!$AG$27,IF($E$46=4,Dados!$AI$27,IF($E$46=5,Dados!$AK$27,IF($E$46=6,Dados!$AM$27,IF($E$46=7,Dados!$AO$27,IF($E$46=8,Dados!$AS$27,0)))))))</f>
        <v>0</v>
      </c>
      <c r="EF19" s="304">
        <f>IF($E$46=2,Dados!$AF$27,IF($E$46=3,Dados!$AH$27,IF($E$46=4,Dados!$AJ$27,IF($E$46=5,Dados!$AL$27,IF($E$46=6,Dados!$AN$27,IF($E$46=7,Dados!$AP$27,IF($E$46=8,Dados!$AT$27,0)))))))</f>
        <v>0</v>
      </c>
      <c r="EG19" s="316">
        <f>IF($E$47=2,Dados!$AE$27,IF($E$47=3,Dados!$AG$27,IF($E$47=4,Dados!$AI$27,IF($E$47=5,Dados!$AK$27,IF($E$47=6,Dados!$AM$27,IF($E$47=7,Dados!$AO$27,IF($E$47=8,Dados!$AS$27,0)))))))</f>
        <v>0</v>
      </c>
      <c r="EH19" s="304">
        <f>IF($E$47=2,Dados!$AF$27,IF($E$47=3,Dados!$AH$27,IF($E$47=4,Dados!$AJ$27,IF($E$47=5,Dados!$AL$27,IF($E$47=6,Dados!$AN$27,IF($E$47=7,Dados!$AP$27,IF($E$47=8,Dados!$AT$27,0)))))))</f>
        <v>0</v>
      </c>
      <c r="EJ19" s="316">
        <f>IF($E$52=2,Dados!$AE$27,IF($E$52=3,Dados!$AG$27,IF($E$52=4,Dados!$AI$27,IF($E$52=5,Dados!$AK$27,IF($E$52=6,Dados!$AM$27,IF($E$52=7,Dados!$AO$27,IF($E$52=8,Dados!$AS$27,0)))))))</f>
        <v>0</v>
      </c>
      <c r="EK19" s="304">
        <f>IF($E$52=2,Dados!$AF$27,IF($E$52=3,Dados!$AH$27,IF($E$52=4,Dados!$AJ$27,IF($E$52=5,Dados!$AL$27,IF($E$52=6,Dados!$AN$27,IF($E$52=7,Dados!$AP$27,IF($E$52=8,Dados!$AT$27,0)))))))</f>
        <v>0</v>
      </c>
      <c r="EL19" s="316">
        <f>IF($E$53=2,Dados!$AE$27,IF($E$53=3,Dados!$AG$27,IF($E$53=4,Dados!$AI$27,IF($E$53=5,Dados!$AK$27,IF($E$53=6,Dados!$AM$27,IF($E$53=7,Dados!$AO$27,IF($E$53=8,Dados!$AS$27,0)))))))</f>
        <v>0</v>
      </c>
      <c r="EM19" s="304">
        <f>IF($E$53=2,Dados!$AF$27,IF($E$53=3,Dados!$AH$27,IF($E$53=4,Dados!$AJ$27,IF($E$53=5,Dados!$AL$27,IF($E$53=6,Dados!$AN$27,IF($E$53=7,Dados!$AP$27,IF($E$53=8,Dados!$AT$27,0)))))))</f>
        <v>0</v>
      </c>
      <c r="EN19" s="316">
        <f>IF($E$54=2,Dados!$AE$27,IF($E$54=3,Dados!$AG$27,IF($E$54=4,Dados!$AI$27,IF($E$54=5,Dados!$AK$27,IF($E$54=6,Dados!$AM$27,IF($E$54=7,Dados!$AO$27,IF($E$54=8,Dados!$AS$27,0)))))))</f>
        <v>0</v>
      </c>
      <c r="EO19" s="304">
        <f>IF($E$54=2,Dados!$AF$27,IF($E$54=3,Dados!$AH$27,IF($E$54=4,Dados!$AJ$27,IF($E$54=5,Dados!$AL$27,IF($E$54=6,Dados!$AN$27,IF($E$54=7,Dados!$AP$27,IF($E$54=8,Dados!$AT$27,0)))))))</f>
        <v>0</v>
      </c>
      <c r="EP19" s="316">
        <f>IF($E$55=2,Dados!$AE$27,IF($E$55=3,Dados!$AG$27,IF($E$55=4,Dados!$AI$27,IF($E$55=5,Dados!$AK$27,IF($E$55=6,Dados!$AM$27,IF($E$55=7,Dados!$AO$27,IF($E$55=8,Dados!$AS$27,0)))))))</f>
        <v>0</v>
      </c>
      <c r="EQ19" s="304">
        <f>IF($E$55=2,Dados!$AF$27,IF($E$55=3,Dados!$AH$27,IF($E$55=4,Dados!$AJ$27,IF($E$55=5,Dados!$AL$27,IF($E$55=6,Dados!$AN$27,IF($E$55=7,Dados!$AP$27,IF($E$55=8,Dados!$AT$27,0)))))))</f>
        <v>0</v>
      </c>
      <c r="ER19" s="316">
        <f>IF($E$56=2,Dados!$AE$27,IF($E$56=3,Dados!$AG$27,IF($E$56=4,Dados!$AI$27,IF($E$56=5,Dados!$AK$27,IF($E$56=6,Dados!$AM$27,IF($E$56=7,Dados!$AO$27,IF($E$56=8,Dados!$AS$27,0)))))))</f>
        <v>0</v>
      </c>
      <c r="ES19" s="304">
        <f>IF($E$56=2,Dados!$AF$27,IF($E$56=3,Dados!$AH$27,IF($E$56=4,Dados!$AJ$27,IF($E$56=5,Dados!$AL$27,IF($E$56=6,Dados!$AN$27,IF($E$56=7,Dados!$AP$27,IF($E$56=8,Dados!$AT$27,0)))))))</f>
        <v>0</v>
      </c>
      <c r="EU19" s="316">
        <f>IF($E$61=2,Dados!$AE$27,IF($E$61=3,Dados!$AG$27,IF($E$61=4,Dados!$AI$27,IF($E$61=5,Dados!$AK$27,IF($E$61=6,Dados!$AM$27,IF($E$61=7,Dados!$AO$27,IF($E$61=8,Dados!$AS$27,0)))))))</f>
        <v>0</v>
      </c>
      <c r="EV19" s="304">
        <f>IF($E$61=2,Dados!$AF$27,IF($E$61=3,Dados!$AH$27,IF($E$61=4,Dados!$AJ$27,IF($E$61=5,Dados!$AL$27,IF($E$61=6,Dados!$AN$27,IF($E$61=7,Dados!$AP$27,IF($E$61=8,Dados!$AT$27,0)))))))</f>
        <v>0</v>
      </c>
      <c r="EW19" s="316">
        <f>IF($E$62=2,Dados!$AE$27,IF($E$62=3,Dados!$AG$27,IF($E$62=4,Dados!$AI$27,IF($E$62=5,Dados!$AK$27,IF($E$62=6,Dados!$AM$27,IF($E$62=7,Dados!$AO$27,IF($E$62=8,Dados!$AS$27,0)))))))</f>
        <v>0</v>
      </c>
      <c r="EX19" s="304">
        <f>IF($E$62=2,Dados!$AF$27,IF($E$62=3,Dados!$AH$27,IF($E$62=4,Dados!$AJ$27,IF($E$62=5,Dados!$AL$27,IF($E$62=6,Dados!$AN$27,IF($E$62=7,Dados!$AP$27,IF($E$62=8,Dados!$AT$27,0)))))))</f>
        <v>0</v>
      </c>
      <c r="EY19" s="316">
        <f>IF($E$63=2,Dados!$AE$27,IF($E$63=3,Dados!$AG$27,IF($E$63=4,Dados!$AI$27,IF($E$63=5,Dados!$AK$27,IF($E$63=6,Dados!$AM$27,IF($E$63=7,Dados!$AO$27,IF($E$63=8,Dados!$AS$27,0)))))))</f>
        <v>0</v>
      </c>
      <c r="EZ19" s="304">
        <f>IF($E$63=2,Dados!$AF$27,IF($E$63=3,Dados!$AH$27,IF($E$63=4,Dados!$AJ$27,IF($E$63=5,Dados!$AL$27,IF($E$63=6,Dados!$AN$27,IF($E$63=7,Dados!$AP$27,IF($E$63=8,Dados!$AT$27,0)))))))</f>
        <v>0</v>
      </c>
      <c r="FA19" s="316">
        <f>IF($E$64=2,Dados!$AE$27,IF($E$64=3,Dados!$AG$27,IF($E$64=4,Dados!$AI$27,IF($E$64=5,Dados!$AK$27,IF($E$64=6,Dados!$AM$27,IF($E$64=7,Dados!$AO$27,IF($E$64=8,Dados!$AS$27,0)))))))</f>
        <v>0</v>
      </c>
      <c r="FB19" s="304">
        <f>IF($E$64=2,Dados!$AF$27,IF($E$64=3,Dados!$AH$27,IF($E$64=4,Dados!$AJ$27,IF($E$64=5,Dados!$AL$27,IF($E$64=6,Dados!$AN$27,IF($E$64=7,Dados!$AP$27,IF($E$64=8,Dados!$AT$27,0)))))))</f>
        <v>0</v>
      </c>
      <c r="FC19" s="316">
        <f>IF($E$65=2,Dados!$AE$27,IF($E$65=3,Dados!$AG$27,IF($E$65=4,Dados!$AI$27,IF($E$65=5,Dados!$AK$27,IF($E$65=6,Dados!$AM$27,IF($E$65=7,Dados!$AO$27,IF($E$65=8,Dados!$AS$27,0)))))))</f>
        <v>0</v>
      </c>
      <c r="FD19" s="304">
        <f>IF($E$65=2,Dados!$AF$27,IF($E$65=3,Dados!$AH$27,IF($E$65=4,Dados!$AJ$27,IF($E$65=5,Dados!$AL$27,IF($E$65=6,Dados!$AN$27,IF($E$65=7,Dados!$AP$27,IF($E$65=8,Dados!$AT$27,0)))))))</f>
        <v>0</v>
      </c>
      <c r="FF19" s="316">
        <f>IF($E$70=2,Dados!$AE$27,IF($E$70=3,Dados!$AG$27,IF($E$70=4,Dados!$AI$27,IF($E$70=5,Dados!$AK$27,IF($E$70=6,Dados!$AM$27,IF($E$70=7,Dados!$AO$27,IF($E$70=8,Dados!$AS$27,0)))))))</f>
        <v>0</v>
      </c>
      <c r="FG19" s="304">
        <f>IF($E$70=2,Dados!$AF$27,IF($E$70=3,Dados!$AH$27,IF($E$70=4,Dados!$AJ$27,IF($E$70=5,Dados!$AL$27,IF($E$70=6,Dados!$AN$27,IF($E$70=7,Dados!$AP$27,IF($E$70=8,Dados!$AT$27,0)))))))</f>
        <v>0</v>
      </c>
      <c r="FH19" s="316">
        <f>IF($E$71=2,Dados!$AE$27,IF($E$71=3,Dados!$AG$27,IF($E$71=4,Dados!$AI$27,IF($E$71=5,Dados!$AK$27,IF($E$71=6,Dados!$AM$27,IF($E$71=7,Dados!$AO$27,IF($E$71=8,Dados!$AS$27,0)))))))</f>
        <v>0</v>
      </c>
      <c r="FI19" s="304">
        <f>IF($E$71=2,Dados!$AF$27,IF($E$71=3,Dados!$AH$27,IF($E$71=4,Dados!$AJ$27,IF($E$71=5,Dados!$AL$27,IF($E$71=6,Dados!$AN$27,IF($E$71=7,Dados!$AP$27,IF($E$71=8,Dados!$AT$27,0)))))))</f>
        <v>0</v>
      </c>
      <c r="FJ19" s="316">
        <f>IF($E$72=2,Dados!$AE$27,IF($E$72=3,Dados!$AG$27,IF($E$72=4,Dados!$AI$27,IF($E$72=5,Dados!$AK$27,IF($E$72=6,Dados!$AM$27,IF($E$72=7,Dados!$AO$27,IF($E$72=8,Dados!$AS$27,0)))))))</f>
        <v>0</v>
      </c>
      <c r="FK19" s="304">
        <f>IF($E$72=2,Dados!$AF$27,IF($E$72=3,Dados!$AH$27,IF($E$72=4,Dados!$AJ$27,IF($E$72=5,Dados!$AL$27,IF($E$72=6,Dados!$AN$27,IF($E$72=7,Dados!$AP$27,IF($E$72=8,Dados!$AT$27,0)))))))</f>
        <v>0</v>
      </c>
      <c r="FL19" s="316">
        <f>IF($E$73=2,Dados!$AE$27,IF($E$73=3,Dados!$AG$27,IF($E$73=4,Dados!$AI$27,IF($E$73=5,Dados!$AK$27,IF($E$73=6,Dados!$AM$27,IF($E$73=7,Dados!$AO$27,IF($E$73=8,Dados!$AS$27,0)))))))</f>
        <v>0</v>
      </c>
      <c r="FM19" s="304">
        <f>IF($E$73=2,Dados!$AF$27,IF($E$73=3,Dados!$AH$27,IF($E$73=4,Dados!$AJ$27,IF($E$73=5,Dados!$AL$27,IF($E$73=6,Dados!$AN$27,IF($E$73=7,Dados!$AP$27,IF($E$73=8,Dados!$AT$27,0)))))))</f>
        <v>0</v>
      </c>
      <c r="FN19" s="316">
        <f>IF($E$74=2,Dados!$AE$27,IF($E$74=3,Dados!$AG$27,IF($E$74=4,Dados!$AI$27,IF($E$74=5,Dados!$AK$27,IF($E$74=6,Dados!$AM$27,IF($E$74=7,Dados!$AO$27,IF($E$74=8,Dados!$AS$27,0)))))))</f>
        <v>0</v>
      </c>
      <c r="FO19" s="304">
        <f>IF($E$74=2,Dados!$AF$27,IF($E$74=3,Dados!$AH$27,IF($E$74=4,Dados!$AJ$27,IF($E$74=5,Dados!$AL$27,IF($E$74=6,Dados!$AN$27,IF($E$74=7,Dados!$AP$27,IF($E$74=8,Dados!$AT$27,0)))))))</f>
        <v>0</v>
      </c>
      <c r="FQ19" s="316">
        <f>IF($E$79=2,Dados!$AE$27,IF($E$79=3,Dados!$AG$27,IF($E$79=4,Dados!$AI$27,IF($E$79=5,Dados!$AK$27,IF($E$79=6,Dados!$AM$27,IF($E$79=7,Dados!$AO$27,IF($E$79=8,Dados!$AS$27,0)))))))</f>
        <v>0</v>
      </c>
      <c r="FR19" s="304">
        <f>IF($E$79=2,Dados!$AF$27,IF($E$79=3,Dados!$AH$27,IF($E$79=4,Dados!$AJ$27,IF($E$79=5,Dados!$AL$27,IF($E$79=6,Dados!$AN$27,IF($E$79=7,Dados!$AP$27,IF($E$79=8,Dados!$AT$27,0)))))))</f>
        <v>0</v>
      </c>
      <c r="FS19" s="316">
        <f>IF($E$80=2,Dados!$AE$27,IF($E$80=3,Dados!$AG$27,IF($E$80=4,Dados!$AI$27,IF($E$80=5,Dados!$AK$27,IF($E$80=6,Dados!$AM$27,IF($E$80=7,Dados!$AO$27,IF($E$80=8,Dados!$AS$27,0)))))))</f>
        <v>0</v>
      </c>
      <c r="FT19" s="304">
        <f>IF($E$80=2,Dados!$AF$27,IF($E$80=3,Dados!$AH$27,IF($E$80=4,Dados!$AJ$27,IF($E$80=5,Dados!$AL$27,IF($E$80=6,Dados!$AN$27,IF($E$80=7,Dados!$AP$27,IF($E$80=8,Dados!$AT$27,0)))))))</f>
        <v>0</v>
      </c>
      <c r="FU19" s="316">
        <f>IF($E$81=2,Dados!$AE$27,IF($E$81=3,Dados!$AG$27,IF($E$81=4,Dados!$AI$27,IF($E$81=5,Dados!$AK$27,IF($E$81=6,Dados!$AM$27,IF($E$81=7,Dados!$AO$27,IF($E$81=8,Dados!$AS$27,0)))))))</f>
        <v>0</v>
      </c>
      <c r="FV19" s="304">
        <f>IF($E$81=2,Dados!$AF$27,IF($E$81=3,Dados!$AH$27,IF($E$81=4,Dados!$AJ$27,IF($E$81=5,Dados!$AL$27,IF($E$81=6,Dados!$AN$27,IF($E$81=7,Dados!$AP$27,IF($E$81=8,Dados!$AT$27,0)))))))</f>
        <v>0</v>
      </c>
      <c r="FW19" s="316">
        <f>IF($E$82=2,Dados!$AE$27,IF($E$82=3,Dados!$AG$27,IF($E$82=4,Dados!$AI$27,IF($E$82=5,Dados!$AK$27,IF($E$82=6,Dados!$AM$27,IF($E$82=7,Dados!$AO$27,IF($E$82=8,Dados!$AS$27,0)))))))</f>
        <v>0</v>
      </c>
      <c r="FX19" s="304">
        <f>IF($E$82=2,Dados!$AF$27,IF($E$82=3,Dados!$AH$27,IF($E$82=4,Dados!$AJ$27,IF($E$82=5,Dados!$AL$27,IF($E$82=6,Dados!$AN$27,IF($E$82=7,Dados!$AP$27,IF($E$82=8,Dados!$AT$27,0)))))))</f>
        <v>0</v>
      </c>
      <c r="FY19" s="316">
        <f>IF($E$83=2,Dados!$AE$27,IF($E$83=3,Dados!$AG$27,IF($E$83=4,Dados!$AI$27,IF($E$83=5,Dados!$AK$27,IF($E$83=6,Dados!$AM$27,IF($E$83=7,Dados!$AO$27,IF($E$83=8,Dados!$AS$27,0)))))))</f>
        <v>0</v>
      </c>
      <c r="FZ19" s="304">
        <f>IF($E$83=2,Dados!$AF$27,IF($E$83=3,Dados!$AH$27,IF($E$83=4,Dados!$AJ$27,IF($E$83=5,Dados!$AL$27,IF($E$83=6,Dados!$AN$27,IF($E$83=7,Dados!$AP$27,IF($E$83=8,Dados!$AT$27,0)))))))</f>
        <v>0</v>
      </c>
      <c r="GB19" s="316">
        <f>IF($E$88=2,Dados!$AE$27,IF($E$88=3,Dados!$AG$27,IF($E$88=4,Dados!$AI$27,IF($E$88=5,Dados!$AK$27,IF($E$88=6,Dados!$AM$27,IF($E$88=7,Dados!$AO$27,IF($E$88=8,Dados!$AS$27,0)))))))</f>
        <v>0</v>
      </c>
      <c r="GC19" s="304">
        <f>IF($E$88=2,Dados!$AF$27,IF($E$88=3,Dados!$AH$27,IF($E$88=4,Dados!$AJ$27,IF($E$88=5,Dados!$AL$27,IF($E$88=6,Dados!$AN$27,IF($E$88=7,Dados!$AP$27,IF($E$88=8,Dados!$AT$27,0)))))))</f>
        <v>0</v>
      </c>
      <c r="GD19" s="316">
        <f>IF($E$89=2,Dados!$AE$27,IF($E$89=3,Dados!$AG$27,IF($E$89=4,Dados!$AI$27,IF($E$89=5,Dados!$AK$27,IF($E$89=6,Dados!$AM$27,IF($E$89=7,Dados!$AO$27,IF($E$89=8,Dados!$AS$27,0)))))))</f>
        <v>0</v>
      </c>
      <c r="GE19" s="304">
        <f>IF($E$89=2,Dados!$AF$27,IF($E$89=3,Dados!$AH$27,IF($E$89=4,Dados!$AJ$27,IF($E$89=5,Dados!$AL$27,IF($E$89=6,Dados!$AN$27,IF($E$89=7,Dados!$AP$27,IF($E$89=8,Dados!$AT$27,0)))))))</f>
        <v>0</v>
      </c>
      <c r="GF19" s="316">
        <f>IF($E$90=2,Dados!$AE$27,IF($E$90=3,Dados!$AG$27,IF($E$90=4,Dados!$AI$27,IF($E$90=5,Dados!$AK$27,IF($E$90=6,Dados!$AM$27,IF($E$90=7,Dados!$AO$27,IF($E$90=8,Dados!$AS$27,0)))))))</f>
        <v>0</v>
      </c>
      <c r="GG19" s="304">
        <f>IF($E$90=2,Dados!$AF$27,IF($E$90=3,Dados!$AH$27,IF($E$90=4,Dados!$AJ$27,IF($E$90=5,Dados!$AL$27,IF($E$90=6,Dados!$AN$27,IF($E$90=7,Dados!$AP$27,IF($E$90=8,Dados!$AT$27,0)))))))</f>
        <v>0</v>
      </c>
      <c r="GH19" s="316">
        <f>IF($E$91=2,Dados!$AE$27,IF($E$91=3,Dados!$AG$27,IF($E$91=4,Dados!$AI$27,IF($E$91=5,Dados!$AK$27,IF($E$91=6,Dados!$AM$27,IF($E$91=7,Dados!$AO$27,IF($E$91=8,Dados!$AS$27,0)))))))</f>
        <v>0</v>
      </c>
      <c r="GI19" s="304">
        <f>IF($E$91=2,Dados!$AF$27,IF($E$91=3,Dados!$AH$27,IF($E$91=4,Dados!$AJ$27,IF($E$91=5,Dados!$AL$27,IF($E$91=6,Dados!$AN$27,IF($E$91=7,Dados!$AP$27,IF($E$91=8,Dados!$AT$27,0)))))))</f>
        <v>0</v>
      </c>
      <c r="GJ19" s="316">
        <f>IF($E$92=2,Dados!$AE$27,IF($E$92=3,Dados!$AG$27,IF($E$92=4,Dados!$AI$27,IF($E$92=5,Dados!$AK$27,IF($E$92=6,Dados!$AM$27,IF($E$92=7,Dados!$AO$27,IF($E$92=8,Dados!$AS$27,0)))))))</f>
        <v>0</v>
      </c>
      <c r="GK19" s="304">
        <f>IF($E$92=2,Dados!$AF$27,IF($E$92=3,Dados!$AH$27,IF($E$92=4,Dados!$AJ$27,IF($E$92=5,Dados!$AL$27,IF($E$92=6,Dados!$AN$27,IF($E$92=7,Dados!$AP$27,IF($E$92=8,Dados!$AT$27,0)))))))</f>
        <v>0</v>
      </c>
      <c r="GM19" s="316">
        <f>IF($E$97=2,Dados!$AE$27,IF($E$97=3,Dados!$AG$27,IF($E$97=4,Dados!$AI$27,IF($E$97=5,Dados!$AK$27,IF($E$97=6,Dados!$AM$27,IF($E$97=7,Dados!$AO$27,IF($E$97=8,Dados!$AS$27,0)))))))</f>
        <v>0</v>
      </c>
      <c r="GN19" s="304">
        <f>IF($E$97=2,Dados!$AF$27,IF($E$97=3,Dados!$AH$27,IF($E$97=4,Dados!$AJ$27,IF($E$97=5,Dados!$AL$27,IF($E$97=6,Dados!$AN$27,IF($E$97=7,Dados!$AP$27,IF($E$97=8,Dados!$AT$27,0)))))))</f>
        <v>0</v>
      </c>
      <c r="GO19" s="316">
        <f>IF($E$98=2,Dados!$AE$27,IF($E$98=3,Dados!$AG$27,IF($E$98=4,Dados!$AI$27,IF($E$98=5,Dados!$AK$27,IF($E$98=6,Dados!$AM$27,IF($E$98=7,Dados!$AO$27,IF($E$98=8,Dados!$AS$27,0)))))))</f>
        <v>0</v>
      </c>
      <c r="GP19" s="304">
        <f>IF($E$98=2,Dados!$AF$27,IF($E$98=3,Dados!$AH$27,IF($E$98=4,Dados!$AJ$27,IF($E$98=5,Dados!$AL$27,IF($E$98=6,Dados!$AN$27,IF($E$98=7,Dados!$AP$27,IF($E$98=8,Dados!$AT$27,0)))))))</f>
        <v>0</v>
      </c>
      <c r="GQ19" s="316">
        <f>IF($E$99=2,Dados!$AE$27,IF($E$99=3,Dados!$AG$27,IF($E$99=4,Dados!$AI$27,IF($E$99=5,Dados!$AK$27,IF($E$99=6,Dados!$AM$27,IF($E$99=7,Dados!$AO$27,IF($E$99=8,Dados!$AS$27,0)))))))</f>
        <v>0</v>
      </c>
      <c r="GR19" s="304">
        <f>IF($E$99=2,Dados!$AF$27,IF($E$99=3,Dados!$AH$27,IF($E$99=4,Dados!$AJ$27,IF($E$99=5,Dados!$AL$27,IF($E$99=6,Dados!$AN$27,IF($E$99=7,Dados!$AP$27,IF($E$99=8,Dados!$AT$27,0)))))))</f>
        <v>0</v>
      </c>
      <c r="GS19" s="316">
        <f>IF($E$100=2,Dados!$AE$27,IF($E$100=3,Dados!$AG$27,IF($E$100=4,Dados!$AI$27,IF($E$100=5,Dados!$AK$27,IF($E$100=6,Dados!$AM$27,IF($E$100=7,Dados!$AO$27,IF($E$100=8,Dados!$AS$27,0)))))))</f>
        <v>0</v>
      </c>
      <c r="GT19" s="304">
        <f>IF($E$100=2,Dados!$AF$27,IF($E$100=3,Dados!$AH$27,IF($E$100=4,Dados!$AJ$27,IF($E$100=5,Dados!$AL$27,IF($E$100=6,Dados!$AN$27,IF($E$100=7,Dados!$AP$27,IF($E$100=8,Dados!$AT$27,0)))))))</f>
        <v>0</v>
      </c>
      <c r="GU19" s="316">
        <f>IF($E$101=2,Dados!$AE$27,IF($E$101=3,Dados!$AG$27,IF($E$101=4,Dados!$AI$27,IF($E$101=5,Dados!$AK$27,IF($E$101=6,Dados!$AM$27,IF($E$101=7,Dados!$AO$27,IF($E$101=8,Dados!$AS$27,0)))))))</f>
        <v>0</v>
      </c>
      <c r="GV19" s="304">
        <f>IF($E$101=2,Dados!$AF$27,IF($E$101=3,Dados!$AH$27,IF($E$101=4,Dados!$AJ$27,IF($E$101=5,Dados!$AL$27,IF($E$101=6,Dados!$AN$27,IF($E$101=7,Dados!$AP$27,IF($E$101=8,Dados!$AT$27,0)))))))</f>
        <v>0</v>
      </c>
      <c r="GX19" s="316">
        <f>IF($E$106=2,Dados!$AE$27,IF($E$106=3,Dados!$AG$27,IF($E$106=4,Dados!$AI$27,IF($E$106=5,Dados!$AK$27,IF($E$106=6,Dados!$AM$27,IF($E$106=7,Dados!$AO$27,IF($E$106=8,Dados!$AS$27,0)))))))</f>
        <v>0</v>
      </c>
      <c r="GY19" s="304">
        <f>IF($E$106=2,Dados!$AF$27,IF($E$106=3,Dados!$AH$27,IF($E$106=4,Dados!$AJ$27,IF($E$106=5,Dados!$AL$27,IF($E$106=6,Dados!$AN$27,IF($E$106=7,Dados!$AP$27,IF($E$106=8,Dados!$AT$27,0)))))))</f>
        <v>0</v>
      </c>
      <c r="GZ19" s="316">
        <f>IF($E$107=2,Dados!$AE$27,IF($E$107=3,Dados!$AG$27,IF($E$107=4,Dados!$AI$27,IF($E$107=5,Dados!$AK$27,IF($E$107=6,Dados!$AM$27,IF($E$107=7,Dados!$AO$27,IF($E$107=8,Dados!$AS$27,0)))))))</f>
        <v>0</v>
      </c>
      <c r="HA19" s="304">
        <f>IF($E$107=2,Dados!$AF$27,IF($E$107=3,Dados!$AH$27,IF($E$107=4,Dados!$AJ$27,IF($E$107=5,Dados!$AL$27,IF($E$107=6,Dados!$AN$27,IF($E$107=7,Dados!$AP$27,IF($E$107=8,Dados!$AT$27,0)))))))</f>
        <v>0</v>
      </c>
      <c r="HB19" s="316">
        <f>IF($E$108=2,Dados!$AE$27,IF($E$108=3,Dados!$AG$27,IF($E$108=4,Dados!$AI$27,IF($E$108=5,Dados!$AK$27,IF($E$108=6,Dados!$AM$27,IF($E$108=7,Dados!$AO$27,IF($E$108=8,Dados!$AS$27,0)))))))</f>
        <v>0</v>
      </c>
      <c r="HC19" s="304">
        <f>IF($E$108=2,Dados!$AF$27,IF($E$108=3,Dados!$AH$27,IF($E$108=4,Dados!$AJ$27,IF($E$108=5,Dados!$AL$27,IF($E$108=6,Dados!$AN$27,IF($E$108=7,Dados!$AP$27,IF($E$108=8,Dados!$AT$27,0)))))))</f>
        <v>0</v>
      </c>
      <c r="HD19" s="316">
        <f>IF($E$109=2,Dados!$AE$27,IF($E$109=3,Dados!$AG$27,IF($E$109=4,Dados!$AI$27,IF($E$109=5,Dados!$AK$27,IF($E$109=6,Dados!$AM$27,IF($E$109=7,Dados!$AO$27,IF($E$109=8,Dados!$AS$27,0)))))))</f>
        <v>0</v>
      </c>
      <c r="HE19" s="304">
        <f>IF($E$109=2,Dados!$AF$27,IF($E$109=3,Dados!$AH$27,IF($E$109=4,Dados!$AJ$27,IF($E$109=5,Dados!$AL$27,IF($E$109=6,Dados!$AN$27,IF($E$109=7,Dados!$AP$27,IF($E$109=8,Dados!$AT$27,0)))))))</f>
        <v>0</v>
      </c>
      <c r="HF19" s="316">
        <f>IF($E$110=2,Dados!$AE$27,IF($E$110=3,Dados!$AG$27,IF($E$110=4,Dados!$AI$27,IF($E$110=5,Dados!$AK$27,IF($E$110=6,Dados!$AM$27,IF($E$110=7,Dados!$AO$27,IF($E$110=8,Dados!$AS$27,0)))))))</f>
        <v>0</v>
      </c>
      <c r="HG19" s="304">
        <f>IF($E$110=2,Dados!$AF$27,IF($E$110=3,Dados!$AH$27,IF($E$110=4,Dados!$AJ$27,IF($E$110=5,Dados!$AL$27,IF($E$110=6,Dados!$AN$27,IF($E$110=7,Dados!$AP$27,IF($E$110=8,Dados!$AT$27,0)))))))</f>
        <v>0</v>
      </c>
    </row>
    <row r="20" spans="3:215" ht="15.75" customHeight="1" x14ac:dyDescent="0.2">
      <c r="C20" s="156">
        <f>IF(R20=1,0,S20)</f>
        <v>0</v>
      </c>
      <c r="D20" s="2722"/>
      <c r="E20" s="180">
        <v>1</v>
      </c>
      <c r="F20" s="2633">
        <v>1</v>
      </c>
      <c r="G20" s="2633"/>
      <c r="H20" s="309"/>
      <c r="I20" s="229"/>
      <c r="J20" s="314"/>
      <c r="K20" s="157"/>
      <c r="L20" s="305"/>
      <c r="M20" s="127">
        <f>IF(I20=1,K20,IF(I20=2,K20/J20,IF(I20=3,K20*L20,0)))</f>
        <v>0</v>
      </c>
      <c r="N20" s="3">
        <v>1</v>
      </c>
      <c r="O20" s="30">
        <v>1</v>
      </c>
      <c r="P20" s="837">
        <f>IF(N20=1,0,VLOOKUP(N20,Rebanho!$AN$45:$AV$72,4)*O20)</f>
        <v>0</v>
      </c>
      <c r="Q20" s="838">
        <f>VLOOKUP(N20,Rebanho!$AN$45:$AV$72,7)*O20</f>
        <v>0</v>
      </c>
      <c r="R20" s="3">
        <v>1</v>
      </c>
      <c r="S20" s="20"/>
      <c r="T20" s="94">
        <f>VLOOKUP(R20,'Mão-de-obra'!$CJ$10:$CL$29,3)</f>
        <v>0</v>
      </c>
      <c r="U20" s="94">
        <f>T20*S20</f>
        <v>0</v>
      </c>
      <c r="V20" s="127">
        <f>IF(I20=1,M20*P20,IF(I20=2,M20*Q20*L20,IF(I20=3,M20,0)))</f>
        <v>0</v>
      </c>
      <c r="W20" s="106">
        <f>U20+V20</f>
        <v>0</v>
      </c>
      <c r="X20" s="93">
        <v>1</v>
      </c>
      <c r="Y20" s="93">
        <v>1</v>
      </c>
      <c r="Z20" s="127">
        <f t="shared" si="5"/>
        <v>0</v>
      </c>
      <c r="AE20" s="1160" t="str">
        <f>Rebanho!C62</f>
        <v>Bezerras em aleitamento (Engorda)</v>
      </c>
      <c r="AF20" s="1195">
        <f>IF(Rebanho!E62&gt;0,1,0)</f>
        <v>0</v>
      </c>
      <c r="AG20" s="1193">
        <f>Rebanho!E62</f>
        <v>0</v>
      </c>
      <c r="AH20" s="1336">
        <f>Rebanho!AS59</f>
        <v>0</v>
      </c>
      <c r="AI20" s="1178">
        <f>((SUMIFS($Z$7:$Z$110,$E$7:$E$110,"=2",$N$7:$N$110,"=15")+SUMIFS($Z$7:$Z$110,$E$7:$E$110,"=2",$N$7:$N$110,"=19")))*($AF$20)</f>
        <v>0</v>
      </c>
      <c r="AJ20" s="1178">
        <f>((SUMIFS($Z$7:$Z$110,$E$7:$E$110,"=3",$N$7:$N$110,"=15")+SUMIFS($Z$7:$Z$110,$E$7:$E$110,"=3",$N$7:$N$110,"=19")))*($AF$20)</f>
        <v>0</v>
      </c>
      <c r="AK20" s="1178">
        <f>((SUMIFS($Z$7:$Z$110,$E$7:$E$110,"=4",$N$7:$N$110,"=15")+SUMIFS($Z$7:$Z$110,$E$7:$E$110,"=4",$N$7:$N$110,"=19")))*($AF$20)</f>
        <v>0</v>
      </c>
      <c r="AL20" s="1178">
        <f>((SUMIFS($Z$7:$Z$110,$E$7:$E$110,"=5",$N$7:$N$110,"=15")+SUMIFS($Z$7:$Z$110,$E$7:$E$110,"=5",$N$7:$N$110,"=19")))*($AF$20)</f>
        <v>0</v>
      </c>
      <c r="AM20" s="1178">
        <f>((SUMIFS($Z$7:$Z$110,$E$7:$E$110,"=6",$N$7:$N$110,"=15")+SUMIFS($Z$7:$Z$110,$E$7:$E$110,"=6",$N$7:$N$110,"=19")))*($AF$20)</f>
        <v>0</v>
      </c>
      <c r="AN20" s="1178">
        <f>((SUMIFS($Z$7:$Z$110,$E$7:$E$110,"=7",$N$7:$N$110,"=15")+SUMIFS($Z$7:$Z$110,$E$7:$E$110,"=7",$N$7:$N$110,"=19")))*($AF$20)</f>
        <v>0</v>
      </c>
      <c r="AO20" s="1208">
        <f>((SUMIFS($Z$7:$Z$110,$E$7:$E$110,"=8",$N$7:$N$110,"=15")+SUMIFS($Z$7:$Z$110,$E$7:$E$110,"=8",$N$7:$N$110,"=19")))*($AF$20)</f>
        <v>0</v>
      </c>
      <c r="AP20" s="1208">
        <f t="shared" si="3"/>
        <v>0</v>
      </c>
      <c r="AQ20" s="1184">
        <f t="shared" si="2"/>
        <v>0</v>
      </c>
      <c r="AW20" s="3" t="s">
        <v>498</v>
      </c>
      <c r="AX20" s="94">
        <f>IF($E16=6,$V16,0)</f>
        <v>0</v>
      </c>
      <c r="AY20" s="94">
        <f>IF($E17=6,$V17,0)</f>
        <v>0</v>
      </c>
      <c r="AZ20" s="94">
        <f>IF($E18=6,$V18,0)</f>
        <v>0</v>
      </c>
      <c r="BA20" s="94">
        <f>IF($E19=6,$V19,0)</f>
        <v>0</v>
      </c>
      <c r="BB20" s="94">
        <f>IF($E20=6,$V20,0)</f>
        <v>0</v>
      </c>
      <c r="BC20" s="200">
        <f t="shared" si="4"/>
        <v>0</v>
      </c>
      <c r="CF20" s="93">
        <v>15</v>
      </c>
      <c r="CG20" s="316">
        <f>IF($E$7=2,Dados!$AE$28,IF($E$7=3,Dados!$AG$28,IF($E$7=4,Dados!$AI$28,IF($E$7=5,Dados!$AK$28,IF($E$7=6,Dados!$AM$28,IF($E$7=7,Dados!$AO$28,IF($E$7=8,Dados!$AS$28,0)))))))</f>
        <v>0</v>
      </c>
      <c r="CH20" s="304">
        <f>IF($E$7=2,Dados!$AF$28,IF($E$7=3,Dados!$AH$28,IF($E$7=4,Dados!$AJ$28,IF($E$7=5,Dados!$AL$28,IF($E$7=6,Dados!$AN$28,IF($E$7=7,Dados!$AP$28,IF($E$7=8,Dados!$AT$28,0)))))))</f>
        <v>0</v>
      </c>
      <c r="CI20" s="316">
        <f>IF($E$8=2,Dados!$AE$28,IF($E$8=3,Dados!$AG$28,IF($E$8=4,Dados!$AI$28,IF($E$8=5,Dados!$AK$28,IF($E$8=6,Dados!$AM$28,IF($E$8=7,Dados!$AO$28,IF($E$8=8,Dados!$AS$28,0)))))))</f>
        <v>0</v>
      </c>
      <c r="CJ20" s="304">
        <f>IF($E$8=2,Dados!$AF$28,IF($E$8=3,Dados!$AH$28,IF($E$8=4,Dados!$AJ$28,IF($E$8=5,Dados!$AL$28,IF($E$8=6,Dados!$AN$28,IF($E$8=7,Dados!$AP$28,IF($E$8=8,Dados!$AT$28,0)))))))</f>
        <v>0</v>
      </c>
      <c r="CK20" s="316">
        <f>IF($E$9=2,Dados!$AE$28,IF($E$9=3,Dados!$AG$28,IF($E$9=4,Dados!$AI$28,IF($E$9=5,Dados!$AK$28,IF($E$9=6,Dados!$AM$28,IF($E$9=7,Dados!$AO$28,IF($E$9=8,Dados!$AS$28,0)))))))</f>
        <v>0</v>
      </c>
      <c r="CL20" s="304">
        <f>IF($E$9=2,Dados!$AF$28,IF($E$9=3,Dados!$AH$28,IF($E$9=4,Dados!$AJ$28,IF($E$9=5,Dados!$AL$28,IF($E$9=6,Dados!$AN$28,IF($E$9=7,Dados!$AP$28,IF($E$9=8,Dados!$AT$28,0)))))))</f>
        <v>0</v>
      </c>
      <c r="CM20" s="316">
        <f>IF($E$10=2,Dados!$AE$28,IF($E$10=3,Dados!$AG$28,IF($E$10=4,Dados!$AI$28,IF($E$10=5,Dados!$AK$28,IF($E$10=6,Dados!$AM$28,IF($E$10=7,Dados!$AO$28,IF($E$10=8,Dados!$AS$28,0)))))))</f>
        <v>0</v>
      </c>
      <c r="CN20" s="304">
        <f>IF($E$10=2,Dados!$AF$28,IF($E$10=3,Dados!$AH$28,IF($E$10=4,Dados!$AJ$28,IF($E$10=5,Dados!$AL$28,IF($E$10=6,Dados!$AN$28,IF($E$10=7,Dados!$AP$28,IF($E$10=8,Dados!$AT$28,0)))))))</f>
        <v>0</v>
      </c>
      <c r="CO20" s="316">
        <f>IF($E$11=2,Dados!$AE$28,IF($E$11=3,Dados!$AG$28,IF($E$11=4,Dados!$AI$28,IF($E$11=5,Dados!$AK$28,IF($E$11=6,Dados!$AM$28,IF($E$11=7,Dados!$AO$28,IF($E$11=8,Dados!$AS$28,0)))))))</f>
        <v>0</v>
      </c>
      <c r="CP20" s="304">
        <f>IF($E$11=2,Dados!$AF$28,IF($E$11=3,Dados!$AH$28,IF($E$11=4,Dados!$AJ$28,IF($E$11=5,Dados!$AL$28,IF($E$11=6,Dados!$AN$28,IF($E$11=7,Dados!$AP$28,IF($E$11=8,Dados!$AT$28,0)))))))</f>
        <v>0</v>
      </c>
      <c r="CR20" s="316">
        <f>IF($E$16=2,Dados!$AE$28,IF($E$16=3,Dados!$AG$28,IF($E$16=4,Dados!$AI$28,IF($E$16=5,Dados!$AK$28,IF($E$16=6,Dados!$AM$28,IF($E$16=7,Dados!$AO$28,IF($E$16=8,Dados!$AS$28,0)))))))</f>
        <v>0</v>
      </c>
      <c r="CS20" s="304">
        <f>IF($E$16=2,Dados!$AF$28,IF($E$16=3,Dados!$AH$28,IF($E$16=4,Dados!$AJ$28,IF($E$16=5,Dados!$AL$28,IF($E$16=6,Dados!$AN$28,IF($E$16=7,Dados!$AP$28,IF($E$16=8,Dados!$AT$28,0)))))))</f>
        <v>0</v>
      </c>
      <c r="CT20" s="316">
        <f>IF($E$17=2,Dados!$AE$28,IF($E$17=3,Dados!$AG$28,IF($E$17=4,Dados!$AI$28,IF($E$17=5,Dados!$AK$28,IF($E$17=6,Dados!$AM$28,IF($E$17=7,Dados!$AO$28,IF($E$17=8,Dados!$AS$28,0)))))))</f>
        <v>0</v>
      </c>
      <c r="CU20" s="304">
        <f>IF($E$17=2,Dados!$AF$28,IF($E$17=3,Dados!$AH$28,IF($E$17=4,Dados!$AJ$28,IF($E$17=5,Dados!$AL$28,IF($E$17=6,Dados!$AN$28,IF($E$17=7,Dados!$AP$28,IF($E$17=8,Dados!$AT$28,0)))))))</f>
        <v>0</v>
      </c>
      <c r="CV20" s="316">
        <f>IF($E$18=2,Dados!$AE$28,IF($E$18=3,Dados!$AG$28,IF($E$18=4,Dados!$AI$28,IF($E$18=5,Dados!$AK$28,IF($E$18=6,Dados!$AM$28,IF($E$18=7,Dados!$AO$28,IF($E$18=8,Dados!$AS$28,0)))))))</f>
        <v>0</v>
      </c>
      <c r="CW20" s="304">
        <f>IF($E$18=2,Dados!$AF$28,IF($E$18=3,Dados!$AH$28,IF($E$18=4,Dados!$AJ$28,IF($E$18=5,Dados!$AL$28,IF($E$18=6,Dados!$AN$28,IF($E$18=7,Dados!$AP$28,IF($E$18=8,Dados!$AT$28,0)))))))</f>
        <v>0</v>
      </c>
      <c r="CX20" s="316">
        <f>IF($E$19=2,Dados!$AE$28,IF($E$19=3,Dados!$AG$28,IF($E$19=4,Dados!$AI$28,IF($E$19=5,Dados!$AK$28,IF($E$19=6,Dados!$AM$28,IF($E$19=7,Dados!$AO$28,IF($E$19=8,Dados!$AS$28,0)))))))</f>
        <v>0</v>
      </c>
      <c r="CY20" s="304">
        <f>IF($E$19=2,Dados!$AF$28,IF($E$19=3,Dados!$AH$28,IF($E$19=4,Dados!$AJ$28,IF($E$19=5,Dados!$AL$28,IF($E$19=6,Dados!$AN$28,IF($E$19=7,Dados!$AP$28,IF($E$19=8,Dados!$AT$28,0)))))))</f>
        <v>0</v>
      </c>
      <c r="CZ20" s="316">
        <f>IF($E$20=2,Dados!$AE$28,IF($E$20=3,Dados!$AG$28,IF($E$20=4,Dados!$AI$28,IF($E$20=5,Dados!$AK$28,IF($E$20=6,Dados!$AM$28,IF($E$20=7,Dados!$AO$28,IF($E$20=8,Dados!$AS$28,0)))))))</f>
        <v>0</v>
      </c>
      <c r="DA20" s="304">
        <f>IF($E$20=2,Dados!$AF$28,IF($E$20=3,Dados!$AH$28,IF($E$20=4,Dados!$AJ$28,IF($E$20=5,Dados!$AL$28,IF($E$20=6,Dados!$AN$28,IF($E$20=7,Dados!$AP$28,IF($E$20=8,Dados!$AT$28,0)))))))</f>
        <v>0</v>
      </c>
      <c r="DC20" s="316">
        <f>IF($E$25=2,Dados!$AE$28,IF($E$25=3,Dados!$AG$28,IF($E$25=4,Dados!$AI$28,IF($E$25=5,Dados!$AK$28,IF($E$25=6,Dados!$AM$28,IF($E$25=7,Dados!$AO$28,IF($E$25=8,Dados!$AS$28,0)))))))</f>
        <v>0</v>
      </c>
      <c r="DD20" s="304">
        <f>IF($E$25=2,Dados!$AF$28,IF($E$25=3,Dados!$AH$28,IF($E$25=4,Dados!$AJ$28,IF($E$25=5,Dados!$AL$28,IF($E$25=6,Dados!$AN$28,IF($E$25=7,Dados!$AP$28,IF($E$25=8,Dados!$AT$28,0)))))))</f>
        <v>0</v>
      </c>
      <c r="DE20" s="316">
        <f>IF($E$26=2,Dados!$AE$28,IF($E$26=3,Dados!$AG$28,IF($E$26=4,Dados!$AI$28,IF($E$26=5,Dados!$AK$28,IF($E$26=6,Dados!$AM$28,IF($E$26=7,Dados!$AO$28,IF($E$26=8,Dados!$AS$28,0)))))))</f>
        <v>0</v>
      </c>
      <c r="DF20" s="304">
        <f>IF($E$26=2,Dados!$AF$28,IF($E$26=3,Dados!$AH$28,IF($E$26=4,Dados!$AJ$28,IF($E$26=5,Dados!$AL$28,IF($E$26=6,Dados!$AN$28,IF($E$26=7,Dados!$AP$28,IF($E$26=8,Dados!$AT$28,0)))))))</f>
        <v>0</v>
      </c>
      <c r="DG20" s="316">
        <f>IF($E$27=2,Dados!$AE$28,IF($E$27=3,Dados!$AG$28,IF($E$27=4,Dados!$AI$28,IF($E$27=5,Dados!$AK$28,IF($E$27=6,Dados!$AM$28,IF($E$27=7,Dados!$AO$28,IF($E$27=8,Dados!$AS$28,0)))))))</f>
        <v>0</v>
      </c>
      <c r="DH20" s="304">
        <f>IF($E$27=2,Dados!$AF$28,IF($E$27=3,Dados!$AH$28,IF($E$27=4,Dados!$AJ$28,IF($E$27=5,Dados!$AL$28,IF($E$27=6,Dados!$AN$28,IF($E$27=7,Dados!$AP$28,IF($E$27=8,Dados!$AT$28,0)))))))</f>
        <v>0</v>
      </c>
      <c r="DI20" s="316">
        <f>IF($E$28=2,Dados!$AE$28,IF($E$28=3,Dados!$AG$28,IF($E$28=4,Dados!$AI$28,IF($E$28=5,Dados!$AK$28,IF($E$28=6,Dados!$AM$28,IF($E$28=7,Dados!$AO$28,IF($E$28=8,Dados!$AS$28,0)))))))</f>
        <v>0</v>
      </c>
      <c r="DJ20" s="304">
        <f>IF($E$28=2,Dados!$AF$28,IF($E$28=3,Dados!$AH$28,IF($E$28=4,Dados!$AJ$28,IF($E$28=5,Dados!$AL$28,IF($E$28=6,Dados!$AN$28,IF($E$28=7,Dados!$AP$28,IF($E$28=8,Dados!$AT$28,0)))))))</f>
        <v>0</v>
      </c>
      <c r="DK20" s="316">
        <f>IF($E$29=2,Dados!$AE$28,IF($E$29=3,Dados!$AG$28,IF($E$29=4,Dados!$AI$28,IF($E$29=5,Dados!$AK$28,IF($E$29=6,Dados!$AM$28,IF($E$29=7,Dados!$AO$28,IF($E$29=8,Dados!$AS$28,0)))))))</f>
        <v>0</v>
      </c>
      <c r="DL20" s="304">
        <f>IF($E$29=2,Dados!$AF$28,IF($E$29=3,Dados!$AH$28,IF($E$29=4,Dados!$AJ$28,IF($E$29=5,Dados!$AL$28,IF($E$29=6,Dados!$AN$28,IF($E$29=7,Dados!$AP$28,IF($E$29=8,Dados!$AT$28,0)))))))</f>
        <v>0</v>
      </c>
      <c r="DN20" s="316">
        <f>IF($E$34=2,Dados!$AE$28,IF($E$34=3,Dados!$AG$28,IF($E$34=4,Dados!$AI$28,IF($E$34=5,Dados!$AK$28,IF($E$34=6,Dados!$AM$28,IF($E$34=7,Dados!$AO$28,IF($E$34=8,Dados!$AS$28,0)))))))</f>
        <v>0</v>
      </c>
      <c r="DO20" s="304">
        <f>IF($E$34=2,Dados!$AF$28,IF($E$34=3,Dados!$AH$28,IF($E$34=4,Dados!$AJ$28,IF($E$34=5,Dados!$AL$28,IF($E$34=6,Dados!$AN$28,IF($E$34=7,Dados!$AP$28,IF($E$34=8,Dados!$AT$28,0)))))))</f>
        <v>0</v>
      </c>
      <c r="DP20" s="316">
        <f>IF($E$35=2,Dados!$AE$28,IF($E$35=3,Dados!$AG$28,IF($E$35=4,Dados!$AI$28,IF($E$35=5,Dados!$AK$28,IF($E$35=6,Dados!$AM$28,IF($E$35=7,Dados!$AO$28,IF($E$35=8,Dados!$AS$28,0)))))))</f>
        <v>0</v>
      </c>
      <c r="DQ20" s="304">
        <f>IF($E$35=2,Dados!$AF$28,IF($E$35=3,Dados!$AH$28,IF($E$35=4,Dados!$AJ$28,IF($E$35=5,Dados!$AL$28,IF($E$35=6,Dados!$AN$28,IF($E$35=7,Dados!$AP$28,IF($E$35=8,Dados!$AT$28,0)))))))</f>
        <v>0</v>
      </c>
      <c r="DR20" s="316">
        <f>IF($E$36=2,Dados!$AE$28,IF($E$36=3,Dados!$AG$28,IF($E$36=4,Dados!$AI$28,IF($E$36=5,Dados!$AK$28,IF($E$36=6,Dados!$AM$28,IF($E$36=7,Dados!$AO$28,IF($E$36=8,Dados!$AS$28,0)))))))</f>
        <v>0</v>
      </c>
      <c r="DS20" s="304">
        <f>IF($E$36=2,Dados!$AF$28,IF($E$36=3,Dados!$AH$28,IF($E$36=4,Dados!$AJ$28,IF($E$36=5,Dados!$AL$28,IF($E$36=6,Dados!$AN$28,IF($E$36=7,Dados!$AP$28,IF($E$36=8,Dados!$AT$28,0)))))))</f>
        <v>0</v>
      </c>
      <c r="DT20" s="316">
        <f>IF($E$37=2,Dados!$AE$28,IF($E$37=3,Dados!$AG$28,IF($E$37=4,Dados!$AI$28,IF($E$37=5,Dados!$AK$28,IF($E$37=6,Dados!$AM$28,IF($E$37=7,Dados!$AO$28,IF($E$37=8,Dados!$AS$28,0)))))))</f>
        <v>0</v>
      </c>
      <c r="DU20" s="304">
        <f>IF($E$37=2,Dados!$AF$28,IF($E$37=3,Dados!$AH$28,IF($E$37=4,Dados!$AJ$28,IF($E$37=5,Dados!$AL$28,IF($E$37=6,Dados!$AN$28,IF($E$37=7,Dados!$AP$28,IF($E$37=8,Dados!$AT$28,0)))))))</f>
        <v>0</v>
      </c>
      <c r="DV20" s="316">
        <f>IF($E$38=2,Dados!$AE$28,IF($E$38=3,Dados!$AG$28,IF($E$38=4,Dados!$AI$28,IF($E$38=5,Dados!$AK$28,IF($E$38=6,Dados!$AM$28,IF($E$38=7,Dados!$AO$28,IF($E$38=8,Dados!$AS$28,0)))))))</f>
        <v>0</v>
      </c>
      <c r="DW20" s="304">
        <f>IF($E$38=2,Dados!$AF$28,IF($E$38=3,Dados!$AH$28,IF($E$38=4,Dados!$AJ$28,IF($E$38=5,Dados!$AL$28,IF($E$38=6,Dados!$AN$28,IF($E$38=7,Dados!$AP$28,IF($E$38=8,Dados!$AT$28,0)))))))</f>
        <v>0</v>
      </c>
      <c r="DY20" s="316">
        <f>IF($E$43=2,Dados!$AE$28,IF($E$43=3,Dados!$AG$28,IF($E$43=4,Dados!$AI$28,IF($E$43=5,Dados!$AK$28,IF($E$43=6,Dados!$AM$28,IF($E$43=7,Dados!$AO$28,IF($E$43=8,Dados!$AS$28,0)))))))</f>
        <v>0</v>
      </c>
      <c r="DZ20" s="304">
        <f>IF($E$43=2,Dados!$AF$28,IF($E$43=3,Dados!$AH$28,IF($E$43=4,Dados!$AJ$28,IF($E$43=5,Dados!$AL$28,IF($E$43=6,Dados!$AN$28,IF($E$43=7,Dados!$AP$28,IF($E$43=8,Dados!$AT$28,0)))))))</f>
        <v>0</v>
      </c>
      <c r="EA20" s="316">
        <f>IF($E$44=2,Dados!$AE$28,IF($E$44=3,Dados!$AG$28,IF($E$44=4,Dados!$AI$28,IF($E$44=5,Dados!$AK$28,IF($E$44=6,Dados!$AM$28,IF($E$44=7,Dados!$AO$28,IF($E$44=8,Dados!$AS$28,0)))))))</f>
        <v>0</v>
      </c>
      <c r="EB20" s="304">
        <f>IF($E$44=2,Dados!$AF$28,IF($E$44=3,Dados!$AH$28,IF($E$44=4,Dados!$AJ$28,IF($E$44=5,Dados!$AL$28,IF($E$44=6,Dados!$AN$28,IF($E$44=7,Dados!$AP$28,IF($E$44=8,Dados!$AT$28,0)))))))</f>
        <v>0</v>
      </c>
      <c r="EC20" s="316">
        <f>IF($E$45=2,Dados!$AE$28,IF($E$45=3,Dados!$AG$28,IF($E$45=4,Dados!$AI$28,IF($E$45=5,Dados!$AK$28,IF($E$45=6,Dados!$AM$28,IF($E$45=7,Dados!$AO$28,IF($E$45=8,Dados!$AS$28,0)))))))</f>
        <v>0</v>
      </c>
      <c r="ED20" s="304">
        <f>IF($E$45=2,Dados!$AF$28,IF($E$45=3,Dados!$AH$28,IF($E$45=4,Dados!$AJ$28,IF($E$45=5,Dados!$AL$28,IF($E$45=6,Dados!$AN$28,IF($E$45=7,Dados!$AP$28,IF($E$45=8,Dados!$AT$28,0)))))))</f>
        <v>0</v>
      </c>
      <c r="EE20" s="316">
        <f>IF($E$46=2,Dados!$AE$28,IF($E$46=3,Dados!$AG$28,IF($E$46=4,Dados!$AI$28,IF($E$46=5,Dados!$AK$28,IF($E$46=6,Dados!$AM$28,IF($E$46=7,Dados!$AO$28,IF($E$46=8,Dados!$AS$28,0)))))))</f>
        <v>0</v>
      </c>
      <c r="EF20" s="304">
        <f>IF($E$46=2,Dados!$AF$28,IF($E$46=3,Dados!$AH$28,IF($E$46=4,Dados!$AJ$28,IF($E$46=5,Dados!$AL$28,IF($E$46=6,Dados!$AN$28,IF($E$46=7,Dados!$AP$28,IF($E$46=8,Dados!$AT$28,0)))))))</f>
        <v>0</v>
      </c>
      <c r="EG20" s="316">
        <f>IF($E$47=2,Dados!$AE$28,IF($E$47=3,Dados!$AG$28,IF($E$47=4,Dados!$AI$28,IF($E$47=5,Dados!$AK$28,IF($E$47=6,Dados!$AM$28,IF($E$47=7,Dados!$AO$28,IF($E$47=8,Dados!$AS$28,0)))))))</f>
        <v>0</v>
      </c>
      <c r="EH20" s="304">
        <f>IF($E$47=2,Dados!$AF$28,IF($E$47=3,Dados!$AH$28,IF($E$47=4,Dados!$AJ$28,IF($E$47=5,Dados!$AL$28,IF($E$47=6,Dados!$AN$28,IF($E$47=7,Dados!$AP$28,IF($E$47=8,Dados!$AT$28,0)))))))</f>
        <v>0</v>
      </c>
      <c r="EJ20" s="316">
        <f>IF($E$52=2,Dados!$AE$28,IF($E$52=3,Dados!$AG$28,IF($E$52=4,Dados!$AI$28,IF($E$52=5,Dados!$AK$28,IF($E$52=6,Dados!$AM$28,IF($E$52=7,Dados!$AO$28,IF($E$52=8,Dados!$AS$28,0)))))))</f>
        <v>0</v>
      </c>
      <c r="EK20" s="304">
        <f>IF($E$52=2,Dados!$AF$28,IF($E$52=3,Dados!$AH$28,IF($E$52=4,Dados!$AJ$28,IF($E$52=5,Dados!$AL$28,IF($E$52=6,Dados!$AN$28,IF($E$52=7,Dados!$AP$28,IF($E$52=8,Dados!$AT$28,0)))))))</f>
        <v>0</v>
      </c>
      <c r="EL20" s="316">
        <f>IF($E$53=2,Dados!$AE$28,IF($E$53=3,Dados!$AG$28,IF($E$53=4,Dados!$AI$28,IF($E$53=5,Dados!$AK$28,IF($E$53=6,Dados!$AM$28,IF($E$53=7,Dados!$AO$28,IF($E$53=8,Dados!$AS$28,0)))))))</f>
        <v>0</v>
      </c>
      <c r="EM20" s="304">
        <f>IF($E$53=2,Dados!$AF$28,IF($E$53=3,Dados!$AH$28,IF($E$53=4,Dados!$AJ$28,IF($E$53=5,Dados!$AL$28,IF($E$53=6,Dados!$AN$28,IF($E$53=7,Dados!$AP$28,IF($E$53=8,Dados!$AT$28,0)))))))</f>
        <v>0</v>
      </c>
      <c r="EN20" s="316">
        <f>IF($E$54=2,Dados!$AE$28,IF($E$54=3,Dados!$AG$28,IF($E$54=4,Dados!$AI$28,IF($E$54=5,Dados!$AK$28,IF($E$54=6,Dados!$AM$28,IF($E$54=7,Dados!$AO$28,IF($E$54=8,Dados!$AS$28,0)))))))</f>
        <v>0</v>
      </c>
      <c r="EO20" s="304">
        <f>IF($E$54=2,Dados!$AF$28,IF($E$54=3,Dados!$AH$28,IF($E$54=4,Dados!$AJ$28,IF($E$54=5,Dados!$AL$28,IF($E$54=6,Dados!$AN$28,IF($E$54=7,Dados!$AP$28,IF($E$54=8,Dados!$AT$28,0)))))))</f>
        <v>0</v>
      </c>
      <c r="EP20" s="316">
        <f>IF($E$55=2,Dados!$AE$28,IF($E$55=3,Dados!$AG$28,IF($E$55=4,Dados!$AI$28,IF($E$55=5,Dados!$AK$28,IF($E$55=6,Dados!$AM$28,IF($E$55=7,Dados!$AO$28,IF($E$55=8,Dados!$AS$28,0)))))))</f>
        <v>0</v>
      </c>
      <c r="EQ20" s="304">
        <f>IF($E$55=2,Dados!$AF$28,IF($E$55=3,Dados!$AH$28,IF($E$55=4,Dados!$AJ$28,IF($E$55=5,Dados!$AL$28,IF($E$55=6,Dados!$AN$28,IF($E$55=7,Dados!$AP$28,IF($E$55=8,Dados!$AT$28,0)))))))</f>
        <v>0</v>
      </c>
      <c r="ER20" s="316">
        <f>IF($E$56=2,Dados!$AE$28,IF($E$56=3,Dados!$AG$28,IF($E$56=4,Dados!$AI$28,IF($E$56=5,Dados!$AK$28,IF($E$56=6,Dados!$AM$28,IF($E$56=7,Dados!$AO$28,IF($E$56=8,Dados!$AS$28,0)))))))</f>
        <v>0</v>
      </c>
      <c r="ES20" s="304">
        <f>IF($E$56=2,Dados!$AF$28,IF($E$56=3,Dados!$AH$28,IF($E$56=4,Dados!$AJ$28,IF($E$56=5,Dados!$AL$28,IF($E$56=6,Dados!$AN$28,IF($E$56=7,Dados!$AP$28,IF($E$56=8,Dados!$AT$28,0)))))))</f>
        <v>0</v>
      </c>
      <c r="EU20" s="316">
        <f>IF($E$61=2,Dados!$AE$28,IF($E$61=3,Dados!$AG$28,IF($E$61=4,Dados!$AI$28,IF($E$61=5,Dados!$AK$28,IF($E$61=6,Dados!$AM$28,IF($E$61=7,Dados!$AO$28,IF($E$61=8,Dados!$AS$28,0)))))))</f>
        <v>0</v>
      </c>
      <c r="EV20" s="304">
        <f>IF($E$61=2,Dados!$AF$28,IF($E$61=3,Dados!$AH$28,IF($E$61=4,Dados!$AJ$28,IF($E$61=5,Dados!$AL$28,IF($E$61=6,Dados!$AN$28,IF($E$61=7,Dados!$AP$28,IF($E$61=8,Dados!$AT$28,0)))))))</f>
        <v>0</v>
      </c>
      <c r="EW20" s="316">
        <f>IF($E$62=2,Dados!$AE$28,IF($E$62=3,Dados!$AG$28,IF($E$62=4,Dados!$AI$28,IF($E$62=5,Dados!$AK$28,IF($E$62=6,Dados!$AM$28,IF($E$62=7,Dados!$AO$28,IF($E$62=8,Dados!$AS$28,0)))))))</f>
        <v>0</v>
      </c>
      <c r="EX20" s="304">
        <f>IF($E$62=2,Dados!$AF$28,IF($E$62=3,Dados!$AH$28,IF($E$62=4,Dados!$AJ$28,IF($E$62=5,Dados!$AL$28,IF($E$62=6,Dados!$AN$28,IF($E$62=7,Dados!$AP$28,IF($E$62=8,Dados!$AT$28,0)))))))</f>
        <v>0</v>
      </c>
      <c r="EY20" s="316">
        <f>IF($E$63=2,Dados!$AE$28,IF($E$63=3,Dados!$AG$28,IF($E$63=4,Dados!$AI$28,IF($E$63=5,Dados!$AK$28,IF($E$63=6,Dados!$AM$28,IF($E$63=7,Dados!$AO$28,IF($E$63=8,Dados!$AS$28,0)))))))</f>
        <v>0</v>
      </c>
      <c r="EZ20" s="304">
        <f>IF($E$63=2,Dados!$AF$28,IF($E$63=3,Dados!$AH$28,IF($E$63=4,Dados!$AJ$28,IF($E$63=5,Dados!$AL$28,IF($E$63=6,Dados!$AN$28,IF($E$63=7,Dados!$AP$28,IF($E$63=8,Dados!$AT$28,0)))))))</f>
        <v>0</v>
      </c>
      <c r="FA20" s="316">
        <f>IF($E$64=2,Dados!$AE$28,IF($E$64=3,Dados!$AG$28,IF($E$64=4,Dados!$AI$28,IF($E$64=5,Dados!$AK$28,IF($E$64=6,Dados!$AM$28,IF($E$64=7,Dados!$AO$28,IF($E$64=8,Dados!$AS$28,0)))))))</f>
        <v>0</v>
      </c>
      <c r="FB20" s="304">
        <f>IF($E$64=2,Dados!$AF$28,IF($E$64=3,Dados!$AH$28,IF($E$64=4,Dados!$AJ$28,IF($E$64=5,Dados!$AL$28,IF($E$64=6,Dados!$AN$28,IF($E$64=7,Dados!$AP$28,IF($E$64=8,Dados!$AT$28,0)))))))</f>
        <v>0</v>
      </c>
      <c r="FC20" s="316">
        <f>IF($E$65=2,Dados!$AE$28,IF($E$65=3,Dados!$AG$28,IF($E$65=4,Dados!$AI$28,IF($E$65=5,Dados!$AK$28,IF($E$65=6,Dados!$AM$28,IF($E$65=7,Dados!$AO$28,IF($E$65=8,Dados!$AS$28,0)))))))</f>
        <v>0</v>
      </c>
      <c r="FD20" s="304">
        <f>IF($E$65=2,Dados!$AF$28,IF($E$65=3,Dados!$AH$28,IF($E$65=4,Dados!$AJ$28,IF($E$65=5,Dados!$AL$28,IF($E$65=6,Dados!$AN$28,IF($E$65=7,Dados!$AP$28,IF($E$65=8,Dados!$AT$28,0)))))))</f>
        <v>0</v>
      </c>
      <c r="FF20" s="316">
        <f>IF($E$70=2,Dados!$AE$28,IF($E$70=3,Dados!$AG$28,IF($E$70=4,Dados!$AI$28,IF($E$70=5,Dados!$AK$28,IF($E$70=6,Dados!$AM$28,IF($E$70=7,Dados!$AO$28,IF($E$70=8,Dados!$AS$28,0)))))))</f>
        <v>0</v>
      </c>
      <c r="FG20" s="304">
        <f>IF($E$70=2,Dados!$AF$28,IF($E$70=3,Dados!$AH$28,IF($E$70=4,Dados!$AJ$28,IF($E$70=5,Dados!$AL$28,IF($E$70=6,Dados!$AN$28,IF($E$70=7,Dados!$AP$28,IF($E$70=8,Dados!$AT$28,0)))))))</f>
        <v>0</v>
      </c>
      <c r="FH20" s="316">
        <f>IF($E$71=2,Dados!$AE$28,IF($E$71=3,Dados!$AG$28,IF($E$71=4,Dados!$AI$28,IF($E$71=5,Dados!$AK$28,IF($E$71=6,Dados!$AM$28,IF($E$71=7,Dados!$AO$28,IF($E$71=8,Dados!$AS$28,0)))))))</f>
        <v>0</v>
      </c>
      <c r="FI20" s="304">
        <f>IF($E$71=2,Dados!$AF$28,IF($E$71=3,Dados!$AH$28,IF($E$71=4,Dados!$AJ$28,IF($E$71=5,Dados!$AL$28,IF($E$71=6,Dados!$AN$28,IF($E$71=7,Dados!$AP$28,IF($E$71=8,Dados!$AT$28,0)))))))</f>
        <v>0</v>
      </c>
      <c r="FJ20" s="316">
        <f>IF($E$72=2,Dados!$AE$28,IF($E$72=3,Dados!$AG$28,IF($E$72=4,Dados!$AI$28,IF($E$72=5,Dados!$AK$28,IF($E$72=6,Dados!$AM$28,IF($E$72=7,Dados!$AO$28,IF($E$72=8,Dados!$AS$28,0)))))))</f>
        <v>0</v>
      </c>
      <c r="FK20" s="304">
        <f>IF($E$72=2,Dados!$AF$28,IF($E$72=3,Dados!$AH$28,IF($E$72=4,Dados!$AJ$28,IF($E$72=5,Dados!$AL$28,IF($E$72=6,Dados!$AN$28,IF($E$72=7,Dados!$AP$28,IF($E$72=8,Dados!$AT$28,0)))))))</f>
        <v>0</v>
      </c>
      <c r="FL20" s="316">
        <f>IF($E$73=2,Dados!$AE$28,IF($E$73=3,Dados!$AG$28,IF($E$73=4,Dados!$AI$28,IF($E$73=5,Dados!$AK$28,IF($E$73=6,Dados!$AM$28,IF($E$73=7,Dados!$AO$28,IF($E$73=8,Dados!$AS$28,0)))))))</f>
        <v>0</v>
      </c>
      <c r="FM20" s="304">
        <f>IF($E$73=2,Dados!$AF$28,IF($E$73=3,Dados!$AH$28,IF($E$73=4,Dados!$AJ$28,IF($E$73=5,Dados!$AL$28,IF($E$73=6,Dados!$AN$28,IF($E$73=7,Dados!$AP$28,IF($E$73=8,Dados!$AT$28,0)))))))</f>
        <v>0</v>
      </c>
      <c r="FN20" s="316">
        <f>IF($E$74=2,Dados!$AE$28,IF($E$74=3,Dados!$AG$28,IF($E$74=4,Dados!$AI$28,IF($E$74=5,Dados!$AK$28,IF($E$74=6,Dados!$AM$28,IF($E$74=7,Dados!$AO$28,IF($E$74=8,Dados!$AS$28,0)))))))</f>
        <v>0</v>
      </c>
      <c r="FO20" s="304">
        <f>IF($E$74=2,Dados!$AF$28,IF($E$74=3,Dados!$AH$28,IF($E$74=4,Dados!$AJ$28,IF($E$74=5,Dados!$AL$28,IF($E$74=6,Dados!$AN$28,IF($E$74=7,Dados!$AP$28,IF($E$74=8,Dados!$AT$28,0)))))))</f>
        <v>0</v>
      </c>
      <c r="FQ20" s="316">
        <f>IF($E$79=2,Dados!$AE$28,IF($E$79=3,Dados!$AG$28,IF($E$79=4,Dados!$AI$28,IF($E$79=5,Dados!$AK$28,IF($E$79=6,Dados!$AM$28,IF($E$79=7,Dados!$AO$28,IF($E$79=8,Dados!$AS$28,0)))))))</f>
        <v>0</v>
      </c>
      <c r="FR20" s="304">
        <f>IF($E$79=2,Dados!$AF$28,IF($E$79=3,Dados!$AH$28,IF($E$79=4,Dados!$AJ$28,IF($E$79=5,Dados!$AL$28,IF($E$79=6,Dados!$AN$28,IF($E$79=7,Dados!$AP$28,IF($E$79=8,Dados!$AT$28,0)))))))</f>
        <v>0</v>
      </c>
      <c r="FS20" s="316">
        <f>IF($E$80=2,Dados!$AE$28,IF($E$80=3,Dados!$AG$28,IF($E$80=4,Dados!$AI$28,IF($E$80=5,Dados!$AK$28,IF($E$80=6,Dados!$AM$28,IF($E$80=7,Dados!$AO$28,IF($E$80=8,Dados!$AS$28,0)))))))</f>
        <v>0</v>
      </c>
      <c r="FT20" s="304">
        <f>IF($E$80=2,Dados!$AF$28,IF($E$80=3,Dados!$AH$28,IF($E$80=4,Dados!$AJ$28,IF($E$80=5,Dados!$AL$28,IF($E$80=6,Dados!$AN$28,IF($E$80=7,Dados!$AP$28,IF($E$80=8,Dados!$AT$28,0)))))))</f>
        <v>0</v>
      </c>
      <c r="FU20" s="316">
        <f>IF($E$81=2,Dados!$AE$28,IF($E$81=3,Dados!$AG$28,IF($E$81=4,Dados!$AI$28,IF($E$81=5,Dados!$AK$28,IF($E$81=6,Dados!$AM$28,IF($E$81=7,Dados!$AO$28,IF($E$81=8,Dados!$AS$28,0)))))))</f>
        <v>0</v>
      </c>
      <c r="FV20" s="304">
        <f>IF($E$81=2,Dados!$AF$28,IF($E$81=3,Dados!$AH$28,IF($E$81=4,Dados!$AJ$28,IF($E$81=5,Dados!$AL$28,IF($E$81=6,Dados!$AN$28,IF($E$81=7,Dados!$AP$28,IF($E$81=8,Dados!$AT$28,0)))))))</f>
        <v>0</v>
      </c>
      <c r="FW20" s="316">
        <f>IF($E$82=2,Dados!$AE$28,IF($E$82=3,Dados!$AG$28,IF($E$82=4,Dados!$AI$28,IF($E$82=5,Dados!$AK$28,IF($E$82=6,Dados!$AM$28,IF($E$82=7,Dados!$AO$28,IF($E$82=8,Dados!$AS$28,0)))))))</f>
        <v>0</v>
      </c>
      <c r="FX20" s="304">
        <f>IF($E$82=2,Dados!$AF$28,IF($E$82=3,Dados!$AH$28,IF($E$82=4,Dados!$AJ$28,IF($E$82=5,Dados!$AL$28,IF($E$82=6,Dados!$AN$28,IF($E$82=7,Dados!$AP$28,IF($E$82=8,Dados!$AT$28,0)))))))</f>
        <v>0</v>
      </c>
      <c r="FY20" s="316">
        <f>IF($E$83=2,Dados!$AE$28,IF($E$83=3,Dados!$AG$28,IF($E$83=4,Dados!$AI$28,IF($E$83=5,Dados!$AK$28,IF($E$83=6,Dados!$AM$28,IF($E$83=7,Dados!$AO$28,IF($E$83=8,Dados!$AS$28,0)))))))</f>
        <v>0</v>
      </c>
      <c r="FZ20" s="304">
        <f>IF($E$83=2,Dados!$AF$28,IF($E$83=3,Dados!$AH$28,IF($E$83=4,Dados!$AJ$28,IF($E$83=5,Dados!$AL$28,IF($E$83=6,Dados!$AN$28,IF($E$83=7,Dados!$AP$28,IF($E$83=8,Dados!$AT$28,0)))))))</f>
        <v>0</v>
      </c>
      <c r="GB20" s="316">
        <f>IF($E$88=2,Dados!$AE$28,IF($E$88=3,Dados!$AG$28,IF($E$88=4,Dados!$AI$28,IF($E$88=5,Dados!$AK$28,IF($E$88=6,Dados!$AM$28,IF($E$88=7,Dados!$AO$28,IF($E$88=8,Dados!$AS$28,0)))))))</f>
        <v>0</v>
      </c>
      <c r="GC20" s="304">
        <f>IF($E$88=2,Dados!$AF$28,IF($E$88=3,Dados!$AH$28,IF($E$88=4,Dados!$AJ$28,IF($E$88=5,Dados!$AL$28,IF($E$88=6,Dados!$AN$28,IF($E$88=7,Dados!$AP$28,IF($E$88=8,Dados!$AT$28,0)))))))</f>
        <v>0</v>
      </c>
      <c r="GD20" s="316">
        <f>IF($E$89=2,Dados!$AE$28,IF($E$89=3,Dados!$AG$28,IF($E$89=4,Dados!$AI$28,IF($E$89=5,Dados!$AK$28,IF($E$89=6,Dados!$AM$28,IF($E$89=7,Dados!$AO$28,IF($E$89=8,Dados!$AS$28,0)))))))</f>
        <v>0</v>
      </c>
      <c r="GE20" s="304">
        <f>IF($E$89=2,Dados!$AF$28,IF($E$89=3,Dados!$AH$28,IF($E$89=4,Dados!$AJ$28,IF($E$89=5,Dados!$AL$28,IF($E$89=6,Dados!$AN$28,IF($E$89=7,Dados!$AP$28,IF($E$89=8,Dados!$AT$28,0)))))))</f>
        <v>0</v>
      </c>
      <c r="GF20" s="316">
        <f>IF($E$90=2,Dados!$AE$28,IF($E$90=3,Dados!$AG$28,IF($E$90=4,Dados!$AI$28,IF($E$90=5,Dados!$AK$28,IF($E$90=6,Dados!$AM$28,IF($E$90=7,Dados!$AO$28,IF($E$90=8,Dados!$AS$28,0)))))))</f>
        <v>0</v>
      </c>
      <c r="GG20" s="304">
        <f>IF($E$90=2,Dados!$AF$28,IF($E$90=3,Dados!$AH$28,IF($E$90=4,Dados!$AJ$28,IF($E$90=5,Dados!$AL$28,IF($E$90=6,Dados!$AN$28,IF($E$90=7,Dados!$AP$28,IF($E$90=8,Dados!$AT$28,0)))))))</f>
        <v>0</v>
      </c>
      <c r="GH20" s="316">
        <f>IF($E$91=2,Dados!$AE$28,IF($E$91=3,Dados!$AG$28,IF($E$91=4,Dados!$AI$28,IF($E$91=5,Dados!$AK$28,IF($E$91=6,Dados!$AM$28,IF($E$91=7,Dados!$AO$28,IF($E$91=8,Dados!$AS$28,0)))))))</f>
        <v>0</v>
      </c>
      <c r="GI20" s="304">
        <f>IF($E$91=2,Dados!$AF$28,IF($E$91=3,Dados!$AH$28,IF($E$91=4,Dados!$AJ$28,IF($E$91=5,Dados!$AL$28,IF($E$91=6,Dados!$AN$28,IF($E$91=7,Dados!$AP$28,IF($E$91=8,Dados!$AT$28,0)))))))</f>
        <v>0</v>
      </c>
      <c r="GJ20" s="316">
        <f>IF($E$92=2,Dados!$AE$28,IF($E$92=3,Dados!$AG$28,IF($E$92=4,Dados!$AI$28,IF($E$92=5,Dados!$AK$28,IF($E$92=6,Dados!$AM$28,IF($E$92=7,Dados!$AO$28,IF($E$92=8,Dados!$AS$28,0)))))))</f>
        <v>0</v>
      </c>
      <c r="GK20" s="304">
        <f>IF($E$92=2,Dados!$AF$28,IF($E$92=3,Dados!$AH$28,IF($E$92=4,Dados!$AJ$28,IF($E$92=5,Dados!$AL$28,IF($E$92=6,Dados!$AN$28,IF($E$92=7,Dados!$AP$28,IF($E$92=8,Dados!$AT$28,0)))))))</f>
        <v>0</v>
      </c>
      <c r="GM20" s="316">
        <f>IF($E$97=2,Dados!$AE$28,IF($E$97=3,Dados!$AG$28,IF($E$97=4,Dados!$AI$28,IF($E$97=5,Dados!$AK$28,IF($E$97=6,Dados!$AM$28,IF($E$97=7,Dados!$AO$28,IF($E$97=8,Dados!$AS$28,0)))))))</f>
        <v>0</v>
      </c>
      <c r="GN20" s="304">
        <f>IF($E$97=2,Dados!$AF$28,IF($E$97=3,Dados!$AH$28,IF($E$97=4,Dados!$AJ$28,IF($E$97=5,Dados!$AL$28,IF($E$97=6,Dados!$AN$28,IF($E$97=7,Dados!$AP$28,IF($E$97=8,Dados!$AT$28,0)))))))</f>
        <v>0</v>
      </c>
      <c r="GO20" s="316">
        <f>IF($E$98=2,Dados!$AE$28,IF($E$98=3,Dados!$AG$28,IF($E$98=4,Dados!$AI$28,IF($E$98=5,Dados!$AK$28,IF($E$98=6,Dados!$AM$28,IF($E$98=7,Dados!$AO$28,IF($E$98=8,Dados!$AS$28,0)))))))</f>
        <v>0</v>
      </c>
      <c r="GP20" s="304">
        <f>IF($E$98=2,Dados!$AF$28,IF($E$98=3,Dados!$AH$28,IF($E$98=4,Dados!$AJ$28,IF($E$98=5,Dados!$AL$28,IF($E$98=6,Dados!$AN$28,IF($E$98=7,Dados!$AP$28,IF($E$98=8,Dados!$AT$28,0)))))))</f>
        <v>0</v>
      </c>
      <c r="GQ20" s="316">
        <f>IF($E$99=2,Dados!$AE$28,IF($E$99=3,Dados!$AG$28,IF($E$99=4,Dados!$AI$28,IF($E$99=5,Dados!$AK$28,IF($E$99=6,Dados!$AM$28,IF($E$99=7,Dados!$AO$28,IF($E$99=8,Dados!$AS$28,0)))))))</f>
        <v>0</v>
      </c>
      <c r="GR20" s="304">
        <f>IF($E$99=2,Dados!$AF$28,IF($E$99=3,Dados!$AH$28,IF($E$99=4,Dados!$AJ$28,IF($E$99=5,Dados!$AL$28,IF($E$99=6,Dados!$AN$28,IF($E$99=7,Dados!$AP$28,IF($E$99=8,Dados!$AT$28,0)))))))</f>
        <v>0</v>
      </c>
      <c r="GS20" s="316">
        <f>IF($E$100=2,Dados!$AE$28,IF($E$100=3,Dados!$AG$28,IF($E$100=4,Dados!$AI$28,IF($E$100=5,Dados!$AK$28,IF($E$100=6,Dados!$AM$28,IF($E$100=7,Dados!$AO$28,IF($E$100=8,Dados!$AS$28,0)))))))</f>
        <v>0</v>
      </c>
      <c r="GT20" s="304">
        <f>IF($E$100=2,Dados!$AF$28,IF($E$100=3,Dados!$AH$28,IF($E$100=4,Dados!$AJ$28,IF($E$100=5,Dados!$AL$28,IF($E$100=6,Dados!$AN$28,IF($E$100=7,Dados!$AP$28,IF($E$100=8,Dados!$AT$28,0)))))))</f>
        <v>0</v>
      </c>
      <c r="GU20" s="316">
        <f>IF($E$101=2,Dados!$AE$28,IF($E$101=3,Dados!$AG$28,IF($E$101=4,Dados!$AI$28,IF($E$101=5,Dados!$AK$28,IF($E$101=6,Dados!$AM$28,IF($E$101=7,Dados!$AO$28,IF($E$101=8,Dados!$AS$28,0)))))))</f>
        <v>0</v>
      </c>
      <c r="GV20" s="304">
        <f>IF($E$101=2,Dados!$AF$28,IF($E$101=3,Dados!$AH$28,IF($E$101=4,Dados!$AJ$28,IF($E$101=5,Dados!$AL$28,IF($E$101=6,Dados!$AN$28,IF($E$101=7,Dados!$AP$28,IF($E$101=8,Dados!$AT$28,0)))))))</f>
        <v>0</v>
      </c>
      <c r="GX20" s="316">
        <f>IF($E$106=2,Dados!$AE$28,IF($E$106=3,Dados!$AG$28,IF($E$106=4,Dados!$AI$28,IF($E$106=5,Dados!$AK$28,IF($E$106=6,Dados!$AM$28,IF($E$106=7,Dados!$AO$28,IF($E$106=8,Dados!$AS$28,0)))))))</f>
        <v>0</v>
      </c>
      <c r="GY20" s="304">
        <f>IF($E$106=2,Dados!$AF$28,IF($E$106=3,Dados!$AH$28,IF($E$106=4,Dados!$AJ$28,IF($E$106=5,Dados!$AL$28,IF($E$106=6,Dados!$AN$28,IF($E$106=7,Dados!$AP$28,IF($E$106=8,Dados!$AT$28,0)))))))</f>
        <v>0</v>
      </c>
      <c r="GZ20" s="316">
        <f>IF($E$107=2,Dados!$AE$28,IF($E$107=3,Dados!$AG$28,IF($E$107=4,Dados!$AI$28,IF($E$107=5,Dados!$AK$28,IF($E$107=6,Dados!$AM$28,IF($E$107=7,Dados!$AO$28,IF($E$107=8,Dados!$AS$28,0)))))))</f>
        <v>0</v>
      </c>
      <c r="HA20" s="304">
        <f>IF($E$107=2,Dados!$AF$28,IF($E$107=3,Dados!$AH$28,IF($E$107=4,Dados!$AJ$28,IF($E$107=5,Dados!$AL$28,IF($E$107=6,Dados!$AN$28,IF($E$107=7,Dados!$AP$28,IF($E$107=8,Dados!$AT$28,0)))))))</f>
        <v>0</v>
      </c>
      <c r="HB20" s="316">
        <f>IF($E$108=2,Dados!$AE$28,IF($E$108=3,Dados!$AG$28,IF($E$108=4,Dados!$AI$28,IF($E$108=5,Dados!$AK$28,IF($E$108=6,Dados!$AM$28,IF($E$108=7,Dados!$AO$28,IF($E$108=8,Dados!$AS$28,0)))))))</f>
        <v>0</v>
      </c>
      <c r="HC20" s="304">
        <f>IF($E$108=2,Dados!$AF$28,IF($E$108=3,Dados!$AH$28,IF($E$108=4,Dados!$AJ$28,IF($E$108=5,Dados!$AL$28,IF($E$108=6,Dados!$AN$28,IF($E$108=7,Dados!$AP$28,IF($E$108=8,Dados!$AT$28,0)))))))</f>
        <v>0</v>
      </c>
      <c r="HD20" s="316">
        <f>IF($E$109=2,Dados!$AE$28,IF($E$109=3,Dados!$AG$28,IF($E$109=4,Dados!$AI$28,IF($E$109=5,Dados!$AK$28,IF($E$109=6,Dados!$AM$28,IF($E$109=7,Dados!$AO$28,IF($E$109=8,Dados!$AS$28,0)))))))</f>
        <v>0</v>
      </c>
      <c r="HE20" s="304">
        <f>IF($E$109=2,Dados!$AF$28,IF($E$109=3,Dados!$AH$28,IF($E$109=4,Dados!$AJ$28,IF($E$109=5,Dados!$AL$28,IF($E$109=6,Dados!$AN$28,IF($E$109=7,Dados!$AP$28,IF($E$109=8,Dados!$AT$28,0)))))))</f>
        <v>0</v>
      </c>
      <c r="HF20" s="316">
        <f>IF($E$110=2,Dados!$AE$28,IF($E$110=3,Dados!$AG$28,IF($E$110=4,Dados!$AI$28,IF($E$110=5,Dados!$AK$28,IF($E$110=6,Dados!$AM$28,IF($E$110=7,Dados!$AO$28,IF($E$110=8,Dados!$AS$28,0)))))))</f>
        <v>0</v>
      </c>
      <c r="HG20" s="304">
        <f>IF($E$110=2,Dados!$AF$28,IF($E$110=3,Dados!$AH$28,IF($E$110=4,Dados!$AJ$28,IF($E$110=5,Dados!$AL$28,IF($E$110=6,Dados!$AN$28,IF($E$110=7,Dados!$AP$28,IF($E$110=8,Dados!$AT$28,0)))))))</f>
        <v>0</v>
      </c>
    </row>
    <row r="21" spans="3:215" x14ac:dyDescent="0.2">
      <c r="C21" s="156">
        <f>SUM(C16:C20)</f>
        <v>0</v>
      </c>
      <c r="AE21" s="1160" t="str">
        <f>Rebanho!C63</f>
        <v>Bezerras desmamadas (Engorda)</v>
      </c>
      <c r="AF21" s="1195">
        <f>IF(Rebanho!E63&gt;0,1,0)</f>
        <v>0</v>
      </c>
      <c r="AG21" s="1193">
        <f>Rebanho!E63</f>
        <v>0</v>
      </c>
      <c r="AH21" s="1336">
        <f>Rebanho!AS60</f>
        <v>0</v>
      </c>
      <c r="AI21" s="1178">
        <f>((SUMIFS($Z$7:$Z$110,$E$7:$E$110,"=2",$N$7:$N$110,"=16")+SUMIFS($Z$7:$Z$110,$E$7:$E$110,"=2",$N$7:$N$110,"=19")))*($AF$21)</f>
        <v>0</v>
      </c>
      <c r="AJ21" s="1178">
        <f>((SUMIFS($Z$7:$Z$110,$E$7:$E$110,"=3",$N$7:$N$110,"=16")+SUMIFS($Z$7:$Z$110,$E$7:$E$110,"=3",$N$7:$N$110,"=19")))*($AF$21)</f>
        <v>0</v>
      </c>
      <c r="AK21" s="1178">
        <f>((SUMIFS($Z$7:$Z$110,$E$7:$E$110,"=4",$N$7:$N$110,"=16")+SUMIFS($Z$7:$Z$110,$E$7:$E$110,"=4",$N$7:$N$110,"=19")))*($AF$21)</f>
        <v>0</v>
      </c>
      <c r="AL21" s="1178">
        <f>((SUMIFS($Z$7:$Z$110,$E$7:$E$110,"=5",$N$7:$N$110,"=16")+SUMIFS($Z$7:$Z$110,$E$7:$E$110,"=5",$N$7:$N$110,"=19")))*($AF$21)</f>
        <v>0</v>
      </c>
      <c r="AM21" s="1178">
        <f>((SUMIFS($Z$7:$Z$110,$E$7:$E$110,"=6",$N$7:$N$110,"=16")+SUMIFS($Z$7:$Z$110,$E$7:$E$110,"=6",$N$7:$N$110,"=19")))*($AF$21)</f>
        <v>0</v>
      </c>
      <c r="AN21" s="1178">
        <f>((SUMIFS($Z$7:$Z$110,$E$7:$E$110,"=7",$N$7:$N$110,"=16")+SUMIFS($Z$7:$Z$110,$E$7:$E$110,"=7",$N$7:$N$110,"=19")))*($AF$21)</f>
        <v>0</v>
      </c>
      <c r="AO21" s="1208">
        <f>((SUMIFS($Z$7:$Z$110,$E$7:$E$110,"=8",$N$7:$N$110,"=16")+SUMIFS($Z$7:$Z$110,$E$7:$E$110,"=8",$N$7:$N$110,"=19")))*($AF$21)</f>
        <v>0</v>
      </c>
      <c r="AP21" s="1208">
        <f t="shared" si="3"/>
        <v>0</v>
      </c>
      <c r="AQ21" s="1184">
        <f t="shared" si="2"/>
        <v>0</v>
      </c>
      <c r="AW21" s="4" t="s">
        <v>634</v>
      </c>
      <c r="AX21" s="94">
        <f>IF($E16=7,$V16,0)</f>
        <v>0</v>
      </c>
      <c r="AY21" s="94">
        <f>IF($E17=7,$V17,0)</f>
        <v>0</v>
      </c>
      <c r="AZ21" s="94">
        <f>IF($E18=7,$V18,0)</f>
        <v>0</v>
      </c>
      <c r="BA21" s="94">
        <f>IF($E19=7,$V19,0)</f>
        <v>0</v>
      </c>
      <c r="BB21" s="94">
        <f>IF($E20=7,$V20,0)</f>
        <v>0</v>
      </c>
      <c r="BC21" s="200">
        <f t="shared" si="4"/>
        <v>0</v>
      </c>
      <c r="CF21" s="93">
        <v>16</v>
      </c>
      <c r="CG21" s="316">
        <f>IF($E$7=2,Dados!$AE$29,IF($E$7=3,Dados!$AG$29,IF($E$7=4,Dados!$AI$29,IF($E$7=5,Dados!$AK$29,IF($E$7=6,Dados!$AM$29,IF($E$7=7,Dados!$AO$29,IF($E$7=8,Dados!$AS$29,0)))))))</f>
        <v>0</v>
      </c>
      <c r="CH21" s="304">
        <f>IF($E$7=2,Dados!$AF$29,IF($E$7=3,Dados!$AH$29,IF($E$7=4,Dados!$AJ$29,IF($E$7=5,Dados!$AL$29,IF($E$7=6,Dados!$AN$29,IF($E$7=7,Dados!$AP$29,IF($E$7=8,Dados!$AT$29,0)))))))</f>
        <v>0</v>
      </c>
      <c r="CI21" s="316">
        <f>IF($E$8=2,Dados!$AE$29,IF($E$8=3,Dados!$AG$29,IF($E$8=4,Dados!$AI$29,IF($E$8=5,Dados!$AK$29,IF($E$8=6,Dados!$AM$29,IF($E$8=7,Dados!$AO$29,IF($E$8=8,Dados!$AS$29,0)))))))</f>
        <v>0</v>
      </c>
      <c r="CJ21" s="304">
        <f>IF($E$8=2,Dados!$AF$29,IF($E$8=3,Dados!$AH$29,IF($E$8=4,Dados!$AJ$29,IF($E$8=5,Dados!$AL$29,IF($E$8=6,Dados!$AN$29,IF($E$8=7,Dados!$AP$29,IF($E$8=8,Dados!$AT$29,0)))))))</f>
        <v>0</v>
      </c>
      <c r="CK21" s="316">
        <f>IF($E$9=2,Dados!$AE$29,IF($E$9=3,Dados!$AG$29,IF($E$9=4,Dados!$AI$29,IF($E$9=5,Dados!$AK$29,IF($E$9=6,Dados!$AM$29,IF($E$9=7,Dados!$AO$29,IF($E$9=8,Dados!$AS$29,0)))))))</f>
        <v>0</v>
      </c>
      <c r="CL21" s="304">
        <f>IF($E$9=2,Dados!$AF$29,IF($E$9=3,Dados!$AH$29,IF($E$9=4,Dados!$AJ$29,IF($E$9=5,Dados!$AL$29,IF($E$9=6,Dados!$AN$29,IF($E$9=7,Dados!$AP$29,IF($E$9=8,Dados!$AT$29,0)))))))</f>
        <v>0</v>
      </c>
      <c r="CM21" s="316">
        <f>IF($E$10=2,Dados!$AE$29,IF($E$10=3,Dados!$AG$29,IF($E$10=4,Dados!$AI$29,IF($E$10=5,Dados!$AK$29,IF($E$10=6,Dados!$AM$29,IF($E$10=7,Dados!$AO$29,IF($E$10=8,Dados!$AS$29,0)))))))</f>
        <v>0</v>
      </c>
      <c r="CN21" s="304">
        <f>IF($E$10=2,Dados!$AF$29,IF($E$10=3,Dados!$AH$29,IF($E$10=4,Dados!$AJ$29,IF($E$10=5,Dados!$AL$29,IF($E$10=6,Dados!$AN$29,IF($E$10=7,Dados!$AP$29,IF($E$10=8,Dados!$AT$29,0)))))))</f>
        <v>0</v>
      </c>
      <c r="CO21" s="316">
        <f>IF($E$11=2,Dados!$AE$29,IF($E$11=3,Dados!$AG$29,IF($E$11=4,Dados!$AI$29,IF($E$11=5,Dados!$AK$29,IF($E$11=6,Dados!$AM$29,IF($E$11=7,Dados!$AO$29,IF($E$11=8,Dados!$AS$29,0)))))))</f>
        <v>0</v>
      </c>
      <c r="CP21" s="304">
        <f>IF($E$11=2,Dados!$AF$29,IF($E$11=3,Dados!$AH$29,IF($E$11=4,Dados!$AJ$29,IF($E$11=5,Dados!$AL$29,IF($E$11=6,Dados!$AN$29,IF($E$11=7,Dados!$AP$29,IF($E$11=8,Dados!$AT$29,0)))))))</f>
        <v>0</v>
      </c>
      <c r="CR21" s="316">
        <f>IF($E$16=2,Dados!$AE$29,IF($E$16=3,Dados!$AG$29,IF($E$16=4,Dados!$AI$29,IF($E$16=5,Dados!$AK$29,IF($E$16=6,Dados!$AM$29,IF($E$16=7,Dados!$AO$29,IF($E$16=8,Dados!$AS$29,0)))))))</f>
        <v>0</v>
      </c>
      <c r="CS21" s="304">
        <f>IF($E$16=2,Dados!$AF$29,IF($E$16=3,Dados!$AH$29,IF($E$16=4,Dados!$AJ$29,IF($E$16=5,Dados!$AL$29,IF($E$16=6,Dados!$AN$29,IF($E$16=7,Dados!$AP$29,IF($E$16=8,Dados!$AT$29,0)))))))</f>
        <v>0</v>
      </c>
      <c r="CT21" s="316">
        <f>IF($E$17=2,Dados!$AE$29,IF($E$17=3,Dados!$AG$29,IF($E$17=4,Dados!$AI$29,IF($E$17=5,Dados!$AK$29,IF($E$17=6,Dados!$AM$29,IF($E$17=7,Dados!$AO$29,IF($E$17=8,Dados!$AS$29,0)))))))</f>
        <v>0</v>
      </c>
      <c r="CU21" s="304">
        <f>IF($E$17=2,Dados!$AF$29,IF($E$17=3,Dados!$AH$29,IF($E$17=4,Dados!$AJ$29,IF($E$17=5,Dados!$AL$29,IF($E$17=6,Dados!$AN$29,IF($E$17=7,Dados!$AP$29,IF($E$17=8,Dados!$AT$29,0)))))))</f>
        <v>0</v>
      </c>
      <c r="CV21" s="316">
        <f>IF($E$18=2,Dados!$AE$29,IF($E$18=3,Dados!$AG$29,IF($E$18=4,Dados!$AI$29,IF($E$18=5,Dados!$AK$29,IF($E$18=6,Dados!$AM$29,IF($E$18=7,Dados!$AO$29,IF($E$18=8,Dados!$AS$29,0)))))))</f>
        <v>0</v>
      </c>
      <c r="CW21" s="304">
        <f>IF($E$18=2,Dados!$AF$29,IF($E$18=3,Dados!$AH$29,IF($E$18=4,Dados!$AJ$29,IF($E$18=5,Dados!$AL$29,IF($E$18=6,Dados!$AN$29,IF($E$18=7,Dados!$AP$29,IF($E$18=8,Dados!$AT$29,0)))))))</f>
        <v>0</v>
      </c>
      <c r="CX21" s="316">
        <f>IF($E$19=2,Dados!$AE$29,IF($E$19=3,Dados!$AG$29,IF($E$19=4,Dados!$AI$29,IF($E$19=5,Dados!$AK$29,IF($E$19=6,Dados!$AM$29,IF($E$19=7,Dados!$AO$29,IF($E$19=8,Dados!$AS$29,0)))))))</f>
        <v>0</v>
      </c>
      <c r="CY21" s="304">
        <f>IF($E$19=2,Dados!$AF$29,IF($E$19=3,Dados!$AH$29,IF($E$19=4,Dados!$AJ$29,IF($E$19=5,Dados!$AL$29,IF($E$19=6,Dados!$AN$29,IF($E$19=7,Dados!$AP$29,IF($E$19=8,Dados!$AT$29,0)))))))</f>
        <v>0</v>
      </c>
      <c r="CZ21" s="316">
        <f>IF($E$20=2,Dados!$AE$29,IF($E$20=3,Dados!$AG$29,IF($E$20=4,Dados!$AI$29,IF($E$20=5,Dados!$AK$29,IF($E$20=6,Dados!$AM$29,IF($E$20=7,Dados!$AO$29,IF($E$20=8,Dados!$AS$29,0)))))))</f>
        <v>0</v>
      </c>
      <c r="DA21" s="304">
        <f>IF($E$20=2,Dados!$AF$29,IF($E$20=3,Dados!$AH$29,IF($E$20=4,Dados!$AJ$29,IF($E$20=5,Dados!$AL$29,IF($E$20=6,Dados!$AN$29,IF($E$20=7,Dados!$AP$29,IF($E$20=8,Dados!$AT$29,0)))))))</f>
        <v>0</v>
      </c>
      <c r="DC21" s="316">
        <f>IF($E$25=2,Dados!$AE$29,IF($E$25=3,Dados!$AG$29,IF($E$25=4,Dados!$AI$29,IF($E$25=5,Dados!$AK$29,IF($E$25=6,Dados!$AM$29,IF($E$25=7,Dados!$AO$29,IF($E$25=8,Dados!$AS$29,0)))))))</f>
        <v>0</v>
      </c>
      <c r="DD21" s="304">
        <f>IF($E$25=2,Dados!$AF$29,IF($E$25=3,Dados!$AH$29,IF($E$25=4,Dados!$AJ$29,IF($E$25=5,Dados!$AL$29,IF($E$25=6,Dados!$AN$29,IF($E$25=7,Dados!$AP$29,IF($E$25=8,Dados!$AT$29,0)))))))</f>
        <v>0</v>
      </c>
      <c r="DE21" s="316">
        <f>IF($E$26=2,Dados!$AE$29,IF($E$26=3,Dados!$AG$29,IF($E$26=4,Dados!$AI$29,IF($E$26=5,Dados!$AK$29,IF($E$26=6,Dados!$AM$29,IF($E$26=7,Dados!$AO$29,IF($E$26=8,Dados!$AS$29,0)))))))</f>
        <v>0</v>
      </c>
      <c r="DF21" s="304">
        <f>IF($E$26=2,Dados!$AF$29,IF($E$26=3,Dados!$AH$29,IF($E$26=4,Dados!$AJ$29,IF($E$26=5,Dados!$AL$29,IF($E$26=6,Dados!$AN$29,IF($E$26=7,Dados!$AP$29,IF($E$26=8,Dados!$AT$29,0)))))))</f>
        <v>0</v>
      </c>
      <c r="DG21" s="316">
        <f>IF($E$27=2,Dados!$AE$29,IF($E$27=3,Dados!$AG$29,IF($E$27=4,Dados!$AI$29,IF($E$27=5,Dados!$AK$29,IF($E$27=6,Dados!$AM$29,IF($E$27=7,Dados!$AO$29,IF($E$27=8,Dados!$AS$29,0)))))))</f>
        <v>0</v>
      </c>
      <c r="DH21" s="304">
        <f>IF($E$27=2,Dados!$AF$29,IF($E$27=3,Dados!$AH$29,IF($E$27=4,Dados!$AJ$29,IF($E$27=5,Dados!$AL$29,IF($E$27=6,Dados!$AN$29,IF($E$27=7,Dados!$AP$29,IF($E$27=8,Dados!$AT$29,0)))))))</f>
        <v>0</v>
      </c>
      <c r="DI21" s="316">
        <f>IF($E$28=2,Dados!$AE$29,IF($E$28=3,Dados!$AG$29,IF($E$28=4,Dados!$AI$29,IF($E$28=5,Dados!$AK$29,IF($E$28=6,Dados!$AM$29,IF($E$28=7,Dados!$AO$29,IF($E$28=8,Dados!$AS$29,0)))))))</f>
        <v>0</v>
      </c>
      <c r="DJ21" s="304">
        <f>IF($E$28=2,Dados!$AF$29,IF($E$28=3,Dados!$AH$29,IF($E$28=4,Dados!$AJ$29,IF($E$28=5,Dados!$AL$29,IF($E$28=6,Dados!$AN$29,IF($E$28=7,Dados!$AP$29,IF($E$28=8,Dados!$AT$29,0)))))))</f>
        <v>0</v>
      </c>
      <c r="DK21" s="316">
        <f>IF($E$29=2,Dados!$AE$29,IF($E$29=3,Dados!$AG$29,IF($E$29=4,Dados!$AI$29,IF($E$29=5,Dados!$AK$29,IF($E$29=6,Dados!$AM$29,IF($E$29=7,Dados!$AO$29,IF($E$29=8,Dados!$AS$29,0)))))))</f>
        <v>0</v>
      </c>
      <c r="DL21" s="304">
        <f>IF($E$29=2,Dados!$AF$29,IF($E$29=3,Dados!$AH$29,IF($E$29=4,Dados!$AJ$29,IF($E$29=5,Dados!$AL$29,IF($E$29=6,Dados!$AN$29,IF($E$29=7,Dados!$AP$29,IF($E$29=8,Dados!$AT$29,0)))))))</f>
        <v>0</v>
      </c>
      <c r="DN21" s="316">
        <f>IF($E$34=2,Dados!$AE$29,IF($E$34=3,Dados!$AG$29,IF($E$34=4,Dados!$AI$29,IF($E$34=5,Dados!$AK$29,IF($E$34=6,Dados!$AM$29,IF($E$34=7,Dados!$AO$29,IF($E$34=8,Dados!$AS$29,0)))))))</f>
        <v>0</v>
      </c>
      <c r="DO21" s="304">
        <f>IF($E$34=2,Dados!$AF$29,IF($E$34=3,Dados!$AH$29,IF($E$34=4,Dados!$AJ$29,IF($E$34=5,Dados!$AL$29,IF($E$34=6,Dados!$AN$29,IF($E$34=7,Dados!$AP$29,IF($E$34=8,Dados!$AT$29,0)))))))</f>
        <v>0</v>
      </c>
      <c r="DP21" s="316">
        <f>IF($E$35=2,Dados!$AE$29,IF($E$35=3,Dados!$AG$29,IF($E$35=4,Dados!$AI$29,IF($E$35=5,Dados!$AK$29,IF($E$35=6,Dados!$AM$29,IF($E$35=7,Dados!$AO$29,IF($E$35=8,Dados!$AS$29,0)))))))</f>
        <v>0</v>
      </c>
      <c r="DQ21" s="304">
        <f>IF($E$35=2,Dados!$AF$29,IF($E$35=3,Dados!$AH$29,IF($E$35=4,Dados!$AJ$29,IF($E$35=5,Dados!$AL$29,IF($E$35=6,Dados!$AN$29,IF($E$35=7,Dados!$AP$29,IF($E$35=8,Dados!$AT$29,0)))))))</f>
        <v>0</v>
      </c>
      <c r="DR21" s="316">
        <f>IF($E$36=2,Dados!$AE$29,IF($E$36=3,Dados!$AG$29,IF($E$36=4,Dados!$AI$29,IF($E$36=5,Dados!$AK$29,IF($E$36=6,Dados!$AM$29,IF($E$36=7,Dados!$AO$29,IF($E$36=8,Dados!$AS$29,0)))))))</f>
        <v>0</v>
      </c>
      <c r="DS21" s="304">
        <f>IF($E$36=2,Dados!$AF$29,IF($E$36=3,Dados!$AH$29,IF($E$36=4,Dados!$AJ$29,IF($E$36=5,Dados!$AL$29,IF($E$36=6,Dados!$AN$29,IF($E$36=7,Dados!$AP$29,IF($E$36=8,Dados!$AT$29,0)))))))</f>
        <v>0</v>
      </c>
      <c r="DT21" s="316">
        <f>IF($E$37=2,Dados!$AE$29,IF($E$37=3,Dados!$AG$29,IF($E$37=4,Dados!$AI$29,IF($E$37=5,Dados!$AK$29,IF($E$37=6,Dados!$AM$29,IF($E$37=7,Dados!$AO$29,IF($E$37=8,Dados!$AS$29,0)))))))</f>
        <v>0</v>
      </c>
      <c r="DU21" s="304">
        <f>IF($E$37=2,Dados!$AF$29,IF($E$37=3,Dados!$AH$29,IF($E$37=4,Dados!$AJ$29,IF($E$37=5,Dados!$AL$29,IF($E$37=6,Dados!$AN$29,IF($E$37=7,Dados!$AP$29,IF($E$37=8,Dados!$AT$29,0)))))))</f>
        <v>0</v>
      </c>
      <c r="DV21" s="316">
        <f>IF($E$38=2,Dados!$AE$29,IF($E$38=3,Dados!$AG$29,IF($E$38=4,Dados!$AI$29,IF($E$38=5,Dados!$AK$29,IF($E$38=6,Dados!$AM$29,IF($E$38=7,Dados!$AO$29,IF($E$38=8,Dados!$AS$29,0)))))))</f>
        <v>0</v>
      </c>
      <c r="DW21" s="304">
        <f>IF($E$38=2,Dados!$AF$29,IF($E$38=3,Dados!$AH$29,IF($E$38=4,Dados!$AJ$29,IF($E$38=5,Dados!$AL$29,IF($E$38=6,Dados!$AN$29,IF($E$38=7,Dados!$AP$29,IF($E$38=8,Dados!$AT$29,0)))))))</f>
        <v>0</v>
      </c>
      <c r="DY21" s="316">
        <f>IF($E$43=2,Dados!$AE$29,IF($E$43=3,Dados!$AG$29,IF($E$43=4,Dados!$AI$29,IF($E$43=5,Dados!$AK$29,IF($E$43=6,Dados!$AM$29,IF($E$43=7,Dados!$AO$29,IF($E$43=8,Dados!$AS$29,0)))))))</f>
        <v>0</v>
      </c>
      <c r="DZ21" s="304">
        <f>IF($E$43=2,Dados!$AF$29,IF($E$43=3,Dados!$AH$29,IF($E$43=4,Dados!$AJ$29,IF($E$43=5,Dados!$AL$29,IF($E$43=6,Dados!$AN$29,IF($E$43=7,Dados!$AP$29,IF($E$43=8,Dados!$AT$29,0)))))))</f>
        <v>0</v>
      </c>
      <c r="EA21" s="316">
        <f>IF($E$44=2,Dados!$AE$29,IF($E$44=3,Dados!$AG$29,IF($E$44=4,Dados!$AI$29,IF($E$44=5,Dados!$AK$29,IF($E$44=6,Dados!$AM$29,IF($E$44=7,Dados!$AO$29,IF($E$44=8,Dados!$AS$29,0)))))))</f>
        <v>0</v>
      </c>
      <c r="EB21" s="304">
        <f>IF($E$44=2,Dados!$AF$29,IF($E$44=3,Dados!$AH$29,IF($E$44=4,Dados!$AJ$29,IF($E$44=5,Dados!$AL$29,IF($E$44=6,Dados!$AN$29,IF($E$44=7,Dados!$AP$29,IF($E$44=8,Dados!$AT$29,0)))))))</f>
        <v>0</v>
      </c>
      <c r="EC21" s="316">
        <f>IF($E$45=2,Dados!$AE$29,IF($E$45=3,Dados!$AG$29,IF($E$45=4,Dados!$AI$29,IF($E$45=5,Dados!$AK$29,IF($E$45=6,Dados!$AM$29,IF($E$45=7,Dados!$AO$29,IF($E$45=8,Dados!$AS$29,0)))))))</f>
        <v>0</v>
      </c>
      <c r="ED21" s="304">
        <f>IF($E$45=2,Dados!$AF$29,IF($E$45=3,Dados!$AH$29,IF($E$45=4,Dados!$AJ$29,IF($E$45=5,Dados!$AL$29,IF($E$45=6,Dados!$AN$29,IF($E$45=7,Dados!$AP$29,IF($E$45=8,Dados!$AT$29,0)))))))</f>
        <v>0</v>
      </c>
      <c r="EE21" s="316">
        <f>IF($E$46=2,Dados!$AE$29,IF($E$46=3,Dados!$AG$29,IF($E$46=4,Dados!$AI$29,IF($E$46=5,Dados!$AK$29,IF($E$46=6,Dados!$AM$29,IF($E$46=7,Dados!$AO$29,IF($E$46=8,Dados!$AS$29,0)))))))</f>
        <v>0</v>
      </c>
      <c r="EF21" s="304">
        <f>IF($E$46=2,Dados!$AF$29,IF($E$46=3,Dados!$AH$29,IF($E$46=4,Dados!$AJ$29,IF($E$46=5,Dados!$AL$29,IF($E$46=6,Dados!$AN$29,IF($E$46=7,Dados!$AP$29,IF($E$46=8,Dados!$AT$29,0)))))))</f>
        <v>0</v>
      </c>
      <c r="EG21" s="316">
        <f>IF($E$47=2,Dados!$AE$29,IF($E$47=3,Dados!$AG$29,IF($E$47=4,Dados!$AI$29,IF($E$47=5,Dados!$AK$29,IF($E$47=6,Dados!$AM$29,IF($E$47=7,Dados!$AO$29,IF($E$47=8,Dados!$AS$29,0)))))))</f>
        <v>0</v>
      </c>
      <c r="EH21" s="304">
        <f>IF($E$47=2,Dados!$AF$29,IF($E$47=3,Dados!$AH$29,IF($E$47=4,Dados!$AJ$29,IF($E$47=5,Dados!$AL$29,IF($E$47=6,Dados!$AN$29,IF($E$47=7,Dados!$AP$29,IF($E$47=8,Dados!$AT$29,0)))))))</f>
        <v>0</v>
      </c>
      <c r="EJ21" s="316">
        <f>IF($E$52=2,Dados!$AE$29,IF($E$52=3,Dados!$AG$29,IF($E$52=4,Dados!$AI$29,IF($E$52=5,Dados!$AK$29,IF($E$52=6,Dados!$AM$29,IF($E$52=7,Dados!$AO$29,IF($E$52=8,Dados!$AS$29,0)))))))</f>
        <v>0</v>
      </c>
      <c r="EK21" s="304">
        <f>IF($E$52=2,Dados!$AF$29,IF($E$52=3,Dados!$AH$29,IF($E$52=4,Dados!$AJ$29,IF($E$52=5,Dados!$AL$29,IF($E$52=6,Dados!$AN$29,IF($E$52=7,Dados!$AP$29,IF($E$52=8,Dados!$AT$29,0)))))))</f>
        <v>0</v>
      </c>
      <c r="EL21" s="316">
        <f>IF($E$53=2,Dados!$AE$29,IF($E$53=3,Dados!$AG$29,IF($E$53=4,Dados!$AI$29,IF($E$53=5,Dados!$AK$29,IF($E$53=6,Dados!$AM$29,IF($E$53=7,Dados!$AO$29,IF($E$53=8,Dados!$AS$29,0)))))))</f>
        <v>0</v>
      </c>
      <c r="EM21" s="304">
        <f>IF($E$53=2,Dados!$AF$29,IF($E$53=3,Dados!$AH$29,IF($E$53=4,Dados!$AJ$29,IF($E$53=5,Dados!$AL$29,IF($E$53=6,Dados!$AN$29,IF($E$53=7,Dados!$AP$29,IF($E$53=8,Dados!$AT$29,0)))))))</f>
        <v>0</v>
      </c>
      <c r="EN21" s="316">
        <f>IF($E$54=2,Dados!$AE$29,IF($E$54=3,Dados!$AG$29,IF($E$54=4,Dados!$AI$29,IF($E$54=5,Dados!$AK$29,IF($E$54=6,Dados!$AM$29,IF($E$54=7,Dados!$AO$29,IF($E$54=8,Dados!$AS$29,0)))))))</f>
        <v>0</v>
      </c>
      <c r="EO21" s="304">
        <f>IF($E$54=2,Dados!$AF$29,IF($E$54=3,Dados!$AH$29,IF($E$54=4,Dados!$AJ$29,IF($E$54=5,Dados!$AL$29,IF($E$54=6,Dados!$AN$29,IF($E$54=7,Dados!$AP$29,IF($E$54=8,Dados!$AT$29,0)))))))</f>
        <v>0</v>
      </c>
      <c r="EP21" s="316">
        <f>IF($E$55=2,Dados!$AE$29,IF($E$55=3,Dados!$AG$29,IF($E$55=4,Dados!$AI$29,IF($E$55=5,Dados!$AK$29,IF($E$55=6,Dados!$AM$29,IF($E$55=7,Dados!$AO$29,IF($E$55=8,Dados!$AS$29,0)))))))</f>
        <v>0</v>
      </c>
      <c r="EQ21" s="304">
        <f>IF($E$55=2,Dados!$AF$29,IF($E$55=3,Dados!$AH$29,IF($E$55=4,Dados!$AJ$29,IF($E$55=5,Dados!$AL$29,IF($E$55=6,Dados!$AN$29,IF($E$55=7,Dados!$AP$29,IF($E$55=8,Dados!$AT$29,0)))))))</f>
        <v>0</v>
      </c>
      <c r="ER21" s="316">
        <f>IF($E$56=2,Dados!$AE$29,IF($E$56=3,Dados!$AG$29,IF($E$56=4,Dados!$AI$29,IF($E$56=5,Dados!$AK$29,IF($E$56=6,Dados!$AM$29,IF($E$56=7,Dados!$AO$29,IF($E$56=8,Dados!$AS$29,0)))))))</f>
        <v>0</v>
      </c>
      <c r="ES21" s="304">
        <f>IF($E$56=2,Dados!$AF$29,IF($E$56=3,Dados!$AH$29,IF($E$56=4,Dados!$AJ$29,IF($E$56=5,Dados!$AL$29,IF($E$56=6,Dados!$AN$29,IF($E$56=7,Dados!$AP$29,IF($E$56=8,Dados!$AT$29,0)))))))</f>
        <v>0</v>
      </c>
      <c r="EU21" s="316">
        <f>IF($E$61=2,Dados!$AE$29,IF($E$61=3,Dados!$AG$29,IF($E$61=4,Dados!$AI$29,IF($E$61=5,Dados!$AK$29,IF($E$61=6,Dados!$AM$29,IF($E$61=7,Dados!$AO$29,IF($E$61=8,Dados!$AS$29,0)))))))</f>
        <v>0</v>
      </c>
      <c r="EV21" s="304">
        <f>IF($E$61=2,Dados!$AF$29,IF($E$61=3,Dados!$AH$29,IF($E$61=4,Dados!$AJ$29,IF($E$61=5,Dados!$AL$29,IF($E$61=6,Dados!$AN$29,IF($E$61=7,Dados!$AP$29,IF($E$61=8,Dados!$AT$29,0)))))))</f>
        <v>0</v>
      </c>
      <c r="EW21" s="316">
        <f>IF($E$62=2,Dados!$AE$29,IF($E$62=3,Dados!$AG$29,IF($E$62=4,Dados!$AI$29,IF($E$62=5,Dados!$AK$29,IF($E$62=6,Dados!$AM$29,IF($E$62=7,Dados!$AO$29,IF($E$62=8,Dados!$AS$29,0)))))))</f>
        <v>0</v>
      </c>
      <c r="EX21" s="304">
        <f>IF($E$62=2,Dados!$AF$29,IF($E$62=3,Dados!$AH$29,IF($E$62=4,Dados!$AJ$29,IF($E$62=5,Dados!$AL$29,IF($E$62=6,Dados!$AN$29,IF($E$62=7,Dados!$AP$29,IF($E$62=8,Dados!$AT$29,0)))))))</f>
        <v>0</v>
      </c>
      <c r="EY21" s="316">
        <f>IF($E$63=2,Dados!$AE$29,IF($E$63=3,Dados!$AG$29,IF($E$63=4,Dados!$AI$29,IF($E$63=5,Dados!$AK$29,IF($E$63=6,Dados!$AM$29,IF($E$63=7,Dados!$AO$29,IF($E$63=8,Dados!$AS$29,0)))))))</f>
        <v>0</v>
      </c>
      <c r="EZ21" s="304">
        <f>IF($E$63=2,Dados!$AF$29,IF($E$63=3,Dados!$AH$29,IF($E$63=4,Dados!$AJ$29,IF($E$63=5,Dados!$AL$29,IF($E$63=6,Dados!$AN$29,IF($E$63=7,Dados!$AP$29,IF($E$63=8,Dados!$AT$29,0)))))))</f>
        <v>0</v>
      </c>
      <c r="FA21" s="316">
        <f>IF($E$64=2,Dados!$AE$29,IF($E$64=3,Dados!$AG$29,IF($E$64=4,Dados!$AI$29,IF($E$64=5,Dados!$AK$29,IF($E$64=6,Dados!$AM$29,IF($E$64=7,Dados!$AO$29,IF($E$64=8,Dados!$AS$29,0)))))))</f>
        <v>0</v>
      </c>
      <c r="FB21" s="304">
        <f>IF($E$64=2,Dados!$AF$29,IF($E$64=3,Dados!$AH$29,IF($E$64=4,Dados!$AJ$29,IF($E$64=5,Dados!$AL$29,IF($E$64=6,Dados!$AN$29,IF($E$64=7,Dados!$AP$29,IF($E$64=8,Dados!$AT$29,0)))))))</f>
        <v>0</v>
      </c>
      <c r="FC21" s="316">
        <f>IF($E$65=2,Dados!$AE$29,IF($E$65=3,Dados!$AG$29,IF($E$65=4,Dados!$AI$29,IF($E$65=5,Dados!$AK$29,IF($E$65=6,Dados!$AM$29,IF($E$65=7,Dados!$AO$29,IF($E$65=8,Dados!$AS$29,0)))))))</f>
        <v>0</v>
      </c>
      <c r="FD21" s="304">
        <f>IF($E$65=2,Dados!$AF$29,IF($E$65=3,Dados!$AH$29,IF($E$65=4,Dados!$AJ$29,IF($E$65=5,Dados!$AL$29,IF($E$65=6,Dados!$AN$29,IF($E$65=7,Dados!$AP$29,IF($E$65=8,Dados!$AT$29,0)))))))</f>
        <v>0</v>
      </c>
      <c r="FF21" s="316">
        <f>IF($E$70=2,Dados!$AE$29,IF($E$70=3,Dados!$AG$29,IF($E$70=4,Dados!$AI$29,IF($E$70=5,Dados!$AK$29,IF($E$70=6,Dados!$AM$29,IF($E$70=7,Dados!$AO$29,IF($E$70=8,Dados!$AS$29,0)))))))</f>
        <v>0</v>
      </c>
      <c r="FG21" s="304">
        <f>IF($E$70=2,Dados!$AF$29,IF($E$70=3,Dados!$AH$29,IF($E$70=4,Dados!$AJ$29,IF($E$70=5,Dados!$AL$29,IF($E$70=6,Dados!$AN$29,IF($E$70=7,Dados!$AP$29,IF($E$70=8,Dados!$AT$29,0)))))))</f>
        <v>0</v>
      </c>
      <c r="FH21" s="316">
        <f>IF($E$71=2,Dados!$AE$29,IF($E$71=3,Dados!$AG$29,IF($E$71=4,Dados!$AI$29,IF($E$71=5,Dados!$AK$29,IF($E$71=6,Dados!$AM$29,IF($E$71=7,Dados!$AO$29,IF($E$71=8,Dados!$AS$29,0)))))))</f>
        <v>0</v>
      </c>
      <c r="FI21" s="304">
        <f>IF($E$71=2,Dados!$AF$29,IF($E$71=3,Dados!$AH$29,IF($E$71=4,Dados!$AJ$29,IF($E$71=5,Dados!$AL$29,IF($E$71=6,Dados!$AN$29,IF($E$71=7,Dados!$AP$29,IF($E$71=8,Dados!$AT$29,0)))))))</f>
        <v>0</v>
      </c>
      <c r="FJ21" s="316">
        <f>IF($E$72=2,Dados!$AE$29,IF($E$72=3,Dados!$AG$29,IF($E$72=4,Dados!$AI$29,IF($E$72=5,Dados!$AK$29,IF($E$72=6,Dados!$AM$29,IF($E$72=7,Dados!$AO$29,IF($E$72=8,Dados!$AS$29,0)))))))</f>
        <v>0</v>
      </c>
      <c r="FK21" s="304">
        <f>IF($E$72=2,Dados!$AF$29,IF($E$72=3,Dados!$AH$29,IF($E$72=4,Dados!$AJ$29,IF($E$72=5,Dados!$AL$29,IF($E$72=6,Dados!$AN$29,IF($E$72=7,Dados!$AP$29,IF($E$72=8,Dados!$AT$29,0)))))))</f>
        <v>0</v>
      </c>
      <c r="FL21" s="316">
        <f>IF($E$73=2,Dados!$AE$29,IF($E$73=3,Dados!$AG$29,IF($E$73=4,Dados!$AI$29,IF($E$73=5,Dados!$AK$29,IF($E$73=6,Dados!$AM$29,IF($E$73=7,Dados!$AO$29,IF($E$73=8,Dados!$AS$29,0)))))))</f>
        <v>0</v>
      </c>
      <c r="FM21" s="304">
        <f>IF($E$73=2,Dados!$AF$29,IF($E$73=3,Dados!$AH$29,IF($E$73=4,Dados!$AJ$29,IF($E$73=5,Dados!$AL$29,IF($E$73=6,Dados!$AN$29,IF($E$73=7,Dados!$AP$29,IF($E$73=8,Dados!$AT$29,0)))))))</f>
        <v>0</v>
      </c>
      <c r="FN21" s="316">
        <f>IF($E$74=2,Dados!$AE$29,IF($E$74=3,Dados!$AG$29,IF($E$74=4,Dados!$AI$29,IF($E$74=5,Dados!$AK$29,IF($E$74=6,Dados!$AM$29,IF($E$74=7,Dados!$AO$29,IF($E$74=8,Dados!$AS$29,0)))))))</f>
        <v>0</v>
      </c>
      <c r="FO21" s="304">
        <f>IF($E$74=2,Dados!$AF$29,IF($E$74=3,Dados!$AH$29,IF($E$74=4,Dados!$AJ$29,IF($E$74=5,Dados!$AL$29,IF($E$74=6,Dados!$AN$29,IF($E$74=7,Dados!$AP$29,IF($E$74=8,Dados!$AT$29,0)))))))</f>
        <v>0</v>
      </c>
      <c r="FQ21" s="316">
        <f>IF($E$79=2,Dados!$AE$29,IF($E$79=3,Dados!$AG$29,IF($E$79=4,Dados!$AI$29,IF($E$79=5,Dados!$AK$29,IF($E$79=6,Dados!$AM$29,IF($E$79=7,Dados!$AO$29,IF($E$79=8,Dados!$AS$29,0)))))))</f>
        <v>0</v>
      </c>
      <c r="FR21" s="304">
        <f>IF($E$79=2,Dados!$AF$29,IF($E$79=3,Dados!$AH$29,IF($E$79=4,Dados!$AJ$29,IF($E$79=5,Dados!$AL$29,IF($E$79=6,Dados!$AN$29,IF($E$79=7,Dados!$AP$29,IF($E$79=8,Dados!$AT$29,0)))))))</f>
        <v>0</v>
      </c>
      <c r="FS21" s="316">
        <f>IF($E$80=2,Dados!$AE$29,IF($E$80=3,Dados!$AG$29,IF($E$80=4,Dados!$AI$29,IF($E$80=5,Dados!$AK$29,IF($E$80=6,Dados!$AM$29,IF($E$80=7,Dados!$AO$29,IF($E$80=8,Dados!$AS$29,0)))))))</f>
        <v>0</v>
      </c>
      <c r="FT21" s="304">
        <f>IF($E$80=2,Dados!$AF$29,IF($E$80=3,Dados!$AH$29,IF($E$80=4,Dados!$AJ$29,IF($E$80=5,Dados!$AL$29,IF($E$80=6,Dados!$AN$29,IF($E$80=7,Dados!$AP$29,IF($E$80=8,Dados!$AT$29,0)))))))</f>
        <v>0</v>
      </c>
      <c r="FU21" s="316">
        <f>IF($E$81=2,Dados!$AE$29,IF($E$81=3,Dados!$AG$29,IF($E$81=4,Dados!$AI$29,IF($E$81=5,Dados!$AK$29,IF($E$81=6,Dados!$AM$29,IF($E$81=7,Dados!$AO$29,IF($E$81=8,Dados!$AS$29,0)))))))</f>
        <v>0</v>
      </c>
      <c r="FV21" s="304">
        <f>IF($E$81=2,Dados!$AF$29,IF($E$81=3,Dados!$AH$29,IF($E$81=4,Dados!$AJ$29,IF($E$81=5,Dados!$AL$29,IF($E$81=6,Dados!$AN$29,IF($E$81=7,Dados!$AP$29,IF($E$81=8,Dados!$AT$29,0)))))))</f>
        <v>0</v>
      </c>
      <c r="FW21" s="316">
        <f>IF($E$82=2,Dados!$AE$29,IF($E$82=3,Dados!$AG$29,IF($E$82=4,Dados!$AI$29,IF($E$82=5,Dados!$AK$29,IF($E$82=6,Dados!$AM$29,IF($E$82=7,Dados!$AO$29,IF($E$82=8,Dados!$AS$29,0)))))))</f>
        <v>0</v>
      </c>
      <c r="FX21" s="304">
        <f>IF($E$82=2,Dados!$AF$29,IF($E$82=3,Dados!$AH$29,IF($E$82=4,Dados!$AJ$29,IF($E$82=5,Dados!$AL$29,IF($E$82=6,Dados!$AN$29,IF($E$82=7,Dados!$AP$29,IF($E$82=8,Dados!$AT$29,0)))))))</f>
        <v>0</v>
      </c>
      <c r="FY21" s="316">
        <f>IF($E$83=2,Dados!$AE$29,IF($E$83=3,Dados!$AG$29,IF($E$83=4,Dados!$AI$29,IF($E$83=5,Dados!$AK$29,IF($E$83=6,Dados!$AM$29,IF($E$83=7,Dados!$AO$29,IF($E$83=8,Dados!$AS$29,0)))))))</f>
        <v>0</v>
      </c>
      <c r="FZ21" s="304">
        <f>IF($E$83=2,Dados!$AF$29,IF($E$83=3,Dados!$AH$29,IF($E$83=4,Dados!$AJ$29,IF($E$83=5,Dados!$AL$29,IF($E$83=6,Dados!$AN$29,IF($E$83=7,Dados!$AP$29,IF($E$83=8,Dados!$AT$29,0)))))))</f>
        <v>0</v>
      </c>
      <c r="GB21" s="316">
        <f>IF($E$88=2,Dados!$AE$29,IF($E$88=3,Dados!$AG$29,IF($E$88=4,Dados!$AI$29,IF($E$88=5,Dados!$AK$29,IF($E$88=6,Dados!$AM$29,IF($E$88=7,Dados!$AO$29,IF($E$88=8,Dados!$AS$29,0)))))))</f>
        <v>0</v>
      </c>
      <c r="GC21" s="304">
        <f>IF($E$88=2,Dados!$AF$29,IF($E$88=3,Dados!$AH$29,IF($E$88=4,Dados!$AJ$29,IF($E$88=5,Dados!$AL$29,IF($E$88=6,Dados!$AN$29,IF($E$88=7,Dados!$AP$29,IF($E$88=8,Dados!$AT$29,0)))))))</f>
        <v>0</v>
      </c>
      <c r="GD21" s="316">
        <f>IF($E$89=2,Dados!$AE$29,IF($E$89=3,Dados!$AG$29,IF($E$89=4,Dados!$AI$29,IF($E$89=5,Dados!$AK$29,IF($E$89=6,Dados!$AM$29,IF($E$89=7,Dados!$AO$29,IF($E$89=8,Dados!$AS$29,0)))))))</f>
        <v>0</v>
      </c>
      <c r="GE21" s="304">
        <f>IF($E$89=2,Dados!$AF$29,IF($E$89=3,Dados!$AH$29,IF($E$89=4,Dados!$AJ$29,IF($E$89=5,Dados!$AL$29,IF($E$89=6,Dados!$AN$29,IF($E$89=7,Dados!$AP$29,IF($E$89=8,Dados!$AT$29,0)))))))</f>
        <v>0</v>
      </c>
      <c r="GF21" s="316">
        <f>IF($E$90=2,Dados!$AE$29,IF($E$90=3,Dados!$AG$29,IF($E$90=4,Dados!$AI$29,IF($E$90=5,Dados!$AK$29,IF($E$90=6,Dados!$AM$29,IF($E$90=7,Dados!$AO$29,IF($E$90=8,Dados!$AS$29,0)))))))</f>
        <v>0</v>
      </c>
      <c r="GG21" s="304">
        <f>IF($E$90=2,Dados!$AF$29,IF($E$90=3,Dados!$AH$29,IF($E$90=4,Dados!$AJ$29,IF($E$90=5,Dados!$AL$29,IF($E$90=6,Dados!$AN$29,IF($E$90=7,Dados!$AP$29,IF($E$90=8,Dados!$AT$29,0)))))))</f>
        <v>0</v>
      </c>
      <c r="GH21" s="316">
        <f>IF($E$91=2,Dados!$AE$29,IF($E$91=3,Dados!$AG$29,IF($E$91=4,Dados!$AI$29,IF($E$91=5,Dados!$AK$29,IF($E$91=6,Dados!$AM$29,IF($E$91=7,Dados!$AO$29,IF($E$91=8,Dados!$AS$29,0)))))))</f>
        <v>0</v>
      </c>
      <c r="GI21" s="304">
        <f>IF($E$91=2,Dados!$AF$29,IF($E$91=3,Dados!$AH$29,IF($E$91=4,Dados!$AJ$29,IF($E$91=5,Dados!$AL$29,IF($E$91=6,Dados!$AN$29,IF($E$91=7,Dados!$AP$29,IF($E$91=8,Dados!$AT$29,0)))))))</f>
        <v>0</v>
      </c>
      <c r="GJ21" s="316">
        <f>IF($E$92=2,Dados!$AE$29,IF($E$92=3,Dados!$AG$29,IF($E$92=4,Dados!$AI$29,IF($E$92=5,Dados!$AK$29,IF($E$92=6,Dados!$AM$29,IF($E$92=7,Dados!$AO$29,IF($E$92=8,Dados!$AS$29,0)))))))</f>
        <v>0</v>
      </c>
      <c r="GK21" s="304">
        <f>IF($E$92=2,Dados!$AF$29,IF($E$92=3,Dados!$AH$29,IF($E$92=4,Dados!$AJ$29,IF($E$92=5,Dados!$AL$29,IF($E$92=6,Dados!$AN$29,IF($E$92=7,Dados!$AP$29,IF($E$92=8,Dados!$AT$29,0)))))))</f>
        <v>0</v>
      </c>
      <c r="GM21" s="316">
        <f>IF($E$97=2,Dados!$AE$29,IF($E$97=3,Dados!$AG$29,IF($E$97=4,Dados!$AI$29,IF($E$97=5,Dados!$AK$29,IF($E$97=6,Dados!$AM$29,IF($E$97=7,Dados!$AO$29,IF($E$97=8,Dados!$AS$29,0)))))))</f>
        <v>0</v>
      </c>
      <c r="GN21" s="304">
        <f>IF($E$97=2,Dados!$AF$29,IF($E$97=3,Dados!$AH$29,IF($E$97=4,Dados!$AJ$29,IF($E$97=5,Dados!$AL$29,IF($E$97=6,Dados!$AN$29,IF($E$97=7,Dados!$AP$29,IF($E$97=8,Dados!$AT$29,0)))))))</f>
        <v>0</v>
      </c>
      <c r="GO21" s="316">
        <f>IF($E$98=2,Dados!$AE$29,IF($E$98=3,Dados!$AG$29,IF($E$98=4,Dados!$AI$29,IF($E$98=5,Dados!$AK$29,IF($E$98=6,Dados!$AM$29,IF($E$98=7,Dados!$AO$29,IF($E$98=8,Dados!$AS$29,0)))))))</f>
        <v>0</v>
      </c>
      <c r="GP21" s="304">
        <f>IF($E$98=2,Dados!$AF$29,IF($E$98=3,Dados!$AH$29,IF($E$98=4,Dados!$AJ$29,IF($E$98=5,Dados!$AL$29,IF($E$98=6,Dados!$AN$29,IF($E$98=7,Dados!$AP$29,IF($E$98=8,Dados!$AT$29,0)))))))</f>
        <v>0</v>
      </c>
      <c r="GQ21" s="316">
        <f>IF($E$99=2,Dados!$AE$29,IF($E$99=3,Dados!$AG$29,IF($E$99=4,Dados!$AI$29,IF($E$99=5,Dados!$AK$29,IF($E$99=6,Dados!$AM$29,IF($E$99=7,Dados!$AO$29,IF($E$99=8,Dados!$AS$29,0)))))))</f>
        <v>0</v>
      </c>
      <c r="GR21" s="304">
        <f>IF($E$99=2,Dados!$AF$29,IF($E$99=3,Dados!$AH$29,IF($E$99=4,Dados!$AJ$29,IF($E$99=5,Dados!$AL$29,IF($E$99=6,Dados!$AN$29,IF($E$99=7,Dados!$AP$29,IF($E$99=8,Dados!$AT$29,0)))))))</f>
        <v>0</v>
      </c>
      <c r="GS21" s="316">
        <f>IF($E$100=2,Dados!$AE$29,IF($E$100=3,Dados!$AG$29,IF($E$100=4,Dados!$AI$29,IF($E$100=5,Dados!$AK$29,IF($E$100=6,Dados!$AM$29,IF($E$100=7,Dados!$AO$29,IF($E$100=8,Dados!$AS$29,0)))))))</f>
        <v>0</v>
      </c>
      <c r="GT21" s="304">
        <f>IF($E$100=2,Dados!$AF$29,IF($E$100=3,Dados!$AH$29,IF($E$100=4,Dados!$AJ$29,IF($E$100=5,Dados!$AL$29,IF($E$100=6,Dados!$AN$29,IF($E$100=7,Dados!$AP$29,IF($E$100=8,Dados!$AT$29,0)))))))</f>
        <v>0</v>
      </c>
      <c r="GU21" s="316">
        <f>IF($E$101=2,Dados!$AE$29,IF($E$101=3,Dados!$AG$29,IF($E$101=4,Dados!$AI$29,IF($E$101=5,Dados!$AK$29,IF($E$101=6,Dados!$AM$29,IF($E$101=7,Dados!$AO$29,IF($E$101=8,Dados!$AS$29,0)))))))</f>
        <v>0</v>
      </c>
      <c r="GV21" s="304">
        <f>IF($E$101=2,Dados!$AF$29,IF($E$101=3,Dados!$AH$29,IF($E$101=4,Dados!$AJ$29,IF($E$101=5,Dados!$AL$29,IF($E$101=6,Dados!$AN$29,IF($E$101=7,Dados!$AP$29,IF($E$101=8,Dados!$AT$29,0)))))))</f>
        <v>0</v>
      </c>
      <c r="GX21" s="316">
        <f>IF($E$106=2,Dados!$AE$29,IF($E$106=3,Dados!$AG$29,IF($E$106=4,Dados!$AI$29,IF($E$106=5,Dados!$AK$29,IF($E$106=6,Dados!$AM$29,IF($E$106=7,Dados!$AO$29,IF($E$106=8,Dados!$AS$29,0)))))))</f>
        <v>0</v>
      </c>
      <c r="GY21" s="304">
        <f>IF($E$106=2,Dados!$AF$29,IF($E$106=3,Dados!$AH$29,IF($E$106=4,Dados!$AJ$29,IF($E$106=5,Dados!$AL$29,IF($E$106=6,Dados!$AN$29,IF($E$106=7,Dados!$AP$29,IF($E$106=8,Dados!$AT$29,0)))))))</f>
        <v>0</v>
      </c>
      <c r="GZ21" s="316">
        <f>IF($E$107=2,Dados!$AE$29,IF($E$107=3,Dados!$AG$29,IF($E$107=4,Dados!$AI$29,IF($E$107=5,Dados!$AK$29,IF($E$107=6,Dados!$AM$29,IF($E$107=7,Dados!$AO$29,IF($E$107=8,Dados!$AS$29,0)))))))</f>
        <v>0</v>
      </c>
      <c r="HA21" s="304">
        <f>IF($E$107=2,Dados!$AF$29,IF($E$107=3,Dados!$AH$29,IF($E$107=4,Dados!$AJ$29,IF($E$107=5,Dados!$AL$29,IF($E$107=6,Dados!$AN$29,IF($E$107=7,Dados!$AP$29,IF($E$107=8,Dados!$AT$29,0)))))))</f>
        <v>0</v>
      </c>
      <c r="HB21" s="316">
        <f>IF($E$108=2,Dados!$AE$29,IF($E$108=3,Dados!$AG$29,IF($E$108=4,Dados!$AI$29,IF($E$108=5,Dados!$AK$29,IF($E$108=6,Dados!$AM$29,IF($E$108=7,Dados!$AO$29,IF($E$108=8,Dados!$AS$29,0)))))))</f>
        <v>0</v>
      </c>
      <c r="HC21" s="304">
        <f>IF($E$108=2,Dados!$AF$29,IF($E$108=3,Dados!$AH$29,IF($E$108=4,Dados!$AJ$29,IF($E$108=5,Dados!$AL$29,IF($E$108=6,Dados!$AN$29,IF($E$108=7,Dados!$AP$29,IF($E$108=8,Dados!$AT$29,0)))))))</f>
        <v>0</v>
      </c>
      <c r="HD21" s="316">
        <f>IF($E$109=2,Dados!$AE$29,IF($E$109=3,Dados!$AG$29,IF($E$109=4,Dados!$AI$29,IF($E$109=5,Dados!$AK$29,IF($E$109=6,Dados!$AM$29,IF($E$109=7,Dados!$AO$29,IF($E$109=8,Dados!$AS$29,0)))))))</f>
        <v>0</v>
      </c>
      <c r="HE21" s="304">
        <f>IF($E$109=2,Dados!$AF$29,IF($E$109=3,Dados!$AH$29,IF($E$109=4,Dados!$AJ$29,IF($E$109=5,Dados!$AL$29,IF($E$109=6,Dados!$AN$29,IF($E$109=7,Dados!$AP$29,IF($E$109=8,Dados!$AT$29,0)))))))</f>
        <v>0</v>
      </c>
      <c r="HF21" s="316">
        <f>IF($E$110=2,Dados!$AE$29,IF($E$110=3,Dados!$AG$29,IF($E$110=4,Dados!$AI$29,IF($E$110=5,Dados!$AK$29,IF($E$110=6,Dados!$AM$29,IF($E$110=7,Dados!$AO$29,IF($E$110=8,Dados!$AS$29,0)))))))</f>
        <v>0</v>
      </c>
      <c r="HG21" s="304">
        <f>IF($E$110=2,Dados!$AF$29,IF($E$110=3,Dados!$AH$29,IF($E$110=4,Dados!$AJ$29,IF($E$110=5,Dados!$AL$29,IF($E$110=6,Dados!$AN$29,IF($E$110=7,Dados!$AP$29,IF($E$110=8,Dados!$AT$29,0)))))))</f>
        <v>0</v>
      </c>
    </row>
    <row r="22" spans="3:215" x14ac:dyDescent="0.2">
      <c r="AE22" s="1160" t="str">
        <f>Rebanho!C64</f>
        <v>Novilhas sobreano (Engorda)</v>
      </c>
      <c r="AF22" s="1195">
        <f>IF(Rebanho!E64&gt;0,1,0)</f>
        <v>0</v>
      </c>
      <c r="AG22" s="1193">
        <f>Rebanho!E64</f>
        <v>0</v>
      </c>
      <c r="AH22" s="1336">
        <f>Rebanho!AS61</f>
        <v>0</v>
      </c>
      <c r="AI22" s="1178">
        <f>((SUMIFS($Z$7:$Z$110,$E$7:$E$110,"=2",$N$7:$N$110,"=17")+SUMIFS($Z$7:$Z$110,$E$7:$E$110,"=2",$N$7:$N$110,"=19")))*($AF$22)</f>
        <v>0</v>
      </c>
      <c r="AJ22" s="1178">
        <f>((SUMIFS($Z$7:$Z$110,$E$7:$E$110,"=3",$N$7:$N$110,"=17")+SUMIFS($Z$7:$Z$110,$E$7:$E$110,"=3",$N$7:$N$110,"=19")))*($AF$22)</f>
        <v>0</v>
      </c>
      <c r="AK22" s="1178">
        <f>((SUMIFS($Z$7:$Z$110,$E$7:$E$110,"=4",$N$7:$N$110,"=17")+SUMIFS($Z$7:$Z$110,$E$7:$E$110,"=4",$N$7:$N$110,"=19")))*($AF$22)</f>
        <v>0</v>
      </c>
      <c r="AL22" s="1178">
        <f>((SUMIFS($Z$7:$Z$110,$E$7:$E$110,"=5",$N$7:$N$110,"=17")+SUMIFS($Z$7:$Z$110,$E$7:$E$110,"=5",$N$7:$N$110,"=19")))*($AF$22)</f>
        <v>0</v>
      </c>
      <c r="AM22" s="1178">
        <f>((SUMIFS($Z$7:$Z$110,$E$7:$E$110,"=6",$N$7:$N$110,"=17")+SUMIFS($Z$7:$Z$110,$E$7:$E$110,"=6",$N$7:$N$110,"=19")))*($AF$22)</f>
        <v>0</v>
      </c>
      <c r="AN22" s="1178">
        <f>((SUMIFS($Z$7:$Z$110,$E$7:$E$110,"=7",$N$7:$N$110,"=17")+SUMIFS($Z$7:$Z$110,$E$7:$E$110,"=7",$N$7:$N$110,"=19")))*($AF$22)</f>
        <v>0</v>
      </c>
      <c r="AO22" s="1208">
        <f>((SUMIFS($Z$7:$Z$110,$E$7:$E$110,"=8",$N$7:$N$110,"=17")+SUMIFS($Z$7:$Z$110,$E$7:$E$110,"=8",$N$7:$N$110,"=19")))*($AF$22)</f>
        <v>0</v>
      </c>
      <c r="AP22" s="1208">
        <f t="shared" si="3"/>
        <v>0</v>
      </c>
      <c r="AQ22" s="1184">
        <f t="shared" si="2"/>
        <v>0</v>
      </c>
      <c r="AW22" s="4" t="s">
        <v>787</v>
      </c>
      <c r="AX22" s="94">
        <f>IF($E16=8,$V16,0)</f>
        <v>0</v>
      </c>
      <c r="AY22" s="94">
        <f>IF($E17=8,$V17,0)</f>
        <v>0</v>
      </c>
      <c r="AZ22" s="94">
        <f>IF($E18=8,$V18,0)</f>
        <v>0</v>
      </c>
      <c r="BA22" s="94">
        <f>IF($E19=8,$V19,0)</f>
        <v>0</v>
      </c>
      <c r="BB22" s="94">
        <f>IF($E20=8,$V20,0)</f>
        <v>0</v>
      </c>
      <c r="BC22" s="200">
        <f>SUM(AX22:BB22)</f>
        <v>0</v>
      </c>
      <c r="CF22" s="93">
        <v>17</v>
      </c>
      <c r="CG22" s="316">
        <f>IF($E$7=2,Dados!$AE$30,IF($E$7=3,Dados!$AG$30,IF($E$7=4,Dados!$AI$30,IF($E$7=5,Dados!$AK$30,IF($E$7=6,Dados!$AM$30,IF($E$7=7,Dados!$AO$30,IF($E$7=8,Dados!$AS$30,0)))))))</f>
        <v>0</v>
      </c>
      <c r="CH22" s="304">
        <f>IF($E$7=2,Dados!$AF$30,IF($E$7=3,Dados!$AH$30,IF($E$7=4,Dados!$AJ$30,IF($E$7=5,Dados!$AL$30,IF($E$7=6,Dados!$AN$30,IF($E$7=7,Dados!$AP$30,IF($E$7=8,Dados!$AT$30,0)))))))</f>
        <v>0</v>
      </c>
      <c r="CI22" s="316">
        <f>IF($E$8=2,Dados!$AE$30,IF($E$8=3,Dados!$AG$30,IF($E$8=4,Dados!$AI$30,IF($E$8=5,Dados!$AK$30,IF($E$8=6,Dados!$AM$30,IF($E$8=7,Dados!$AO$30,IF($E$8=8,Dados!$AS$30,0)))))))</f>
        <v>0</v>
      </c>
      <c r="CJ22" s="304">
        <f>IF($E$8=2,Dados!$AF$30,IF($E$8=3,Dados!$AH$30,IF($E$8=4,Dados!$AJ$30,IF($E$8=5,Dados!$AL$30,IF($E$8=6,Dados!$AN$30,IF($E$8=7,Dados!$AP$30,IF($E$8=8,Dados!$AT$30,0)))))))</f>
        <v>0</v>
      </c>
      <c r="CK22" s="316">
        <f>IF($E$9=2,Dados!$AE$30,IF($E$9=3,Dados!$AG$30,IF($E$9=4,Dados!$AI$30,IF($E$9=5,Dados!$AK$30,IF($E$9=6,Dados!$AM$30,IF($E$9=7,Dados!$AO$30,IF($E$9=8,Dados!$AS$30,0)))))))</f>
        <v>0</v>
      </c>
      <c r="CL22" s="304">
        <f>IF($E$9=2,Dados!$AF$30,IF($E$9=3,Dados!$AH$30,IF($E$9=4,Dados!$AJ$30,IF($E$9=5,Dados!$AL$30,IF($E$9=6,Dados!$AN$30,IF($E$9=7,Dados!$AP$30,IF($E$9=8,Dados!$AT$30,0)))))))</f>
        <v>0</v>
      </c>
      <c r="CM22" s="316">
        <f>IF($E$10=2,Dados!$AE$30,IF($E$10=3,Dados!$AG$30,IF($E$10=4,Dados!$AI$30,IF($E$10=5,Dados!$AK$30,IF($E$10=6,Dados!$AM$30,IF($E$10=7,Dados!$AO$30,IF($E$10=8,Dados!$AS$30,0)))))))</f>
        <v>0</v>
      </c>
      <c r="CN22" s="304">
        <f>IF($E$10=2,Dados!$AF$30,IF($E$10=3,Dados!$AH$30,IF($E$10=4,Dados!$AJ$30,IF($E$10=5,Dados!$AL$30,IF($E$10=6,Dados!$AN$30,IF($E$10=7,Dados!$AP$30,IF($E$10=8,Dados!$AT$30,0)))))))</f>
        <v>0</v>
      </c>
      <c r="CO22" s="316">
        <f>IF($E$11=2,Dados!$AE$30,IF($E$11=3,Dados!$AG$30,IF($E$11=4,Dados!$AI$30,IF($E$11=5,Dados!$AK$30,IF($E$11=6,Dados!$AM$30,IF($E$11=7,Dados!$AO$30,IF($E$11=8,Dados!$AS$30,0)))))))</f>
        <v>0</v>
      </c>
      <c r="CP22" s="304">
        <f>IF($E$11=2,Dados!$AF$30,IF($E$11=3,Dados!$AH$30,IF($E$11=4,Dados!$AJ$30,IF($E$11=5,Dados!$AL$30,IF($E$11=6,Dados!$AN$30,IF($E$11=7,Dados!$AP$30,IF($E$11=8,Dados!$AT$30,0)))))))</f>
        <v>0</v>
      </c>
      <c r="CR22" s="316">
        <f>IF($E$16=2,Dados!$AE$30,IF($E$16=3,Dados!$AG$30,IF($E$16=4,Dados!$AI$30,IF($E$16=5,Dados!$AK$30,IF($E$16=6,Dados!$AM$30,IF($E$16=7,Dados!$AO$30,IF($E$16=8,Dados!$AS$30,0)))))))</f>
        <v>0</v>
      </c>
      <c r="CS22" s="304">
        <f>IF($E$16=2,Dados!$AF$30,IF($E$16=3,Dados!$AH$30,IF($E$16=4,Dados!$AJ$30,IF($E$16=5,Dados!$AL$30,IF($E$16=6,Dados!$AN$30,IF($E$16=7,Dados!$AP$30,IF($E$16=8,Dados!$AT$30,0)))))))</f>
        <v>0</v>
      </c>
      <c r="CT22" s="316">
        <f>IF($E$17=2,Dados!$AE$30,IF($E$17=3,Dados!$AG$30,IF($E$17=4,Dados!$AI$30,IF($E$17=5,Dados!$AK$30,IF($E$17=6,Dados!$AM$30,IF($E$17=7,Dados!$AO$30,IF($E$17=8,Dados!$AS$30,0)))))))</f>
        <v>0</v>
      </c>
      <c r="CU22" s="304">
        <f>IF($E$17=2,Dados!$AF$30,IF($E$17=3,Dados!$AH$30,IF($E$17=4,Dados!$AJ$30,IF($E$17=5,Dados!$AL$30,IF($E$17=6,Dados!$AN$30,IF($E$17=7,Dados!$AP$30,IF($E$17=8,Dados!$AT$30,0)))))))</f>
        <v>0</v>
      </c>
      <c r="CV22" s="316">
        <f>IF($E$18=2,Dados!$AE$30,IF($E$18=3,Dados!$AG$30,IF($E$18=4,Dados!$AI$30,IF($E$18=5,Dados!$AK$30,IF($E$18=6,Dados!$AM$30,IF($E$18=7,Dados!$AO$30,IF($E$18=8,Dados!$AS$30,0)))))))</f>
        <v>0</v>
      </c>
      <c r="CW22" s="304">
        <f>IF($E$18=2,Dados!$AF$30,IF($E$18=3,Dados!$AH$30,IF($E$18=4,Dados!$AJ$30,IF($E$18=5,Dados!$AL$30,IF($E$18=6,Dados!$AN$30,IF($E$18=7,Dados!$AP$30,IF($E$18=8,Dados!$AT$30,0)))))))</f>
        <v>0</v>
      </c>
      <c r="CX22" s="316">
        <f>IF($E$19=2,Dados!$AE$30,IF($E$19=3,Dados!$AG$30,IF($E$19=4,Dados!$AI$30,IF($E$19=5,Dados!$AK$30,IF($E$19=6,Dados!$AM$30,IF($E$19=7,Dados!$AO$30,IF($E$19=8,Dados!$AS$30,0)))))))</f>
        <v>0</v>
      </c>
      <c r="CY22" s="304">
        <f>IF($E$19=2,Dados!$AF$30,IF($E$19=3,Dados!$AH$30,IF($E$19=4,Dados!$AJ$30,IF($E$19=5,Dados!$AL$30,IF($E$19=6,Dados!$AN$30,IF($E$19=7,Dados!$AP$30,IF($E$19=8,Dados!$AT$30,0)))))))</f>
        <v>0</v>
      </c>
      <c r="CZ22" s="316">
        <f>IF($E$20=2,Dados!$AE$30,IF($E$20=3,Dados!$AG$30,IF($E$20=4,Dados!$AI$30,IF($E$20=5,Dados!$AK$30,IF($E$20=6,Dados!$AM$30,IF($E$20=7,Dados!$AO$30,IF($E$20=8,Dados!$AS$30,0)))))))</f>
        <v>0</v>
      </c>
      <c r="DA22" s="304">
        <f>IF($E$20=2,Dados!$AF$30,IF($E$20=3,Dados!$AH$30,IF($E$20=4,Dados!$AJ$30,IF($E$20=5,Dados!$AL$30,IF($E$20=6,Dados!$AN$30,IF($E$20=7,Dados!$AP$30,IF($E$20=8,Dados!$AT$30,0)))))))</f>
        <v>0</v>
      </c>
      <c r="DC22" s="316">
        <f>IF($E$25=2,Dados!$AE$30,IF($E$25=3,Dados!$AG$30,IF($E$25=4,Dados!$AI$30,IF($E$25=5,Dados!$AK$30,IF($E$25=6,Dados!$AM$30,IF($E$25=7,Dados!$AO$30,IF($E$25=8,Dados!$AS$30,0)))))))</f>
        <v>0</v>
      </c>
      <c r="DD22" s="304">
        <f>IF($E$25=2,Dados!$AF$30,IF($E$25=3,Dados!$AH$30,IF($E$25=4,Dados!$AJ$30,IF($E$25=5,Dados!$AL$30,IF($E$25=6,Dados!$AN$30,IF($E$25=7,Dados!$AP$30,IF($E$25=8,Dados!$AT$30,0)))))))</f>
        <v>0</v>
      </c>
      <c r="DE22" s="316">
        <f>IF($E$26=2,Dados!$AE$30,IF($E$26=3,Dados!$AG$30,IF($E$26=4,Dados!$AI$30,IF($E$26=5,Dados!$AK$30,IF($E$26=6,Dados!$AM$30,IF($E$26=7,Dados!$AO$30,IF($E$26=8,Dados!$AS$30,0)))))))</f>
        <v>0</v>
      </c>
      <c r="DF22" s="304">
        <f>IF($E$26=2,Dados!$AF$30,IF($E$26=3,Dados!$AH$30,IF($E$26=4,Dados!$AJ$30,IF($E$26=5,Dados!$AL$30,IF($E$26=6,Dados!$AN$30,IF($E$26=7,Dados!$AP$30,IF($E$26=8,Dados!$AT$30,0)))))))</f>
        <v>0</v>
      </c>
      <c r="DG22" s="316">
        <f>IF($E$27=2,Dados!$AE$30,IF($E$27=3,Dados!$AG$30,IF($E$27=4,Dados!$AI$30,IF($E$27=5,Dados!$AK$30,IF($E$27=6,Dados!$AM$30,IF($E$27=7,Dados!$AO$30,IF($E$27=8,Dados!$AS$30,0)))))))</f>
        <v>0</v>
      </c>
      <c r="DH22" s="304">
        <f>IF($E$27=2,Dados!$AF$30,IF($E$27=3,Dados!$AH$30,IF($E$27=4,Dados!$AJ$30,IF($E$27=5,Dados!$AL$30,IF($E$27=6,Dados!$AN$30,IF($E$27=7,Dados!$AP$30,IF($E$27=8,Dados!$AT$30,0)))))))</f>
        <v>0</v>
      </c>
      <c r="DI22" s="316">
        <f>IF($E$28=2,Dados!$AE$30,IF($E$28=3,Dados!$AG$30,IF($E$28=4,Dados!$AI$30,IF($E$28=5,Dados!$AK$30,IF($E$28=6,Dados!$AM$30,IF($E$28=7,Dados!$AO$30,IF($E$28=8,Dados!$AS$30,0)))))))</f>
        <v>0</v>
      </c>
      <c r="DJ22" s="304">
        <f>IF($E$28=2,Dados!$AF$30,IF($E$28=3,Dados!$AH$30,IF($E$28=4,Dados!$AJ$30,IF($E$28=5,Dados!$AL$30,IF($E$28=6,Dados!$AN$30,IF($E$28=7,Dados!$AP$30,IF($E$28=8,Dados!$AT$30,0)))))))</f>
        <v>0</v>
      </c>
      <c r="DK22" s="316">
        <f>IF($E$29=2,Dados!$AE$30,IF($E$29=3,Dados!$AG$30,IF($E$29=4,Dados!$AI$30,IF($E$29=5,Dados!$AK$30,IF($E$29=6,Dados!$AM$30,IF($E$29=7,Dados!$AO$30,IF($E$29=8,Dados!$AS$30,0)))))))</f>
        <v>0</v>
      </c>
      <c r="DL22" s="304">
        <f>IF($E$29=2,Dados!$AF$30,IF($E$29=3,Dados!$AH$30,IF($E$29=4,Dados!$AJ$30,IF($E$29=5,Dados!$AL$30,IF($E$29=6,Dados!$AN$30,IF($E$29=7,Dados!$AP$30,IF($E$29=8,Dados!$AT$30,0)))))))</f>
        <v>0</v>
      </c>
      <c r="DN22" s="316">
        <f>IF($E$34=2,Dados!$AE$30,IF($E$34=3,Dados!$AG$30,IF($E$34=4,Dados!$AI$30,IF($E$34=5,Dados!$AK$30,IF($E$34=6,Dados!$AM$30,IF($E$34=7,Dados!$AO$30,IF($E$34=8,Dados!$AS$30,0)))))))</f>
        <v>0</v>
      </c>
      <c r="DO22" s="304">
        <f>IF($E$34=2,Dados!$AF$30,IF($E$34=3,Dados!$AH$30,IF($E$34=4,Dados!$AJ$30,IF($E$34=5,Dados!$AL$30,IF($E$34=6,Dados!$AN$30,IF($E$34=7,Dados!$AP$30,IF($E$34=8,Dados!$AT$30,0)))))))</f>
        <v>0</v>
      </c>
      <c r="DP22" s="316">
        <f>IF($E$35=2,Dados!$AE$30,IF($E$35=3,Dados!$AG$30,IF($E$35=4,Dados!$AI$30,IF($E$35=5,Dados!$AK$30,IF($E$35=6,Dados!$AM$30,IF($E$35=7,Dados!$AO$30,IF($E$35=8,Dados!$AS$30,0)))))))</f>
        <v>0</v>
      </c>
      <c r="DQ22" s="304">
        <f>IF($E$35=2,Dados!$AF$30,IF($E$35=3,Dados!$AH$30,IF($E$35=4,Dados!$AJ$30,IF($E$35=5,Dados!$AL$30,IF($E$35=6,Dados!$AN$30,IF($E$35=7,Dados!$AP$30,IF($E$35=8,Dados!$AT$30,0)))))))</f>
        <v>0</v>
      </c>
      <c r="DR22" s="316">
        <f>IF($E$36=2,Dados!$AE$30,IF($E$36=3,Dados!$AG$30,IF($E$36=4,Dados!$AI$30,IF($E$36=5,Dados!$AK$30,IF($E$36=6,Dados!$AM$30,IF($E$36=7,Dados!$AO$30,IF($E$36=8,Dados!$AS$30,0)))))))</f>
        <v>0</v>
      </c>
      <c r="DS22" s="304">
        <f>IF($E$36=2,Dados!$AF$30,IF($E$36=3,Dados!$AH$30,IF($E$36=4,Dados!$AJ$30,IF($E$36=5,Dados!$AL$30,IF($E$36=6,Dados!$AN$30,IF($E$36=7,Dados!$AP$30,IF($E$36=8,Dados!$AT$30,0)))))))</f>
        <v>0</v>
      </c>
      <c r="DT22" s="316">
        <f>IF($E$37=2,Dados!$AE$30,IF($E$37=3,Dados!$AG$30,IF($E$37=4,Dados!$AI$30,IF($E$37=5,Dados!$AK$30,IF($E$37=6,Dados!$AM$30,IF($E$37=7,Dados!$AO$30,IF($E$37=8,Dados!$AS$30,0)))))))</f>
        <v>0</v>
      </c>
      <c r="DU22" s="304">
        <f>IF($E$37=2,Dados!$AF$30,IF($E$37=3,Dados!$AH$30,IF($E$37=4,Dados!$AJ$30,IF($E$37=5,Dados!$AL$30,IF($E$37=6,Dados!$AN$30,IF($E$37=7,Dados!$AP$30,IF($E$37=8,Dados!$AT$30,0)))))))</f>
        <v>0</v>
      </c>
      <c r="DV22" s="316">
        <f>IF($E$38=2,Dados!$AE$30,IF($E$38=3,Dados!$AG$30,IF($E$38=4,Dados!$AI$30,IF($E$38=5,Dados!$AK$30,IF($E$38=6,Dados!$AM$30,IF($E$38=7,Dados!$AO$30,IF($E$38=8,Dados!$AS$30,0)))))))</f>
        <v>0</v>
      </c>
      <c r="DW22" s="304">
        <f>IF($E$38=2,Dados!$AF$30,IF($E$38=3,Dados!$AH$30,IF($E$38=4,Dados!$AJ$30,IF($E$38=5,Dados!$AL$30,IF($E$38=6,Dados!$AN$30,IF($E$38=7,Dados!$AP$30,IF($E$38=8,Dados!$AT$30,0)))))))</f>
        <v>0</v>
      </c>
      <c r="DY22" s="316">
        <f>IF($E$43=2,Dados!$AE$30,IF($E$43=3,Dados!$AG$30,IF($E$43=4,Dados!$AI$30,IF($E$43=5,Dados!$AK$30,IF($E$43=6,Dados!$AM$30,IF($E$43=7,Dados!$AO$30,IF($E$43=8,Dados!$AS$30,0)))))))</f>
        <v>0</v>
      </c>
      <c r="DZ22" s="304">
        <f>IF($E$43=2,Dados!$AF$30,IF($E$43=3,Dados!$AH$30,IF($E$43=4,Dados!$AJ$30,IF($E$43=5,Dados!$AL$30,IF($E$43=6,Dados!$AN$30,IF($E$43=7,Dados!$AP$30,IF($E$43=8,Dados!$AT$30,0)))))))</f>
        <v>0</v>
      </c>
      <c r="EA22" s="316">
        <f>IF($E$44=2,Dados!$AE$30,IF($E$44=3,Dados!$AG$30,IF($E$44=4,Dados!$AI$30,IF($E$44=5,Dados!$AK$30,IF($E$44=6,Dados!$AM$30,IF($E$44=7,Dados!$AO$30,IF($E$44=8,Dados!$AS$30,0)))))))</f>
        <v>0</v>
      </c>
      <c r="EB22" s="304">
        <f>IF($E$44=2,Dados!$AF$30,IF($E$44=3,Dados!$AH$30,IF($E$44=4,Dados!$AJ$30,IF($E$44=5,Dados!$AL$30,IF($E$44=6,Dados!$AN$30,IF($E$44=7,Dados!$AP$30,IF($E$44=8,Dados!$AT$30,0)))))))</f>
        <v>0</v>
      </c>
      <c r="EC22" s="316">
        <f>IF($E$45=2,Dados!$AE$30,IF($E$45=3,Dados!$AG$30,IF($E$45=4,Dados!$AI$30,IF($E$45=5,Dados!$AK$30,IF($E$45=6,Dados!$AM$30,IF($E$45=7,Dados!$AO$30,IF($E$45=8,Dados!$AS$30,0)))))))</f>
        <v>0</v>
      </c>
      <c r="ED22" s="304">
        <f>IF($E$45=2,Dados!$AF$30,IF($E$45=3,Dados!$AH$30,IF($E$45=4,Dados!$AJ$30,IF($E$45=5,Dados!$AL$30,IF($E$45=6,Dados!$AN$30,IF($E$45=7,Dados!$AP$30,IF($E$45=8,Dados!$AT$30,0)))))))</f>
        <v>0</v>
      </c>
      <c r="EE22" s="316">
        <f>IF($E$46=2,Dados!$AE$30,IF($E$46=3,Dados!$AG$30,IF($E$46=4,Dados!$AI$30,IF($E$46=5,Dados!$AK$30,IF($E$46=6,Dados!$AM$30,IF($E$46=7,Dados!$AO$30,IF($E$46=8,Dados!$AS$30,0)))))))</f>
        <v>0</v>
      </c>
      <c r="EF22" s="304">
        <f>IF($E$46=2,Dados!$AF$30,IF($E$46=3,Dados!$AH$30,IF($E$46=4,Dados!$AJ$30,IF($E$46=5,Dados!$AL$30,IF($E$46=6,Dados!$AN$30,IF($E$46=7,Dados!$AP$30,IF($E$46=8,Dados!$AT$30,0)))))))</f>
        <v>0</v>
      </c>
      <c r="EG22" s="316">
        <f>IF($E$47=2,Dados!$AE$30,IF($E$47=3,Dados!$AG$30,IF($E$47=4,Dados!$AI$30,IF($E$47=5,Dados!$AK$30,IF($E$47=6,Dados!$AM$30,IF($E$47=7,Dados!$AO$30,IF($E$47=8,Dados!$AS$30,0)))))))</f>
        <v>0</v>
      </c>
      <c r="EH22" s="304">
        <f>IF($E$47=2,Dados!$AF$30,IF($E$47=3,Dados!$AH$30,IF($E$47=4,Dados!$AJ$30,IF($E$47=5,Dados!$AL$30,IF($E$47=6,Dados!$AN$30,IF($E$47=7,Dados!$AP$30,IF($E$47=8,Dados!$AT$30,0)))))))</f>
        <v>0</v>
      </c>
      <c r="EJ22" s="316">
        <f>IF($E$52=2,Dados!$AE$30,IF($E$52=3,Dados!$AG$30,IF($E$52=4,Dados!$AI$30,IF($E$52=5,Dados!$AK$30,IF($E$52=6,Dados!$AM$30,IF($E$52=7,Dados!$AO$30,IF($E$52=8,Dados!$AS$30,0)))))))</f>
        <v>0</v>
      </c>
      <c r="EK22" s="304">
        <f>IF($E$52=2,Dados!$AF$30,IF($E$52=3,Dados!$AH$30,IF($E$52=4,Dados!$AJ$30,IF($E$52=5,Dados!$AL$30,IF($E$52=6,Dados!$AN$30,IF($E$52=7,Dados!$AP$30,IF($E$52=8,Dados!$AT$30,0)))))))</f>
        <v>0</v>
      </c>
      <c r="EL22" s="316">
        <f>IF($E$53=2,Dados!$AE$30,IF($E$53=3,Dados!$AG$30,IF($E$53=4,Dados!$AI$30,IF($E$53=5,Dados!$AK$30,IF($E$53=6,Dados!$AM$30,IF($E$53=7,Dados!$AO$30,IF($E$53=8,Dados!$AS$30,0)))))))</f>
        <v>0</v>
      </c>
      <c r="EM22" s="304">
        <f>IF($E$53=2,Dados!$AF$30,IF($E$53=3,Dados!$AH$30,IF($E$53=4,Dados!$AJ$30,IF($E$53=5,Dados!$AL$30,IF($E$53=6,Dados!$AN$30,IF($E$53=7,Dados!$AP$30,IF($E$53=8,Dados!$AT$30,0)))))))</f>
        <v>0</v>
      </c>
      <c r="EN22" s="316">
        <f>IF($E$54=2,Dados!$AE$30,IF($E$54=3,Dados!$AG$30,IF($E$54=4,Dados!$AI$30,IF($E$54=5,Dados!$AK$30,IF($E$54=6,Dados!$AM$30,IF($E$54=7,Dados!$AO$30,IF($E$54=8,Dados!$AS$30,0)))))))</f>
        <v>0</v>
      </c>
      <c r="EO22" s="304">
        <f>IF($E$54=2,Dados!$AF$30,IF($E$54=3,Dados!$AH$30,IF($E$54=4,Dados!$AJ$30,IF($E$54=5,Dados!$AL$30,IF($E$54=6,Dados!$AN$30,IF($E$54=7,Dados!$AP$30,IF($E$54=8,Dados!$AT$30,0)))))))</f>
        <v>0</v>
      </c>
      <c r="EP22" s="316">
        <f>IF($E$55=2,Dados!$AE$30,IF($E$55=3,Dados!$AG$30,IF($E$55=4,Dados!$AI$30,IF($E$55=5,Dados!$AK$30,IF($E$55=6,Dados!$AM$30,IF($E$55=7,Dados!$AO$30,IF($E$55=8,Dados!$AS$30,0)))))))</f>
        <v>0</v>
      </c>
      <c r="EQ22" s="304">
        <f>IF($E$55=2,Dados!$AF$30,IF($E$55=3,Dados!$AH$30,IF($E$55=4,Dados!$AJ$30,IF($E$55=5,Dados!$AL$30,IF($E$55=6,Dados!$AN$30,IF($E$55=7,Dados!$AP$30,IF($E$55=8,Dados!$AT$30,0)))))))</f>
        <v>0</v>
      </c>
      <c r="ER22" s="316">
        <f>IF($E$56=2,Dados!$AE$30,IF($E$56=3,Dados!$AG$30,IF($E$56=4,Dados!$AI$30,IF($E$56=5,Dados!$AK$30,IF($E$56=6,Dados!$AM$30,IF($E$56=7,Dados!$AO$30,IF($E$56=8,Dados!$AS$30,0)))))))</f>
        <v>0</v>
      </c>
      <c r="ES22" s="304">
        <f>IF($E$56=2,Dados!$AF$30,IF($E$56=3,Dados!$AH$30,IF($E$56=4,Dados!$AJ$30,IF($E$56=5,Dados!$AL$30,IF($E$56=6,Dados!$AN$30,IF($E$56=7,Dados!$AP$30,IF($E$56=8,Dados!$AT$30,0)))))))</f>
        <v>0</v>
      </c>
      <c r="EU22" s="316">
        <f>IF($E$61=2,Dados!$AE$30,IF($E$61=3,Dados!$AG$30,IF($E$61=4,Dados!$AI$30,IF($E$61=5,Dados!$AK$30,IF($E$61=6,Dados!$AM$30,IF($E$61=7,Dados!$AO$30,IF($E$61=8,Dados!$AS$30,0)))))))</f>
        <v>0</v>
      </c>
      <c r="EV22" s="304">
        <f>IF($E$61=2,Dados!$AF$30,IF($E$61=3,Dados!$AH$30,IF($E$61=4,Dados!$AJ$30,IF($E$61=5,Dados!$AL$30,IF($E$61=6,Dados!$AN$30,IF($E$61=7,Dados!$AP$30,IF($E$61=8,Dados!$AT$30,0)))))))</f>
        <v>0</v>
      </c>
      <c r="EW22" s="316">
        <f>IF($E$62=2,Dados!$AE$30,IF($E$62=3,Dados!$AG$30,IF($E$62=4,Dados!$AI$30,IF($E$62=5,Dados!$AK$30,IF($E$62=6,Dados!$AM$30,IF($E$62=7,Dados!$AO$30,IF($E$62=8,Dados!$AS$30,0)))))))</f>
        <v>0</v>
      </c>
      <c r="EX22" s="304">
        <f>IF($E$62=2,Dados!$AF$30,IF($E$62=3,Dados!$AH$30,IF($E$62=4,Dados!$AJ$30,IF($E$62=5,Dados!$AL$30,IF($E$62=6,Dados!$AN$30,IF($E$62=7,Dados!$AP$30,IF($E$62=8,Dados!$AT$30,0)))))))</f>
        <v>0</v>
      </c>
      <c r="EY22" s="316">
        <f>IF($E$63=2,Dados!$AE$30,IF($E$63=3,Dados!$AG$30,IF($E$63=4,Dados!$AI$30,IF($E$63=5,Dados!$AK$30,IF($E$63=6,Dados!$AM$30,IF($E$63=7,Dados!$AO$30,IF($E$63=8,Dados!$AS$30,0)))))))</f>
        <v>0</v>
      </c>
      <c r="EZ22" s="304">
        <f>IF($E$63=2,Dados!$AF$30,IF($E$63=3,Dados!$AH$30,IF($E$63=4,Dados!$AJ$30,IF($E$63=5,Dados!$AL$30,IF($E$63=6,Dados!$AN$30,IF($E$63=7,Dados!$AP$30,IF($E$63=8,Dados!$AT$30,0)))))))</f>
        <v>0</v>
      </c>
      <c r="FA22" s="316">
        <f>IF($E$64=2,Dados!$AE$30,IF($E$64=3,Dados!$AG$30,IF($E$64=4,Dados!$AI$30,IF($E$64=5,Dados!$AK$30,IF($E$64=6,Dados!$AM$30,IF($E$64=7,Dados!$AO$30,IF($E$64=8,Dados!$AS$30,0)))))))</f>
        <v>0</v>
      </c>
      <c r="FB22" s="304">
        <f>IF($E$64=2,Dados!$AF$30,IF($E$64=3,Dados!$AH$30,IF($E$64=4,Dados!$AJ$30,IF($E$64=5,Dados!$AL$30,IF($E$64=6,Dados!$AN$30,IF($E$64=7,Dados!$AP$30,IF($E$64=8,Dados!$AT$30,0)))))))</f>
        <v>0</v>
      </c>
      <c r="FC22" s="316">
        <f>IF($E$65=2,Dados!$AE$30,IF($E$65=3,Dados!$AG$30,IF($E$65=4,Dados!$AI$30,IF($E$65=5,Dados!$AK$30,IF($E$65=6,Dados!$AM$30,IF($E$65=7,Dados!$AO$30,IF($E$65=8,Dados!$AS$30,0)))))))</f>
        <v>0</v>
      </c>
      <c r="FD22" s="304">
        <f>IF($E$65=2,Dados!$AF$30,IF($E$65=3,Dados!$AH$30,IF($E$65=4,Dados!$AJ$30,IF($E$65=5,Dados!$AL$30,IF($E$65=6,Dados!$AN$30,IF($E$65=7,Dados!$AP$30,IF($E$65=8,Dados!$AT$30,0)))))))</f>
        <v>0</v>
      </c>
      <c r="FF22" s="316">
        <f>IF($E$70=2,Dados!$AE$30,IF($E$70=3,Dados!$AG$30,IF($E$70=4,Dados!$AI$30,IF($E$70=5,Dados!$AK$30,IF($E$70=6,Dados!$AM$30,IF($E$70=7,Dados!$AO$30,IF($E$70=8,Dados!$AS$30,0)))))))</f>
        <v>0</v>
      </c>
      <c r="FG22" s="304">
        <f>IF($E$70=2,Dados!$AF$30,IF($E$70=3,Dados!$AH$30,IF($E$70=4,Dados!$AJ$30,IF($E$70=5,Dados!$AL$30,IF($E$70=6,Dados!$AN$30,IF($E$70=7,Dados!$AP$30,IF($E$70=8,Dados!$AT$30,0)))))))</f>
        <v>0</v>
      </c>
      <c r="FH22" s="316">
        <f>IF($E$71=2,Dados!$AE$30,IF($E$71=3,Dados!$AG$30,IF($E$71=4,Dados!$AI$30,IF($E$71=5,Dados!$AK$30,IF($E$71=6,Dados!$AM$30,IF($E$71=7,Dados!$AO$30,IF($E$71=8,Dados!$AS$30,0)))))))</f>
        <v>0</v>
      </c>
      <c r="FI22" s="304">
        <f>IF($E$71=2,Dados!$AF$30,IF($E$71=3,Dados!$AH$30,IF($E$71=4,Dados!$AJ$30,IF($E$71=5,Dados!$AL$30,IF($E$71=6,Dados!$AN$30,IF($E$71=7,Dados!$AP$30,IF($E$71=8,Dados!$AT$30,0)))))))</f>
        <v>0</v>
      </c>
      <c r="FJ22" s="316">
        <f>IF($E$72=2,Dados!$AE$30,IF($E$72=3,Dados!$AG$30,IF($E$72=4,Dados!$AI$30,IF($E$72=5,Dados!$AK$30,IF($E$72=6,Dados!$AM$30,IF($E$72=7,Dados!$AO$30,IF($E$72=8,Dados!$AS$30,0)))))))</f>
        <v>0</v>
      </c>
      <c r="FK22" s="304">
        <f>IF($E$72=2,Dados!$AF$30,IF($E$72=3,Dados!$AH$30,IF($E$72=4,Dados!$AJ$30,IF($E$72=5,Dados!$AL$30,IF($E$72=6,Dados!$AN$30,IF($E$72=7,Dados!$AP$30,IF($E$72=8,Dados!$AT$30,0)))))))</f>
        <v>0</v>
      </c>
      <c r="FL22" s="316">
        <f>IF($E$73=2,Dados!$AE$30,IF($E$73=3,Dados!$AG$30,IF($E$73=4,Dados!$AI$30,IF($E$73=5,Dados!$AK$30,IF($E$73=6,Dados!$AM$30,IF($E$73=7,Dados!$AO$30,IF($E$73=8,Dados!$AS$30,0)))))))</f>
        <v>0</v>
      </c>
      <c r="FM22" s="304">
        <f>IF($E$73=2,Dados!$AF$30,IF($E$73=3,Dados!$AH$30,IF($E$73=4,Dados!$AJ$30,IF($E$73=5,Dados!$AL$30,IF($E$73=6,Dados!$AN$30,IF($E$73=7,Dados!$AP$30,IF($E$73=8,Dados!$AT$30,0)))))))</f>
        <v>0</v>
      </c>
      <c r="FN22" s="316">
        <f>IF($E$74=2,Dados!$AE$30,IF($E$74=3,Dados!$AG$30,IF($E$74=4,Dados!$AI$30,IF($E$74=5,Dados!$AK$30,IF($E$74=6,Dados!$AM$30,IF($E$74=7,Dados!$AO$30,IF($E$74=8,Dados!$AS$30,0)))))))</f>
        <v>0</v>
      </c>
      <c r="FO22" s="304">
        <f>IF($E$74=2,Dados!$AF$30,IF($E$74=3,Dados!$AH$30,IF($E$74=4,Dados!$AJ$30,IF($E$74=5,Dados!$AL$30,IF($E$74=6,Dados!$AN$30,IF($E$74=7,Dados!$AP$30,IF($E$74=8,Dados!$AT$30,0)))))))</f>
        <v>0</v>
      </c>
      <c r="FQ22" s="316">
        <f>IF($E$79=2,Dados!$AE$30,IF($E$79=3,Dados!$AG$30,IF($E$79=4,Dados!$AI$30,IF($E$79=5,Dados!$AK$30,IF($E$79=6,Dados!$AM$30,IF($E$79=7,Dados!$AO$30,IF($E$79=8,Dados!$AS$30,0)))))))</f>
        <v>0</v>
      </c>
      <c r="FR22" s="304">
        <f>IF($E$79=2,Dados!$AF$30,IF($E$79=3,Dados!$AH$30,IF($E$79=4,Dados!$AJ$30,IF($E$79=5,Dados!$AL$30,IF($E$79=6,Dados!$AN$30,IF($E$79=7,Dados!$AP$30,IF($E$79=8,Dados!$AT$30,0)))))))</f>
        <v>0</v>
      </c>
      <c r="FS22" s="316">
        <f>IF($E$80=2,Dados!$AE$30,IF($E$80=3,Dados!$AG$30,IF($E$80=4,Dados!$AI$30,IF($E$80=5,Dados!$AK$30,IF($E$80=6,Dados!$AM$30,IF($E$80=7,Dados!$AO$30,IF($E$80=8,Dados!$AS$30,0)))))))</f>
        <v>0</v>
      </c>
      <c r="FT22" s="304">
        <f>IF($E$80=2,Dados!$AF$30,IF($E$80=3,Dados!$AH$30,IF($E$80=4,Dados!$AJ$30,IF($E$80=5,Dados!$AL$30,IF($E$80=6,Dados!$AN$30,IF($E$80=7,Dados!$AP$30,IF($E$80=8,Dados!$AT$30,0)))))))</f>
        <v>0</v>
      </c>
      <c r="FU22" s="316">
        <f>IF($E$81=2,Dados!$AE$30,IF($E$81=3,Dados!$AG$30,IF($E$81=4,Dados!$AI$30,IF($E$81=5,Dados!$AK$30,IF($E$81=6,Dados!$AM$30,IF($E$81=7,Dados!$AO$30,IF($E$81=8,Dados!$AS$30,0)))))))</f>
        <v>0</v>
      </c>
      <c r="FV22" s="304">
        <f>IF($E$81=2,Dados!$AF$30,IF($E$81=3,Dados!$AH$30,IF($E$81=4,Dados!$AJ$30,IF($E$81=5,Dados!$AL$30,IF($E$81=6,Dados!$AN$30,IF($E$81=7,Dados!$AP$30,IF($E$81=8,Dados!$AT$30,0)))))))</f>
        <v>0</v>
      </c>
      <c r="FW22" s="316">
        <f>IF($E$82=2,Dados!$AE$30,IF($E$82=3,Dados!$AG$30,IF($E$82=4,Dados!$AI$30,IF($E$82=5,Dados!$AK$30,IF($E$82=6,Dados!$AM$30,IF($E$82=7,Dados!$AO$30,IF($E$82=8,Dados!$AS$30,0)))))))</f>
        <v>0</v>
      </c>
      <c r="FX22" s="304">
        <f>IF($E$82=2,Dados!$AF$30,IF($E$82=3,Dados!$AH$30,IF($E$82=4,Dados!$AJ$30,IF($E$82=5,Dados!$AL$30,IF($E$82=6,Dados!$AN$30,IF($E$82=7,Dados!$AP$30,IF($E$82=8,Dados!$AT$30,0)))))))</f>
        <v>0</v>
      </c>
      <c r="FY22" s="316">
        <f>IF($E$83=2,Dados!$AE$30,IF($E$83=3,Dados!$AG$30,IF($E$83=4,Dados!$AI$30,IF($E$83=5,Dados!$AK$30,IF($E$83=6,Dados!$AM$30,IF($E$83=7,Dados!$AO$30,IF($E$83=8,Dados!$AS$30,0)))))))</f>
        <v>0</v>
      </c>
      <c r="FZ22" s="304">
        <f>IF($E$83=2,Dados!$AF$30,IF($E$83=3,Dados!$AH$30,IF($E$83=4,Dados!$AJ$30,IF($E$83=5,Dados!$AL$30,IF($E$83=6,Dados!$AN$30,IF($E$83=7,Dados!$AP$30,IF($E$83=8,Dados!$AT$30,0)))))))</f>
        <v>0</v>
      </c>
      <c r="GB22" s="316">
        <f>IF($E$88=2,Dados!$AE$30,IF($E$88=3,Dados!$AG$30,IF($E$88=4,Dados!$AI$30,IF($E$88=5,Dados!$AK$30,IF($E$88=6,Dados!$AM$30,IF($E$88=7,Dados!$AO$30,IF($E$88=8,Dados!$AS$30,0)))))))</f>
        <v>0</v>
      </c>
      <c r="GC22" s="304">
        <f>IF($E$88=2,Dados!$AF$30,IF($E$88=3,Dados!$AH$30,IF($E$88=4,Dados!$AJ$30,IF($E$88=5,Dados!$AL$30,IF($E$88=6,Dados!$AN$30,IF($E$88=7,Dados!$AP$30,IF($E$88=8,Dados!$AT$30,0)))))))</f>
        <v>0</v>
      </c>
      <c r="GD22" s="316">
        <f>IF($E$89=2,Dados!$AE$30,IF($E$89=3,Dados!$AG$30,IF($E$89=4,Dados!$AI$30,IF($E$89=5,Dados!$AK$30,IF($E$89=6,Dados!$AM$30,IF($E$89=7,Dados!$AO$30,IF($E$89=8,Dados!$AS$30,0)))))))</f>
        <v>0</v>
      </c>
      <c r="GE22" s="304">
        <f>IF($E$89=2,Dados!$AF$30,IF($E$89=3,Dados!$AH$30,IF($E$89=4,Dados!$AJ$30,IF($E$89=5,Dados!$AL$30,IF($E$89=6,Dados!$AN$30,IF($E$89=7,Dados!$AP$30,IF($E$89=8,Dados!$AT$30,0)))))))</f>
        <v>0</v>
      </c>
      <c r="GF22" s="316">
        <f>IF($E$90=2,Dados!$AE$30,IF($E$90=3,Dados!$AG$30,IF($E$90=4,Dados!$AI$30,IF($E$90=5,Dados!$AK$30,IF($E$90=6,Dados!$AM$30,IF($E$90=7,Dados!$AO$30,IF($E$90=8,Dados!$AS$30,0)))))))</f>
        <v>0</v>
      </c>
      <c r="GG22" s="304">
        <f>IF($E$90=2,Dados!$AF$30,IF($E$90=3,Dados!$AH$30,IF($E$90=4,Dados!$AJ$30,IF($E$90=5,Dados!$AL$30,IF($E$90=6,Dados!$AN$30,IF($E$90=7,Dados!$AP$30,IF($E$90=8,Dados!$AT$30,0)))))))</f>
        <v>0</v>
      </c>
      <c r="GH22" s="316">
        <f>IF($E$91=2,Dados!$AE$30,IF($E$91=3,Dados!$AG$30,IF($E$91=4,Dados!$AI$30,IF($E$91=5,Dados!$AK$30,IF($E$91=6,Dados!$AM$30,IF($E$91=7,Dados!$AO$30,IF($E$91=8,Dados!$AS$30,0)))))))</f>
        <v>0</v>
      </c>
      <c r="GI22" s="304">
        <f>IF($E$91=2,Dados!$AF$30,IF($E$91=3,Dados!$AH$30,IF($E$91=4,Dados!$AJ$30,IF($E$91=5,Dados!$AL$30,IF($E$91=6,Dados!$AN$30,IF($E$91=7,Dados!$AP$30,IF($E$91=8,Dados!$AT$30,0)))))))</f>
        <v>0</v>
      </c>
      <c r="GJ22" s="316">
        <f>IF($E$92=2,Dados!$AE$30,IF($E$92=3,Dados!$AG$30,IF($E$92=4,Dados!$AI$30,IF($E$92=5,Dados!$AK$30,IF($E$92=6,Dados!$AM$30,IF($E$92=7,Dados!$AO$30,IF($E$92=8,Dados!$AS$30,0)))))))</f>
        <v>0</v>
      </c>
      <c r="GK22" s="304">
        <f>IF($E$92=2,Dados!$AF$30,IF($E$92=3,Dados!$AH$30,IF($E$92=4,Dados!$AJ$30,IF($E$92=5,Dados!$AL$30,IF($E$92=6,Dados!$AN$30,IF($E$92=7,Dados!$AP$30,IF($E$92=8,Dados!$AT$30,0)))))))</f>
        <v>0</v>
      </c>
      <c r="GM22" s="316">
        <f>IF($E$97=2,Dados!$AE$30,IF($E$97=3,Dados!$AG$30,IF($E$97=4,Dados!$AI$30,IF($E$97=5,Dados!$AK$30,IF($E$97=6,Dados!$AM$30,IF($E$97=7,Dados!$AO$30,IF($E$97=8,Dados!$AS$30,0)))))))</f>
        <v>0</v>
      </c>
      <c r="GN22" s="304">
        <f>IF($E$97=2,Dados!$AF$30,IF($E$97=3,Dados!$AH$30,IF($E$97=4,Dados!$AJ$30,IF($E$97=5,Dados!$AL$30,IF($E$97=6,Dados!$AN$30,IF($E$97=7,Dados!$AP$30,IF($E$97=8,Dados!$AT$30,0)))))))</f>
        <v>0</v>
      </c>
      <c r="GO22" s="316">
        <f>IF($E$98=2,Dados!$AE$30,IF($E$98=3,Dados!$AG$30,IF($E$98=4,Dados!$AI$30,IF($E$98=5,Dados!$AK$30,IF($E$98=6,Dados!$AM$30,IF($E$98=7,Dados!$AO$30,IF($E$98=8,Dados!$AS$30,0)))))))</f>
        <v>0</v>
      </c>
      <c r="GP22" s="304">
        <f>IF($E$98=2,Dados!$AF$30,IF($E$98=3,Dados!$AH$30,IF($E$98=4,Dados!$AJ$30,IF($E$98=5,Dados!$AL$30,IF($E$98=6,Dados!$AN$30,IF($E$98=7,Dados!$AP$30,IF($E$98=8,Dados!$AT$30,0)))))))</f>
        <v>0</v>
      </c>
      <c r="GQ22" s="316">
        <f>IF($E$99=2,Dados!$AE$30,IF($E$99=3,Dados!$AG$30,IF($E$99=4,Dados!$AI$30,IF($E$99=5,Dados!$AK$30,IF($E$99=6,Dados!$AM$30,IF($E$99=7,Dados!$AO$30,IF($E$99=8,Dados!$AS$30,0)))))))</f>
        <v>0</v>
      </c>
      <c r="GR22" s="304">
        <f>IF($E$99=2,Dados!$AF$30,IF($E$99=3,Dados!$AH$30,IF($E$99=4,Dados!$AJ$30,IF($E$99=5,Dados!$AL$30,IF($E$99=6,Dados!$AN$30,IF($E$99=7,Dados!$AP$30,IF($E$99=8,Dados!$AT$30,0)))))))</f>
        <v>0</v>
      </c>
      <c r="GS22" s="316">
        <f>IF($E$100=2,Dados!$AE$30,IF($E$100=3,Dados!$AG$30,IF($E$100=4,Dados!$AI$30,IF($E$100=5,Dados!$AK$30,IF($E$100=6,Dados!$AM$30,IF($E$100=7,Dados!$AO$30,IF($E$100=8,Dados!$AS$30,0)))))))</f>
        <v>0</v>
      </c>
      <c r="GT22" s="304">
        <f>IF($E$100=2,Dados!$AF$30,IF($E$100=3,Dados!$AH$30,IF($E$100=4,Dados!$AJ$30,IF($E$100=5,Dados!$AL$30,IF($E$100=6,Dados!$AN$30,IF($E$100=7,Dados!$AP$30,IF($E$100=8,Dados!$AT$30,0)))))))</f>
        <v>0</v>
      </c>
      <c r="GU22" s="316">
        <f>IF($E$101=2,Dados!$AE$30,IF($E$101=3,Dados!$AG$30,IF($E$101=4,Dados!$AI$30,IF($E$101=5,Dados!$AK$30,IF($E$101=6,Dados!$AM$30,IF($E$101=7,Dados!$AO$30,IF($E$101=8,Dados!$AS$30,0)))))))</f>
        <v>0</v>
      </c>
      <c r="GV22" s="304">
        <f>IF($E$101=2,Dados!$AF$30,IF($E$101=3,Dados!$AH$30,IF($E$101=4,Dados!$AJ$30,IF($E$101=5,Dados!$AL$30,IF($E$101=6,Dados!$AN$30,IF($E$101=7,Dados!$AP$30,IF($E$101=8,Dados!$AT$30,0)))))))</f>
        <v>0</v>
      </c>
      <c r="GX22" s="316">
        <f>IF($E$106=2,Dados!$AE$30,IF($E$106=3,Dados!$AG$30,IF($E$106=4,Dados!$AI$30,IF($E$106=5,Dados!$AK$30,IF($E$106=6,Dados!$AM$30,IF($E$106=7,Dados!$AO$30,IF($E$106=8,Dados!$AS$30,0)))))))</f>
        <v>0</v>
      </c>
      <c r="GY22" s="304">
        <f>IF($E$106=2,Dados!$AF$30,IF($E$106=3,Dados!$AH$30,IF($E$106=4,Dados!$AJ$30,IF($E$106=5,Dados!$AL$30,IF($E$106=6,Dados!$AN$30,IF($E$106=7,Dados!$AP$30,IF($E$106=8,Dados!$AT$30,0)))))))</f>
        <v>0</v>
      </c>
      <c r="GZ22" s="316">
        <f>IF($E$107=2,Dados!$AE$30,IF($E$107=3,Dados!$AG$30,IF($E$107=4,Dados!$AI$30,IF($E$107=5,Dados!$AK$30,IF($E$107=6,Dados!$AM$30,IF($E$107=7,Dados!$AO$30,IF($E$107=8,Dados!$AS$30,0)))))))</f>
        <v>0</v>
      </c>
      <c r="HA22" s="304">
        <f>IF($E$107=2,Dados!$AF$30,IF($E$107=3,Dados!$AH$30,IF($E$107=4,Dados!$AJ$30,IF($E$107=5,Dados!$AL$30,IF($E$107=6,Dados!$AN$30,IF($E$107=7,Dados!$AP$30,IF($E$107=8,Dados!$AT$30,0)))))))</f>
        <v>0</v>
      </c>
      <c r="HB22" s="316">
        <f>IF($E$108=2,Dados!$AE$30,IF($E$108=3,Dados!$AG$30,IF($E$108=4,Dados!$AI$30,IF($E$108=5,Dados!$AK$30,IF($E$108=6,Dados!$AM$30,IF($E$108=7,Dados!$AO$30,IF($E$108=8,Dados!$AS$30,0)))))))</f>
        <v>0</v>
      </c>
      <c r="HC22" s="304">
        <f>IF($E$108=2,Dados!$AF$30,IF($E$108=3,Dados!$AH$30,IF($E$108=4,Dados!$AJ$30,IF($E$108=5,Dados!$AL$30,IF($E$108=6,Dados!$AN$30,IF($E$108=7,Dados!$AP$30,IF($E$108=8,Dados!$AT$30,0)))))))</f>
        <v>0</v>
      </c>
      <c r="HD22" s="316">
        <f>IF($E$109=2,Dados!$AE$30,IF($E$109=3,Dados!$AG$30,IF($E$109=4,Dados!$AI$30,IF($E$109=5,Dados!$AK$30,IF($E$109=6,Dados!$AM$30,IF($E$109=7,Dados!$AO$30,IF($E$109=8,Dados!$AS$30,0)))))))</f>
        <v>0</v>
      </c>
      <c r="HE22" s="304">
        <f>IF($E$109=2,Dados!$AF$30,IF($E$109=3,Dados!$AH$30,IF($E$109=4,Dados!$AJ$30,IF($E$109=5,Dados!$AL$30,IF($E$109=6,Dados!$AN$30,IF($E$109=7,Dados!$AP$30,IF($E$109=8,Dados!$AT$30,0)))))))</f>
        <v>0</v>
      </c>
      <c r="HF22" s="316">
        <f>IF($E$110=2,Dados!$AE$30,IF($E$110=3,Dados!$AG$30,IF($E$110=4,Dados!$AI$30,IF($E$110=5,Dados!$AK$30,IF($E$110=6,Dados!$AM$30,IF($E$110=7,Dados!$AO$30,IF($E$110=8,Dados!$AS$30,0)))))))</f>
        <v>0</v>
      </c>
      <c r="HG22" s="304">
        <f>IF($E$110=2,Dados!$AF$30,IF($E$110=3,Dados!$AH$30,IF($E$110=4,Dados!$AJ$30,IF($E$110=5,Dados!$AL$30,IF($E$110=6,Dados!$AN$30,IF($E$110=7,Dados!$AP$30,IF($E$110=8,Dados!$AT$30,0)))))))</f>
        <v>0</v>
      </c>
    </row>
    <row r="23" spans="3:215" ht="13.5" thickBot="1" x14ac:dyDescent="0.25">
      <c r="I23" s="126" t="s">
        <v>519</v>
      </c>
      <c r="K23" s="118"/>
      <c r="L23" s="118"/>
      <c r="X23" s="2625" t="s">
        <v>414</v>
      </c>
      <c r="Y23" s="2625"/>
      <c r="Z23" s="183" t="s">
        <v>1246</v>
      </c>
      <c r="AE23" s="1534" t="str">
        <f>Rebanho!C65</f>
        <v>Vaca (Engorda)</v>
      </c>
      <c r="AF23" s="1535">
        <f>IF(Rebanho!E65&gt;0,1,0)</f>
        <v>0</v>
      </c>
      <c r="AG23" s="1536">
        <f>Rebanho!E65</f>
        <v>0</v>
      </c>
      <c r="AH23" s="1537">
        <f>Rebanho!AS62</f>
        <v>0</v>
      </c>
      <c r="AI23" s="1538">
        <f>((SUMIFS($Z$7:$Z$110,$E$7:$E$110,"=2",$N$7:$N$110,"=18")+SUMIFS($Z$7:$Z$110,$E$7:$E$110,"=2",$N$7:$N$110,"=19")))*($AF$23)</f>
        <v>0</v>
      </c>
      <c r="AJ23" s="1538">
        <f>((SUMIFS($Z$7:$Z$110,$E$7:$E$110,"=3",$N$7:$N$110,"=18")+SUMIFS($Z$7:$Z$110,$E$7:$E$110,"=3",$N$7:$N$110,"=19")))*($AF$23)</f>
        <v>0</v>
      </c>
      <c r="AK23" s="1538">
        <f>((SUMIFS($Z$7:$Z$110,$E$7:$E$110,"=4",$N$7:$N$110,"=18")+SUMIFS($Z$7:$Z$110,$E$7:$E$110,"=4",$N$7:$N$110,"=19")))*($AF$23)</f>
        <v>0</v>
      </c>
      <c r="AL23" s="1538">
        <f>((SUMIFS($Z$7:$Z$110,$E$7:$E$110,"=5",$N$7:$N$110,"=18")+SUMIFS($Z$7:$Z$110,$E$7:$E$110,"=5",$N$7:$N$110,"=19")))*($AF$23)</f>
        <v>0</v>
      </c>
      <c r="AM23" s="1538">
        <f>((SUMIFS($Z$7:$Z$110,$E$7:$E$110,"=6",$N$7:$N$110,"=18")+SUMIFS($Z$7:$Z$110,$E$7:$E$110,"=6",$N$7:$N$110,"=19")))*($AF$23)</f>
        <v>0</v>
      </c>
      <c r="AN23" s="1538">
        <f>((SUMIFS($Z$7:$Z$110,$E$7:$E$110,"=7",$N$7:$N$110,"=18")+SUMIFS($Z$7:$Z$110,$E$7:$E$110,"=7",$N$7:$N$110,"=19")))*($AF$23)</f>
        <v>0</v>
      </c>
      <c r="AO23" s="1539">
        <f>((SUMIFS($Z$7:$Z$110,$E$7:$E$110,"=8",$N$7:$N$110,"=18")+SUMIFS($Z$7:$Z$110,$E$7:$E$110,"=8",$N$7:$N$110,"=19")))*($AF$23)</f>
        <v>0</v>
      </c>
      <c r="AP23" s="1539">
        <f t="shared" si="3"/>
        <v>0</v>
      </c>
      <c r="AQ23" s="1540">
        <f t="shared" si="2"/>
        <v>0</v>
      </c>
      <c r="CF23" s="93">
        <v>18</v>
      </c>
      <c r="CG23" s="316">
        <f>IF($E$7=2,Dados!$AE$31,IF($E$7=3,Dados!$AG$31,IF($E$7=4,Dados!$AI$31,IF($E$7=5,Dados!$AK$31,IF($E$7=6,Dados!$AM$31,IF($E$7=7,Dados!$AO$31,IF($E$7=8,Dados!$AS$31,0)))))))</f>
        <v>0</v>
      </c>
      <c r="CH23" s="304">
        <f>IF($E$7=2,Dados!$AF$31,IF($E$7=3,Dados!$AH$31,IF($E$7=4,Dados!$AJ$31,IF($E$7=5,Dados!$AL$31,IF($E$7=6,Dados!$AN$31,IF($E$7=7,Dados!$AP$31,IF($E$7=8,Dados!$AT$31,0)))))))</f>
        <v>0</v>
      </c>
      <c r="CI23" s="316">
        <f>IF($E$8=2,Dados!$AE$31,IF($E$8=3,Dados!$AG$31,IF($E$8=4,Dados!$AI$31,IF($E$8=5,Dados!$AK$31,IF($E$8=6,Dados!$AM$31,IF($E$8=7,Dados!$AO$31,IF($E$8=8,Dados!$AS$31,0)))))))</f>
        <v>0</v>
      </c>
      <c r="CJ23" s="304">
        <f>IF($E$8=2,Dados!$AF$31,IF($E$8=3,Dados!$AH$31,IF($E$8=4,Dados!$AJ$31,IF($E$8=5,Dados!$AL$31,IF($E$8=6,Dados!$AN$31,IF($E$8=7,Dados!$AP$31,IF($E$8=8,Dados!$AT$31,0)))))))</f>
        <v>0</v>
      </c>
      <c r="CK23" s="316">
        <f>IF($E$9=2,Dados!$AE$31,IF($E$9=3,Dados!$AG$31,IF($E$9=4,Dados!$AI$31,IF($E$9=5,Dados!$AK$31,IF($E$9=6,Dados!$AM$31,IF($E$9=7,Dados!$AO$31,IF($E$9=8,Dados!$AS$31,0)))))))</f>
        <v>0</v>
      </c>
      <c r="CL23" s="304">
        <f>IF($E$9=2,Dados!$AF$31,IF($E$9=3,Dados!$AH$31,IF($E$9=4,Dados!$AJ$31,IF($E$9=5,Dados!$AL$31,IF($E$9=6,Dados!$AN$31,IF($E$9=7,Dados!$AP$31,IF($E$9=8,Dados!$AT$31,0)))))))</f>
        <v>0</v>
      </c>
      <c r="CM23" s="316">
        <f>IF($E$10=2,Dados!$AE$31,IF($E$10=3,Dados!$AG$31,IF($E$10=4,Dados!$AI$31,IF($E$10=5,Dados!$AK$31,IF($E$10=6,Dados!$AM$31,IF($E$10=7,Dados!$AO$31,IF($E$10=8,Dados!$AS$31,0)))))))</f>
        <v>0</v>
      </c>
      <c r="CN23" s="304">
        <f>IF($E$10=2,Dados!$AF$31,IF($E$10=3,Dados!$AH$31,IF($E$10=4,Dados!$AJ$31,IF($E$10=5,Dados!$AL$31,IF($E$10=6,Dados!$AN$31,IF($E$10=7,Dados!$AP$31,IF($E$10=8,Dados!$AT$31,0)))))))</f>
        <v>0</v>
      </c>
      <c r="CO23" s="316">
        <f>IF($E$11=2,Dados!$AE$31,IF($E$11=3,Dados!$AG$31,IF($E$11=4,Dados!$AI$31,IF($E$11=5,Dados!$AK$31,IF($E$11=6,Dados!$AM$31,IF($E$11=7,Dados!$AO$31,IF($E$11=8,Dados!$AS$31,0)))))))</f>
        <v>0</v>
      </c>
      <c r="CP23" s="304">
        <f>IF($E$11=2,Dados!$AF$31,IF($E$11=3,Dados!$AH$31,IF($E$11=4,Dados!$AJ$31,IF($E$11=5,Dados!$AL$31,IF($E$11=6,Dados!$AN$31,IF($E$11=7,Dados!$AP$31,IF($E$11=8,Dados!$AT$31,0)))))))</f>
        <v>0</v>
      </c>
      <c r="CR23" s="316">
        <f>IF($E$16=2,Dados!$AE$31,IF($E$16=3,Dados!$AG$31,IF($E$16=4,Dados!$AI$31,IF($E$16=5,Dados!$AK$31,IF($E$16=6,Dados!$AM$31,IF($E$16=7,Dados!$AO$31,IF($E$16=8,Dados!$AS$31,0)))))))</f>
        <v>0</v>
      </c>
      <c r="CS23" s="304">
        <f>IF($E$16=2,Dados!$AF$31,IF($E$16=3,Dados!$AH$31,IF($E$16=4,Dados!$AJ$31,IF($E$16=5,Dados!$AL$31,IF($E$16=6,Dados!$AN$31,IF($E$16=7,Dados!$AP$31,IF($E$16=8,Dados!$AT$31,0)))))))</f>
        <v>0</v>
      </c>
      <c r="CT23" s="316">
        <f>IF($E$17=2,Dados!$AE$31,IF($E$17=3,Dados!$AG$31,IF($E$17=4,Dados!$AI$31,IF($E$17=5,Dados!$AK$31,IF($E$17=6,Dados!$AM$31,IF($E$17=7,Dados!$AO$31,IF($E$17=8,Dados!$AS$31,0)))))))</f>
        <v>0</v>
      </c>
      <c r="CU23" s="304">
        <f>IF($E$17=2,Dados!$AF$31,IF($E$17=3,Dados!$AH$31,IF($E$17=4,Dados!$AJ$31,IF($E$17=5,Dados!$AL$31,IF($E$17=6,Dados!$AN$31,IF($E$17=7,Dados!$AP$31,IF($E$17=8,Dados!$AT$31,0)))))))</f>
        <v>0</v>
      </c>
      <c r="CV23" s="316">
        <f>IF($E$18=2,Dados!$AE$31,IF($E$18=3,Dados!$AG$31,IF($E$18=4,Dados!$AI$31,IF($E$18=5,Dados!$AK$31,IF($E$18=6,Dados!$AM$31,IF($E$18=7,Dados!$AO$31,IF($E$18=8,Dados!$AS$31,0)))))))</f>
        <v>0</v>
      </c>
      <c r="CW23" s="304">
        <f>IF($E$18=2,Dados!$AF$31,IF($E$18=3,Dados!$AH$31,IF($E$18=4,Dados!$AJ$31,IF($E$18=5,Dados!$AL$31,IF($E$18=6,Dados!$AN$31,IF($E$18=7,Dados!$AP$31,IF($E$18=8,Dados!$AT$31,0)))))))</f>
        <v>0</v>
      </c>
      <c r="CX23" s="316">
        <f>IF($E$19=2,Dados!$AE$31,IF($E$19=3,Dados!$AG$31,IF($E$19=4,Dados!$AI$31,IF($E$19=5,Dados!$AK$31,IF($E$19=6,Dados!$AM$31,IF($E$19=7,Dados!$AO$31,IF($E$19=8,Dados!$AS$31,0)))))))</f>
        <v>0</v>
      </c>
      <c r="CY23" s="304">
        <f>IF($E$19=2,Dados!$AF$31,IF($E$19=3,Dados!$AH$31,IF($E$19=4,Dados!$AJ$31,IF($E$19=5,Dados!$AL$31,IF($E$19=6,Dados!$AN$31,IF($E$19=7,Dados!$AP$31,IF($E$19=8,Dados!$AT$31,0)))))))</f>
        <v>0</v>
      </c>
      <c r="CZ23" s="316">
        <f>IF($E$20=2,Dados!$AE$31,IF($E$20=3,Dados!$AG$31,IF($E$20=4,Dados!$AI$31,IF($E$20=5,Dados!$AK$31,IF($E$20=6,Dados!$AM$31,IF($E$20=7,Dados!$AO$31,IF($E$20=8,Dados!$AS$31,0)))))))</f>
        <v>0</v>
      </c>
      <c r="DA23" s="304">
        <f>IF($E$20=2,Dados!$AF$31,IF($E$20=3,Dados!$AH$31,IF($E$20=4,Dados!$AJ$31,IF($E$20=5,Dados!$AL$31,IF($E$20=6,Dados!$AN$31,IF($E$20=7,Dados!$AP$31,IF($E$20=8,Dados!$AT$31,0)))))))</f>
        <v>0</v>
      </c>
      <c r="DC23" s="316">
        <f>IF($E$25=2,Dados!$AE$31,IF($E$25=3,Dados!$AG$31,IF($E$25=4,Dados!$AI$31,IF($E$25=5,Dados!$AK$31,IF($E$25=6,Dados!$AM$31,IF($E$25=7,Dados!$AO$31,IF($E$25=8,Dados!$AS$31,0)))))))</f>
        <v>0</v>
      </c>
      <c r="DD23" s="304">
        <f>IF($E$25=2,Dados!$AF$31,IF($E$25=3,Dados!$AH$31,IF($E$25=4,Dados!$AJ$31,IF($E$25=5,Dados!$AL$31,IF($E$25=6,Dados!$AN$31,IF($E$25=7,Dados!$AP$31,IF($E$25=8,Dados!$AT$31,0)))))))</f>
        <v>0</v>
      </c>
      <c r="DE23" s="316">
        <f>IF($E$26=2,Dados!$AE$31,IF($E$26=3,Dados!$AG$31,IF($E$26=4,Dados!$AI$31,IF($E$26=5,Dados!$AK$31,IF($E$26=6,Dados!$AM$31,IF($E$26=7,Dados!$AO$31,IF($E$26=8,Dados!$AS$31,0)))))))</f>
        <v>0</v>
      </c>
      <c r="DF23" s="304">
        <f>IF($E$26=2,Dados!$AF$31,IF($E$26=3,Dados!$AH$31,IF($E$26=4,Dados!$AJ$31,IF($E$26=5,Dados!$AL$31,IF($E$26=6,Dados!$AN$31,IF($E$26=7,Dados!$AP$31,IF($E$26=8,Dados!$AT$31,0)))))))</f>
        <v>0</v>
      </c>
      <c r="DG23" s="316">
        <f>IF($E$27=2,Dados!$AE$31,IF($E$27=3,Dados!$AG$31,IF($E$27=4,Dados!$AI$31,IF($E$27=5,Dados!$AK$31,IF($E$27=6,Dados!$AM$31,IF($E$27=7,Dados!$AO$31,IF($E$27=8,Dados!$AS$31,0)))))))</f>
        <v>0</v>
      </c>
      <c r="DH23" s="304">
        <f>IF($E$27=2,Dados!$AF$31,IF($E$27=3,Dados!$AH$31,IF($E$27=4,Dados!$AJ$31,IF($E$27=5,Dados!$AL$31,IF($E$27=6,Dados!$AN$31,IF($E$27=7,Dados!$AP$31,IF($E$27=8,Dados!$AT$31,0)))))))</f>
        <v>0</v>
      </c>
      <c r="DI23" s="316">
        <f>IF($E$28=2,Dados!$AE$31,IF($E$28=3,Dados!$AG$31,IF($E$28=4,Dados!$AI$31,IF($E$28=5,Dados!$AK$31,IF($E$28=6,Dados!$AM$31,IF($E$28=7,Dados!$AO$31,IF($E$28=8,Dados!$AS$31,0)))))))</f>
        <v>0</v>
      </c>
      <c r="DJ23" s="304">
        <f>IF($E$28=2,Dados!$AF$31,IF($E$28=3,Dados!$AH$31,IF($E$28=4,Dados!$AJ$31,IF($E$28=5,Dados!$AL$31,IF($E$28=6,Dados!$AN$31,IF($E$28=7,Dados!$AP$31,IF($E$28=8,Dados!$AT$31,0)))))))</f>
        <v>0</v>
      </c>
      <c r="DK23" s="316">
        <f>IF($E$29=2,Dados!$AE$31,IF($E$29=3,Dados!$AG$31,IF($E$29=4,Dados!$AI$31,IF($E$29=5,Dados!$AK$31,IF($E$29=6,Dados!$AM$31,IF($E$29=7,Dados!$AO$31,IF($E$29=8,Dados!$AS$31,0)))))))</f>
        <v>0</v>
      </c>
      <c r="DL23" s="304">
        <f>IF($E$29=2,Dados!$AF$31,IF($E$29=3,Dados!$AH$31,IF($E$29=4,Dados!$AJ$31,IF($E$29=5,Dados!$AL$31,IF($E$29=6,Dados!$AN$31,IF($E$29=7,Dados!$AP$31,IF($E$29=8,Dados!$AT$31,0)))))))</f>
        <v>0</v>
      </c>
      <c r="DN23" s="316">
        <f>IF($E$34=2,Dados!$AE$31,IF($E$34=3,Dados!$AG$31,IF($E$34=4,Dados!$AI$31,IF($E$34=5,Dados!$AK$31,IF($E$34=6,Dados!$AM$31,IF($E$34=7,Dados!$AO$31,IF($E$34=8,Dados!$AS$31,0)))))))</f>
        <v>0</v>
      </c>
      <c r="DO23" s="304">
        <f>IF($E$34=2,Dados!$AF$31,IF($E$34=3,Dados!$AH$31,IF($E$34=4,Dados!$AJ$31,IF($E$34=5,Dados!$AL$31,IF($E$34=6,Dados!$AN$31,IF($E$34=7,Dados!$AP$31,IF($E$34=8,Dados!$AT$31,0)))))))</f>
        <v>0</v>
      </c>
      <c r="DP23" s="316">
        <f>IF($E$35=2,Dados!$AE$31,IF($E$35=3,Dados!$AG$31,IF($E$35=4,Dados!$AI$31,IF($E$35=5,Dados!$AK$31,IF($E$35=6,Dados!$AM$31,IF($E$35=7,Dados!$AO$31,IF($E$35=8,Dados!$AS$31,0)))))))</f>
        <v>0</v>
      </c>
      <c r="DQ23" s="304">
        <f>IF($E$35=2,Dados!$AF$31,IF($E$35=3,Dados!$AH$31,IF($E$35=4,Dados!$AJ$31,IF($E$35=5,Dados!$AL$31,IF($E$35=6,Dados!$AN$31,IF($E$35=7,Dados!$AP$31,IF($E$35=8,Dados!$AT$31,0)))))))</f>
        <v>0</v>
      </c>
      <c r="DR23" s="316">
        <f>IF($E$36=2,Dados!$AE$31,IF($E$36=3,Dados!$AG$31,IF($E$36=4,Dados!$AI$31,IF($E$36=5,Dados!$AK$31,IF($E$36=6,Dados!$AM$31,IF($E$36=7,Dados!$AO$31,IF($E$36=8,Dados!$AS$31,0)))))))</f>
        <v>0</v>
      </c>
      <c r="DS23" s="304">
        <f>IF($E$36=2,Dados!$AF$31,IF($E$36=3,Dados!$AH$31,IF($E$36=4,Dados!$AJ$31,IF($E$36=5,Dados!$AL$31,IF($E$36=6,Dados!$AN$31,IF($E$36=7,Dados!$AP$31,IF($E$36=8,Dados!$AT$31,0)))))))</f>
        <v>0</v>
      </c>
      <c r="DT23" s="316">
        <f>IF($E$37=2,Dados!$AE$31,IF($E$37=3,Dados!$AG$31,IF($E$37=4,Dados!$AI$31,IF($E$37=5,Dados!$AK$31,IF($E$37=6,Dados!$AM$31,IF($E$37=7,Dados!$AO$31,IF($E$37=8,Dados!$AS$31,0)))))))</f>
        <v>0</v>
      </c>
      <c r="DU23" s="304">
        <f>IF($E$37=2,Dados!$AF$31,IF($E$37=3,Dados!$AH$31,IF($E$37=4,Dados!$AJ$31,IF($E$37=5,Dados!$AL$31,IF($E$37=6,Dados!$AN$31,IF($E$37=7,Dados!$AP$31,IF($E$37=8,Dados!$AT$31,0)))))))</f>
        <v>0</v>
      </c>
      <c r="DV23" s="316">
        <f>IF($E$38=2,Dados!$AE$31,IF($E$38=3,Dados!$AG$31,IF($E$38=4,Dados!$AI$31,IF($E$38=5,Dados!$AK$31,IF($E$38=6,Dados!$AM$31,IF($E$38=7,Dados!$AO$31,IF($E$38=8,Dados!$AS$31,0)))))))</f>
        <v>0</v>
      </c>
      <c r="DW23" s="304">
        <f>IF($E$38=2,Dados!$AF$31,IF($E$38=3,Dados!$AH$31,IF($E$38=4,Dados!$AJ$31,IF($E$38=5,Dados!$AL$31,IF($E$38=6,Dados!$AN$31,IF($E$38=7,Dados!$AP$31,IF($E$38=8,Dados!$AT$31,0)))))))</f>
        <v>0</v>
      </c>
      <c r="DY23" s="316">
        <f>IF($E$43=2,Dados!$AE$31,IF($E$43=3,Dados!$AG$31,IF($E$43=4,Dados!$AI$31,IF($E$43=5,Dados!$AK$31,IF($E$43=6,Dados!$AM$31,IF($E$43=7,Dados!$AO$31,IF($E$43=8,Dados!$AS$31,0)))))))</f>
        <v>0</v>
      </c>
      <c r="DZ23" s="304">
        <f>IF($E$43=2,Dados!$AF$31,IF($E$43=3,Dados!$AH$31,IF($E$43=4,Dados!$AJ$31,IF($E$43=5,Dados!$AL$31,IF($E$43=6,Dados!$AN$31,IF($E$43=7,Dados!$AP$31,IF($E$43=8,Dados!$AT$31,0)))))))</f>
        <v>0</v>
      </c>
      <c r="EA23" s="316">
        <f>IF($E$44=2,Dados!$AE$31,IF($E$44=3,Dados!$AG$31,IF($E$44=4,Dados!$AI$31,IF($E$44=5,Dados!$AK$31,IF($E$44=6,Dados!$AM$31,IF($E$44=7,Dados!$AO$31,IF($E$44=8,Dados!$AS$31,0)))))))</f>
        <v>0</v>
      </c>
      <c r="EB23" s="304">
        <f>IF($E$44=2,Dados!$AF$31,IF($E$44=3,Dados!$AH$31,IF($E$44=4,Dados!$AJ$31,IF($E$44=5,Dados!$AL$31,IF($E$44=6,Dados!$AN$31,IF($E$44=7,Dados!$AP$31,IF($E$44=8,Dados!$AT$31,0)))))))</f>
        <v>0</v>
      </c>
      <c r="EC23" s="316">
        <f>IF($E$45=2,Dados!$AE$31,IF($E$45=3,Dados!$AG$31,IF($E$45=4,Dados!$AI$31,IF($E$45=5,Dados!$AK$31,IF($E$45=6,Dados!$AM$31,IF($E$45=7,Dados!$AO$31,IF($E$45=8,Dados!$AS$31,0)))))))</f>
        <v>0</v>
      </c>
      <c r="ED23" s="304">
        <f>IF($E$45=2,Dados!$AF$31,IF($E$45=3,Dados!$AH$31,IF($E$45=4,Dados!$AJ$31,IF($E$45=5,Dados!$AL$31,IF($E$45=6,Dados!$AN$31,IF($E$45=7,Dados!$AP$31,IF($E$45=8,Dados!$AT$31,0)))))))</f>
        <v>0</v>
      </c>
      <c r="EE23" s="316">
        <f>IF($E$46=2,Dados!$AE$31,IF($E$46=3,Dados!$AG$31,IF($E$46=4,Dados!$AI$31,IF($E$46=5,Dados!$AK$31,IF($E$46=6,Dados!$AM$31,IF($E$46=7,Dados!$AO$31,IF($E$46=8,Dados!$AS$31,0)))))))</f>
        <v>0</v>
      </c>
      <c r="EF23" s="304">
        <f>IF($E$46=2,Dados!$AF$31,IF($E$46=3,Dados!$AH$31,IF($E$46=4,Dados!$AJ$31,IF($E$46=5,Dados!$AL$31,IF($E$46=6,Dados!$AN$31,IF($E$46=7,Dados!$AP$31,IF($E$46=8,Dados!$AT$31,0)))))))</f>
        <v>0</v>
      </c>
      <c r="EG23" s="316">
        <f>IF($E$47=2,Dados!$AE$31,IF($E$47=3,Dados!$AG$31,IF($E$47=4,Dados!$AI$31,IF($E$47=5,Dados!$AK$31,IF($E$47=6,Dados!$AM$31,IF($E$47=7,Dados!$AO$31,IF($E$47=8,Dados!$AS$31,0)))))))</f>
        <v>0</v>
      </c>
      <c r="EH23" s="304">
        <f>IF($E$47=2,Dados!$AF$31,IF($E$47=3,Dados!$AH$31,IF($E$47=4,Dados!$AJ$31,IF($E$47=5,Dados!$AL$31,IF($E$47=6,Dados!$AN$31,IF($E$47=7,Dados!$AP$31,IF($E$47=8,Dados!$AT$31,0)))))))</f>
        <v>0</v>
      </c>
      <c r="EJ23" s="316">
        <f>IF($E$52=2,Dados!$AE$31,IF($E$52=3,Dados!$AG$31,IF($E$52=4,Dados!$AI$31,IF($E$52=5,Dados!$AK$31,IF($E$52=6,Dados!$AM$31,IF($E$52=7,Dados!$AO$31,IF($E$52=8,Dados!$AS$31,0)))))))</f>
        <v>0</v>
      </c>
      <c r="EK23" s="304">
        <f>IF($E$52=2,Dados!$AF$31,IF($E$52=3,Dados!$AH$31,IF($E$52=4,Dados!$AJ$31,IF($E$52=5,Dados!$AL$31,IF($E$52=6,Dados!$AN$31,IF($E$52=7,Dados!$AP$31,IF($E$52=8,Dados!$AT$31,0)))))))</f>
        <v>0</v>
      </c>
      <c r="EL23" s="316">
        <f>IF($E$53=2,Dados!$AE$31,IF($E$53=3,Dados!$AG$31,IF($E$53=4,Dados!$AI$31,IF($E$53=5,Dados!$AK$31,IF($E$53=6,Dados!$AM$31,IF($E$53=7,Dados!$AO$31,IF($E$53=8,Dados!$AS$31,0)))))))</f>
        <v>0</v>
      </c>
      <c r="EM23" s="304">
        <f>IF($E$53=2,Dados!$AF$31,IF($E$53=3,Dados!$AH$31,IF($E$53=4,Dados!$AJ$31,IF($E$53=5,Dados!$AL$31,IF($E$53=6,Dados!$AN$31,IF($E$53=7,Dados!$AP$31,IF($E$53=8,Dados!$AT$31,0)))))))</f>
        <v>0</v>
      </c>
      <c r="EN23" s="316">
        <f>IF($E$54=2,Dados!$AE$31,IF($E$54=3,Dados!$AG$31,IF($E$54=4,Dados!$AI$31,IF($E$54=5,Dados!$AK$31,IF($E$54=6,Dados!$AM$31,IF($E$54=7,Dados!$AO$31,IF($E$54=8,Dados!$AS$31,0)))))))</f>
        <v>0</v>
      </c>
      <c r="EO23" s="304">
        <f>IF($E$54=2,Dados!$AF$31,IF($E$54=3,Dados!$AH$31,IF($E$54=4,Dados!$AJ$31,IF($E$54=5,Dados!$AL$31,IF($E$54=6,Dados!$AN$31,IF($E$54=7,Dados!$AP$31,IF($E$54=8,Dados!$AT$31,0)))))))</f>
        <v>0</v>
      </c>
      <c r="EP23" s="316">
        <f>IF($E$55=2,Dados!$AE$31,IF($E$55=3,Dados!$AG$31,IF($E$55=4,Dados!$AI$31,IF($E$55=5,Dados!$AK$31,IF($E$55=6,Dados!$AM$31,IF($E$55=7,Dados!$AO$31,IF($E$55=8,Dados!$AS$31,0)))))))</f>
        <v>0</v>
      </c>
      <c r="EQ23" s="304">
        <f>IF($E$55=2,Dados!$AF$31,IF($E$55=3,Dados!$AH$31,IF($E$55=4,Dados!$AJ$31,IF($E$55=5,Dados!$AL$31,IF($E$55=6,Dados!$AN$31,IF($E$55=7,Dados!$AP$31,IF($E$55=8,Dados!$AT$31,0)))))))</f>
        <v>0</v>
      </c>
      <c r="ER23" s="316">
        <f>IF($E$56=2,Dados!$AE$31,IF($E$56=3,Dados!$AG$31,IF($E$56=4,Dados!$AI$31,IF($E$56=5,Dados!$AK$31,IF($E$56=6,Dados!$AM$31,IF($E$56=7,Dados!$AO$31,IF($E$56=8,Dados!$AS$31,0)))))))</f>
        <v>0</v>
      </c>
      <c r="ES23" s="304">
        <f>IF($E$56=2,Dados!$AF$31,IF($E$56=3,Dados!$AH$31,IF($E$56=4,Dados!$AJ$31,IF($E$56=5,Dados!$AL$31,IF($E$56=6,Dados!$AN$31,IF($E$56=7,Dados!$AP$31,IF($E$56=8,Dados!$AT$31,0)))))))</f>
        <v>0</v>
      </c>
      <c r="EU23" s="316">
        <f>IF($E$61=2,Dados!$AE$31,IF($E$61=3,Dados!$AG$31,IF($E$61=4,Dados!$AI$31,IF($E$61=5,Dados!$AK$31,IF($E$61=6,Dados!$AM$31,IF($E$61=7,Dados!$AO$31,IF($E$61=8,Dados!$AS$31,0)))))))</f>
        <v>0</v>
      </c>
      <c r="EV23" s="304">
        <f>IF($E$61=2,Dados!$AF$31,IF($E$61=3,Dados!$AH$31,IF($E$61=4,Dados!$AJ$31,IF($E$61=5,Dados!$AL$31,IF($E$61=6,Dados!$AN$31,IF($E$61=7,Dados!$AP$31,IF($E$61=8,Dados!$AT$31,0)))))))</f>
        <v>0</v>
      </c>
      <c r="EW23" s="316">
        <f>IF($E$62=2,Dados!$AE$31,IF($E$62=3,Dados!$AG$31,IF($E$62=4,Dados!$AI$31,IF($E$62=5,Dados!$AK$31,IF($E$62=6,Dados!$AM$31,IF($E$62=7,Dados!$AO$31,IF($E$62=8,Dados!$AS$31,0)))))))</f>
        <v>0</v>
      </c>
      <c r="EX23" s="304">
        <f>IF($E$62=2,Dados!$AF$31,IF($E$62=3,Dados!$AH$31,IF($E$62=4,Dados!$AJ$31,IF($E$62=5,Dados!$AL$31,IF($E$62=6,Dados!$AN$31,IF($E$62=7,Dados!$AP$31,IF($E$62=8,Dados!$AT$31,0)))))))</f>
        <v>0</v>
      </c>
      <c r="EY23" s="316">
        <f>IF($E$63=2,Dados!$AE$31,IF($E$63=3,Dados!$AG$31,IF($E$63=4,Dados!$AI$31,IF($E$63=5,Dados!$AK$31,IF($E$63=6,Dados!$AM$31,IF($E$63=7,Dados!$AO$31,IF($E$63=8,Dados!$AS$31,0)))))))</f>
        <v>0</v>
      </c>
      <c r="EZ23" s="304">
        <f>IF($E$63=2,Dados!$AF$31,IF($E$63=3,Dados!$AH$31,IF($E$63=4,Dados!$AJ$31,IF($E$63=5,Dados!$AL$31,IF($E$63=6,Dados!$AN$31,IF($E$63=7,Dados!$AP$31,IF($E$63=8,Dados!$AT$31,0)))))))</f>
        <v>0</v>
      </c>
      <c r="FA23" s="316">
        <f>IF($E$64=2,Dados!$AE$31,IF($E$64=3,Dados!$AG$31,IF($E$64=4,Dados!$AI$31,IF($E$64=5,Dados!$AK$31,IF($E$64=6,Dados!$AM$31,IF($E$64=7,Dados!$AO$31,IF($E$64=8,Dados!$AS$31,0)))))))</f>
        <v>0</v>
      </c>
      <c r="FB23" s="304">
        <f>IF($E$64=2,Dados!$AF$31,IF($E$64=3,Dados!$AH$31,IF($E$64=4,Dados!$AJ$31,IF($E$64=5,Dados!$AL$31,IF($E$64=6,Dados!$AN$31,IF($E$64=7,Dados!$AP$31,IF($E$64=8,Dados!$AT$31,0)))))))</f>
        <v>0</v>
      </c>
      <c r="FC23" s="316">
        <f>IF($E$65=2,Dados!$AE$31,IF($E$65=3,Dados!$AG$31,IF($E$65=4,Dados!$AI$31,IF($E$65=5,Dados!$AK$31,IF($E$65=6,Dados!$AM$31,IF($E$65=7,Dados!$AO$31,IF($E$65=8,Dados!$AS$31,0)))))))</f>
        <v>0</v>
      </c>
      <c r="FD23" s="304">
        <f>IF($E$65=2,Dados!$AF$31,IF($E$65=3,Dados!$AH$31,IF($E$65=4,Dados!$AJ$31,IF($E$65=5,Dados!$AL$31,IF($E$65=6,Dados!$AN$31,IF($E$65=7,Dados!$AP$31,IF($E$65=8,Dados!$AT$31,0)))))))</f>
        <v>0</v>
      </c>
      <c r="FF23" s="316">
        <f>IF($E$70=2,Dados!$AE$31,IF($E$70=3,Dados!$AG$31,IF($E$70=4,Dados!$AI$31,IF($E$70=5,Dados!$AK$31,IF($E$70=6,Dados!$AM$31,IF($E$70=7,Dados!$AO$31,IF($E$70=8,Dados!$AS$31,0)))))))</f>
        <v>0</v>
      </c>
      <c r="FG23" s="304">
        <f>IF($E$70=2,Dados!$AF$31,IF($E$70=3,Dados!$AH$31,IF($E$70=4,Dados!$AJ$31,IF($E$70=5,Dados!$AL$31,IF($E$70=6,Dados!$AN$31,IF($E$70=7,Dados!$AP$31,IF($E$70=8,Dados!$AT$31,0)))))))</f>
        <v>0</v>
      </c>
      <c r="FH23" s="316">
        <f>IF($E$71=2,Dados!$AE$31,IF($E$71=3,Dados!$AG$31,IF($E$71=4,Dados!$AI$31,IF($E$71=5,Dados!$AK$31,IF($E$71=6,Dados!$AM$31,IF($E$71=7,Dados!$AO$31,IF($E$71=8,Dados!$AS$31,0)))))))</f>
        <v>0</v>
      </c>
      <c r="FI23" s="304">
        <f>IF($E$71=2,Dados!$AF$31,IF($E$71=3,Dados!$AH$31,IF($E$71=4,Dados!$AJ$31,IF($E$71=5,Dados!$AL$31,IF($E$71=6,Dados!$AN$31,IF($E$71=7,Dados!$AP$31,IF($E$71=8,Dados!$AT$31,0)))))))</f>
        <v>0</v>
      </c>
      <c r="FJ23" s="316">
        <f>IF($E$72=2,Dados!$AE$31,IF($E$72=3,Dados!$AG$31,IF($E$72=4,Dados!$AI$31,IF($E$72=5,Dados!$AK$31,IF($E$72=6,Dados!$AM$31,IF($E$72=7,Dados!$AO$31,IF($E$72=8,Dados!$AS$31,0)))))))</f>
        <v>0</v>
      </c>
      <c r="FK23" s="304">
        <f>IF($E$72=2,Dados!$AF$31,IF($E$72=3,Dados!$AH$31,IF($E$72=4,Dados!$AJ$31,IF($E$72=5,Dados!$AL$31,IF($E$72=6,Dados!$AN$31,IF($E$72=7,Dados!$AP$31,IF($E$72=8,Dados!$AT$31,0)))))))</f>
        <v>0</v>
      </c>
      <c r="FL23" s="316">
        <f>IF($E$73=2,Dados!$AE$31,IF($E$73=3,Dados!$AG$31,IF($E$73=4,Dados!$AI$31,IF($E$73=5,Dados!$AK$31,IF($E$73=6,Dados!$AM$31,IF($E$73=7,Dados!$AO$31,IF($E$73=8,Dados!$AS$31,0)))))))</f>
        <v>0</v>
      </c>
      <c r="FM23" s="304">
        <f>IF($E$73=2,Dados!$AF$31,IF($E$73=3,Dados!$AH$31,IF($E$73=4,Dados!$AJ$31,IF($E$73=5,Dados!$AL$31,IF($E$73=6,Dados!$AN$31,IF($E$73=7,Dados!$AP$31,IF($E$73=8,Dados!$AT$31,0)))))))</f>
        <v>0</v>
      </c>
      <c r="FN23" s="316">
        <f>IF($E$74=2,Dados!$AE$31,IF($E$74=3,Dados!$AG$31,IF($E$74=4,Dados!$AI$31,IF($E$74=5,Dados!$AK$31,IF($E$74=6,Dados!$AM$31,IF($E$74=7,Dados!$AO$31,IF($E$74=8,Dados!$AS$31,0)))))))</f>
        <v>0</v>
      </c>
      <c r="FO23" s="304">
        <f>IF($E$74=2,Dados!$AF$31,IF($E$74=3,Dados!$AH$31,IF($E$74=4,Dados!$AJ$31,IF($E$74=5,Dados!$AL$31,IF($E$74=6,Dados!$AN$31,IF($E$74=7,Dados!$AP$31,IF($E$74=8,Dados!$AT$31,0)))))))</f>
        <v>0</v>
      </c>
      <c r="FQ23" s="316">
        <f>IF($E$79=2,Dados!$AE$31,IF($E$79=3,Dados!$AG$31,IF($E$79=4,Dados!$AI$31,IF($E$79=5,Dados!$AK$31,IF($E$79=6,Dados!$AM$31,IF($E$79=7,Dados!$AO$31,IF($E$79=8,Dados!$AS$31,0)))))))</f>
        <v>0</v>
      </c>
      <c r="FR23" s="304">
        <f>IF($E$79=2,Dados!$AF$31,IF($E$79=3,Dados!$AH$31,IF($E$79=4,Dados!$AJ$31,IF($E$79=5,Dados!$AL$31,IF($E$79=6,Dados!$AN$31,IF($E$79=7,Dados!$AP$31,IF($E$79=8,Dados!$AT$31,0)))))))</f>
        <v>0</v>
      </c>
      <c r="FS23" s="316">
        <f>IF($E$80=2,Dados!$AE$31,IF($E$80=3,Dados!$AG$31,IF($E$80=4,Dados!$AI$31,IF($E$80=5,Dados!$AK$31,IF($E$80=6,Dados!$AM$31,IF($E$80=7,Dados!$AO$31,IF($E$80=8,Dados!$AS$31,0)))))))</f>
        <v>0</v>
      </c>
      <c r="FT23" s="304">
        <f>IF($E$80=2,Dados!$AF$31,IF($E$80=3,Dados!$AH$31,IF($E$80=4,Dados!$AJ$31,IF($E$80=5,Dados!$AL$31,IF($E$80=6,Dados!$AN$31,IF($E$80=7,Dados!$AP$31,IF($E$80=8,Dados!$AT$31,0)))))))</f>
        <v>0</v>
      </c>
      <c r="FU23" s="316">
        <f>IF($E$81=2,Dados!$AE$31,IF($E$81=3,Dados!$AG$31,IF($E$81=4,Dados!$AI$31,IF($E$81=5,Dados!$AK$31,IF($E$81=6,Dados!$AM$31,IF($E$81=7,Dados!$AO$31,IF($E$81=8,Dados!$AS$31,0)))))))</f>
        <v>0</v>
      </c>
      <c r="FV23" s="304">
        <f>IF($E$81=2,Dados!$AF$31,IF($E$81=3,Dados!$AH$31,IF($E$81=4,Dados!$AJ$31,IF($E$81=5,Dados!$AL$31,IF($E$81=6,Dados!$AN$31,IF($E$81=7,Dados!$AP$31,IF($E$81=8,Dados!$AT$31,0)))))))</f>
        <v>0</v>
      </c>
      <c r="FW23" s="316">
        <f>IF($E$82=2,Dados!$AE$31,IF($E$82=3,Dados!$AG$31,IF($E$82=4,Dados!$AI$31,IF($E$82=5,Dados!$AK$31,IF($E$82=6,Dados!$AM$31,IF($E$82=7,Dados!$AO$31,IF($E$82=8,Dados!$AS$31,0)))))))</f>
        <v>0</v>
      </c>
      <c r="FX23" s="304">
        <f>IF($E$82=2,Dados!$AF$31,IF($E$82=3,Dados!$AH$31,IF($E$82=4,Dados!$AJ$31,IF($E$82=5,Dados!$AL$31,IF($E$82=6,Dados!$AN$31,IF($E$82=7,Dados!$AP$31,IF($E$82=8,Dados!$AT$31,0)))))))</f>
        <v>0</v>
      </c>
      <c r="FY23" s="316">
        <f>IF($E$83=2,Dados!$AE$31,IF($E$83=3,Dados!$AG$31,IF($E$83=4,Dados!$AI$31,IF($E$83=5,Dados!$AK$31,IF($E$83=6,Dados!$AM$31,IF($E$83=7,Dados!$AO$31,IF($E$83=8,Dados!$AS$31,0)))))))</f>
        <v>0</v>
      </c>
      <c r="FZ23" s="304">
        <f>IF($E$83=2,Dados!$AF$31,IF($E$83=3,Dados!$AH$31,IF($E$83=4,Dados!$AJ$31,IF($E$83=5,Dados!$AL$31,IF($E$83=6,Dados!$AN$31,IF($E$83=7,Dados!$AP$31,IF($E$83=8,Dados!$AT$31,0)))))))</f>
        <v>0</v>
      </c>
      <c r="GB23" s="316">
        <f>IF($E$88=2,Dados!$AE$31,IF($E$88=3,Dados!$AG$31,IF($E$88=4,Dados!$AI$31,IF($E$88=5,Dados!$AK$31,IF($E$88=6,Dados!$AM$31,IF($E$88=7,Dados!$AO$31,IF($E$88=8,Dados!$AS$31,0)))))))</f>
        <v>0</v>
      </c>
      <c r="GC23" s="304">
        <f>IF($E$88=2,Dados!$AF$31,IF($E$88=3,Dados!$AH$31,IF($E$88=4,Dados!$AJ$31,IF($E$88=5,Dados!$AL$31,IF($E$88=6,Dados!$AN$31,IF($E$88=7,Dados!$AP$31,IF($E$88=8,Dados!$AT$31,0)))))))</f>
        <v>0</v>
      </c>
      <c r="GD23" s="316">
        <f>IF($E$89=2,Dados!$AE$31,IF($E$89=3,Dados!$AG$31,IF($E$89=4,Dados!$AI$31,IF($E$89=5,Dados!$AK$31,IF($E$89=6,Dados!$AM$31,IF($E$89=7,Dados!$AO$31,IF($E$89=8,Dados!$AS$31,0)))))))</f>
        <v>0</v>
      </c>
      <c r="GE23" s="304">
        <f>IF($E$89=2,Dados!$AF$31,IF($E$89=3,Dados!$AH$31,IF($E$89=4,Dados!$AJ$31,IF($E$89=5,Dados!$AL$31,IF($E$89=6,Dados!$AN$31,IF($E$89=7,Dados!$AP$31,IF($E$89=8,Dados!$AT$31,0)))))))</f>
        <v>0</v>
      </c>
      <c r="GF23" s="316">
        <f>IF($E$90=2,Dados!$AE$31,IF($E$90=3,Dados!$AG$31,IF($E$90=4,Dados!$AI$31,IF($E$90=5,Dados!$AK$31,IF($E$90=6,Dados!$AM$31,IF($E$90=7,Dados!$AO$31,IF($E$90=8,Dados!$AS$31,0)))))))</f>
        <v>0</v>
      </c>
      <c r="GG23" s="304">
        <f>IF($E$90=2,Dados!$AF$31,IF($E$90=3,Dados!$AH$31,IF($E$90=4,Dados!$AJ$31,IF($E$90=5,Dados!$AL$31,IF($E$90=6,Dados!$AN$31,IF($E$90=7,Dados!$AP$31,IF($E$90=8,Dados!$AT$31,0)))))))</f>
        <v>0</v>
      </c>
      <c r="GH23" s="316">
        <f>IF($E$91=2,Dados!$AE$31,IF($E$91=3,Dados!$AG$31,IF($E$91=4,Dados!$AI$31,IF($E$91=5,Dados!$AK$31,IF($E$91=6,Dados!$AM$31,IF($E$91=7,Dados!$AO$31,IF($E$91=8,Dados!$AS$31,0)))))))</f>
        <v>0</v>
      </c>
      <c r="GI23" s="304">
        <f>IF($E$91=2,Dados!$AF$31,IF($E$91=3,Dados!$AH$31,IF($E$91=4,Dados!$AJ$31,IF($E$91=5,Dados!$AL$31,IF($E$91=6,Dados!$AN$31,IF($E$91=7,Dados!$AP$31,IF($E$91=8,Dados!$AT$31,0)))))))</f>
        <v>0</v>
      </c>
      <c r="GJ23" s="316">
        <f>IF($E$92=2,Dados!$AE$31,IF($E$92=3,Dados!$AG$31,IF($E$92=4,Dados!$AI$31,IF($E$92=5,Dados!$AK$31,IF($E$92=6,Dados!$AM$31,IF($E$92=7,Dados!$AO$31,IF($E$92=8,Dados!$AS$31,0)))))))</f>
        <v>0</v>
      </c>
      <c r="GK23" s="304">
        <f>IF($E$92=2,Dados!$AF$31,IF($E$92=3,Dados!$AH$31,IF($E$92=4,Dados!$AJ$31,IF($E$92=5,Dados!$AL$31,IF($E$92=6,Dados!$AN$31,IF($E$92=7,Dados!$AP$31,IF($E$92=8,Dados!$AT$31,0)))))))</f>
        <v>0</v>
      </c>
      <c r="GM23" s="316">
        <f>IF($E$97=2,Dados!$AE$31,IF($E$97=3,Dados!$AG$31,IF($E$97=4,Dados!$AI$31,IF($E$97=5,Dados!$AK$31,IF($E$97=6,Dados!$AM$31,IF($E$97=7,Dados!$AO$31,IF($E$97=8,Dados!$AS$31,0)))))))</f>
        <v>0</v>
      </c>
      <c r="GN23" s="304">
        <f>IF($E$97=2,Dados!$AF$31,IF($E$97=3,Dados!$AH$31,IF($E$97=4,Dados!$AJ$31,IF($E$97=5,Dados!$AL$31,IF($E$97=6,Dados!$AN$31,IF($E$97=7,Dados!$AP$31,IF($E$97=8,Dados!$AT$31,0)))))))</f>
        <v>0</v>
      </c>
      <c r="GO23" s="316">
        <f>IF($E$98=2,Dados!$AE$31,IF($E$98=3,Dados!$AG$31,IF($E$98=4,Dados!$AI$31,IF($E$98=5,Dados!$AK$31,IF($E$98=6,Dados!$AM$31,IF($E$98=7,Dados!$AO$31,IF($E$98=8,Dados!$AS$31,0)))))))</f>
        <v>0</v>
      </c>
      <c r="GP23" s="304">
        <f>IF($E$98=2,Dados!$AF$31,IF($E$98=3,Dados!$AH$31,IF($E$98=4,Dados!$AJ$31,IF($E$98=5,Dados!$AL$31,IF($E$98=6,Dados!$AN$31,IF($E$98=7,Dados!$AP$31,IF($E$98=8,Dados!$AT$31,0)))))))</f>
        <v>0</v>
      </c>
      <c r="GQ23" s="316">
        <f>IF($E$99=2,Dados!$AE$31,IF($E$99=3,Dados!$AG$31,IF($E$99=4,Dados!$AI$31,IF($E$99=5,Dados!$AK$31,IF($E$99=6,Dados!$AM$31,IF($E$99=7,Dados!$AO$31,IF($E$99=8,Dados!$AS$31,0)))))))</f>
        <v>0</v>
      </c>
      <c r="GR23" s="304">
        <f>IF($E$99=2,Dados!$AF$31,IF($E$99=3,Dados!$AH$31,IF($E$99=4,Dados!$AJ$31,IF($E$99=5,Dados!$AL$31,IF($E$99=6,Dados!$AN$31,IF($E$99=7,Dados!$AP$31,IF($E$99=8,Dados!$AT$31,0)))))))</f>
        <v>0</v>
      </c>
      <c r="GS23" s="316">
        <f>IF($E$100=2,Dados!$AE$31,IF($E$100=3,Dados!$AG$31,IF($E$100=4,Dados!$AI$31,IF($E$100=5,Dados!$AK$31,IF($E$100=6,Dados!$AM$31,IF($E$100=7,Dados!$AO$31,IF($E$100=8,Dados!$AS$31,0)))))))</f>
        <v>0</v>
      </c>
      <c r="GT23" s="304">
        <f>IF($E$100=2,Dados!$AF$31,IF($E$100=3,Dados!$AH$31,IF($E$100=4,Dados!$AJ$31,IF($E$100=5,Dados!$AL$31,IF($E$100=6,Dados!$AN$31,IF($E$100=7,Dados!$AP$31,IF($E$100=8,Dados!$AT$31,0)))))))</f>
        <v>0</v>
      </c>
      <c r="GU23" s="316">
        <f>IF($E$101=2,Dados!$AE$31,IF($E$101=3,Dados!$AG$31,IF($E$101=4,Dados!$AI$31,IF($E$101=5,Dados!$AK$31,IF($E$101=6,Dados!$AM$31,IF($E$101=7,Dados!$AO$31,IF($E$101=8,Dados!$AS$31,0)))))))</f>
        <v>0</v>
      </c>
      <c r="GV23" s="304">
        <f>IF($E$101=2,Dados!$AF$31,IF($E$101=3,Dados!$AH$31,IF($E$101=4,Dados!$AJ$31,IF($E$101=5,Dados!$AL$31,IF($E$101=6,Dados!$AN$31,IF($E$101=7,Dados!$AP$31,IF($E$101=8,Dados!$AT$31,0)))))))</f>
        <v>0</v>
      </c>
      <c r="GX23" s="316">
        <f>IF($E$106=2,Dados!$AE$31,IF($E$106=3,Dados!$AG$31,IF($E$106=4,Dados!$AI$31,IF($E$106=5,Dados!$AK$31,IF($E$106=6,Dados!$AM$31,IF($E$106=7,Dados!$AO$31,IF($E$106=8,Dados!$AS$31,0)))))))</f>
        <v>0</v>
      </c>
      <c r="GY23" s="304">
        <f>IF($E$106=2,Dados!$AF$31,IF($E$106=3,Dados!$AH$31,IF($E$106=4,Dados!$AJ$31,IF($E$106=5,Dados!$AL$31,IF($E$106=6,Dados!$AN$31,IF($E$106=7,Dados!$AP$31,IF($E$106=8,Dados!$AT$31,0)))))))</f>
        <v>0</v>
      </c>
      <c r="GZ23" s="316">
        <f>IF($E$107=2,Dados!$AE$31,IF($E$107=3,Dados!$AG$31,IF($E$107=4,Dados!$AI$31,IF($E$107=5,Dados!$AK$31,IF($E$107=6,Dados!$AM$31,IF($E$107=7,Dados!$AO$31,IF($E$107=8,Dados!$AS$31,0)))))))</f>
        <v>0</v>
      </c>
      <c r="HA23" s="304">
        <f>IF($E$107=2,Dados!$AF$31,IF($E$107=3,Dados!$AH$31,IF($E$107=4,Dados!$AJ$31,IF($E$107=5,Dados!$AL$31,IF($E$107=6,Dados!$AN$31,IF($E$107=7,Dados!$AP$31,IF($E$107=8,Dados!$AT$31,0)))))))</f>
        <v>0</v>
      </c>
      <c r="HB23" s="316">
        <f>IF($E$108=2,Dados!$AE$31,IF($E$108=3,Dados!$AG$31,IF($E$108=4,Dados!$AI$31,IF($E$108=5,Dados!$AK$31,IF($E$108=6,Dados!$AM$31,IF($E$108=7,Dados!$AO$31,IF($E$108=8,Dados!$AS$31,0)))))))</f>
        <v>0</v>
      </c>
      <c r="HC23" s="304">
        <f>IF($E$108=2,Dados!$AF$31,IF($E$108=3,Dados!$AH$31,IF($E$108=4,Dados!$AJ$31,IF($E$108=5,Dados!$AL$31,IF($E$108=6,Dados!$AN$31,IF($E$108=7,Dados!$AP$31,IF($E$108=8,Dados!$AT$31,0)))))))</f>
        <v>0</v>
      </c>
      <c r="HD23" s="316">
        <f>IF($E$109=2,Dados!$AE$31,IF($E$109=3,Dados!$AG$31,IF($E$109=4,Dados!$AI$31,IF($E$109=5,Dados!$AK$31,IF($E$109=6,Dados!$AM$31,IF($E$109=7,Dados!$AO$31,IF($E$109=8,Dados!$AS$31,0)))))))</f>
        <v>0</v>
      </c>
      <c r="HE23" s="304">
        <f>IF($E$109=2,Dados!$AF$31,IF($E$109=3,Dados!$AH$31,IF($E$109=4,Dados!$AJ$31,IF($E$109=5,Dados!$AL$31,IF($E$109=6,Dados!$AN$31,IF($E$109=7,Dados!$AP$31,IF($E$109=8,Dados!$AT$31,0)))))))</f>
        <v>0</v>
      </c>
      <c r="HF23" s="316">
        <f>IF($E$110=2,Dados!$AE$31,IF($E$110=3,Dados!$AG$31,IF($E$110=4,Dados!$AI$31,IF($E$110=5,Dados!$AK$31,IF($E$110=6,Dados!$AM$31,IF($E$110=7,Dados!$AO$31,IF($E$110=8,Dados!$AS$31,0)))))))</f>
        <v>0</v>
      </c>
      <c r="HG23" s="304">
        <f>IF($E$110=2,Dados!$AF$31,IF($E$110=3,Dados!$AH$31,IF($E$110=4,Dados!$AJ$31,IF($E$110=5,Dados!$AL$31,IF($E$110=6,Dados!$AN$31,IF($E$110=7,Dados!$AP$31,IF($E$110=8,Dados!$AT$31,0)))))))</f>
        <v>0</v>
      </c>
    </row>
    <row r="24" spans="3:215" ht="14.25" thickTop="1" thickBot="1" x14ac:dyDescent="0.25">
      <c r="D24" s="99" t="s">
        <v>508</v>
      </c>
      <c r="E24" s="116" t="s">
        <v>39</v>
      </c>
      <c r="F24" s="2630" t="s">
        <v>79</v>
      </c>
      <c r="G24" s="2631"/>
      <c r="H24" s="117" t="s">
        <v>637</v>
      </c>
      <c r="I24" s="99" t="s">
        <v>42</v>
      </c>
      <c r="J24" s="117" t="s">
        <v>431</v>
      </c>
      <c r="K24" s="117" t="s">
        <v>432</v>
      </c>
      <c r="L24" s="117" t="s">
        <v>518</v>
      </c>
      <c r="M24" s="117" t="s">
        <v>433</v>
      </c>
      <c r="N24" s="99" t="s">
        <v>426</v>
      </c>
      <c r="O24" s="99" t="s">
        <v>417</v>
      </c>
      <c r="P24" s="99" t="s">
        <v>418</v>
      </c>
      <c r="Q24" s="99" t="s">
        <v>434</v>
      </c>
      <c r="R24" s="99" t="s">
        <v>301</v>
      </c>
      <c r="S24" s="99" t="s">
        <v>436</v>
      </c>
      <c r="T24" s="98" t="s">
        <v>411</v>
      </c>
      <c r="U24" s="99" t="s">
        <v>412</v>
      </c>
      <c r="V24" s="99" t="s">
        <v>435</v>
      </c>
      <c r="W24" s="99" t="s">
        <v>437</v>
      </c>
      <c r="X24" s="99" t="s">
        <v>292</v>
      </c>
      <c r="Y24" s="99" t="s">
        <v>80</v>
      </c>
      <c r="Z24" s="99" t="s">
        <v>1247</v>
      </c>
      <c r="AE24" s="1541"/>
      <c r="AF24" s="1541"/>
      <c r="AG24" s="1542">
        <f>SUM(AG7:AG23)</f>
        <v>3116.864924444445</v>
      </c>
      <c r="AH24" s="1542"/>
      <c r="AI24" s="1543">
        <f t="shared" ref="AI24:AQ24" si="6">SUM(AI7:AI23)</f>
        <v>4</v>
      </c>
      <c r="AJ24" s="1543">
        <f t="shared" si="6"/>
        <v>0</v>
      </c>
      <c r="AK24" s="1543">
        <f t="shared" si="6"/>
        <v>0</v>
      </c>
      <c r="AL24" s="1543">
        <f t="shared" si="6"/>
        <v>0</v>
      </c>
      <c r="AM24" s="1543">
        <f t="shared" si="6"/>
        <v>0</v>
      </c>
      <c r="AN24" s="1543">
        <f t="shared" si="6"/>
        <v>0</v>
      </c>
      <c r="AO24" s="1543">
        <f t="shared" si="6"/>
        <v>0</v>
      </c>
      <c r="AP24" s="1543">
        <f t="shared" si="6"/>
        <v>3152.1777777777779</v>
      </c>
      <c r="AQ24" s="1543">
        <f t="shared" si="6"/>
        <v>4</v>
      </c>
      <c r="AX24" s="287">
        <v>1</v>
      </c>
      <c r="AY24" s="287">
        <v>2</v>
      </c>
      <c r="AZ24" s="287">
        <v>3</v>
      </c>
      <c r="BA24" s="287">
        <v>4</v>
      </c>
      <c r="BB24" s="287">
        <v>5</v>
      </c>
      <c r="BC24" s="288" t="s">
        <v>2</v>
      </c>
      <c r="CF24" s="93">
        <v>19</v>
      </c>
      <c r="CG24" s="316">
        <f>IF($E$7=2,Dados!$AE$32,IF($E$7=3,Dados!$AG$32,IF($E$7=4,Dados!$AI$32,IF($E$7=5,Dados!$AK$32,IF($E$7=6,Dados!$AM$32,IF($E$7=7,Dados!$AO$32,IF($E$7=8,Dados!$AS$32,0)))))))</f>
        <v>0</v>
      </c>
      <c r="CH24" s="304">
        <f>IF($E$7=2,Dados!$AF$32,IF($E$7=3,Dados!$AH$32,IF($E$7=4,Dados!$AJ$32,IF($E$7=5,Dados!$AL$32,IF($E$7=6,Dados!$AN$32,IF($E$7=7,Dados!$AP$32,IF($E$7=8,Dados!$AT$32,0)))))))</f>
        <v>0</v>
      </c>
      <c r="CI24" s="316">
        <f>IF($E$8=2,Dados!$AE$32,IF($E$8=3,Dados!$AG$32,IF($E$8=4,Dados!$AI$32,IF($E$8=5,Dados!$AK$32,IF($E$8=6,Dados!$AM$32,IF($E$8=7,Dados!$AO$32,IF($E$8=8,Dados!$AS$32,0)))))))</f>
        <v>0</v>
      </c>
      <c r="CJ24" s="304">
        <f>IF($E$8=2,Dados!$AF$32,IF($E$8=3,Dados!$AH$32,IF($E$8=4,Dados!$AJ$32,IF($E$8=5,Dados!$AL$32,IF($E$8=6,Dados!$AN$32,IF($E$8=7,Dados!$AP$32,IF($E$8=8,Dados!$AT$32,0)))))))</f>
        <v>0</v>
      </c>
      <c r="CK24" s="316">
        <f>IF($E$9=2,Dados!$AE$32,IF($E$9=3,Dados!$AG$32,IF($E$9=4,Dados!$AI$32,IF($E$9=5,Dados!$AK$32,IF($E$9=6,Dados!$AM$32,IF($E$9=7,Dados!$AO$32,IF($E$9=8,Dados!$AS$32,0)))))))</f>
        <v>0</v>
      </c>
      <c r="CL24" s="304">
        <f>IF($E$9=2,Dados!$AF$32,IF($E$9=3,Dados!$AH$32,IF($E$9=4,Dados!$AJ$32,IF($E$9=5,Dados!$AL$32,IF($E$9=6,Dados!$AN$32,IF($E$9=7,Dados!$AP$32,IF($E$9=8,Dados!$AT$32,0)))))))</f>
        <v>0</v>
      </c>
      <c r="CM24" s="316">
        <f>IF($E$10=2,Dados!$AE$32,IF($E$10=3,Dados!$AG$32,IF($E$10=4,Dados!$AI$32,IF($E$10=5,Dados!$AK$32,IF($E$10=6,Dados!$AM$32,IF($E$10=7,Dados!$AO$32,IF($E$10=8,Dados!$AS$32,0)))))))</f>
        <v>0</v>
      </c>
      <c r="CN24" s="304">
        <f>IF($E$10=2,Dados!$AF$32,IF($E$10=3,Dados!$AH$32,IF($E$10=4,Dados!$AJ$32,IF($E$10=5,Dados!$AL$32,IF($E$10=6,Dados!$AN$32,IF($E$10=7,Dados!$AP$32,IF($E$10=8,Dados!$AT$32,0)))))))</f>
        <v>0</v>
      </c>
      <c r="CO24" s="316">
        <f>IF($E$11=2,Dados!$AE$32,IF($E$11=3,Dados!$AG$32,IF($E$11=4,Dados!$AI$32,IF($E$11=5,Dados!$AK$32,IF($E$11=6,Dados!$AM$32,IF($E$11=7,Dados!$AO$32,IF($E$11=8,Dados!$AS$32,0)))))))</f>
        <v>0</v>
      </c>
      <c r="CP24" s="304">
        <f>IF($E$11=2,Dados!$AF$32,IF($E$11=3,Dados!$AH$32,IF($E$11=4,Dados!$AJ$32,IF($E$11=5,Dados!$AL$32,IF($E$11=6,Dados!$AN$32,IF($E$11=7,Dados!$AP$32,IF($E$11=8,Dados!$AT$32,0)))))))</f>
        <v>0</v>
      </c>
      <c r="CR24" s="316">
        <f>IF($E$16=2,Dados!$AE$32,IF($E$16=3,Dados!$AG$32,IF($E$16=4,Dados!$AI$32,IF($E$16=5,Dados!$AK$32,IF($E$16=6,Dados!$AM$32,IF($E$16=7,Dados!$AO$32,IF($E$16=8,Dados!$AS$32,0)))))))</f>
        <v>0</v>
      </c>
      <c r="CS24" s="304">
        <f>IF($E$16=2,Dados!$AF$32,IF($E$16=3,Dados!$AH$32,IF($E$16=4,Dados!$AJ$32,IF($E$16=5,Dados!$AL$32,IF($E$16=6,Dados!$AN$32,IF($E$16=7,Dados!$AP$32,IF($E$16=8,Dados!$AT$32,0)))))))</f>
        <v>0</v>
      </c>
      <c r="CT24" s="316">
        <f>IF($E$17=2,Dados!$AE$32,IF($E$17=3,Dados!$AG$32,IF($E$17=4,Dados!$AI$32,IF($E$17=5,Dados!$AK$32,IF($E$17=6,Dados!$AM$32,IF($E$17=7,Dados!$AO$32,IF($E$17=8,Dados!$AS$32,0)))))))</f>
        <v>0</v>
      </c>
      <c r="CU24" s="304">
        <f>IF($E$17=2,Dados!$AF$32,IF($E$17=3,Dados!$AH$32,IF($E$17=4,Dados!$AJ$32,IF($E$17=5,Dados!$AL$32,IF($E$17=6,Dados!$AN$32,IF($E$17=7,Dados!$AP$32,IF($E$17=8,Dados!$AT$32,0)))))))</f>
        <v>0</v>
      </c>
      <c r="CV24" s="316">
        <f>IF($E$18=2,Dados!$AE$32,IF($E$18=3,Dados!$AG$32,IF($E$18=4,Dados!$AI$32,IF($E$18=5,Dados!$AK$32,IF($E$18=6,Dados!$AM$32,IF($E$18=7,Dados!$AO$32,IF($E$18=8,Dados!$AS$32,0)))))))</f>
        <v>0</v>
      </c>
      <c r="CW24" s="304">
        <f>IF($E$18=2,Dados!$AF$32,IF($E$18=3,Dados!$AH$32,IF($E$18=4,Dados!$AJ$32,IF($E$18=5,Dados!$AL$32,IF($E$18=6,Dados!$AN$32,IF($E$18=7,Dados!$AP$32,IF($E$18=8,Dados!$AT$32,0)))))))</f>
        <v>0</v>
      </c>
      <c r="CX24" s="316">
        <f>IF($E$19=2,Dados!$AE$32,IF($E$19=3,Dados!$AG$32,IF($E$19=4,Dados!$AI$32,IF($E$19=5,Dados!$AK$32,IF($E$19=6,Dados!$AM$32,IF($E$19=7,Dados!$AO$32,IF($E$19=8,Dados!$AS$32,0)))))))</f>
        <v>0</v>
      </c>
      <c r="CY24" s="304">
        <f>IF($E$19=2,Dados!$AF$32,IF($E$19=3,Dados!$AH$32,IF($E$19=4,Dados!$AJ$32,IF($E$19=5,Dados!$AL$32,IF($E$19=6,Dados!$AN$32,IF($E$19=7,Dados!$AP$32,IF($E$19=8,Dados!$AT$32,0)))))))</f>
        <v>0</v>
      </c>
      <c r="CZ24" s="316">
        <f>IF($E$20=2,Dados!$AE$32,IF($E$20=3,Dados!$AG$32,IF($E$20=4,Dados!$AI$32,IF($E$20=5,Dados!$AK$32,IF($E$20=6,Dados!$AM$32,IF($E$20=7,Dados!$AO$32,IF($E$20=8,Dados!$AS$32,0)))))))</f>
        <v>0</v>
      </c>
      <c r="DA24" s="304">
        <f>IF($E$20=2,Dados!$AF$32,IF($E$20=3,Dados!$AH$32,IF($E$20=4,Dados!$AJ$32,IF($E$20=5,Dados!$AL$32,IF($E$20=6,Dados!$AN$32,IF($E$20=7,Dados!$AP$32,IF($E$20=8,Dados!$AT$32,0)))))))</f>
        <v>0</v>
      </c>
      <c r="DC24" s="316">
        <f>IF($E$25=2,Dados!$AE$32,IF($E$25=3,Dados!$AG$32,IF($E$25=4,Dados!$AI$32,IF($E$25=5,Dados!$AK$32,IF($E$25=6,Dados!$AM$32,IF($E$25=7,Dados!$AO$32,IF($E$25=8,Dados!$AS$32,0)))))))</f>
        <v>0</v>
      </c>
      <c r="DD24" s="304">
        <f>IF($E$25=2,Dados!$AF$32,IF($E$25=3,Dados!$AH$32,IF($E$25=4,Dados!$AJ$32,IF($E$25=5,Dados!$AL$32,IF($E$25=6,Dados!$AN$32,IF($E$25=7,Dados!$AP$32,IF($E$25=8,Dados!$AT$32,0)))))))</f>
        <v>0</v>
      </c>
      <c r="DE24" s="316">
        <f>IF($E$26=2,Dados!$AE$32,IF($E$26=3,Dados!$AG$32,IF($E$26=4,Dados!$AI$32,IF($E$26=5,Dados!$AK$32,IF($E$26=6,Dados!$AM$32,IF($E$26=7,Dados!$AO$32,IF($E$26=8,Dados!$AS$32,0)))))))</f>
        <v>0</v>
      </c>
      <c r="DF24" s="304">
        <f>IF($E$26=2,Dados!$AF$32,IF($E$26=3,Dados!$AH$32,IF($E$26=4,Dados!$AJ$32,IF($E$26=5,Dados!$AL$32,IF($E$26=6,Dados!$AN$32,IF($E$26=7,Dados!$AP$32,IF($E$26=8,Dados!$AT$32,0)))))))</f>
        <v>0</v>
      </c>
      <c r="DG24" s="316">
        <f>IF($E$27=2,Dados!$AE$32,IF($E$27=3,Dados!$AG$32,IF($E$27=4,Dados!$AI$32,IF($E$27=5,Dados!$AK$32,IF($E$27=6,Dados!$AM$32,IF($E$27=7,Dados!$AO$32,IF($E$27=8,Dados!$AS$32,0)))))))</f>
        <v>0</v>
      </c>
      <c r="DH24" s="304">
        <f>IF($E$27=2,Dados!$AF$32,IF($E$27=3,Dados!$AH$32,IF($E$27=4,Dados!$AJ$32,IF($E$27=5,Dados!$AL$32,IF($E$27=6,Dados!$AN$32,IF($E$27=7,Dados!$AP$32,IF($E$27=8,Dados!$AT$32,0)))))))</f>
        <v>0</v>
      </c>
      <c r="DI24" s="316">
        <f>IF($E$28=2,Dados!$AE$32,IF($E$28=3,Dados!$AG$32,IF($E$28=4,Dados!$AI$32,IF($E$28=5,Dados!$AK$32,IF($E$28=6,Dados!$AM$32,IF($E$28=7,Dados!$AO$32,IF($E$28=8,Dados!$AS$32,0)))))))</f>
        <v>0</v>
      </c>
      <c r="DJ24" s="304">
        <f>IF($E$28=2,Dados!$AF$32,IF($E$28=3,Dados!$AH$32,IF($E$28=4,Dados!$AJ$32,IF($E$28=5,Dados!$AL$32,IF($E$28=6,Dados!$AN$32,IF($E$28=7,Dados!$AP$32,IF($E$28=8,Dados!$AT$32,0)))))))</f>
        <v>0</v>
      </c>
      <c r="DK24" s="316">
        <f>IF($E$29=2,Dados!$AE$32,IF($E$29=3,Dados!$AG$32,IF($E$29=4,Dados!$AI$32,IF($E$29=5,Dados!$AK$32,IF($E$29=6,Dados!$AM$32,IF($E$29=7,Dados!$AO$32,IF($E$29=8,Dados!$AS$32,0)))))))</f>
        <v>0</v>
      </c>
      <c r="DL24" s="304">
        <f>IF($E$29=2,Dados!$AF$32,IF($E$29=3,Dados!$AH$32,IF($E$29=4,Dados!$AJ$32,IF($E$29=5,Dados!$AL$32,IF($E$29=6,Dados!$AN$32,IF($E$29=7,Dados!$AP$32,IF($E$29=8,Dados!$AT$32,0)))))))</f>
        <v>0</v>
      </c>
      <c r="DN24" s="316">
        <f>IF($E$34=2,Dados!$AE$32,IF($E$34=3,Dados!$AG$32,IF($E$34=4,Dados!$AI$32,IF($E$34=5,Dados!$AK$32,IF($E$34=6,Dados!$AM$32,IF($E$34=7,Dados!$AO$32,IF($E$34=8,Dados!$AS$32,0)))))))</f>
        <v>0</v>
      </c>
      <c r="DO24" s="304">
        <f>IF($E$34=2,Dados!$AF$32,IF($E$34=3,Dados!$AH$32,IF($E$34=4,Dados!$AJ$32,IF($E$34=5,Dados!$AL$32,IF($E$34=6,Dados!$AN$32,IF($E$34=7,Dados!$AP$32,IF($E$34=8,Dados!$AT$32,0)))))))</f>
        <v>0</v>
      </c>
      <c r="DP24" s="316">
        <f>IF($E$35=2,Dados!$AE$32,IF($E$35=3,Dados!$AG$32,IF($E$35=4,Dados!$AI$32,IF($E$35=5,Dados!$AK$32,IF($E$35=6,Dados!$AM$32,IF($E$35=7,Dados!$AO$32,IF($E$35=8,Dados!$AS$32,0)))))))</f>
        <v>0</v>
      </c>
      <c r="DQ24" s="304">
        <f>IF($E$35=2,Dados!$AF$32,IF($E$35=3,Dados!$AH$32,IF($E$35=4,Dados!$AJ$32,IF($E$35=5,Dados!$AL$32,IF($E$35=6,Dados!$AN$32,IF($E$35=7,Dados!$AP$32,IF($E$35=8,Dados!$AT$32,0)))))))</f>
        <v>0</v>
      </c>
      <c r="DR24" s="316">
        <f>IF($E$36=2,Dados!$AE$32,IF($E$36=3,Dados!$AG$32,IF($E$36=4,Dados!$AI$32,IF($E$36=5,Dados!$AK$32,IF($E$36=6,Dados!$AM$32,IF($E$36=7,Dados!$AO$32,IF($E$36=8,Dados!$AS$32,0)))))))</f>
        <v>0</v>
      </c>
      <c r="DS24" s="304">
        <f>IF($E$36=2,Dados!$AF$32,IF($E$36=3,Dados!$AH$32,IF($E$36=4,Dados!$AJ$32,IF($E$36=5,Dados!$AL$32,IF($E$36=6,Dados!$AN$32,IF($E$36=7,Dados!$AP$32,IF($E$36=8,Dados!$AT$32,0)))))))</f>
        <v>0</v>
      </c>
      <c r="DT24" s="316">
        <f>IF($E$37=2,Dados!$AE$32,IF($E$37=3,Dados!$AG$32,IF($E$37=4,Dados!$AI$32,IF($E$37=5,Dados!$AK$32,IF($E$37=6,Dados!$AM$32,IF($E$37=7,Dados!$AO$32,IF($E$37=8,Dados!$AS$32,0)))))))</f>
        <v>0</v>
      </c>
      <c r="DU24" s="304">
        <f>IF($E$37=2,Dados!$AF$32,IF($E$37=3,Dados!$AH$32,IF($E$37=4,Dados!$AJ$32,IF($E$37=5,Dados!$AL$32,IF($E$37=6,Dados!$AN$32,IF($E$37=7,Dados!$AP$32,IF($E$37=8,Dados!$AT$32,0)))))))</f>
        <v>0</v>
      </c>
      <c r="DV24" s="316">
        <f>IF($E$38=2,Dados!$AE$32,IF($E$38=3,Dados!$AG$32,IF($E$38=4,Dados!$AI$32,IF($E$38=5,Dados!$AK$32,IF($E$38=6,Dados!$AM$32,IF($E$38=7,Dados!$AO$32,IF($E$38=8,Dados!$AS$32,0)))))))</f>
        <v>0</v>
      </c>
      <c r="DW24" s="304">
        <f>IF($E$38=2,Dados!$AF$32,IF($E$38=3,Dados!$AH$32,IF($E$38=4,Dados!$AJ$32,IF($E$38=5,Dados!$AL$32,IF($E$38=6,Dados!$AN$32,IF($E$38=7,Dados!$AP$32,IF($E$38=8,Dados!$AT$32,0)))))))</f>
        <v>0</v>
      </c>
      <c r="DY24" s="316">
        <f>IF($E$43=2,Dados!$AE$32,IF($E$43=3,Dados!$AG$32,IF($E$43=4,Dados!$AI$32,IF($E$43=5,Dados!$AK$32,IF($E$43=6,Dados!$AM$32,IF($E$43=7,Dados!$AO$32,IF($E$43=8,Dados!$AS$32,0)))))))</f>
        <v>0</v>
      </c>
      <c r="DZ24" s="304">
        <f>IF($E$43=2,Dados!$AF$32,IF($E$43=3,Dados!$AH$32,IF($E$43=4,Dados!$AJ$32,IF($E$43=5,Dados!$AL$32,IF($E$43=6,Dados!$AN$32,IF($E$43=7,Dados!$AP$32,IF($E$43=8,Dados!$AT$32,0)))))))</f>
        <v>0</v>
      </c>
      <c r="EA24" s="316">
        <f>IF($E$44=2,Dados!$AE$32,IF($E$44=3,Dados!$AG$32,IF($E$44=4,Dados!$AI$32,IF($E$44=5,Dados!$AK$32,IF($E$44=6,Dados!$AM$32,IF($E$44=7,Dados!$AO$32,IF($E$44=8,Dados!$AS$32,0)))))))</f>
        <v>0</v>
      </c>
      <c r="EB24" s="304">
        <f>IF($E$44=2,Dados!$AF$32,IF($E$44=3,Dados!$AH$32,IF($E$44=4,Dados!$AJ$32,IF($E$44=5,Dados!$AL$32,IF($E$44=6,Dados!$AN$32,IF($E$44=7,Dados!$AP$32,IF($E$44=8,Dados!$AT$32,0)))))))</f>
        <v>0</v>
      </c>
      <c r="EC24" s="316">
        <f>IF($E$45=2,Dados!$AE$32,IF($E$45=3,Dados!$AG$32,IF($E$45=4,Dados!$AI$32,IF($E$45=5,Dados!$AK$32,IF($E$45=6,Dados!$AM$32,IF($E$45=7,Dados!$AO$32,IF($E$45=8,Dados!$AS$32,0)))))))</f>
        <v>0</v>
      </c>
      <c r="ED24" s="304">
        <f>IF($E$45=2,Dados!$AF$32,IF($E$45=3,Dados!$AH$32,IF($E$45=4,Dados!$AJ$32,IF($E$45=5,Dados!$AL$32,IF($E$45=6,Dados!$AN$32,IF($E$45=7,Dados!$AP$32,IF($E$45=8,Dados!$AT$32,0)))))))</f>
        <v>0</v>
      </c>
      <c r="EE24" s="316">
        <f>IF($E$46=2,Dados!$AE$32,IF($E$46=3,Dados!$AG$32,IF($E$46=4,Dados!$AI$32,IF($E$46=5,Dados!$AK$32,IF($E$46=6,Dados!$AM$32,IF($E$46=7,Dados!$AO$32,IF($E$46=8,Dados!$AS$32,0)))))))</f>
        <v>0</v>
      </c>
      <c r="EF24" s="304">
        <f>IF($E$46=2,Dados!$AF$32,IF($E$46=3,Dados!$AH$32,IF($E$46=4,Dados!$AJ$32,IF($E$46=5,Dados!$AL$32,IF($E$46=6,Dados!$AN$32,IF($E$46=7,Dados!$AP$32,IF($E$46=8,Dados!$AT$32,0)))))))</f>
        <v>0</v>
      </c>
      <c r="EG24" s="316">
        <f>IF($E$47=2,Dados!$AE$32,IF($E$47=3,Dados!$AG$32,IF($E$47=4,Dados!$AI$32,IF($E$47=5,Dados!$AK$32,IF($E$47=6,Dados!$AM$32,IF($E$47=7,Dados!$AO$32,IF($E$47=8,Dados!$AS$32,0)))))))</f>
        <v>0</v>
      </c>
      <c r="EH24" s="304">
        <f>IF($E$47=2,Dados!$AF$32,IF($E$47=3,Dados!$AH$32,IF($E$47=4,Dados!$AJ$32,IF($E$47=5,Dados!$AL$32,IF($E$47=6,Dados!$AN$32,IF($E$47=7,Dados!$AP$32,IF($E$47=8,Dados!$AT$32,0)))))))</f>
        <v>0</v>
      </c>
      <c r="EJ24" s="316">
        <f>IF($E$52=2,Dados!$AE$32,IF($E$52=3,Dados!$AG$32,IF($E$52=4,Dados!$AI$32,IF($E$52=5,Dados!$AK$32,IF($E$52=6,Dados!$AM$32,IF($E$52=7,Dados!$AO$32,IF($E$52=8,Dados!$AS$32,0)))))))</f>
        <v>0</v>
      </c>
      <c r="EK24" s="304">
        <f>IF($E$52=2,Dados!$AF$32,IF($E$52=3,Dados!$AH$32,IF($E$52=4,Dados!$AJ$32,IF($E$52=5,Dados!$AL$32,IF($E$52=6,Dados!$AN$32,IF($E$52=7,Dados!$AP$32,IF($E$52=8,Dados!$AT$32,0)))))))</f>
        <v>0</v>
      </c>
      <c r="EL24" s="316">
        <f>IF($E$53=2,Dados!$AE$32,IF($E$53=3,Dados!$AG$32,IF($E$53=4,Dados!$AI$32,IF($E$53=5,Dados!$AK$32,IF($E$53=6,Dados!$AM$32,IF($E$53=7,Dados!$AO$32,IF($E$53=8,Dados!$AS$32,0)))))))</f>
        <v>0</v>
      </c>
      <c r="EM24" s="304">
        <f>IF($E$53=2,Dados!$AF$32,IF($E$53=3,Dados!$AH$32,IF($E$53=4,Dados!$AJ$32,IF($E$53=5,Dados!$AL$32,IF($E$53=6,Dados!$AN$32,IF($E$53=7,Dados!$AP$32,IF($E$53=8,Dados!$AT$32,0)))))))</f>
        <v>0</v>
      </c>
      <c r="EN24" s="316">
        <f>IF($E$54=2,Dados!$AE$32,IF($E$54=3,Dados!$AG$32,IF($E$54=4,Dados!$AI$32,IF($E$54=5,Dados!$AK$32,IF($E$54=6,Dados!$AM$32,IF($E$54=7,Dados!$AO$32,IF($E$54=8,Dados!$AS$32,0)))))))</f>
        <v>0</v>
      </c>
      <c r="EO24" s="304">
        <f>IF($E$54=2,Dados!$AF$32,IF($E$54=3,Dados!$AH$32,IF($E$54=4,Dados!$AJ$32,IF($E$54=5,Dados!$AL$32,IF($E$54=6,Dados!$AN$32,IF($E$54=7,Dados!$AP$32,IF($E$54=8,Dados!$AT$32,0)))))))</f>
        <v>0</v>
      </c>
      <c r="EP24" s="316">
        <f>IF($E$55=2,Dados!$AE$32,IF($E$55=3,Dados!$AG$32,IF($E$55=4,Dados!$AI$32,IF($E$55=5,Dados!$AK$32,IF($E$55=6,Dados!$AM$32,IF($E$55=7,Dados!$AO$32,IF($E$55=8,Dados!$AS$32,0)))))))</f>
        <v>0</v>
      </c>
      <c r="EQ24" s="304">
        <f>IF($E$55=2,Dados!$AF$32,IF($E$55=3,Dados!$AH$32,IF($E$55=4,Dados!$AJ$32,IF($E$55=5,Dados!$AL$32,IF($E$55=6,Dados!$AN$32,IF($E$55=7,Dados!$AP$32,IF($E$55=8,Dados!$AT$32,0)))))))</f>
        <v>0</v>
      </c>
      <c r="ER24" s="316">
        <f>IF($E$56=2,Dados!$AE$32,IF($E$56=3,Dados!$AG$32,IF($E$56=4,Dados!$AI$32,IF($E$56=5,Dados!$AK$32,IF($E$56=6,Dados!$AM$32,IF($E$56=7,Dados!$AO$32,IF($E$56=8,Dados!$AS$32,0)))))))</f>
        <v>0</v>
      </c>
      <c r="ES24" s="304">
        <f>IF($E$56=2,Dados!$AF$32,IF($E$56=3,Dados!$AH$32,IF($E$56=4,Dados!$AJ$32,IF($E$56=5,Dados!$AL$32,IF($E$56=6,Dados!$AN$32,IF($E$56=7,Dados!$AP$32,IF($E$56=8,Dados!$AT$32,0)))))))</f>
        <v>0</v>
      </c>
      <c r="EU24" s="316">
        <f>IF($E$61=2,Dados!$AE$32,IF($E$61=3,Dados!$AG$32,IF($E$61=4,Dados!$AI$32,IF($E$61=5,Dados!$AK$32,IF($E$61=6,Dados!$AM$32,IF($E$61=7,Dados!$AO$32,IF($E$61=8,Dados!$AS$32,0)))))))</f>
        <v>0</v>
      </c>
      <c r="EV24" s="304">
        <f>IF($E$61=2,Dados!$AF$32,IF($E$61=3,Dados!$AH$32,IF($E$61=4,Dados!$AJ$32,IF($E$61=5,Dados!$AL$32,IF($E$61=6,Dados!$AN$32,IF($E$61=7,Dados!$AP$32,IF($E$61=8,Dados!$AT$32,0)))))))</f>
        <v>0</v>
      </c>
      <c r="EW24" s="316">
        <f>IF($E$62=2,Dados!$AE$32,IF($E$62=3,Dados!$AG$32,IF($E$62=4,Dados!$AI$32,IF($E$62=5,Dados!$AK$32,IF($E$62=6,Dados!$AM$32,IF($E$62=7,Dados!$AO$32,IF($E$62=8,Dados!$AS$32,0)))))))</f>
        <v>0</v>
      </c>
      <c r="EX24" s="304">
        <f>IF($E$62=2,Dados!$AF$32,IF($E$62=3,Dados!$AH$32,IF($E$62=4,Dados!$AJ$32,IF($E$62=5,Dados!$AL$32,IF($E$62=6,Dados!$AN$32,IF($E$62=7,Dados!$AP$32,IF($E$62=8,Dados!$AT$32,0)))))))</f>
        <v>0</v>
      </c>
      <c r="EY24" s="316">
        <f>IF($E$63=2,Dados!$AE$32,IF($E$63=3,Dados!$AG$32,IF($E$63=4,Dados!$AI$32,IF($E$63=5,Dados!$AK$32,IF($E$63=6,Dados!$AM$32,IF($E$63=7,Dados!$AO$32,IF($E$63=8,Dados!$AS$32,0)))))))</f>
        <v>0</v>
      </c>
      <c r="EZ24" s="304">
        <f>IF($E$63=2,Dados!$AF$32,IF($E$63=3,Dados!$AH$32,IF($E$63=4,Dados!$AJ$32,IF($E$63=5,Dados!$AL$32,IF($E$63=6,Dados!$AN$32,IF($E$63=7,Dados!$AP$32,IF($E$63=8,Dados!$AT$32,0)))))))</f>
        <v>0</v>
      </c>
      <c r="FA24" s="316">
        <f>IF($E$64=2,Dados!$AE$32,IF($E$64=3,Dados!$AG$32,IF($E$64=4,Dados!$AI$32,IF($E$64=5,Dados!$AK$32,IF($E$64=6,Dados!$AM$32,IF($E$64=7,Dados!$AO$32,IF($E$64=8,Dados!$AS$32,0)))))))</f>
        <v>0</v>
      </c>
      <c r="FB24" s="304">
        <f>IF($E$64=2,Dados!$AF$32,IF($E$64=3,Dados!$AH$32,IF($E$64=4,Dados!$AJ$32,IF($E$64=5,Dados!$AL$32,IF($E$64=6,Dados!$AN$32,IF($E$64=7,Dados!$AP$32,IF($E$64=8,Dados!$AT$32,0)))))))</f>
        <v>0</v>
      </c>
      <c r="FC24" s="316">
        <f>IF($E$65=2,Dados!$AE$32,IF($E$65=3,Dados!$AG$32,IF($E$65=4,Dados!$AI$32,IF($E$65=5,Dados!$AK$32,IF($E$65=6,Dados!$AM$32,IF($E$65=7,Dados!$AO$32,IF($E$65=8,Dados!$AS$32,0)))))))</f>
        <v>0</v>
      </c>
      <c r="FD24" s="304">
        <f>IF($E$65=2,Dados!$AF$32,IF($E$65=3,Dados!$AH$32,IF($E$65=4,Dados!$AJ$32,IF($E$65=5,Dados!$AL$32,IF($E$65=6,Dados!$AN$32,IF($E$65=7,Dados!$AP$32,IF($E$65=8,Dados!$AT$32,0)))))))</f>
        <v>0</v>
      </c>
      <c r="FF24" s="316">
        <f>IF($E$70=2,Dados!$AE$32,IF($E$70=3,Dados!$AG$32,IF($E$70=4,Dados!$AI$32,IF($E$70=5,Dados!$AK$32,IF($E$70=6,Dados!$AM$32,IF($E$70=7,Dados!$AO$32,IF($E$70=8,Dados!$AS$32,0)))))))</f>
        <v>0</v>
      </c>
      <c r="FG24" s="304">
        <f>IF($E$70=2,Dados!$AF$32,IF($E$70=3,Dados!$AH$32,IF($E$70=4,Dados!$AJ$32,IF($E$70=5,Dados!$AL$32,IF($E$70=6,Dados!$AN$32,IF($E$70=7,Dados!$AP$32,IF($E$70=8,Dados!$AT$32,0)))))))</f>
        <v>0</v>
      </c>
      <c r="FH24" s="316">
        <f>IF($E$71=2,Dados!$AE$32,IF($E$71=3,Dados!$AG$32,IF($E$71=4,Dados!$AI$32,IF($E$71=5,Dados!$AK$32,IF($E$71=6,Dados!$AM$32,IF($E$71=7,Dados!$AO$32,IF($E$71=8,Dados!$AS$32,0)))))))</f>
        <v>0</v>
      </c>
      <c r="FI24" s="304">
        <f>IF($E$71=2,Dados!$AF$32,IF($E$71=3,Dados!$AH$32,IF($E$71=4,Dados!$AJ$32,IF($E$71=5,Dados!$AL$32,IF($E$71=6,Dados!$AN$32,IF($E$71=7,Dados!$AP$32,IF($E$71=8,Dados!$AT$32,0)))))))</f>
        <v>0</v>
      </c>
      <c r="FJ24" s="316">
        <f>IF($E$72=2,Dados!$AE$32,IF($E$72=3,Dados!$AG$32,IF($E$72=4,Dados!$AI$32,IF($E$72=5,Dados!$AK$32,IF($E$72=6,Dados!$AM$32,IF($E$72=7,Dados!$AO$32,IF($E$72=8,Dados!$AS$32,0)))))))</f>
        <v>0</v>
      </c>
      <c r="FK24" s="304">
        <f>IF($E$72=2,Dados!$AF$32,IF($E$72=3,Dados!$AH$32,IF($E$72=4,Dados!$AJ$32,IF($E$72=5,Dados!$AL$32,IF($E$72=6,Dados!$AN$32,IF($E$72=7,Dados!$AP$32,IF($E$72=8,Dados!$AT$32,0)))))))</f>
        <v>0</v>
      </c>
      <c r="FL24" s="316">
        <f>IF($E$73=2,Dados!$AE$32,IF($E$73=3,Dados!$AG$32,IF($E$73=4,Dados!$AI$32,IF($E$73=5,Dados!$AK$32,IF($E$73=6,Dados!$AM$32,IF($E$73=7,Dados!$AO$32,IF($E$73=8,Dados!$AS$32,0)))))))</f>
        <v>0</v>
      </c>
      <c r="FM24" s="304">
        <f>IF($E$73=2,Dados!$AF$32,IF($E$73=3,Dados!$AH$32,IF($E$73=4,Dados!$AJ$32,IF($E$73=5,Dados!$AL$32,IF($E$73=6,Dados!$AN$32,IF($E$73=7,Dados!$AP$32,IF($E$73=8,Dados!$AT$32,0)))))))</f>
        <v>0</v>
      </c>
      <c r="FN24" s="316">
        <f>IF($E$74=2,Dados!$AE$32,IF($E$74=3,Dados!$AG$32,IF($E$74=4,Dados!$AI$32,IF($E$74=5,Dados!$AK$32,IF($E$74=6,Dados!$AM$32,IF($E$74=7,Dados!$AO$32,IF($E$74=8,Dados!$AS$32,0)))))))</f>
        <v>0</v>
      </c>
      <c r="FO24" s="304">
        <f>IF($E$74=2,Dados!$AF$32,IF($E$74=3,Dados!$AH$32,IF($E$74=4,Dados!$AJ$32,IF($E$74=5,Dados!$AL$32,IF($E$74=6,Dados!$AN$32,IF($E$74=7,Dados!$AP$32,IF($E$74=8,Dados!$AT$32,0)))))))</f>
        <v>0</v>
      </c>
      <c r="FQ24" s="316">
        <f>IF($E$79=2,Dados!$AE$32,IF($E$79=3,Dados!$AG$32,IF($E$79=4,Dados!$AI$32,IF($E$79=5,Dados!$AK$32,IF($E$79=6,Dados!$AM$32,IF($E$79=7,Dados!$AO$32,IF($E$79=8,Dados!$AS$32,0)))))))</f>
        <v>0</v>
      </c>
      <c r="FR24" s="304">
        <f>IF($E$79=2,Dados!$AF$32,IF($E$79=3,Dados!$AH$32,IF($E$79=4,Dados!$AJ$32,IF($E$79=5,Dados!$AL$32,IF($E$79=6,Dados!$AN$32,IF($E$79=7,Dados!$AP$32,IF($E$79=8,Dados!$AT$32,0)))))))</f>
        <v>0</v>
      </c>
      <c r="FS24" s="316">
        <f>IF($E$80=2,Dados!$AE$32,IF($E$80=3,Dados!$AG$32,IF($E$80=4,Dados!$AI$32,IF($E$80=5,Dados!$AK$32,IF($E$80=6,Dados!$AM$32,IF($E$80=7,Dados!$AO$32,IF($E$80=8,Dados!$AS$32,0)))))))</f>
        <v>0</v>
      </c>
      <c r="FT24" s="304">
        <f>IF($E$80=2,Dados!$AF$32,IF($E$80=3,Dados!$AH$32,IF($E$80=4,Dados!$AJ$32,IF($E$80=5,Dados!$AL$32,IF($E$80=6,Dados!$AN$32,IF($E$80=7,Dados!$AP$32,IF($E$80=8,Dados!$AT$32,0)))))))</f>
        <v>0</v>
      </c>
      <c r="FU24" s="316">
        <f>IF($E$81=2,Dados!$AE$32,IF($E$81=3,Dados!$AG$32,IF($E$81=4,Dados!$AI$32,IF($E$81=5,Dados!$AK$32,IF($E$81=6,Dados!$AM$32,IF($E$81=7,Dados!$AO$32,IF($E$81=8,Dados!$AS$32,0)))))))</f>
        <v>0</v>
      </c>
      <c r="FV24" s="304">
        <f>IF($E$81=2,Dados!$AF$32,IF($E$81=3,Dados!$AH$32,IF($E$81=4,Dados!$AJ$32,IF($E$81=5,Dados!$AL$32,IF($E$81=6,Dados!$AN$32,IF($E$81=7,Dados!$AP$32,IF($E$81=8,Dados!$AT$32,0)))))))</f>
        <v>0</v>
      </c>
      <c r="FW24" s="316">
        <f>IF($E$82=2,Dados!$AE$32,IF($E$82=3,Dados!$AG$32,IF($E$82=4,Dados!$AI$32,IF($E$82=5,Dados!$AK$32,IF($E$82=6,Dados!$AM$32,IF($E$82=7,Dados!$AO$32,IF($E$82=8,Dados!$AS$32,0)))))))</f>
        <v>0</v>
      </c>
      <c r="FX24" s="304">
        <f>IF($E$82=2,Dados!$AF$32,IF($E$82=3,Dados!$AH$32,IF($E$82=4,Dados!$AJ$32,IF($E$82=5,Dados!$AL$32,IF($E$82=6,Dados!$AN$32,IF($E$82=7,Dados!$AP$32,IF($E$82=8,Dados!$AT$32,0)))))))</f>
        <v>0</v>
      </c>
      <c r="FY24" s="316">
        <f>IF($E$83=2,Dados!$AE$32,IF($E$83=3,Dados!$AG$32,IF($E$83=4,Dados!$AI$32,IF($E$83=5,Dados!$AK$32,IF($E$83=6,Dados!$AM$32,IF($E$83=7,Dados!$AO$32,IF($E$83=8,Dados!$AS$32,0)))))))</f>
        <v>0</v>
      </c>
      <c r="FZ24" s="304">
        <f>IF($E$83=2,Dados!$AF$32,IF($E$83=3,Dados!$AH$32,IF($E$83=4,Dados!$AJ$32,IF($E$83=5,Dados!$AL$32,IF($E$83=6,Dados!$AN$32,IF($E$83=7,Dados!$AP$32,IF($E$83=8,Dados!$AT$32,0)))))))</f>
        <v>0</v>
      </c>
      <c r="GB24" s="316">
        <f>IF($E$88=2,Dados!$AE$32,IF($E$88=3,Dados!$AG$32,IF($E$88=4,Dados!$AI$32,IF($E$88=5,Dados!$AK$32,IF($E$88=6,Dados!$AM$32,IF($E$88=7,Dados!$AO$32,IF($E$88=8,Dados!$AS$32,0)))))))</f>
        <v>0</v>
      </c>
      <c r="GC24" s="304">
        <f>IF($E$88=2,Dados!$AF$32,IF($E$88=3,Dados!$AH$32,IF($E$88=4,Dados!$AJ$32,IF($E$88=5,Dados!$AL$32,IF($E$88=6,Dados!$AN$32,IF($E$88=7,Dados!$AP$32,IF($E$88=8,Dados!$AT$32,0)))))))</f>
        <v>0</v>
      </c>
      <c r="GD24" s="316">
        <f>IF($E$89=2,Dados!$AE$32,IF($E$89=3,Dados!$AG$32,IF($E$89=4,Dados!$AI$32,IF($E$89=5,Dados!$AK$32,IF($E$89=6,Dados!$AM$32,IF($E$89=7,Dados!$AO$32,IF($E$89=8,Dados!$AS$32,0)))))))</f>
        <v>0</v>
      </c>
      <c r="GE24" s="304">
        <f>IF($E$89=2,Dados!$AF$32,IF($E$89=3,Dados!$AH$32,IF($E$89=4,Dados!$AJ$32,IF($E$89=5,Dados!$AL$32,IF($E$89=6,Dados!$AN$32,IF($E$89=7,Dados!$AP$32,IF($E$89=8,Dados!$AT$32,0)))))))</f>
        <v>0</v>
      </c>
      <c r="GF24" s="316">
        <f>IF($E$90=2,Dados!$AE$32,IF($E$90=3,Dados!$AG$32,IF($E$90=4,Dados!$AI$32,IF($E$90=5,Dados!$AK$32,IF($E$90=6,Dados!$AM$32,IF($E$90=7,Dados!$AO$32,IF($E$90=8,Dados!$AS$32,0)))))))</f>
        <v>0</v>
      </c>
      <c r="GG24" s="304">
        <f>IF($E$90=2,Dados!$AF$32,IF($E$90=3,Dados!$AH$32,IF($E$90=4,Dados!$AJ$32,IF($E$90=5,Dados!$AL$32,IF($E$90=6,Dados!$AN$32,IF($E$90=7,Dados!$AP$32,IF($E$90=8,Dados!$AT$32,0)))))))</f>
        <v>0</v>
      </c>
      <c r="GH24" s="316">
        <f>IF($E$91=2,Dados!$AE$32,IF($E$91=3,Dados!$AG$32,IF($E$91=4,Dados!$AI$32,IF($E$91=5,Dados!$AK$32,IF($E$91=6,Dados!$AM$32,IF($E$91=7,Dados!$AO$32,IF($E$91=8,Dados!$AS$32,0)))))))</f>
        <v>0</v>
      </c>
      <c r="GI24" s="304">
        <f>IF($E$91=2,Dados!$AF$32,IF($E$91=3,Dados!$AH$32,IF($E$91=4,Dados!$AJ$32,IF($E$91=5,Dados!$AL$32,IF($E$91=6,Dados!$AN$32,IF($E$91=7,Dados!$AP$32,IF($E$91=8,Dados!$AT$32,0)))))))</f>
        <v>0</v>
      </c>
      <c r="GJ24" s="316">
        <f>IF($E$92=2,Dados!$AE$32,IF($E$92=3,Dados!$AG$32,IF($E$92=4,Dados!$AI$32,IF($E$92=5,Dados!$AK$32,IF($E$92=6,Dados!$AM$32,IF($E$92=7,Dados!$AO$32,IF($E$92=8,Dados!$AS$32,0)))))))</f>
        <v>0</v>
      </c>
      <c r="GK24" s="304">
        <f>IF($E$92=2,Dados!$AF$32,IF($E$92=3,Dados!$AH$32,IF($E$92=4,Dados!$AJ$32,IF($E$92=5,Dados!$AL$32,IF($E$92=6,Dados!$AN$32,IF($E$92=7,Dados!$AP$32,IF($E$92=8,Dados!$AT$32,0)))))))</f>
        <v>0</v>
      </c>
      <c r="GM24" s="316">
        <f>IF($E$97=2,Dados!$AE$32,IF($E$97=3,Dados!$AG$32,IF($E$97=4,Dados!$AI$32,IF($E$97=5,Dados!$AK$32,IF($E$97=6,Dados!$AM$32,IF($E$97=7,Dados!$AO$32,IF($E$97=8,Dados!$AS$32,0)))))))</f>
        <v>0</v>
      </c>
      <c r="GN24" s="304">
        <f>IF($E$97=2,Dados!$AF$32,IF($E$97=3,Dados!$AH$32,IF($E$97=4,Dados!$AJ$32,IF($E$97=5,Dados!$AL$32,IF($E$97=6,Dados!$AN$32,IF($E$97=7,Dados!$AP$32,IF($E$97=8,Dados!$AT$32,0)))))))</f>
        <v>0</v>
      </c>
      <c r="GO24" s="316">
        <f>IF($E$98=2,Dados!$AE$32,IF($E$98=3,Dados!$AG$32,IF($E$98=4,Dados!$AI$32,IF($E$98=5,Dados!$AK$32,IF($E$98=6,Dados!$AM$32,IF($E$98=7,Dados!$AO$32,IF($E$98=8,Dados!$AS$32,0)))))))</f>
        <v>0</v>
      </c>
      <c r="GP24" s="304">
        <f>IF($E$98=2,Dados!$AF$32,IF($E$98=3,Dados!$AH$32,IF($E$98=4,Dados!$AJ$32,IF($E$98=5,Dados!$AL$32,IF($E$98=6,Dados!$AN$32,IF($E$98=7,Dados!$AP$32,IF($E$98=8,Dados!$AT$32,0)))))))</f>
        <v>0</v>
      </c>
      <c r="GQ24" s="316">
        <f>IF($E$99=2,Dados!$AE$32,IF($E$99=3,Dados!$AG$32,IF($E$99=4,Dados!$AI$32,IF($E$99=5,Dados!$AK$32,IF($E$99=6,Dados!$AM$32,IF($E$99=7,Dados!$AO$32,IF($E$99=8,Dados!$AS$32,0)))))))</f>
        <v>0</v>
      </c>
      <c r="GR24" s="304">
        <f>IF($E$99=2,Dados!$AF$32,IF($E$99=3,Dados!$AH$32,IF($E$99=4,Dados!$AJ$32,IF($E$99=5,Dados!$AL$32,IF($E$99=6,Dados!$AN$32,IF($E$99=7,Dados!$AP$32,IF($E$99=8,Dados!$AT$32,0)))))))</f>
        <v>0</v>
      </c>
      <c r="GS24" s="316">
        <f>IF($E$100=2,Dados!$AE$32,IF($E$100=3,Dados!$AG$32,IF($E$100=4,Dados!$AI$32,IF($E$100=5,Dados!$AK$32,IF($E$100=6,Dados!$AM$32,IF($E$100=7,Dados!$AO$32,IF($E$100=8,Dados!$AS$32,0)))))))</f>
        <v>0</v>
      </c>
      <c r="GT24" s="304">
        <f>IF($E$100=2,Dados!$AF$32,IF($E$100=3,Dados!$AH$32,IF($E$100=4,Dados!$AJ$32,IF($E$100=5,Dados!$AL$32,IF($E$100=6,Dados!$AN$32,IF($E$100=7,Dados!$AP$32,IF($E$100=8,Dados!$AT$32,0)))))))</f>
        <v>0</v>
      </c>
      <c r="GU24" s="316">
        <f>IF($E$101=2,Dados!$AE$32,IF($E$101=3,Dados!$AG$32,IF($E$101=4,Dados!$AI$32,IF($E$101=5,Dados!$AK$32,IF($E$101=6,Dados!$AM$32,IF($E$101=7,Dados!$AO$32,IF($E$101=8,Dados!$AS$32,0)))))))</f>
        <v>0</v>
      </c>
      <c r="GV24" s="304">
        <f>IF($E$101=2,Dados!$AF$32,IF($E$101=3,Dados!$AH$32,IF($E$101=4,Dados!$AJ$32,IF($E$101=5,Dados!$AL$32,IF($E$101=6,Dados!$AN$32,IF($E$101=7,Dados!$AP$32,IF($E$101=8,Dados!$AT$32,0)))))))</f>
        <v>0</v>
      </c>
      <c r="GX24" s="316">
        <f>IF($E$106=2,Dados!$AE$32,IF($E$106=3,Dados!$AG$32,IF($E$106=4,Dados!$AI$32,IF($E$106=5,Dados!$AK$32,IF($E$106=6,Dados!$AM$32,IF($E$106=7,Dados!$AO$32,IF($E$106=8,Dados!$AS$32,0)))))))</f>
        <v>0</v>
      </c>
      <c r="GY24" s="304">
        <f>IF($E$106=2,Dados!$AF$32,IF($E$106=3,Dados!$AH$32,IF($E$106=4,Dados!$AJ$32,IF($E$106=5,Dados!$AL$32,IF($E$106=6,Dados!$AN$32,IF($E$106=7,Dados!$AP$32,IF($E$106=8,Dados!$AT$32,0)))))))</f>
        <v>0</v>
      </c>
      <c r="GZ24" s="316">
        <f>IF($E$107=2,Dados!$AE$32,IF($E$107=3,Dados!$AG$32,IF($E$107=4,Dados!$AI$32,IF($E$107=5,Dados!$AK$32,IF($E$107=6,Dados!$AM$32,IF($E$107=7,Dados!$AO$32,IF($E$107=8,Dados!$AS$32,0)))))))</f>
        <v>0</v>
      </c>
      <c r="HA24" s="304">
        <f>IF($E$107=2,Dados!$AF$32,IF($E$107=3,Dados!$AH$32,IF($E$107=4,Dados!$AJ$32,IF($E$107=5,Dados!$AL$32,IF($E$107=6,Dados!$AN$32,IF($E$107=7,Dados!$AP$32,IF($E$107=8,Dados!$AT$32,0)))))))</f>
        <v>0</v>
      </c>
      <c r="HB24" s="316">
        <f>IF($E$108=2,Dados!$AE$32,IF($E$108=3,Dados!$AG$32,IF($E$108=4,Dados!$AI$32,IF($E$108=5,Dados!$AK$32,IF($E$108=6,Dados!$AM$32,IF($E$108=7,Dados!$AO$32,IF($E$108=8,Dados!$AS$32,0)))))))</f>
        <v>0</v>
      </c>
      <c r="HC24" s="304">
        <f>IF($E$108=2,Dados!$AF$32,IF($E$108=3,Dados!$AH$32,IF($E$108=4,Dados!$AJ$32,IF($E$108=5,Dados!$AL$32,IF($E$108=6,Dados!$AN$32,IF($E$108=7,Dados!$AP$32,IF($E$108=8,Dados!$AT$32,0)))))))</f>
        <v>0</v>
      </c>
      <c r="HD24" s="316">
        <f>IF($E$109=2,Dados!$AE$32,IF($E$109=3,Dados!$AG$32,IF($E$109=4,Dados!$AI$32,IF($E$109=5,Dados!$AK$32,IF($E$109=6,Dados!$AM$32,IF($E$109=7,Dados!$AO$32,IF($E$109=8,Dados!$AS$32,0)))))))</f>
        <v>0</v>
      </c>
      <c r="HE24" s="304">
        <f>IF($E$109=2,Dados!$AF$32,IF($E$109=3,Dados!$AH$32,IF($E$109=4,Dados!$AJ$32,IF($E$109=5,Dados!$AL$32,IF($E$109=6,Dados!$AN$32,IF($E$109=7,Dados!$AP$32,IF($E$109=8,Dados!$AT$32,0)))))))</f>
        <v>0</v>
      </c>
      <c r="HF24" s="316">
        <f>IF($E$110=2,Dados!$AE$32,IF($E$110=3,Dados!$AG$32,IF($E$110=4,Dados!$AI$32,IF($E$110=5,Dados!$AK$32,IF($E$110=6,Dados!$AM$32,IF($E$110=7,Dados!$AO$32,IF($E$110=8,Dados!$AS$32,0)))))))</f>
        <v>0</v>
      </c>
      <c r="HG24" s="304">
        <f>IF($E$110=2,Dados!$AF$32,IF($E$110=3,Dados!$AH$32,IF($E$110=4,Dados!$AJ$32,IF($E$110=5,Dados!$AL$32,IF($E$110=6,Dados!$AN$32,IF($E$110=7,Dados!$AP$32,IF($E$110=8,Dados!$AT$32,0)))))))</f>
        <v>0</v>
      </c>
    </row>
    <row r="25" spans="3:215" ht="15.75" customHeight="1" x14ac:dyDescent="0.2">
      <c r="C25" s="156">
        <f>IF(R25=1,0,S25)</f>
        <v>0</v>
      </c>
      <c r="D25" s="2727"/>
      <c r="E25" s="179">
        <v>4</v>
      </c>
      <c r="F25" s="2719">
        <v>2</v>
      </c>
      <c r="G25" s="2633"/>
      <c r="H25" s="2295" t="s">
        <v>1417</v>
      </c>
      <c r="I25" s="229">
        <v>3</v>
      </c>
      <c r="J25" s="314">
        <v>50</v>
      </c>
      <c r="K25" s="157">
        <v>5</v>
      </c>
      <c r="L25" s="305">
        <v>50</v>
      </c>
      <c r="M25" s="127">
        <f>IF(I25=1,K25,IF(I25=2,K25/J25,IF(I25=3,K25*L25,0)))</f>
        <v>250</v>
      </c>
      <c r="N25" s="3">
        <v>23</v>
      </c>
      <c r="O25" s="30">
        <v>1</v>
      </c>
      <c r="P25" s="837">
        <f>IF(N25=1,0,VLOOKUP(N25,Rebanho!$AN$45:$AV$72,4)*O25)</f>
        <v>3116.864924444445</v>
      </c>
      <c r="Q25" s="838">
        <f>VLOOKUP(N25,Rebanho!$AN$45:$AV$72,7)*O25</f>
        <v>1142585.2620207409</v>
      </c>
      <c r="R25" s="93">
        <v>1</v>
      </c>
      <c r="S25" s="29"/>
      <c r="T25" s="102">
        <f>VLOOKUP(R25,'Mão-de-obra'!$CJ$10:$CL$29,3)</f>
        <v>0</v>
      </c>
      <c r="U25" s="102">
        <f>T25*S25</f>
        <v>0</v>
      </c>
      <c r="V25" s="127">
        <f>IF(I25=1,M25*P25,IF(I25=2,M25*Q25*L25,IF(I25=3,M25,0)))</f>
        <v>250</v>
      </c>
      <c r="W25" s="129">
        <f>U25+V25</f>
        <v>250</v>
      </c>
      <c r="X25" s="93">
        <v>1</v>
      </c>
      <c r="Y25" s="93">
        <v>1</v>
      </c>
      <c r="Z25" s="127">
        <f>IF(P25=0,0,((W25/P25+U25/P25)*O25))</f>
        <v>8.0208801491312751E-2</v>
      </c>
      <c r="AA25" s="118"/>
      <c r="AI25" s="118"/>
      <c r="AO25" s="437"/>
      <c r="AP25" s="452"/>
      <c r="AQ25" s="437"/>
      <c r="AR25" s="437"/>
      <c r="AW25" s="3" t="s">
        <v>302</v>
      </c>
      <c r="AX25" s="94">
        <f>IF($E25=2,$V25,0)</f>
        <v>0</v>
      </c>
      <c r="AY25" s="94">
        <f>IF($E26=2,$V26,0)</f>
        <v>0</v>
      </c>
      <c r="AZ25" s="94">
        <f>IF($E27=2,$V27,0)</f>
        <v>0</v>
      </c>
      <c r="BA25" s="94">
        <f>IF($E28=2,$V28,0)</f>
        <v>0</v>
      </c>
      <c r="BB25" s="94">
        <f>IF($E29=2,$V29,0)</f>
        <v>0</v>
      </c>
      <c r="BC25" s="200">
        <f t="shared" ref="BC25:BC30" si="7">SUM(AX25:BB25)</f>
        <v>0</v>
      </c>
      <c r="CF25" s="93">
        <v>20</v>
      </c>
      <c r="CG25" s="316">
        <f>IF($E$7=2,Dados!$AE$33,IF($E$7=3,Dados!$AG$33,IF($E$7=4,Dados!$AI$33,IF($E$7=5,Dados!$AK$33,IF($E$7=6,Dados!$AM$33,IF($E$7=7,Dados!$AO$33,IF($E$7=8,Dados!$AS$33,0)))))))</f>
        <v>0</v>
      </c>
      <c r="CH25" s="304">
        <f>IF($E$7=2,Dados!$AF$33,IF($E$7=3,Dados!$AH$33,IF($E$7=4,Dados!$AJ$33,IF($E$7=5,Dados!$AL$33,IF($E$7=6,Dados!$AN$33,IF($E$7=7,Dados!$AP$33,IF($E$7=8,Dados!$AT$33,0)))))))</f>
        <v>0</v>
      </c>
      <c r="CI25" s="316">
        <f>IF($E$8=2,Dados!$AE$33,IF($E$8=3,Dados!$AG$33,IF($E$8=4,Dados!$AI$33,IF($E$8=5,Dados!$AK$33,IF($E$8=6,Dados!$AM$33,IF($E$8=7,Dados!$AO$33,IF($E$8=8,Dados!$AS$33,0)))))))</f>
        <v>0</v>
      </c>
      <c r="CJ25" s="304">
        <f>IF($E$8=2,Dados!$AF$33,IF($E$8=3,Dados!$AH$33,IF($E$8=4,Dados!$AJ$33,IF($E$8=5,Dados!$AL$33,IF($E$8=6,Dados!$AN$33,IF($E$8=7,Dados!$AP$33,IF($E$8=8,Dados!$AT$33,0)))))))</f>
        <v>0</v>
      </c>
      <c r="CK25" s="316">
        <f>IF($E$9=2,Dados!$AE$33,IF($E$9=3,Dados!$AG$33,IF($E$9=4,Dados!$AI$33,IF($E$9=5,Dados!$AK$33,IF($E$9=6,Dados!$AM$33,IF($E$9=7,Dados!$AO$33,IF($E$9=8,Dados!$AS$33,0)))))))</f>
        <v>0</v>
      </c>
      <c r="CL25" s="304">
        <f>IF($E$9=2,Dados!$AF$33,IF($E$9=3,Dados!$AH$33,IF($E$9=4,Dados!$AJ$33,IF($E$9=5,Dados!$AL$33,IF($E$9=6,Dados!$AN$33,IF($E$9=7,Dados!$AP$33,IF($E$9=8,Dados!$AT$33,0)))))))</f>
        <v>0</v>
      </c>
      <c r="CM25" s="316">
        <f>IF($E$10=2,Dados!$AE$33,IF($E$10=3,Dados!$AG$33,IF($E$10=4,Dados!$AI$33,IF($E$10=5,Dados!$AK$33,IF($E$10=6,Dados!$AM$33,IF($E$10=7,Dados!$AO$33,IF($E$10=8,Dados!$AS$33,0)))))))</f>
        <v>0</v>
      </c>
      <c r="CN25" s="304">
        <f>IF($E$10=2,Dados!$AF$33,IF($E$10=3,Dados!$AH$33,IF($E$10=4,Dados!$AJ$33,IF($E$10=5,Dados!$AL$33,IF($E$10=6,Dados!$AN$33,IF($E$10=7,Dados!$AP$33,IF($E$10=8,Dados!$AT$33,0)))))))</f>
        <v>0</v>
      </c>
      <c r="CO25" s="316">
        <f>IF($E$11=2,Dados!$AE$33,IF($E$11=3,Dados!$AG$33,IF($E$11=4,Dados!$AI$33,IF($E$11=5,Dados!$AK$33,IF($E$11=6,Dados!$AM$33,IF($E$11=7,Dados!$AO$33,IF($E$11=8,Dados!$AS$33,0)))))))</f>
        <v>0</v>
      </c>
      <c r="CP25" s="304">
        <f>IF($E$11=2,Dados!$AF$33,IF($E$11=3,Dados!$AH$33,IF($E$11=4,Dados!$AJ$33,IF($E$11=5,Dados!$AL$33,IF($E$11=6,Dados!$AN$33,IF($E$11=7,Dados!$AP$33,IF($E$11=8,Dados!$AT$33,0)))))))</f>
        <v>0</v>
      </c>
      <c r="CR25" s="316">
        <f>IF($E$16=2,Dados!$AE$33,IF($E$16=3,Dados!$AG$33,IF($E$16=4,Dados!$AI$33,IF($E$16=5,Dados!$AK$33,IF($E$16=6,Dados!$AM$33,IF($E$16=7,Dados!$AO$33,IF($E$16=8,Dados!$AS$33,0)))))))</f>
        <v>0</v>
      </c>
      <c r="CS25" s="304">
        <f>IF($E$16=2,Dados!$AF$33,IF($E$16=3,Dados!$AH$33,IF($E$16=4,Dados!$AJ$33,IF($E$16=5,Dados!$AL$33,IF($E$16=6,Dados!$AN$33,IF($E$16=7,Dados!$AP$33,IF($E$16=8,Dados!$AT$33,0)))))))</f>
        <v>0</v>
      </c>
      <c r="CT25" s="316">
        <f>IF($E$17=2,Dados!$AE$33,IF($E$17=3,Dados!$AG$33,IF($E$17=4,Dados!$AI$33,IF($E$17=5,Dados!$AK$33,IF($E$17=6,Dados!$AM$33,IF($E$17=7,Dados!$AO$33,IF($E$17=8,Dados!$AS$33,0)))))))</f>
        <v>0</v>
      </c>
      <c r="CU25" s="304">
        <f>IF($E$17=2,Dados!$AF$33,IF($E$17=3,Dados!$AH$33,IF($E$17=4,Dados!$AJ$33,IF($E$17=5,Dados!$AL$33,IF($E$17=6,Dados!$AN$33,IF($E$17=7,Dados!$AP$33,IF($E$17=8,Dados!$AT$33,0)))))))</f>
        <v>0</v>
      </c>
      <c r="CV25" s="316">
        <f>IF($E$18=2,Dados!$AE$33,IF($E$18=3,Dados!$AG$33,IF($E$18=4,Dados!$AI$33,IF($E$18=5,Dados!$AK$33,IF($E$18=6,Dados!$AM$33,IF($E$18=7,Dados!$AO$33,IF($E$18=8,Dados!$AS$33,0)))))))</f>
        <v>0</v>
      </c>
      <c r="CW25" s="304">
        <f>IF($E$18=2,Dados!$AF$33,IF($E$18=3,Dados!$AH$33,IF($E$18=4,Dados!$AJ$33,IF($E$18=5,Dados!$AL$33,IF($E$18=6,Dados!$AN$33,IF($E$18=7,Dados!$AP$33,IF($E$18=8,Dados!$AT$33,0)))))))</f>
        <v>0</v>
      </c>
      <c r="CX25" s="316">
        <f>IF($E$19=2,Dados!$AE$33,IF($E$19=3,Dados!$AG$33,IF($E$19=4,Dados!$AI$33,IF($E$19=5,Dados!$AK$33,IF($E$19=6,Dados!$AM$33,IF($E$19=7,Dados!$AO$33,IF($E$19=8,Dados!$AS$33,0)))))))</f>
        <v>0</v>
      </c>
      <c r="CY25" s="304">
        <f>IF($E$19=2,Dados!$AF$33,IF($E$19=3,Dados!$AH$33,IF($E$19=4,Dados!$AJ$33,IF($E$19=5,Dados!$AL$33,IF($E$19=6,Dados!$AN$33,IF($E$19=7,Dados!$AP$33,IF($E$19=8,Dados!$AT$33,0)))))))</f>
        <v>0</v>
      </c>
      <c r="CZ25" s="316">
        <f>IF($E$20=2,Dados!$AE$33,IF($E$20=3,Dados!$AG$33,IF($E$20=4,Dados!$AI$33,IF($E$20=5,Dados!$AK$33,IF($E$20=6,Dados!$AM$33,IF($E$20=7,Dados!$AO$33,IF($E$20=8,Dados!$AS$33,0)))))))</f>
        <v>0</v>
      </c>
      <c r="DA25" s="304">
        <f>IF($E$20=2,Dados!$AF$33,IF($E$20=3,Dados!$AH$33,IF($E$20=4,Dados!$AJ$33,IF($E$20=5,Dados!$AL$33,IF($E$20=6,Dados!$AN$33,IF($E$20=7,Dados!$AP$33,IF($E$20=8,Dados!$AT$33,0)))))))</f>
        <v>0</v>
      </c>
      <c r="DC25" s="316">
        <f>IF($E$25=2,Dados!$AE$33,IF($E$25=3,Dados!$AG$33,IF($E$25=4,Dados!$AI$33,IF($E$25=5,Dados!$AK$33,IF($E$25=6,Dados!$AM$33,IF($E$25=7,Dados!$AO$33,IF($E$25=8,Dados!$AS$33,0)))))))</f>
        <v>0</v>
      </c>
      <c r="DD25" s="304">
        <f>IF($E$25=2,Dados!$AF$33,IF($E$25=3,Dados!$AH$33,IF($E$25=4,Dados!$AJ$33,IF($E$25=5,Dados!$AL$33,IF($E$25=6,Dados!$AN$33,IF($E$25=7,Dados!$AP$33,IF($E$25=8,Dados!$AT$33,0)))))))</f>
        <v>0</v>
      </c>
      <c r="DE25" s="316">
        <f>IF($E$26=2,Dados!$AE$33,IF($E$26=3,Dados!$AG$33,IF($E$26=4,Dados!$AI$33,IF($E$26=5,Dados!$AK$33,IF($E$26=6,Dados!$AM$33,IF($E$26=7,Dados!$AO$33,IF($E$26=8,Dados!$AS$33,0)))))))</f>
        <v>0</v>
      </c>
      <c r="DF25" s="304">
        <f>IF($E$26=2,Dados!$AF$33,IF($E$26=3,Dados!$AH$33,IF($E$26=4,Dados!$AJ$33,IF($E$26=5,Dados!$AL$33,IF($E$26=6,Dados!$AN$33,IF($E$26=7,Dados!$AP$33,IF($E$26=8,Dados!$AT$33,0)))))))</f>
        <v>0</v>
      </c>
      <c r="DG25" s="316">
        <f>IF($E$27=2,Dados!$AE$33,IF($E$27=3,Dados!$AG$33,IF($E$27=4,Dados!$AI$33,IF($E$27=5,Dados!$AK$33,IF($E$27=6,Dados!$AM$33,IF($E$27=7,Dados!$AO$33,IF($E$27=8,Dados!$AS$33,0)))))))</f>
        <v>0</v>
      </c>
      <c r="DH25" s="304">
        <f>IF($E$27=2,Dados!$AF$33,IF($E$27=3,Dados!$AH$33,IF($E$27=4,Dados!$AJ$33,IF($E$27=5,Dados!$AL$33,IF($E$27=6,Dados!$AN$33,IF($E$27=7,Dados!$AP$33,IF($E$27=8,Dados!$AT$33,0)))))))</f>
        <v>0</v>
      </c>
      <c r="DI25" s="316">
        <f>IF($E$28=2,Dados!$AE$33,IF($E$28=3,Dados!$AG$33,IF($E$28=4,Dados!$AI$33,IF($E$28=5,Dados!$AK$33,IF($E$28=6,Dados!$AM$33,IF($E$28=7,Dados!$AO$33,IF($E$28=8,Dados!$AS$33,0)))))))</f>
        <v>0</v>
      </c>
      <c r="DJ25" s="304">
        <f>IF($E$28=2,Dados!$AF$33,IF($E$28=3,Dados!$AH$33,IF($E$28=4,Dados!$AJ$33,IF($E$28=5,Dados!$AL$33,IF($E$28=6,Dados!$AN$33,IF($E$28=7,Dados!$AP$33,IF($E$28=8,Dados!$AT$33,0)))))))</f>
        <v>0</v>
      </c>
      <c r="DK25" s="316">
        <f>IF($E$29=2,Dados!$AE$33,IF($E$29=3,Dados!$AG$33,IF($E$29=4,Dados!$AI$33,IF($E$29=5,Dados!$AK$33,IF($E$29=6,Dados!$AM$33,IF($E$29=7,Dados!$AO$33,IF($E$29=8,Dados!$AS$33,0)))))))</f>
        <v>0</v>
      </c>
      <c r="DL25" s="304">
        <f>IF($E$29=2,Dados!$AF$33,IF($E$29=3,Dados!$AH$33,IF($E$29=4,Dados!$AJ$33,IF($E$29=5,Dados!$AL$33,IF($E$29=6,Dados!$AN$33,IF($E$29=7,Dados!$AP$33,IF($E$29=8,Dados!$AT$33,0)))))))</f>
        <v>0</v>
      </c>
      <c r="DN25" s="316">
        <f>IF($E$34=2,Dados!$AE$33,IF($E$34=3,Dados!$AG$33,IF($E$34=4,Dados!$AI$33,IF($E$34=5,Dados!$AK$33,IF($E$34=6,Dados!$AM$33,IF($E$34=7,Dados!$AO$33,IF($E$34=8,Dados!$AS$33,0)))))))</f>
        <v>0</v>
      </c>
      <c r="DO25" s="304">
        <f>IF($E$34=2,Dados!$AF$33,IF($E$34=3,Dados!$AH$33,IF($E$34=4,Dados!$AJ$33,IF($E$34=5,Dados!$AL$33,IF($E$34=6,Dados!$AN$33,IF($E$34=7,Dados!$AP$33,IF($E$34=8,Dados!$AT$33,0)))))))</f>
        <v>0</v>
      </c>
      <c r="DP25" s="316">
        <f>IF($E$35=2,Dados!$AE$33,IF($E$35=3,Dados!$AG$33,IF($E$35=4,Dados!$AI$33,IF($E$35=5,Dados!$AK$33,IF($E$35=6,Dados!$AM$33,IF($E$35=7,Dados!$AO$33,IF($E$35=8,Dados!$AS$33,0)))))))</f>
        <v>0</v>
      </c>
      <c r="DQ25" s="304">
        <f>IF($E$35=2,Dados!$AF$33,IF($E$35=3,Dados!$AH$33,IF($E$35=4,Dados!$AJ$33,IF($E$35=5,Dados!$AL$33,IF($E$35=6,Dados!$AN$33,IF($E$35=7,Dados!$AP$33,IF($E$35=8,Dados!$AT$33,0)))))))</f>
        <v>0</v>
      </c>
      <c r="DR25" s="316">
        <f>IF($E$36=2,Dados!$AE$33,IF($E$36=3,Dados!$AG$33,IF($E$36=4,Dados!$AI$33,IF($E$36=5,Dados!$AK$33,IF($E$36=6,Dados!$AM$33,IF($E$36=7,Dados!$AO$33,IF($E$36=8,Dados!$AS$33,0)))))))</f>
        <v>0</v>
      </c>
      <c r="DS25" s="304">
        <f>IF($E$36=2,Dados!$AF$33,IF($E$36=3,Dados!$AH$33,IF($E$36=4,Dados!$AJ$33,IF($E$36=5,Dados!$AL$33,IF($E$36=6,Dados!$AN$33,IF($E$36=7,Dados!$AP$33,IF($E$36=8,Dados!$AT$33,0)))))))</f>
        <v>0</v>
      </c>
      <c r="DT25" s="316">
        <f>IF($E$37=2,Dados!$AE$33,IF($E$37=3,Dados!$AG$33,IF($E$37=4,Dados!$AI$33,IF($E$37=5,Dados!$AK$33,IF($E$37=6,Dados!$AM$33,IF($E$37=7,Dados!$AO$33,IF($E$37=8,Dados!$AS$33,0)))))))</f>
        <v>0</v>
      </c>
      <c r="DU25" s="304">
        <f>IF($E$37=2,Dados!$AF$33,IF($E$37=3,Dados!$AH$33,IF($E$37=4,Dados!$AJ$33,IF($E$37=5,Dados!$AL$33,IF($E$37=6,Dados!$AN$33,IF($E$37=7,Dados!$AP$33,IF($E$37=8,Dados!$AT$33,0)))))))</f>
        <v>0</v>
      </c>
      <c r="DV25" s="316">
        <f>IF($E$38=2,Dados!$AE$33,IF($E$38=3,Dados!$AG$33,IF($E$38=4,Dados!$AI$33,IF($E$38=5,Dados!$AK$33,IF($E$38=6,Dados!$AM$33,IF($E$38=7,Dados!$AO$33,IF($E$38=8,Dados!$AS$33,0)))))))</f>
        <v>0</v>
      </c>
      <c r="DW25" s="304">
        <f>IF($E$38=2,Dados!$AF$33,IF($E$38=3,Dados!$AH$33,IF($E$38=4,Dados!$AJ$33,IF($E$38=5,Dados!$AL$33,IF($E$38=6,Dados!$AN$33,IF($E$38=7,Dados!$AP$33,IF($E$38=8,Dados!$AT$33,0)))))))</f>
        <v>0</v>
      </c>
      <c r="DY25" s="316">
        <f>IF($E$43=2,Dados!$AE$33,IF($E$43=3,Dados!$AG$33,IF($E$43=4,Dados!$AI$33,IF($E$43=5,Dados!$AK$33,IF($E$43=6,Dados!$AM$33,IF($E$43=7,Dados!$AO$33,IF($E$43=8,Dados!$AS$33,0)))))))</f>
        <v>0</v>
      </c>
      <c r="DZ25" s="304">
        <f>IF($E$43=2,Dados!$AF$33,IF($E$43=3,Dados!$AH$33,IF($E$43=4,Dados!$AJ$33,IF($E$43=5,Dados!$AL$33,IF($E$43=6,Dados!$AN$33,IF($E$43=7,Dados!$AP$33,IF($E$43=8,Dados!$AT$33,0)))))))</f>
        <v>0</v>
      </c>
      <c r="EA25" s="316">
        <f>IF($E$44=2,Dados!$AE$33,IF($E$44=3,Dados!$AG$33,IF($E$44=4,Dados!$AI$33,IF($E$44=5,Dados!$AK$33,IF($E$44=6,Dados!$AM$33,IF($E$44=7,Dados!$AO$33,IF($E$44=8,Dados!$AS$33,0)))))))</f>
        <v>0</v>
      </c>
      <c r="EB25" s="304">
        <f>IF($E$44=2,Dados!$AF$33,IF($E$44=3,Dados!$AH$33,IF($E$44=4,Dados!$AJ$33,IF($E$44=5,Dados!$AL$33,IF($E$44=6,Dados!$AN$33,IF($E$44=7,Dados!$AP$33,IF($E$44=8,Dados!$AT$33,0)))))))</f>
        <v>0</v>
      </c>
      <c r="EC25" s="316">
        <f>IF($E$45=2,Dados!$AE$33,IF($E$45=3,Dados!$AG$33,IF($E$45=4,Dados!$AI$33,IF($E$45=5,Dados!$AK$33,IF($E$45=6,Dados!$AM$33,IF($E$45=7,Dados!$AO$33,IF($E$45=8,Dados!$AS$33,0)))))))</f>
        <v>0</v>
      </c>
      <c r="ED25" s="304">
        <f>IF($E$45=2,Dados!$AF$33,IF($E$45=3,Dados!$AH$33,IF($E$45=4,Dados!$AJ$33,IF($E$45=5,Dados!$AL$33,IF($E$45=6,Dados!$AN$33,IF($E$45=7,Dados!$AP$33,IF($E$45=8,Dados!$AT$33,0)))))))</f>
        <v>0</v>
      </c>
      <c r="EE25" s="316">
        <f>IF($E$46=2,Dados!$AE$33,IF($E$46=3,Dados!$AG$33,IF($E$46=4,Dados!$AI$33,IF($E$46=5,Dados!$AK$33,IF($E$46=6,Dados!$AM$33,IF($E$46=7,Dados!$AO$33,IF($E$46=8,Dados!$AS$33,0)))))))</f>
        <v>0</v>
      </c>
      <c r="EF25" s="304">
        <f>IF($E$46=2,Dados!$AF$33,IF($E$46=3,Dados!$AH$33,IF($E$46=4,Dados!$AJ$33,IF($E$46=5,Dados!$AL$33,IF($E$46=6,Dados!$AN$33,IF($E$46=7,Dados!$AP$33,IF($E$46=8,Dados!$AT$33,0)))))))</f>
        <v>0</v>
      </c>
      <c r="EG25" s="316">
        <f>IF($E$47=2,Dados!$AE$33,IF($E$47=3,Dados!$AG$33,IF($E$47=4,Dados!$AI$33,IF($E$47=5,Dados!$AK$33,IF($E$47=6,Dados!$AM$33,IF($E$47=7,Dados!$AO$33,IF($E$47=8,Dados!$AS$33,0)))))))</f>
        <v>0</v>
      </c>
      <c r="EH25" s="304">
        <f>IF($E$47=2,Dados!$AF$33,IF($E$47=3,Dados!$AH$33,IF($E$47=4,Dados!$AJ$33,IF($E$47=5,Dados!$AL$33,IF($E$47=6,Dados!$AN$33,IF($E$47=7,Dados!$AP$33,IF($E$47=8,Dados!$AT$33,0)))))))</f>
        <v>0</v>
      </c>
      <c r="EJ25" s="316">
        <f>IF($E$52=2,Dados!$AE$33,IF($E$52=3,Dados!$AG$33,IF($E$52=4,Dados!$AI$33,IF($E$52=5,Dados!$AK$33,IF($E$52=6,Dados!$AM$33,IF($E$52=7,Dados!$AO$33,IF($E$52=8,Dados!$AS$33,0)))))))</f>
        <v>0</v>
      </c>
      <c r="EK25" s="304">
        <f>IF($E$52=2,Dados!$AF$33,IF($E$52=3,Dados!$AH$33,IF($E$52=4,Dados!$AJ$33,IF($E$52=5,Dados!$AL$33,IF($E$52=6,Dados!$AN$33,IF($E$52=7,Dados!$AP$33,IF($E$52=8,Dados!$AT$33,0)))))))</f>
        <v>0</v>
      </c>
      <c r="EL25" s="316">
        <f>IF($E$53=2,Dados!$AE$33,IF($E$53=3,Dados!$AG$33,IF($E$53=4,Dados!$AI$33,IF($E$53=5,Dados!$AK$33,IF($E$53=6,Dados!$AM$33,IF($E$53=7,Dados!$AO$33,IF($E$53=8,Dados!$AS$33,0)))))))</f>
        <v>0</v>
      </c>
      <c r="EM25" s="304">
        <f>IF($E$53=2,Dados!$AF$33,IF($E$53=3,Dados!$AH$33,IF($E$53=4,Dados!$AJ$33,IF($E$53=5,Dados!$AL$33,IF($E$53=6,Dados!$AN$33,IF($E$53=7,Dados!$AP$33,IF($E$53=8,Dados!$AT$33,0)))))))</f>
        <v>0</v>
      </c>
      <c r="EN25" s="316">
        <f>IF($E$54=2,Dados!$AE$33,IF($E$54=3,Dados!$AG$33,IF($E$54=4,Dados!$AI$33,IF($E$54=5,Dados!$AK$33,IF($E$54=6,Dados!$AM$33,IF($E$54=7,Dados!$AO$33,IF($E$54=8,Dados!$AS$33,0)))))))</f>
        <v>0</v>
      </c>
      <c r="EO25" s="304">
        <f>IF($E$54=2,Dados!$AF$33,IF($E$54=3,Dados!$AH$33,IF($E$54=4,Dados!$AJ$33,IF($E$54=5,Dados!$AL$33,IF($E$54=6,Dados!$AN$33,IF($E$54=7,Dados!$AP$33,IF($E$54=8,Dados!$AT$33,0)))))))</f>
        <v>0</v>
      </c>
      <c r="EP25" s="316">
        <f>IF($E$55=2,Dados!$AE$33,IF($E$55=3,Dados!$AG$33,IF($E$55=4,Dados!$AI$33,IF($E$55=5,Dados!$AK$33,IF($E$55=6,Dados!$AM$33,IF($E$55=7,Dados!$AO$33,IF($E$55=8,Dados!$AS$33,0)))))))</f>
        <v>0</v>
      </c>
      <c r="EQ25" s="304">
        <f>IF($E$55=2,Dados!$AF$33,IF($E$55=3,Dados!$AH$33,IF($E$55=4,Dados!$AJ$33,IF($E$55=5,Dados!$AL$33,IF($E$55=6,Dados!$AN$33,IF($E$55=7,Dados!$AP$33,IF($E$55=8,Dados!$AT$33,0)))))))</f>
        <v>0</v>
      </c>
      <c r="ER25" s="316">
        <f>IF($E$56=2,Dados!$AE$33,IF($E$56=3,Dados!$AG$33,IF($E$56=4,Dados!$AI$33,IF($E$56=5,Dados!$AK$33,IF($E$56=6,Dados!$AM$33,IF($E$56=7,Dados!$AO$33,IF($E$56=8,Dados!$AS$33,0)))))))</f>
        <v>0</v>
      </c>
      <c r="ES25" s="304">
        <f>IF($E$56=2,Dados!$AF$33,IF($E$56=3,Dados!$AH$33,IF($E$56=4,Dados!$AJ$33,IF($E$56=5,Dados!$AL$33,IF($E$56=6,Dados!$AN$33,IF($E$56=7,Dados!$AP$33,IF($E$56=8,Dados!$AT$33,0)))))))</f>
        <v>0</v>
      </c>
      <c r="EU25" s="316">
        <f>IF($E$61=2,Dados!$AE$33,IF($E$61=3,Dados!$AG$33,IF($E$61=4,Dados!$AI$33,IF($E$61=5,Dados!$AK$33,IF($E$61=6,Dados!$AM$33,IF($E$61=7,Dados!$AO$33,IF($E$61=8,Dados!$AS$33,0)))))))</f>
        <v>0</v>
      </c>
      <c r="EV25" s="304">
        <f>IF($E$61=2,Dados!$AF$33,IF($E$61=3,Dados!$AH$33,IF($E$61=4,Dados!$AJ$33,IF($E$61=5,Dados!$AL$33,IF($E$61=6,Dados!$AN$33,IF($E$61=7,Dados!$AP$33,IF($E$61=8,Dados!$AT$33,0)))))))</f>
        <v>0</v>
      </c>
      <c r="EW25" s="316">
        <f>IF($E$62=2,Dados!$AE$33,IF($E$62=3,Dados!$AG$33,IF($E$62=4,Dados!$AI$33,IF($E$62=5,Dados!$AK$33,IF($E$62=6,Dados!$AM$33,IF($E$62=7,Dados!$AO$33,IF($E$62=8,Dados!$AS$33,0)))))))</f>
        <v>0</v>
      </c>
      <c r="EX25" s="304">
        <f>IF($E$62=2,Dados!$AF$33,IF($E$62=3,Dados!$AH$33,IF($E$62=4,Dados!$AJ$33,IF($E$62=5,Dados!$AL$33,IF($E$62=6,Dados!$AN$33,IF($E$62=7,Dados!$AP$33,IF($E$62=8,Dados!$AT$33,0)))))))</f>
        <v>0</v>
      </c>
      <c r="EY25" s="316">
        <f>IF($E$63=2,Dados!$AE$33,IF($E$63=3,Dados!$AG$33,IF($E$63=4,Dados!$AI$33,IF($E$63=5,Dados!$AK$33,IF($E$63=6,Dados!$AM$33,IF($E$63=7,Dados!$AO$33,IF($E$63=8,Dados!$AS$33,0)))))))</f>
        <v>0</v>
      </c>
      <c r="EZ25" s="304">
        <f>IF($E$63=2,Dados!$AF$33,IF($E$63=3,Dados!$AH$33,IF($E$63=4,Dados!$AJ$33,IF($E$63=5,Dados!$AL$33,IF($E$63=6,Dados!$AN$33,IF($E$63=7,Dados!$AP$33,IF($E$63=8,Dados!$AT$33,0)))))))</f>
        <v>0</v>
      </c>
      <c r="FA25" s="316">
        <f>IF($E$64=2,Dados!$AE$33,IF($E$64=3,Dados!$AG$33,IF($E$64=4,Dados!$AI$33,IF($E$64=5,Dados!$AK$33,IF($E$64=6,Dados!$AM$33,IF($E$64=7,Dados!$AO$33,IF($E$64=8,Dados!$AS$33,0)))))))</f>
        <v>0</v>
      </c>
      <c r="FB25" s="304">
        <f>IF($E$64=2,Dados!$AF$33,IF($E$64=3,Dados!$AH$33,IF($E$64=4,Dados!$AJ$33,IF($E$64=5,Dados!$AL$33,IF($E$64=6,Dados!$AN$33,IF($E$64=7,Dados!$AP$33,IF($E$64=8,Dados!$AT$33,0)))))))</f>
        <v>0</v>
      </c>
      <c r="FC25" s="316">
        <f>IF($E$65=2,Dados!$AE$33,IF($E$65=3,Dados!$AG$33,IF($E$65=4,Dados!$AI$33,IF($E$65=5,Dados!$AK$33,IF($E$65=6,Dados!$AM$33,IF($E$65=7,Dados!$AO$33,IF($E$65=8,Dados!$AS$33,0)))))))</f>
        <v>0</v>
      </c>
      <c r="FD25" s="304">
        <f>IF($E$65=2,Dados!$AF$33,IF($E$65=3,Dados!$AH$33,IF($E$65=4,Dados!$AJ$33,IF($E$65=5,Dados!$AL$33,IF($E$65=6,Dados!$AN$33,IF($E$65=7,Dados!$AP$33,IF($E$65=8,Dados!$AT$33,0)))))))</f>
        <v>0</v>
      </c>
      <c r="FF25" s="316">
        <f>IF($E$70=2,Dados!$AE$33,IF($E$70=3,Dados!$AG$33,IF($E$70=4,Dados!$AI$33,IF($E$70=5,Dados!$AK$33,IF($E$70=6,Dados!$AM$33,IF($E$70=7,Dados!$AO$33,IF($E$70=8,Dados!$AS$33,0)))))))</f>
        <v>0</v>
      </c>
      <c r="FG25" s="304">
        <f>IF($E$70=2,Dados!$AF$33,IF($E$70=3,Dados!$AH$33,IF($E$70=4,Dados!$AJ$33,IF($E$70=5,Dados!$AL$33,IF($E$70=6,Dados!$AN$33,IF($E$70=7,Dados!$AP$33,IF($E$70=8,Dados!$AT$33,0)))))))</f>
        <v>0</v>
      </c>
      <c r="FH25" s="316">
        <f>IF($E$71=2,Dados!$AE$33,IF($E$71=3,Dados!$AG$33,IF($E$71=4,Dados!$AI$33,IF($E$71=5,Dados!$AK$33,IF($E$71=6,Dados!$AM$33,IF($E$71=7,Dados!$AO$33,IF($E$71=8,Dados!$AS$33,0)))))))</f>
        <v>0</v>
      </c>
      <c r="FI25" s="304">
        <f>IF($E$71=2,Dados!$AF$33,IF($E$71=3,Dados!$AH$33,IF($E$71=4,Dados!$AJ$33,IF($E$71=5,Dados!$AL$33,IF($E$71=6,Dados!$AN$33,IF($E$71=7,Dados!$AP$33,IF($E$71=8,Dados!$AT$33,0)))))))</f>
        <v>0</v>
      </c>
      <c r="FJ25" s="316">
        <f>IF($E$72=2,Dados!$AE$33,IF($E$72=3,Dados!$AG$33,IF($E$72=4,Dados!$AI$33,IF($E$72=5,Dados!$AK$33,IF($E$72=6,Dados!$AM$33,IF($E$72=7,Dados!$AO$33,IF($E$72=8,Dados!$AS$33,0)))))))</f>
        <v>0</v>
      </c>
      <c r="FK25" s="304">
        <f>IF($E$72=2,Dados!$AF$33,IF($E$72=3,Dados!$AH$33,IF($E$72=4,Dados!$AJ$33,IF($E$72=5,Dados!$AL$33,IF($E$72=6,Dados!$AN$33,IF($E$72=7,Dados!$AP$33,IF($E$72=8,Dados!$AT$33,0)))))))</f>
        <v>0</v>
      </c>
      <c r="FL25" s="316">
        <f>IF($E$73=2,Dados!$AE$33,IF($E$73=3,Dados!$AG$33,IF($E$73=4,Dados!$AI$33,IF($E$73=5,Dados!$AK$33,IF($E$73=6,Dados!$AM$33,IF($E$73=7,Dados!$AO$33,IF($E$73=8,Dados!$AS$33,0)))))))</f>
        <v>0</v>
      </c>
      <c r="FM25" s="304">
        <f>IF($E$73=2,Dados!$AF$33,IF($E$73=3,Dados!$AH$33,IF($E$73=4,Dados!$AJ$33,IF($E$73=5,Dados!$AL$33,IF($E$73=6,Dados!$AN$33,IF($E$73=7,Dados!$AP$33,IF($E$73=8,Dados!$AT$33,0)))))))</f>
        <v>0</v>
      </c>
      <c r="FN25" s="316">
        <f>IF($E$74=2,Dados!$AE$33,IF($E$74=3,Dados!$AG$33,IF($E$74=4,Dados!$AI$33,IF($E$74=5,Dados!$AK$33,IF($E$74=6,Dados!$AM$33,IF($E$74=7,Dados!$AO$33,IF($E$74=8,Dados!$AS$33,0)))))))</f>
        <v>0</v>
      </c>
      <c r="FO25" s="304">
        <f>IF($E$74=2,Dados!$AF$33,IF($E$74=3,Dados!$AH$33,IF($E$74=4,Dados!$AJ$33,IF($E$74=5,Dados!$AL$33,IF($E$74=6,Dados!$AN$33,IF($E$74=7,Dados!$AP$33,IF($E$74=8,Dados!$AT$33,0)))))))</f>
        <v>0</v>
      </c>
      <c r="FQ25" s="316">
        <f>IF($E$79=2,Dados!$AE$33,IF($E$79=3,Dados!$AG$33,IF($E$79=4,Dados!$AI$33,IF($E$79=5,Dados!$AK$33,IF($E$79=6,Dados!$AM$33,IF($E$79=7,Dados!$AO$33,IF($E$79=8,Dados!$AS$33,0)))))))</f>
        <v>0</v>
      </c>
      <c r="FR25" s="304">
        <f>IF($E$79=2,Dados!$AF$33,IF($E$79=3,Dados!$AH$33,IF($E$79=4,Dados!$AJ$33,IF($E$79=5,Dados!$AL$33,IF($E$79=6,Dados!$AN$33,IF($E$79=7,Dados!$AP$33,IF($E$79=8,Dados!$AT$33,0)))))))</f>
        <v>0</v>
      </c>
      <c r="FS25" s="316">
        <f>IF($E$80=2,Dados!$AE$33,IF($E$80=3,Dados!$AG$33,IF($E$80=4,Dados!$AI$33,IF($E$80=5,Dados!$AK$33,IF($E$80=6,Dados!$AM$33,IF($E$80=7,Dados!$AO$33,IF($E$80=8,Dados!$AS$33,0)))))))</f>
        <v>0</v>
      </c>
      <c r="FT25" s="304">
        <f>IF($E$80=2,Dados!$AF$33,IF($E$80=3,Dados!$AH$33,IF($E$80=4,Dados!$AJ$33,IF($E$80=5,Dados!$AL$33,IF($E$80=6,Dados!$AN$33,IF($E$80=7,Dados!$AP$33,IF($E$80=8,Dados!$AT$33,0)))))))</f>
        <v>0</v>
      </c>
      <c r="FU25" s="316">
        <f>IF($E$81=2,Dados!$AE$33,IF($E$81=3,Dados!$AG$33,IF($E$81=4,Dados!$AI$33,IF($E$81=5,Dados!$AK$33,IF($E$81=6,Dados!$AM$33,IF($E$81=7,Dados!$AO$33,IF($E$81=8,Dados!$AS$33,0)))))))</f>
        <v>0</v>
      </c>
      <c r="FV25" s="304">
        <f>IF($E$81=2,Dados!$AF$33,IF($E$81=3,Dados!$AH$33,IF($E$81=4,Dados!$AJ$33,IF($E$81=5,Dados!$AL$33,IF($E$81=6,Dados!$AN$33,IF($E$81=7,Dados!$AP$33,IF($E$81=8,Dados!$AT$33,0)))))))</f>
        <v>0</v>
      </c>
      <c r="FW25" s="316">
        <f>IF($E$82=2,Dados!$AE$33,IF($E$82=3,Dados!$AG$33,IF($E$82=4,Dados!$AI$33,IF($E$82=5,Dados!$AK$33,IF($E$82=6,Dados!$AM$33,IF($E$82=7,Dados!$AO$33,IF($E$82=8,Dados!$AS$33,0)))))))</f>
        <v>0</v>
      </c>
      <c r="FX25" s="304">
        <f>IF($E$82=2,Dados!$AF$33,IF($E$82=3,Dados!$AH$33,IF($E$82=4,Dados!$AJ$33,IF($E$82=5,Dados!$AL$33,IF($E$82=6,Dados!$AN$33,IF($E$82=7,Dados!$AP$33,IF($E$82=8,Dados!$AT$33,0)))))))</f>
        <v>0</v>
      </c>
      <c r="FY25" s="316">
        <f>IF($E$83=2,Dados!$AE$33,IF($E$83=3,Dados!$AG$33,IF($E$83=4,Dados!$AI$33,IF($E$83=5,Dados!$AK$33,IF($E$83=6,Dados!$AM$33,IF($E$83=7,Dados!$AO$33,IF($E$83=8,Dados!$AS$33,0)))))))</f>
        <v>0</v>
      </c>
      <c r="FZ25" s="304">
        <f>IF($E$83=2,Dados!$AF$33,IF($E$83=3,Dados!$AH$33,IF($E$83=4,Dados!$AJ$33,IF($E$83=5,Dados!$AL$33,IF($E$83=6,Dados!$AN$33,IF($E$83=7,Dados!$AP$33,IF($E$83=8,Dados!$AT$33,0)))))))</f>
        <v>0</v>
      </c>
      <c r="GB25" s="316">
        <f>IF($E$88=2,Dados!$AE$33,IF($E$88=3,Dados!$AG$33,IF($E$88=4,Dados!$AI$33,IF($E$88=5,Dados!$AK$33,IF($E$88=6,Dados!$AM$33,IF($E$88=7,Dados!$AO$33,IF($E$88=8,Dados!$AS$33,0)))))))</f>
        <v>0</v>
      </c>
      <c r="GC25" s="304">
        <f>IF($E$88=2,Dados!$AF$33,IF($E$88=3,Dados!$AH$33,IF($E$88=4,Dados!$AJ$33,IF($E$88=5,Dados!$AL$33,IF($E$88=6,Dados!$AN$33,IF($E$88=7,Dados!$AP$33,IF($E$88=8,Dados!$AT$33,0)))))))</f>
        <v>0</v>
      </c>
      <c r="GD25" s="316">
        <f>IF($E$89=2,Dados!$AE$33,IF($E$89=3,Dados!$AG$33,IF($E$89=4,Dados!$AI$33,IF($E$89=5,Dados!$AK$33,IF($E$89=6,Dados!$AM$33,IF($E$89=7,Dados!$AO$33,IF($E$89=8,Dados!$AS$33,0)))))))</f>
        <v>0</v>
      </c>
      <c r="GE25" s="304">
        <f>IF($E$89=2,Dados!$AF$33,IF($E$89=3,Dados!$AH$33,IF($E$89=4,Dados!$AJ$33,IF($E$89=5,Dados!$AL$33,IF($E$89=6,Dados!$AN$33,IF($E$89=7,Dados!$AP$33,IF($E$89=8,Dados!$AT$33,0)))))))</f>
        <v>0</v>
      </c>
      <c r="GF25" s="316">
        <f>IF($E$90=2,Dados!$AE$33,IF($E$90=3,Dados!$AG$33,IF($E$90=4,Dados!$AI$33,IF($E$90=5,Dados!$AK$33,IF($E$90=6,Dados!$AM$33,IF($E$90=7,Dados!$AO$33,IF($E$90=8,Dados!$AS$33,0)))))))</f>
        <v>0</v>
      </c>
      <c r="GG25" s="304">
        <f>IF($E$90=2,Dados!$AF$33,IF($E$90=3,Dados!$AH$33,IF($E$90=4,Dados!$AJ$33,IF($E$90=5,Dados!$AL$33,IF($E$90=6,Dados!$AN$33,IF($E$90=7,Dados!$AP$33,IF($E$90=8,Dados!$AT$33,0)))))))</f>
        <v>0</v>
      </c>
      <c r="GH25" s="316">
        <f>IF($E$91=2,Dados!$AE$33,IF($E$91=3,Dados!$AG$33,IF($E$91=4,Dados!$AI$33,IF($E$91=5,Dados!$AK$33,IF($E$91=6,Dados!$AM$33,IF($E$91=7,Dados!$AO$33,IF($E$91=8,Dados!$AS$33,0)))))))</f>
        <v>0</v>
      </c>
      <c r="GI25" s="304">
        <f>IF($E$91=2,Dados!$AF$33,IF($E$91=3,Dados!$AH$33,IF($E$91=4,Dados!$AJ$33,IF($E$91=5,Dados!$AL$33,IF($E$91=6,Dados!$AN$33,IF($E$91=7,Dados!$AP$33,IF($E$91=8,Dados!$AT$33,0)))))))</f>
        <v>0</v>
      </c>
      <c r="GJ25" s="316">
        <f>IF($E$92=2,Dados!$AE$33,IF($E$92=3,Dados!$AG$33,IF($E$92=4,Dados!$AI$33,IF($E$92=5,Dados!$AK$33,IF($E$92=6,Dados!$AM$33,IF($E$92=7,Dados!$AO$33,IF($E$92=8,Dados!$AS$33,0)))))))</f>
        <v>0</v>
      </c>
      <c r="GK25" s="304">
        <f>IF($E$92=2,Dados!$AF$33,IF($E$92=3,Dados!$AH$33,IF($E$92=4,Dados!$AJ$33,IF($E$92=5,Dados!$AL$33,IF($E$92=6,Dados!$AN$33,IF($E$92=7,Dados!$AP$33,IF($E$92=8,Dados!$AT$33,0)))))))</f>
        <v>0</v>
      </c>
      <c r="GM25" s="316">
        <f>IF($E$97=2,Dados!$AE$33,IF($E$97=3,Dados!$AG$33,IF($E$97=4,Dados!$AI$33,IF($E$97=5,Dados!$AK$33,IF($E$97=6,Dados!$AM$33,IF($E$97=7,Dados!$AO$33,IF($E$97=8,Dados!$AS$33,0)))))))</f>
        <v>0</v>
      </c>
      <c r="GN25" s="304">
        <f>IF($E$97=2,Dados!$AF$33,IF($E$97=3,Dados!$AH$33,IF($E$97=4,Dados!$AJ$33,IF($E$97=5,Dados!$AL$33,IF($E$97=6,Dados!$AN$33,IF($E$97=7,Dados!$AP$33,IF($E$97=8,Dados!$AT$33,0)))))))</f>
        <v>0</v>
      </c>
      <c r="GO25" s="316">
        <f>IF($E$98=2,Dados!$AE$33,IF($E$98=3,Dados!$AG$33,IF($E$98=4,Dados!$AI$33,IF($E$98=5,Dados!$AK$33,IF($E$98=6,Dados!$AM$33,IF($E$98=7,Dados!$AO$33,IF($E$98=8,Dados!$AS$33,0)))))))</f>
        <v>0</v>
      </c>
      <c r="GP25" s="304">
        <f>IF($E$98=2,Dados!$AF$33,IF($E$98=3,Dados!$AH$33,IF($E$98=4,Dados!$AJ$33,IF($E$98=5,Dados!$AL$33,IF($E$98=6,Dados!$AN$33,IF($E$98=7,Dados!$AP$33,IF($E$98=8,Dados!$AT$33,0)))))))</f>
        <v>0</v>
      </c>
      <c r="GQ25" s="316">
        <f>IF($E$99=2,Dados!$AE$33,IF($E$99=3,Dados!$AG$33,IF($E$99=4,Dados!$AI$33,IF($E$99=5,Dados!$AK$33,IF($E$99=6,Dados!$AM$33,IF($E$99=7,Dados!$AO$33,IF($E$99=8,Dados!$AS$33,0)))))))</f>
        <v>0</v>
      </c>
      <c r="GR25" s="304">
        <f>IF($E$99=2,Dados!$AF$33,IF($E$99=3,Dados!$AH$33,IF($E$99=4,Dados!$AJ$33,IF($E$99=5,Dados!$AL$33,IF($E$99=6,Dados!$AN$33,IF($E$99=7,Dados!$AP$33,IF($E$99=8,Dados!$AT$33,0)))))))</f>
        <v>0</v>
      </c>
      <c r="GS25" s="316">
        <f>IF($E$100=2,Dados!$AE$33,IF($E$100=3,Dados!$AG$33,IF($E$100=4,Dados!$AI$33,IF($E$100=5,Dados!$AK$33,IF($E$100=6,Dados!$AM$33,IF($E$100=7,Dados!$AO$33,IF($E$100=8,Dados!$AS$33,0)))))))</f>
        <v>0</v>
      </c>
      <c r="GT25" s="304">
        <f>IF($E$100=2,Dados!$AF$33,IF($E$100=3,Dados!$AH$33,IF($E$100=4,Dados!$AJ$33,IF($E$100=5,Dados!$AL$33,IF($E$100=6,Dados!$AN$33,IF($E$100=7,Dados!$AP$33,IF($E$100=8,Dados!$AT$33,0)))))))</f>
        <v>0</v>
      </c>
      <c r="GU25" s="316">
        <f>IF($E$101=2,Dados!$AE$33,IF($E$101=3,Dados!$AG$33,IF($E$101=4,Dados!$AI$33,IF($E$101=5,Dados!$AK$33,IF($E$101=6,Dados!$AM$33,IF($E$101=7,Dados!$AO$33,IF($E$101=8,Dados!$AS$33,0)))))))</f>
        <v>0</v>
      </c>
      <c r="GV25" s="304">
        <f>IF($E$101=2,Dados!$AF$33,IF($E$101=3,Dados!$AH$33,IF($E$101=4,Dados!$AJ$33,IF($E$101=5,Dados!$AL$33,IF($E$101=6,Dados!$AN$33,IF($E$101=7,Dados!$AP$33,IF($E$101=8,Dados!$AT$33,0)))))))</f>
        <v>0</v>
      </c>
      <c r="GX25" s="316">
        <f>IF($E$106=2,Dados!$AE$33,IF($E$106=3,Dados!$AG$33,IF($E$106=4,Dados!$AI$33,IF($E$106=5,Dados!$AK$33,IF($E$106=6,Dados!$AM$33,IF($E$106=7,Dados!$AO$33,IF($E$106=8,Dados!$AS$33,0)))))))</f>
        <v>0</v>
      </c>
      <c r="GY25" s="304">
        <f>IF($E$106=2,Dados!$AF$33,IF($E$106=3,Dados!$AH$33,IF($E$106=4,Dados!$AJ$33,IF($E$106=5,Dados!$AL$33,IF($E$106=6,Dados!$AN$33,IF($E$106=7,Dados!$AP$33,IF($E$106=8,Dados!$AT$33,0)))))))</f>
        <v>0</v>
      </c>
      <c r="GZ25" s="316">
        <f>IF($E$107=2,Dados!$AE$33,IF($E$107=3,Dados!$AG$33,IF($E$107=4,Dados!$AI$33,IF($E$107=5,Dados!$AK$33,IF($E$107=6,Dados!$AM$33,IF($E$107=7,Dados!$AO$33,IF($E$107=8,Dados!$AS$33,0)))))))</f>
        <v>0</v>
      </c>
      <c r="HA25" s="304">
        <f>IF($E$107=2,Dados!$AF$33,IF($E$107=3,Dados!$AH$33,IF($E$107=4,Dados!$AJ$33,IF($E$107=5,Dados!$AL$33,IF($E$107=6,Dados!$AN$33,IF($E$107=7,Dados!$AP$33,IF($E$107=8,Dados!$AT$33,0)))))))</f>
        <v>0</v>
      </c>
      <c r="HB25" s="316">
        <f>IF($E$108=2,Dados!$AE$33,IF($E$108=3,Dados!$AG$33,IF($E$108=4,Dados!$AI$33,IF($E$108=5,Dados!$AK$33,IF($E$108=6,Dados!$AM$33,IF($E$108=7,Dados!$AO$33,IF($E$108=8,Dados!$AS$33,0)))))))</f>
        <v>0</v>
      </c>
      <c r="HC25" s="304">
        <f>IF($E$108=2,Dados!$AF$33,IF($E$108=3,Dados!$AH$33,IF($E$108=4,Dados!$AJ$33,IF($E$108=5,Dados!$AL$33,IF($E$108=6,Dados!$AN$33,IF($E$108=7,Dados!$AP$33,IF($E$108=8,Dados!$AT$33,0)))))))</f>
        <v>0</v>
      </c>
      <c r="HD25" s="316">
        <f>IF($E$109=2,Dados!$AE$33,IF($E$109=3,Dados!$AG$33,IF($E$109=4,Dados!$AI$33,IF($E$109=5,Dados!$AK$33,IF($E$109=6,Dados!$AM$33,IF($E$109=7,Dados!$AO$33,IF($E$109=8,Dados!$AS$33,0)))))))</f>
        <v>0</v>
      </c>
      <c r="HE25" s="304">
        <f>IF($E$109=2,Dados!$AF$33,IF($E$109=3,Dados!$AH$33,IF($E$109=4,Dados!$AJ$33,IF($E$109=5,Dados!$AL$33,IF($E$109=6,Dados!$AN$33,IF($E$109=7,Dados!$AP$33,IF($E$109=8,Dados!$AT$33,0)))))))</f>
        <v>0</v>
      </c>
      <c r="HF25" s="316">
        <f>IF($E$110=2,Dados!$AE$33,IF($E$110=3,Dados!$AG$33,IF($E$110=4,Dados!$AI$33,IF($E$110=5,Dados!$AK$33,IF($E$110=6,Dados!$AM$33,IF($E$110=7,Dados!$AO$33,IF($E$110=8,Dados!$AS$33,0)))))))</f>
        <v>0</v>
      </c>
      <c r="HG25" s="304">
        <f>IF($E$110=2,Dados!$AF$33,IF($E$110=3,Dados!$AH$33,IF($E$110=4,Dados!$AJ$33,IF($E$110=5,Dados!$AL$33,IF($E$110=6,Dados!$AN$33,IF($E$110=7,Dados!$AP$33,IF($E$110=8,Dados!$AT$33,0)))))))</f>
        <v>0</v>
      </c>
    </row>
    <row r="26" spans="3:215" ht="15.75" customHeight="1" x14ac:dyDescent="0.2">
      <c r="C26" s="156">
        <f>IF(R26=1,0,S26)</f>
        <v>0</v>
      </c>
      <c r="D26" s="2721"/>
      <c r="E26" s="180">
        <v>5</v>
      </c>
      <c r="F26" s="2718">
        <v>9</v>
      </c>
      <c r="G26" s="2719"/>
      <c r="H26" s="2295" t="s">
        <v>1435</v>
      </c>
      <c r="I26" s="229">
        <v>3</v>
      </c>
      <c r="J26" s="314">
        <v>1000</v>
      </c>
      <c r="K26" s="157">
        <v>115</v>
      </c>
      <c r="L26" s="305">
        <v>12</v>
      </c>
      <c r="M26" s="127">
        <f>IF(I26=1,K26,IF(I26=2,K26/J26,IF(I26=3,K26*L26,0)))</f>
        <v>1380</v>
      </c>
      <c r="N26" s="3">
        <v>23</v>
      </c>
      <c r="O26" s="30">
        <v>1</v>
      </c>
      <c r="P26" s="837">
        <f>IF(N26=1,0,VLOOKUP(N26,Rebanho!$AN$45:$AV$72,4)*O26)</f>
        <v>3116.864924444445</v>
      </c>
      <c r="Q26" s="838">
        <f>VLOOKUP(N26,Rebanho!$AN$45:$AV$72,7)*O26</f>
        <v>1142585.2620207409</v>
      </c>
      <c r="R26" s="3">
        <v>1</v>
      </c>
      <c r="S26" s="29"/>
      <c r="T26" s="102">
        <f>VLOOKUP(R26,'Mão-de-obra'!$CJ$10:$CL$29,3)</f>
        <v>0</v>
      </c>
      <c r="U26" s="102">
        <f>T26*S26</f>
        <v>0</v>
      </c>
      <c r="V26" s="127">
        <f>IF(I26=1,M26*P26,IF(I26=2,M26*Q26*L26,IF(I26=3,M26,0)))</f>
        <v>1380</v>
      </c>
      <c r="W26" s="129">
        <f>U26+V26</f>
        <v>1380</v>
      </c>
      <c r="X26" s="93">
        <v>1</v>
      </c>
      <c r="Y26" s="93">
        <v>1</v>
      </c>
      <c r="Z26" s="127">
        <f t="shared" ref="Z26:Z29" si="8">IF(P26=0,0,((W26/P26+U26/P26)*O26))</f>
        <v>0.44275258423204639</v>
      </c>
      <c r="AO26" s="437"/>
      <c r="AP26" s="437"/>
      <c r="AQ26" s="437"/>
      <c r="AR26" s="437"/>
      <c r="AW26" s="3" t="s">
        <v>466</v>
      </c>
      <c r="AX26" s="94">
        <f>IF($E25=3,$V25,0)</f>
        <v>0</v>
      </c>
      <c r="AY26" s="94">
        <f>IF($E26=3,$V26,0)</f>
        <v>0</v>
      </c>
      <c r="AZ26" s="94">
        <f>IF($E27=3,$V27,0)</f>
        <v>0</v>
      </c>
      <c r="BA26" s="94">
        <f>IF($E28=3,$V28,0)</f>
        <v>0</v>
      </c>
      <c r="BB26" s="94">
        <f>IF($E29=3,$V29,0)</f>
        <v>0</v>
      </c>
      <c r="BC26" s="200">
        <f t="shared" si="7"/>
        <v>0</v>
      </c>
      <c r="CF26" s="93">
        <v>21</v>
      </c>
      <c r="CG26" s="316">
        <f>IF($E$7=2,Dados!$AE$34,IF($E$7=3,Dados!$AG$34,IF($E$7=4,Dados!$AI$34,IF($E$7=5,Dados!$AK$34,IF($E$7=6,Dados!$AM$34,IF($E$7=7,Dados!$AO$34,IF($E$7=8,Dados!$AS$34,0)))))))</f>
        <v>0</v>
      </c>
      <c r="CH26" s="304">
        <f>IF($E$7=2,Dados!$AF$34,IF($E$7=3,Dados!$AH$34,IF($E$7=4,Dados!$AJ$34,IF($E$7=5,Dados!$AL$34,IF($E$7=6,Dados!$AN$34,IF($E$7=7,Dados!$AP$34,IF($E$7=8,Dados!$AT$34,0)))))))</f>
        <v>0</v>
      </c>
      <c r="CI26" s="316">
        <f>IF($E$8=2,Dados!$AE$34,IF($E$8=3,Dados!$AG$34,IF($E$8=4,Dados!$AI$34,IF($E$8=5,Dados!$AK$34,IF($E$8=6,Dados!$AM$34,IF($E$8=7,Dados!$AO$34,IF($E$8=8,Dados!$AS$34,0)))))))</f>
        <v>0</v>
      </c>
      <c r="CJ26" s="304">
        <f>IF($E$8=2,Dados!$AF$34,IF($E$8=3,Dados!$AH$34,IF($E$8=4,Dados!$AJ$34,IF($E$8=5,Dados!$AL$34,IF($E$8=6,Dados!$AN$34,IF($E$8=7,Dados!$AP$34,IF($E$8=8,Dados!$AT$34,0)))))))</f>
        <v>0</v>
      </c>
      <c r="CK26" s="316">
        <f>IF($E$9=2,Dados!$AE$34,IF($E$9=3,Dados!$AG$34,IF($E$9=4,Dados!$AI$34,IF($E$9=5,Dados!$AK$34,IF($E$9=6,Dados!$AM$34,IF($E$9=7,Dados!$AO$34,IF($E$9=8,Dados!$AS$34,0)))))))</f>
        <v>0</v>
      </c>
      <c r="CL26" s="304">
        <f>IF($E$9=2,Dados!$AF$34,IF($E$9=3,Dados!$AH$34,IF($E$9=4,Dados!$AJ$34,IF($E$9=5,Dados!$AL$34,IF($E$9=6,Dados!$AN$34,IF($E$9=7,Dados!$AP$34,IF($E$9=8,Dados!$AT$34,0)))))))</f>
        <v>0</v>
      </c>
      <c r="CM26" s="316">
        <f>IF($E$10=2,Dados!$AE$34,IF($E$10=3,Dados!$AG$34,IF($E$10=4,Dados!$AI$34,IF($E$10=5,Dados!$AK$34,IF($E$10=6,Dados!$AM$34,IF($E$10=7,Dados!$AO$34,IF($E$10=8,Dados!$AS$34,0)))))))</f>
        <v>0</v>
      </c>
      <c r="CN26" s="304">
        <f>IF($E$10=2,Dados!$AF$34,IF($E$10=3,Dados!$AH$34,IF($E$10=4,Dados!$AJ$34,IF($E$10=5,Dados!$AL$34,IF($E$10=6,Dados!$AN$34,IF($E$10=7,Dados!$AP$34,IF($E$10=8,Dados!$AT$34,0)))))))</f>
        <v>0</v>
      </c>
      <c r="CO26" s="316">
        <f>IF($E$11=2,Dados!$AE$34,IF($E$11=3,Dados!$AG$34,IF($E$11=4,Dados!$AI$34,IF($E$11=5,Dados!$AK$34,IF($E$11=6,Dados!$AM$34,IF($E$11=7,Dados!$AO$34,IF($E$11=8,Dados!$AS$34,0)))))))</f>
        <v>0</v>
      </c>
      <c r="CP26" s="304">
        <f>IF($E$11=2,Dados!$AF$34,IF($E$11=3,Dados!$AH$34,IF($E$11=4,Dados!$AJ$34,IF($E$11=5,Dados!$AL$34,IF($E$11=6,Dados!$AN$34,IF($E$11=7,Dados!$AP$34,IF($E$11=8,Dados!$AT$34,0)))))))</f>
        <v>0</v>
      </c>
      <c r="CR26" s="316">
        <f>IF($E$16=2,Dados!$AE$34,IF($E$16=3,Dados!$AG$34,IF($E$16=4,Dados!$AI$34,IF($E$16=5,Dados!$AK$34,IF($E$16=6,Dados!$AM$34,IF($E$16=7,Dados!$AO$34,IF($E$16=8,Dados!$AS$34,0)))))))</f>
        <v>0</v>
      </c>
      <c r="CS26" s="304">
        <f>IF($E$16=2,Dados!$AF$34,IF($E$16=3,Dados!$AH$34,IF($E$16=4,Dados!$AJ$34,IF($E$16=5,Dados!$AL$34,IF($E$16=6,Dados!$AN$34,IF($E$16=7,Dados!$AP$34,IF($E$16=8,Dados!$AT$34,0)))))))</f>
        <v>0</v>
      </c>
      <c r="CT26" s="316">
        <f>IF($E$17=2,Dados!$AE$34,IF($E$17=3,Dados!$AG$34,IF($E$17=4,Dados!$AI$34,IF($E$17=5,Dados!$AK$34,IF($E$17=6,Dados!$AM$34,IF($E$17=7,Dados!$AO$34,IF($E$17=8,Dados!$AS$34,0)))))))</f>
        <v>0</v>
      </c>
      <c r="CU26" s="304">
        <f>IF($E$17=2,Dados!$AF$34,IF($E$17=3,Dados!$AH$34,IF($E$17=4,Dados!$AJ$34,IF($E$17=5,Dados!$AL$34,IF($E$17=6,Dados!$AN$34,IF($E$17=7,Dados!$AP$34,IF($E$17=8,Dados!$AT$34,0)))))))</f>
        <v>0</v>
      </c>
      <c r="CV26" s="316">
        <f>IF($E$18=2,Dados!$AE$34,IF($E$18=3,Dados!$AG$34,IF($E$18=4,Dados!$AI$34,IF($E$18=5,Dados!$AK$34,IF($E$18=6,Dados!$AM$34,IF($E$18=7,Dados!$AO$34,IF($E$18=8,Dados!$AS$34,0)))))))</f>
        <v>0</v>
      </c>
      <c r="CW26" s="304">
        <f>IF($E$18=2,Dados!$AF$34,IF($E$18=3,Dados!$AH$34,IF($E$18=4,Dados!$AJ$34,IF($E$18=5,Dados!$AL$34,IF($E$18=6,Dados!$AN$34,IF($E$18=7,Dados!$AP$34,IF($E$18=8,Dados!$AT$34,0)))))))</f>
        <v>0</v>
      </c>
      <c r="CX26" s="316">
        <f>IF($E$19=2,Dados!$AE$34,IF($E$19=3,Dados!$AG$34,IF($E$19=4,Dados!$AI$34,IF($E$19=5,Dados!$AK$34,IF($E$19=6,Dados!$AM$34,IF($E$19=7,Dados!$AO$34,IF($E$19=8,Dados!$AS$34,0)))))))</f>
        <v>0</v>
      </c>
      <c r="CY26" s="304">
        <f>IF($E$19=2,Dados!$AF$34,IF($E$19=3,Dados!$AH$34,IF($E$19=4,Dados!$AJ$34,IF($E$19=5,Dados!$AL$34,IF($E$19=6,Dados!$AN$34,IF($E$19=7,Dados!$AP$34,IF($E$19=8,Dados!$AT$34,0)))))))</f>
        <v>0</v>
      </c>
      <c r="CZ26" s="316">
        <f>IF($E$20=2,Dados!$AE$34,IF($E$20=3,Dados!$AG$34,IF($E$20=4,Dados!$AI$34,IF($E$20=5,Dados!$AK$34,IF($E$20=6,Dados!$AM$34,IF($E$20=7,Dados!$AO$34,IF($E$20=8,Dados!$AS$34,0)))))))</f>
        <v>0</v>
      </c>
      <c r="DA26" s="304">
        <f>IF($E$20=2,Dados!$AF$34,IF($E$20=3,Dados!$AH$34,IF($E$20=4,Dados!$AJ$34,IF($E$20=5,Dados!$AL$34,IF($E$20=6,Dados!$AN$34,IF($E$20=7,Dados!$AP$34,IF($E$20=8,Dados!$AT$34,0)))))))</f>
        <v>0</v>
      </c>
      <c r="DC26" s="316">
        <f>IF($E$25=2,Dados!$AE$34,IF($E$25=3,Dados!$AG$34,IF($E$25=4,Dados!$AI$34,IF($E$25=5,Dados!$AK$34,IF($E$25=6,Dados!$AM$34,IF($E$25=7,Dados!$AO$34,IF($E$25=8,Dados!$AS$34,0)))))))</f>
        <v>0</v>
      </c>
      <c r="DD26" s="304">
        <f>IF($E$25=2,Dados!$AF$34,IF($E$25=3,Dados!$AH$34,IF($E$25=4,Dados!$AJ$34,IF($E$25=5,Dados!$AL$34,IF($E$25=6,Dados!$AN$34,IF($E$25=7,Dados!$AP$34,IF($E$25=8,Dados!$AT$34,0)))))))</f>
        <v>0</v>
      </c>
      <c r="DE26" s="316">
        <f>IF($E$26=2,Dados!$AE$34,IF($E$26=3,Dados!$AG$34,IF($E$26=4,Dados!$AI$34,IF($E$26=5,Dados!$AK$34,IF($E$26=6,Dados!$AM$34,IF($E$26=7,Dados!$AO$34,IF($E$26=8,Dados!$AS$34,0)))))))</f>
        <v>0</v>
      </c>
      <c r="DF26" s="304">
        <f>IF($E$26=2,Dados!$AF$34,IF($E$26=3,Dados!$AH$34,IF($E$26=4,Dados!$AJ$34,IF($E$26=5,Dados!$AL$34,IF($E$26=6,Dados!$AN$34,IF($E$26=7,Dados!$AP$34,IF($E$26=8,Dados!$AT$34,0)))))))</f>
        <v>0</v>
      </c>
      <c r="DG26" s="316">
        <f>IF($E$27=2,Dados!$AE$34,IF($E$27=3,Dados!$AG$34,IF($E$27=4,Dados!$AI$34,IF($E$27=5,Dados!$AK$34,IF($E$27=6,Dados!$AM$34,IF($E$27=7,Dados!$AO$34,IF($E$27=8,Dados!$AS$34,0)))))))</f>
        <v>0</v>
      </c>
      <c r="DH26" s="304">
        <f>IF($E$27=2,Dados!$AF$34,IF($E$27=3,Dados!$AH$34,IF($E$27=4,Dados!$AJ$34,IF($E$27=5,Dados!$AL$34,IF($E$27=6,Dados!$AN$34,IF($E$27=7,Dados!$AP$34,IF($E$27=8,Dados!$AT$34,0)))))))</f>
        <v>0</v>
      </c>
      <c r="DI26" s="316">
        <f>IF($E$28=2,Dados!$AE$34,IF($E$28=3,Dados!$AG$34,IF($E$28=4,Dados!$AI$34,IF($E$28=5,Dados!$AK$34,IF($E$28=6,Dados!$AM$34,IF($E$28=7,Dados!$AO$34,IF($E$28=8,Dados!$AS$34,0)))))))</f>
        <v>0</v>
      </c>
      <c r="DJ26" s="304">
        <f>IF($E$28=2,Dados!$AF$34,IF($E$28=3,Dados!$AH$34,IF($E$28=4,Dados!$AJ$34,IF($E$28=5,Dados!$AL$34,IF($E$28=6,Dados!$AN$34,IF($E$28=7,Dados!$AP$34,IF($E$28=8,Dados!$AT$34,0)))))))</f>
        <v>0</v>
      </c>
      <c r="DK26" s="316">
        <f>IF($E$29=2,Dados!$AE$34,IF($E$29=3,Dados!$AG$34,IF($E$29=4,Dados!$AI$34,IF($E$29=5,Dados!$AK$34,IF($E$29=6,Dados!$AM$34,IF($E$29=7,Dados!$AO$34,IF($E$29=8,Dados!$AS$34,0)))))))</f>
        <v>0</v>
      </c>
      <c r="DL26" s="304">
        <f>IF($E$29=2,Dados!$AF$34,IF($E$29=3,Dados!$AH$34,IF($E$29=4,Dados!$AJ$34,IF($E$29=5,Dados!$AL$34,IF($E$29=6,Dados!$AN$34,IF($E$29=7,Dados!$AP$34,IF($E$29=8,Dados!$AT$34,0)))))))</f>
        <v>0</v>
      </c>
      <c r="DN26" s="316">
        <f>IF($E$34=2,Dados!$AE$34,IF($E$34=3,Dados!$AG$34,IF($E$34=4,Dados!$AI$34,IF($E$34=5,Dados!$AK$34,IF($E$34=6,Dados!$AM$34,IF($E$34=7,Dados!$AO$34,IF($E$34=8,Dados!$AS$34,0)))))))</f>
        <v>0</v>
      </c>
      <c r="DO26" s="304">
        <f>IF($E$34=2,Dados!$AF$34,IF($E$34=3,Dados!$AH$34,IF($E$34=4,Dados!$AJ$34,IF($E$34=5,Dados!$AL$34,IF($E$34=6,Dados!$AN$34,IF($E$34=7,Dados!$AP$34,IF($E$34=8,Dados!$AT$34,0)))))))</f>
        <v>0</v>
      </c>
      <c r="DP26" s="316">
        <f>IF($E$35=2,Dados!$AE$34,IF($E$35=3,Dados!$AG$34,IF($E$35=4,Dados!$AI$34,IF($E$35=5,Dados!$AK$34,IF($E$35=6,Dados!$AM$34,IF($E$35=7,Dados!$AO$34,IF($E$35=8,Dados!$AS$34,0)))))))</f>
        <v>0</v>
      </c>
      <c r="DQ26" s="304">
        <f>IF($E$35=2,Dados!$AF$34,IF($E$35=3,Dados!$AH$34,IF($E$35=4,Dados!$AJ$34,IF($E$35=5,Dados!$AL$34,IF($E$35=6,Dados!$AN$34,IF($E$35=7,Dados!$AP$34,IF($E$35=8,Dados!$AT$34,0)))))))</f>
        <v>0</v>
      </c>
      <c r="DR26" s="316">
        <f>IF($E$36=2,Dados!$AE$34,IF($E$36=3,Dados!$AG$34,IF($E$36=4,Dados!$AI$34,IF($E$36=5,Dados!$AK$34,IF($E$36=6,Dados!$AM$34,IF($E$36=7,Dados!$AO$34,IF($E$36=8,Dados!$AS$34,0)))))))</f>
        <v>0</v>
      </c>
      <c r="DS26" s="304">
        <f>IF($E$36=2,Dados!$AF$34,IF($E$36=3,Dados!$AH$34,IF($E$36=4,Dados!$AJ$34,IF($E$36=5,Dados!$AL$34,IF($E$36=6,Dados!$AN$34,IF($E$36=7,Dados!$AP$34,IF($E$36=8,Dados!$AT$34,0)))))))</f>
        <v>0</v>
      </c>
      <c r="DT26" s="316">
        <f>IF($E$37=2,Dados!$AE$34,IF($E$37=3,Dados!$AG$34,IF($E$37=4,Dados!$AI$34,IF($E$37=5,Dados!$AK$34,IF($E$37=6,Dados!$AM$34,IF($E$37=7,Dados!$AO$34,IF($E$37=8,Dados!$AS$34,0)))))))</f>
        <v>0</v>
      </c>
      <c r="DU26" s="304">
        <f>IF($E$37=2,Dados!$AF$34,IF($E$37=3,Dados!$AH$34,IF($E$37=4,Dados!$AJ$34,IF($E$37=5,Dados!$AL$34,IF($E$37=6,Dados!$AN$34,IF($E$37=7,Dados!$AP$34,IF($E$37=8,Dados!$AT$34,0)))))))</f>
        <v>0</v>
      </c>
      <c r="DV26" s="316">
        <f>IF($E$38=2,Dados!$AE$34,IF($E$38=3,Dados!$AG$34,IF($E$38=4,Dados!$AI$34,IF($E$38=5,Dados!$AK$34,IF($E$38=6,Dados!$AM$34,IF($E$38=7,Dados!$AO$34,IF($E$38=8,Dados!$AS$34,0)))))))</f>
        <v>0</v>
      </c>
      <c r="DW26" s="304">
        <f>IF($E$38=2,Dados!$AF$34,IF($E$38=3,Dados!$AH$34,IF($E$38=4,Dados!$AJ$34,IF($E$38=5,Dados!$AL$34,IF($E$38=6,Dados!$AN$34,IF($E$38=7,Dados!$AP$34,IF($E$38=8,Dados!$AT$34,0)))))))</f>
        <v>0</v>
      </c>
      <c r="DY26" s="316">
        <f>IF($E$43=2,Dados!$AE$34,IF($E$43=3,Dados!$AG$34,IF($E$43=4,Dados!$AI$34,IF($E$43=5,Dados!$AK$34,IF($E$43=6,Dados!$AM$34,IF($E$43=7,Dados!$AO$34,IF($E$43=8,Dados!$AS$34,0)))))))</f>
        <v>0</v>
      </c>
      <c r="DZ26" s="304">
        <f>IF($E$43=2,Dados!$AF$34,IF($E$43=3,Dados!$AH$34,IF($E$43=4,Dados!$AJ$34,IF($E$43=5,Dados!$AL$34,IF($E$43=6,Dados!$AN$34,IF($E$43=7,Dados!$AP$34,IF($E$43=8,Dados!$AT$34,0)))))))</f>
        <v>0</v>
      </c>
      <c r="EA26" s="316">
        <f>IF($E$44=2,Dados!$AE$34,IF($E$44=3,Dados!$AG$34,IF($E$44=4,Dados!$AI$34,IF($E$44=5,Dados!$AK$34,IF($E$44=6,Dados!$AM$34,IF($E$44=7,Dados!$AO$34,IF($E$44=8,Dados!$AS$34,0)))))))</f>
        <v>0</v>
      </c>
      <c r="EB26" s="304">
        <f>IF($E$44=2,Dados!$AF$34,IF($E$44=3,Dados!$AH$34,IF($E$44=4,Dados!$AJ$34,IF($E$44=5,Dados!$AL$34,IF($E$44=6,Dados!$AN$34,IF($E$44=7,Dados!$AP$34,IF($E$44=8,Dados!$AT$34,0)))))))</f>
        <v>0</v>
      </c>
      <c r="EC26" s="316">
        <f>IF($E$45=2,Dados!$AE$34,IF($E$45=3,Dados!$AG$34,IF($E$45=4,Dados!$AI$34,IF($E$45=5,Dados!$AK$34,IF($E$45=6,Dados!$AM$34,IF($E$45=7,Dados!$AO$34,IF($E$45=8,Dados!$AS$34,0)))))))</f>
        <v>0</v>
      </c>
      <c r="ED26" s="304">
        <f>IF($E$45=2,Dados!$AF$34,IF($E$45=3,Dados!$AH$34,IF($E$45=4,Dados!$AJ$34,IF($E$45=5,Dados!$AL$34,IF($E$45=6,Dados!$AN$34,IF($E$45=7,Dados!$AP$34,IF($E$45=8,Dados!$AT$34,0)))))))</f>
        <v>0</v>
      </c>
      <c r="EE26" s="316">
        <f>IF($E$46=2,Dados!$AE$34,IF($E$46=3,Dados!$AG$34,IF($E$46=4,Dados!$AI$34,IF($E$46=5,Dados!$AK$34,IF($E$46=6,Dados!$AM$34,IF($E$46=7,Dados!$AO$34,IF($E$46=8,Dados!$AS$34,0)))))))</f>
        <v>0</v>
      </c>
      <c r="EF26" s="304">
        <f>IF($E$46=2,Dados!$AF$34,IF($E$46=3,Dados!$AH$34,IF($E$46=4,Dados!$AJ$34,IF($E$46=5,Dados!$AL$34,IF($E$46=6,Dados!$AN$34,IF($E$46=7,Dados!$AP$34,IF($E$46=8,Dados!$AT$34,0)))))))</f>
        <v>0</v>
      </c>
      <c r="EG26" s="316">
        <f>IF($E$47=2,Dados!$AE$34,IF($E$47=3,Dados!$AG$34,IF($E$47=4,Dados!$AI$34,IF($E$47=5,Dados!$AK$34,IF($E$47=6,Dados!$AM$34,IF($E$47=7,Dados!$AO$34,IF($E$47=8,Dados!$AS$34,0)))))))</f>
        <v>0</v>
      </c>
      <c r="EH26" s="304">
        <f>IF($E$47=2,Dados!$AF$34,IF($E$47=3,Dados!$AH$34,IF($E$47=4,Dados!$AJ$34,IF($E$47=5,Dados!$AL$34,IF($E$47=6,Dados!$AN$34,IF($E$47=7,Dados!$AP$34,IF($E$47=8,Dados!$AT$34,0)))))))</f>
        <v>0</v>
      </c>
      <c r="EJ26" s="316">
        <f>IF($E$52=2,Dados!$AE$34,IF($E$52=3,Dados!$AG$34,IF($E$52=4,Dados!$AI$34,IF($E$52=5,Dados!$AK$34,IF($E$52=6,Dados!$AM$34,IF($E$52=7,Dados!$AO$34,IF($E$52=8,Dados!$AS$34,0)))))))</f>
        <v>0</v>
      </c>
      <c r="EK26" s="304">
        <f>IF($E$52=2,Dados!$AF$34,IF($E$52=3,Dados!$AH$34,IF($E$52=4,Dados!$AJ$34,IF($E$52=5,Dados!$AL$34,IF($E$52=6,Dados!$AN$34,IF($E$52=7,Dados!$AP$34,IF($E$52=8,Dados!$AT$34,0)))))))</f>
        <v>0</v>
      </c>
      <c r="EL26" s="316">
        <f>IF($E$53=2,Dados!$AE$34,IF($E$53=3,Dados!$AG$34,IF($E$53=4,Dados!$AI$34,IF($E$53=5,Dados!$AK$34,IF($E$53=6,Dados!$AM$34,IF($E$53=7,Dados!$AO$34,IF($E$53=8,Dados!$AS$34,0)))))))</f>
        <v>0</v>
      </c>
      <c r="EM26" s="304">
        <f>IF($E$53=2,Dados!$AF$34,IF($E$53=3,Dados!$AH$34,IF($E$53=4,Dados!$AJ$34,IF($E$53=5,Dados!$AL$34,IF($E$53=6,Dados!$AN$34,IF($E$53=7,Dados!$AP$34,IF($E$53=8,Dados!$AT$34,0)))))))</f>
        <v>0</v>
      </c>
      <c r="EN26" s="316">
        <f>IF($E$54=2,Dados!$AE$34,IF($E$54=3,Dados!$AG$34,IF($E$54=4,Dados!$AI$34,IF($E$54=5,Dados!$AK$34,IF($E$54=6,Dados!$AM$34,IF($E$54=7,Dados!$AO$34,IF($E$54=8,Dados!$AS$34,0)))))))</f>
        <v>0</v>
      </c>
      <c r="EO26" s="304">
        <f>IF($E$54=2,Dados!$AF$34,IF($E$54=3,Dados!$AH$34,IF($E$54=4,Dados!$AJ$34,IF($E$54=5,Dados!$AL$34,IF($E$54=6,Dados!$AN$34,IF($E$54=7,Dados!$AP$34,IF($E$54=8,Dados!$AT$34,0)))))))</f>
        <v>0</v>
      </c>
      <c r="EP26" s="316">
        <f>IF($E$55=2,Dados!$AE$34,IF($E$55=3,Dados!$AG$34,IF($E$55=4,Dados!$AI$34,IF($E$55=5,Dados!$AK$34,IF($E$55=6,Dados!$AM$34,IF($E$55=7,Dados!$AO$34,IF($E$55=8,Dados!$AS$34,0)))))))</f>
        <v>0</v>
      </c>
      <c r="EQ26" s="304">
        <f>IF($E$55=2,Dados!$AF$34,IF($E$55=3,Dados!$AH$34,IF($E$55=4,Dados!$AJ$34,IF($E$55=5,Dados!$AL$34,IF($E$55=6,Dados!$AN$34,IF($E$55=7,Dados!$AP$34,IF($E$55=8,Dados!$AT$34,0)))))))</f>
        <v>0</v>
      </c>
      <c r="ER26" s="316">
        <f>IF($E$56=2,Dados!$AE$34,IF($E$56=3,Dados!$AG$34,IF($E$56=4,Dados!$AI$34,IF($E$56=5,Dados!$AK$34,IF($E$56=6,Dados!$AM$34,IF($E$56=7,Dados!$AO$34,IF($E$56=8,Dados!$AS$34,0)))))))</f>
        <v>0</v>
      </c>
      <c r="ES26" s="304">
        <f>IF($E$56=2,Dados!$AF$34,IF($E$56=3,Dados!$AH$34,IF($E$56=4,Dados!$AJ$34,IF($E$56=5,Dados!$AL$34,IF($E$56=6,Dados!$AN$34,IF($E$56=7,Dados!$AP$34,IF($E$56=8,Dados!$AT$34,0)))))))</f>
        <v>0</v>
      </c>
      <c r="EU26" s="316">
        <f>IF($E$61=2,Dados!$AE$34,IF($E$61=3,Dados!$AG$34,IF($E$61=4,Dados!$AI$34,IF($E$61=5,Dados!$AK$34,IF($E$61=6,Dados!$AM$34,IF($E$61=7,Dados!$AO$34,IF($E$61=8,Dados!$AS$34,0)))))))</f>
        <v>0</v>
      </c>
      <c r="EV26" s="304">
        <f>IF($E$61=2,Dados!$AF$34,IF($E$61=3,Dados!$AH$34,IF($E$61=4,Dados!$AJ$34,IF($E$61=5,Dados!$AL$34,IF($E$61=6,Dados!$AN$34,IF($E$61=7,Dados!$AP$34,IF($E$61=8,Dados!$AT$34,0)))))))</f>
        <v>0</v>
      </c>
      <c r="EW26" s="316">
        <f>IF($E$62=2,Dados!$AE$34,IF($E$62=3,Dados!$AG$34,IF($E$62=4,Dados!$AI$34,IF($E$62=5,Dados!$AK$34,IF($E$62=6,Dados!$AM$34,IF($E$62=7,Dados!$AO$34,IF($E$62=8,Dados!$AS$34,0)))))))</f>
        <v>0</v>
      </c>
      <c r="EX26" s="304">
        <f>IF($E$62=2,Dados!$AF$34,IF($E$62=3,Dados!$AH$34,IF($E$62=4,Dados!$AJ$34,IF($E$62=5,Dados!$AL$34,IF($E$62=6,Dados!$AN$34,IF($E$62=7,Dados!$AP$34,IF($E$62=8,Dados!$AT$34,0)))))))</f>
        <v>0</v>
      </c>
      <c r="EY26" s="316">
        <f>IF($E$63=2,Dados!$AE$34,IF($E$63=3,Dados!$AG$34,IF($E$63=4,Dados!$AI$34,IF($E$63=5,Dados!$AK$34,IF($E$63=6,Dados!$AM$34,IF($E$63=7,Dados!$AO$34,IF($E$63=8,Dados!$AS$34,0)))))))</f>
        <v>0</v>
      </c>
      <c r="EZ26" s="304">
        <f>IF($E$63=2,Dados!$AF$34,IF($E$63=3,Dados!$AH$34,IF($E$63=4,Dados!$AJ$34,IF($E$63=5,Dados!$AL$34,IF($E$63=6,Dados!$AN$34,IF($E$63=7,Dados!$AP$34,IF($E$63=8,Dados!$AT$34,0)))))))</f>
        <v>0</v>
      </c>
      <c r="FA26" s="316">
        <f>IF($E$64=2,Dados!$AE$34,IF($E$64=3,Dados!$AG$34,IF($E$64=4,Dados!$AI$34,IF($E$64=5,Dados!$AK$34,IF($E$64=6,Dados!$AM$34,IF($E$64=7,Dados!$AO$34,IF($E$64=8,Dados!$AS$34,0)))))))</f>
        <v>0</v>
      </c>
      <c r="FB26" s="304">
        <f>IF($E$64=2,Dados!$AF$34,IF($E$64=3,Dados!$AH$34,IF($E$64=4,Dados!$AJ$34,IF($E$64=5,Dados!$AL$34,IF($E$64=6,Dados!$AN$34,IF($E$64=7,Dados!$AP$34,IF($E$64=8,Dados!$AT$34,0)))))))</f>
        <v>0</v>
      </c>
      <c r="FC26" s="316">
        <f>IF($E$65=2,Dados!$AE$34,IF($E$65=3,Dados!$AG$34,IF($E$65=4,Dados!$AI$34,IF($E$65=5,Dados!$AK$34,IF($E$65=6,Dados!$AM$34,IF($E$65=7,Dados!$AO$34,IF($E$65=8,Dados!$AS$34,0)))))))</f>
        <v>0</v>
      </c>
      <c r="FD26" s="304">
        <f>IF($E$65=2,Dados!$AF$34,IF($E$65=3,Dados!$AH$34,IF($E$65=4,Dados!$AJ$34,IF($E$65=5,Dados!$AL$34,IF($E$65=6,Dados!$AN$34,IF($E$65=7,Dados!$AP$34,IF($E$65=8,Dados!$AT$34,0)))))))</f>
        <v>0</v>
      </c>
      <c r="FF26" s="316">
        <f>IF($E$70=2,Dados!$AE$34,IF($E$70=3,Dados!$AG$34,IF($E$70=4,Dados!$AI$34,IF($E$70=5,Dados!$AK$34,IF($E$70=6,Dados!$AM$34,IF($E$70=7,Dados!$AO$34,IF($E$70=8,Dados!$AS$34,0)))))))</f>
        <v>0</v>
      </c>
      <c r="FG26" s="304">
        <f>IF($E$70=2,Dados!$AF$34,IF($E$70=3,Dados!$AH$34,IF($E$70=4,Dados!$AJ$34,IF($E$70=5,Dados!$AL$34,IF($E$70=6,Dados!$AN$34,IF($E$70=7,Dados!$AP$34,IF($E$70=8,Dados!$AT$34,0)))))))</f>
        <v>0</v>
      </c>
      <c r="FH26" s="316">
        <f>IF($E$71=2,Dados!$AE$34,IF($E$71=3,Dados!$AG$34,IF($E$71=4,Dados!$AI$34,IF($E$71=5,Dados!$AK$34,IF($E$71=6,Dados!$AM$34,IF($E$71=7,Dados!$AO$34,IF($E$71=8,Dados!$AS$34,0)))))))</f>
        <v>0</v>
      </c>
      <c r="FI26" s="304">
        <f>IF($E$71=2,Dados!$AF$34,IF($E$71=3,Dados!$AH$34,IF($E$71=4,Dados!$AJ$34,IF($E$71=5,Dados!$AL$34,IF($E$71=6,Dados!$AN$34,IF($E$71=7,Dados!$AP$34,IF($E$71=8,Dados!$AT$34,0)))))))</f>
        <v>0</v>
      </c>
      <c r="FJ26" s="316">
        <f>IF($E$72=2,Dados!$AE$34,IF($E$72=3,Dados!$AG$34,IF($E$72=4,Dados!$AI$34,IF($E$72=5,Dados!$AK$34,IF($E$72=6,Dados!$AM$34,IF($E$72=7,Dados!$AO$34,IF($E$72=8,Dados!$AS$34,0)))))))</f>
        <v>0</v>
      </c>
      <c r="FK26" s="304">
        <f>IF($E$72=2,Dados!$AF$34,IF($E$72=3,Dados!$AH$34,IF($E$72=4,Dados!$AJ$34,IF($E$72=5,Dados!$AL$34,IF($E$72=6,Dados!$AN$34,IF($E$72=7,Dados!$AP$34,IF($E$72=8,Dados!$AT$34,0)))))))</f>
        <v>0</v>
      </c>
      <c r="FL26" s="316">
        <f>IF($E$73=2,Dados!$AE$34,IF($E$73=3,Dados!$AG$34,IF($E$73=4,Dados!$AI$34,IF($E$73=5,Dados!$AK$34,IF($E$73=6,Dados!$AM$34,IF($E$73=7,Dados!$AO$34,IF($E$73=8,Dados!$AS$34,0)))))))</f>
        <v>0</v>
      </c>
      <c r="FM26" s="304">
        <f>IF($E$73=2,Dados!$AF$34,IF($E$73=3,Dados!$AH$34,IF($E$73=4,Dados!$AJ$34,IF($E$73=5,Dados!$AL$34,IF($E$73=6,Dados!$AN$34,IF($E$73=7,Dados!$AP$34,IF($E$73=8,Dados!$AT$34,0)))))))</f>
        <v>0</v>
      </c>
      <c r="FN26" s="316">
        <f>IF($E$74=2,Dados!$AE$34,IF($E$74=3,Dados!$AG$34,IF($E$74=4,Dados!$AI$34,IF($E$74=5,Dados!$AK$34,IF($E$74=6,Dados!$AM$34,IF($E$74=7,Dados!$AO$34,IF($E$74=8,Dados!$AS$34,0)))))))</f>
        <v>0</v>
      </c>
      <c r="FO26" s="304">
        <f>IF($E$74=2,Dados!$AF$34,IF($E$74=3,Dados!$AH$34,IF($E$74=4,Dados!$AJ$34,IF($E$74=5,Dados!$AL$34,IF($E$74=6,Dados!$AN$34,IF($E$74=7,Dados!$AP$34,IF($E$74=8,Dados!$AT$34,0)))))))</f>
        <v>0</v>
      </c>
      <c r="FQ26" s="316">
        <f>IF($E$79=2,Dados!$AE$34,IF($E$79=3,Dados!$AG$34,IF($E$79=4,Dados!$AI$34,IF($E$79=5,Dados!$AK$34,IF($E$79=6,Dados!$AM$34,IF($E$79=7,Dados!$AO$34,IF($E$79=8,Dados!$AS$34,0)))))))</f>
        <v>0</v>
      </c>
      <c r="FR26" s="304">
        <f>IF($E$79=2,Dados!$AF$34,IF($E$79=3,Dados!$AH$34,IF($E$79=4,Dados!$AJ$34,IF($E$79=5,Dados!$AL$34,IF($E$79=6,Dados!$AN$34,IF($E$79=7,Dados!$AP$34,IF($E$79=8,Dados!$AT$34,0)))))))</f>
        <v>0</v>
      </c>
      <c r="FS26" s="316">
        <f>IF($E$80=2,Dados!$AE$34,IF($E$80=3,Dados!$AG$34,IF($E$80=4,Dados!$AI$34,IF($E$80=5,Dados!$AK$34,IF($E$80=6,Dados!$AM$34,IF($E$80=7,Dados!$AO$34,IF($E$80=8,Dados!$AS$34,0)))))))</f>
        <v>0</v>
      </c>
      <c r="FT26" s="304">
        <f>IF($E$80=2,Dados!$AF$34,IF($E$80=3,Dados!$AH$34,IF($E$80=4,Dados!$AJ$34,IF($E$80=5,Dados!$AL$34,IF($E$80=6,Dados!$AN$34,IF($E$80=7,Dados!$AP$34,IF($E$80=8,Dados!$AT$34,0)))))))</f>
        <v>0</v>
      </c>
      <c r="FU26" s="316">
        <f>IF($E$81=2,Dados!$AE$34,IF($E$81=3,Dados!$AG$34,IF($E$81=4,Dados!$AI$34,IF($E$81=5,Dados!$AK$34,IF($E$81=6,Dados!$AM$34,IF($E$81=7,Dados!$AO$34,IF($E$81=8,Dados!$AS$34,0)))))))</f>
        <v>0</v>
      </c>
      <c r="FV26" s="304">
        <f>IF($E$81=2,Dados!$AF$34,IF($E$81=3,Dados!$AH$34,IF($E$81=4,Dados!$AJ$34,IF($E$81=5,Dados!$AL$34,IF($E$81=6,Dados!$AN$34,IF($E$81=7,Dados!$AP$34,IF($E$81=8,Dados!$AT$34,0)))))))</f>
        <v>0</v>
      </c>
      <c r="FW26" s="316">
        <f>IF($E$82=2,Dados!$AE$34,IF($E$82=3,Dados!$AG$34,IF($E$82=4,Dados!$AI$34,IF($E$82=5,Dados!$AK$34,IF($E$82=6,Dados!$AM$34,IF($E$82=7,Dados!$AO$34,IF($E$82=8,Dados!$AS$34,0)))))))</f>
        <v>0</v>
      </c>
      <c r="FX26" s="304">
        <f>IF($E$82=2,Dados!$AF$34,IF($E$82=3,Dados!$AH$34,IF($E$82=4,Dados!$AJ$34,IF($E$82=5,Dados!$AL$34,IF($E$82=6,Dados!$AN$34,IF($E$82=7,Dados!$AP$34,IF($E$82=8,Dados!$AT$34,0)))))))</f>
        <v>0</v>
      </c>
      <c r="FY26" s="316">
        <f>IF($E$83=2,Dados!$AE$34,IF($E$83=3,Dados!$AG$34,IF($E$83=4,Dados!$AI$34,IF($E$83=5,Dados!$AK$34,IF($E$83=6,Dados!$AM$34,IF($E$83=7,Dados!$AO$34,IF($E$83=8,Dados!$AS$34,0)))))))</f>
        <v>0</v>
      </c>
      <c r="FZ26" s="304">
        <f>IF($E$83=2,Dados!$AF$34,IF($E$83=3,Dados!$AH$34,IF($E$83=4,Dados!$AJ$34,IF($E$83=5,Dados!$AL$34,IF($E$83=6,Dados!$AN$34,IF($E$83=7,Dados!$AP$34,IF($E$83=8,Dados!$AT$34,0)))))))</f>
        <v>0</v>
      </c>
      <c r="GB26" s="316">
        <f>IF($E$88=2,Dados!$AE$34,IF($E$88=3,Dados!$AG$34,IF($E$88=4,Dados!$AI$34,IF($E$88=5,Dados!$AK$34,IF($E$88=6,Dados!$AM$34,IF($E$88=7,Dados!$AO$34,IF($E$88=8,Dados!$AS$34,0)))))))</f>
        <v>0</v>
      </c>
      <c r="GC26" s="304">
        <f>IF($E$88=2,Dados!$AF$34,IF($E$88=3,Dados!$AH$34,IF($E$88=4,Dados!$AJ$34,IF($E$88=5,Dados!$AL$34,IF($E$88=6,Dados!$AN$34,IF($E$88=7,Dados!$AP$34,IF($E$88=8,Dados!$AT$34,0)))))))</f>
        <v>0</v>
      </c>
      <c r="GD26" s="316">
        <f>IF($E$89=2,Dados!$AE$34,IF($E$89=3,Dados!$AG$34,IF($E$89=4,Dados!$AI$34,IF($E$89=5,Dados!$AK$34,IF($E$89=6,Dados!$AM$34,IF($E$89=7,Dados!$AO$34,IF($E$89=8,Dados!$AS$34,0)))))))</f>
        <v>0</v>
      </c>
      <c r="GE26" s="304">
        <f>IF($E$89=2,Dados!$AF$34,IF($E$89=3,Dados!$AH$34,IF($E$89=4,Dados!$AJ$34,IF($E$89=5,Dados!$AL$34,IF($E$89=6,Dados!$AN$34,IF($E$89=7,Dados!$AP$34,IF($E$89=8,Dados!$AT$34,0)))))))</f>
        <v>0</v>
      </c>
      <c r="GF26" s="316">
        <f>IF($E$90=2,Dados!$AE$34,IF($E$90=3,Dados!$AG$34,IF($E$90=4,Dados!$AI$34,IF($E$90=5,Dados!$AK$34,IF($E$90=6,Dados!$AM$34,IF($E$90=7,Dados!$AO$34,IF($E$90=8,Dados!$AS$34,0)))))))</f>
        <v>0</v>
      </c>
      <c r="GG26" s="304">
        <f>IF($E$90=2,Dados!$AF$34,IF($E$90=3,Dados!$AH$34,IF($E$90=4,Dados!$AJ$34,IF($E$90=5,Dados!$AL$34,IF($E$90=6,Dados!$AN$34,IF($E$90=7,Dados!$AP$34,IF($E$90=8,Dados!$AT$34,0)))))))</f>
        <v>0</v>
      </c>
      <c r="GH26" s="316">
        <f>IF($E$91=2,Dados!$AE$34,IF($E$91=3,Dados!$AG$34,IF($E$91=4,Dados!$AI$34,IF($E$91=5,Dados!$AK$34,IF($E$91=6,Dados!$AM$34,IF($E$91=7,Dados!$AO$34,IF($E$91=8,Dados!$AS$34,0)))))))</f>
        <v>0</v>
      </c>
      <c r="GI26" s="304">
        <f>IF($E$91=2,Dados!$AF$34,IF($E$91=3,Dados!$AH$34,IF($E$91=4,Dados!$AJ$34,IF($E$91=5,Dados!$AL$34,IF($E$91=6,Dados!$AN$34,IF($E$91=7,Dados!$AP$34,IF($E$91=8,Dados!$AT$34,0)))))))</f>
        <v>0</v>
      </c>
      <c r="GJ26" s="316">
        <f>IF($E$92=2,Dados!$AE$34,IF($E$92=3,Dados!$AG$34,IF($E$92=4,Dados!$AI$34,IF($E$92=5,Dados!$AK$34,IF($E$92=6,Dados!$AM$34,IF($E$92=7,Dados!$AO$34,IF($E$92=8,Dados!$AS$34,0)))))))</f>
        <v>0</v>
      </c>
      <c r="GK26" s="304">
        <f>IF($E$92=2,Dados!$AF$34,IF($E$92=3,Dados!$AH$34,IF($E$92=4,Dados!$AJ$34,IF($E$92=5,Dados!$AL$34,IF($E$92=6,Dados!$AN$34,IF($E$92=7,Dados!$AP$34,IF($E$92=8,Dados!$AT$34,0)))))))</f>
        <v>0</v>
      </c>
      <c r="GM26" s="316">
        <f>IF($E$97=2,Dados!$AE$34,IF($E$97=3,Dados!$AG$34,IF($E$97=4,Dados!$AI$34,IF($E$97=5,Dados!$AK$34,IF($E$97=6,Dados!$AM$34,IF($E$97=7,Dados!$AO$34,IF($E$97=8,Dados!$AS$34,0)))))))</f>
        <v>0</v>
      </c>
      <c r="GN26" s="304">
        <f>IF($E$97=2,Dados!$AF$34,IF($E$97=3,Dados!$AH$34,IF($E$97=4,Dados!$AJ$34,IF($E$97=5,Dados!$AL$34,IF($E$97=6,Dados!$AN$34,IF($E$97=7,Dados!$AP$34,IF($E$97=8,Dados!$AT$34,0)))))))</f>
        <v>0</v>
      </c>
      <c r="GO26" s="316">
        <f>IF($E$98=2,Dados!$AE$34,IF($E$98=3,Dados!$AG$34,IF($E$98=4,Dados!$AI$34,IF($E$98=5,Dados!$AK$34,IF($E$98=6,Dados!$AM$34,IF($E$98=7,Dados!$AO$34,IF($E$98=8,Dados!$AS$34,0)))))))</f>
        <v>0</v>
      </c>
      <c r="GP26" s="304">
        <f>IF($E$98=2,Dados!$AF$34,IF($E$98=3,Dados!$AH$34,IF($E$98=4,Dados!$AJ$34,IF($E$98=5,Dados!$AL$34,IF($E$98=6,Dados!$AN$34,IF($E$98=7,Dados!$AP$34,IF($E$98=8,Dados!$AT$34,0)))))))</f>
        <v>0</v>
      </c>
      <c r="GQ26" s="316">
        <f>IF($E$99=2,Dados!$AE$34,IF($E$99=3,Dados!$AG$34,IF($E$99=4,Dados!$AI$34,IF($E$99=5,Dados!$AK$34,IF($E$99=6,Dados!$AM$34,IF($E$99=7,Dados!$AO$34,IF($E$99=8,Dados!$AS$34,0)))))))</f>
        <v>0</v>
      </c>
      <c r="GR26" s="304">
        <f>IF($E$99=2,Dados!$AF$34,IF($E$99=3,Dados!$AH$34,IF($E$99=4,Dados!$AJ$34,IF($E$99=5,Dados!$AL$34,IF($E$99=6,Dados!$AN$34,IF($E$99=7,Dados!$AP$34,IF($E$99=8,Dados!$AT$34,0)))))))</f>
        <v>0</v>
      </c>
      <c r="GS26" s="316">
        <f>IF($E$100=2,Dados!$AE$34,IF($E$100=3,Dados!$AG$34,IF($E$100=4,Dados!$AI$34,IF($E$100=5,Dados!$AK$34,IF($E$100=6,Dados!$AM$34,IF($E$100=7,Dados!$AO$34,IF($E$100=8,Dados!$AS$34,0)))))))</f>
        <v>0</v>
      </c>
      <c r="GT26" s="304">
        <f>IF($E$100=2,Dados!$AF$34,IF($E$100=3,Dados!$AH$34,IF($E$100=4,Dados!$AJ$34,IF($E$100=5,Dados!$AL$34,IF($E$100=6,Dados!$AN$34,IF($E$100=7,Dados!$AP$34,IF($E$100=8,Dados!$AT$34,0)))))))</f>
        <v>0</v>
      </c>
      <c r="GU26" s="316">
        <f>IF($E$101=2,Dados!$AE$34,IF($E$101=3,Dados!$AG$34,IF($E$101=4,Dados!$AI$34,IF($E$101=5,Dados!$AK$34,IF($E$101=6,Dados!$AM$34,IF($E$101=7,Dados!$AO$34,IF($E$101=8,Dados!$AS$34,0)))))))</f>
        <v>0</v>
      </c>
      <c r="GV26" s="304">
        <f>IF($E$101=2,Dados!$AF$34,IF($E$101=3,Dados!$AH$34,IF($E$101=4,Dados!$AJ$34,IF($E$101=5,Dados!$AL$34,IF($E$101=6,Dados!$AN$34,IF($E$101=7,Dados!$AP$34,IF($E$101=8,Dados!$AT$34,0)))))))</f>
        <v>0</v>
      </c>
      <c r="GX26" s="316">
        <f>IF($E$106=2,Dados!$AE$34,IF($E$106=3,Dados!$AG$34,IF($E$106=4,Dados!$AI$34,IF($E$106=5,Dados!$AK$34,IF($E$106=6,Dados!$AM$34,IF($E$106=7,Dados!$AO$34,IF($E$106=8,Dados!$AS$34,0)))))))</f>
        <v>0</v>
      </c>
      <c r="GY26" s="304">
        <f>IF($E$106=2,Dados!$AF$34,IF($E$106=3,Dados!$AH$34,IF($E$106=4,Dados!$AJ$34,IF($E$106=5,Dados!$AL$34,IF($E$106=6,Dados!$AN$34,IF($E$106=7,Dados!$AP$34,IF($E$106=8,Dados!$AT$34,0)))))))</f>
        <v>0</v>
      </c>
      <c r="GZ26" s="316">
        <f>IF($E$107=2,Dados!$AE$34,IF($E$107=3,Dados!$AG$34,IF($E$107=4,Dados!$AI$34,IF($E$107=5,Dados!$AK$34,IF($E$107=6,Dados!$AM$34,IF($E$107=7,Dados!$AO$34,IF($E$107=8,Dados!$AS$34,0)))))))</f>
        <v>0</v>
      </c>
      <c r="HA26" s="304">
        <f>IF($E$107=2,Dados!$AF$34,IF($E$107=3,Dados!$AH$34,IF($E$107=4,Dados!$AJ$34,IF($E$107=5,Dados!$AL$34,IF($E$107=6,Dados!$AN$34,IF($E$107=7,Dados!$AP$34,IF($E$107=8,Dados!$AT$34,0)))))))</f>
        <v>0</v>
      </c>
      <c r="HB26" s="316">
        <f>IF($E$108=2,Dados!$AE$34,IF($E$108=3,Dados!$AG$34,IF($E$108=4,Dados!$AI$34,IF($E$108=5,Dados!$AK$34,IF($E$108=6,Dados!$AM$34,IF($E$108=7,Dados!$AO$34,IF($E$108=8,Dados!$AS$34,0)))))))</f>
        <v>0</v>
      </c>
      <c r="HC26" s="304">
        <f>IF($E$108=2,Dados!$AF$34,IF($E$108=3,Dados!$AH$34,IF($E$108=4,Dados!$AJ$34,IF($E$108=5,Dados!$AL$34,IF($E$108=6,Dados!$AN$34,IF($E$108=7,Dados!$AP$34,IF($E$108=8,Dados!$AT$34,0)))))))</f>
        <v>0</v>
      </c>
      <c r="HD26" s="316">
        <f>IF($E$109=2,Dados!$AE$34,IF($E$109=3,Dados!$AG$34,IF($E$109=4,Dados!$AI$34,IF($E$109=5,Dados!$AK$34,IF($E$109=6,Dados!$AM$34,IF($E$109=7,Dados!$AO$34,IF($E$109=8,Dados!$AS$34,0)))))))</f>
        <v>0</v>
      </c>
      <c r="HE26" s="304">
        <f>IF($E$109=2,Dados!$AF$34,IF($E$109=3,Dados!$AH$34,IF($E$109=4,Dados!$AJ$34,IF($E$109=5,Dados!$AL$34,IF($E$109=6,Dados!$AN$34,IF($E$109=7,Dados!$AP$34,IF($E$109=8,Dados!$AT$34,0)))))))</f>
        <v>0</v>
      </c>
      <c r="HF26" s="316">
        <f>IF($E$110=2,Dados!$AE$34,IF($E$110=3,Dados!$AG$34,IF($E$110=4,Dados!$AI$34,IF($E$110=5,Dados!$AK$34,IF($E$110=6,Dados!$AM$34,IF($E$110=7,Dados!$AO$34,IF($E$110=8,Dados!$AS$34,0)))))))</f>
        <v>0</v>
      </c>
      <c r="HG26" s="304">
        <f>IF($E$110=2,Dados!$AF$34,IF($E$110=3,Dados!$AH$34,IF($E$110=4,Dados!$AJ$34,IF($E$110=5,Dados!$AL$34,IF($E$110=6,Dados!$AN$34,IF($E$110=7,Dados!$AP$34,IF($E$110=8,Dados!$AT$34,0)))))))</f>
        <v>0</v>
      </c>
    </row>
    <row r="27" spans="3:215" ht="15.75" customHeight="1" x14ac:dyDescent="0.2">
      <c r="C27" s="156">
        <f>IF(R27=1,0,S27)</f>
        <v>0</v>
      </c>
      <c r="D27" s="2721"/>
      <c r="E27" s="180">
        <v>1</v>
      </c>
      <c r="F27" s="2718">
        <v>1</v>
      </c>
      <c r="G27" s="2719"/>
      <c r="H27" s="284"/>
      <c r="I27" s="229"/>
      <c r="J27" s="314"/>
      <c r="K27" s="157"/>
      <c r="L27" s="305"/>
      <c r="M27" s="127">
        <f>IF(I27=1,K27,IF(I27=2,K27/J27,IF(I27=3,K27*L27,0)))</f>
        <v>0</v>
      </c>
      <c r="N27" s="3">
        <v>1</v>
      </c>
      <c r="O27" s="30">
        <v>1</v>
      </c>
      <c r="P27" s="837">
        <f>IF(N27=1,0,VLOOKUP(N27,Rebanho!$AN$45:$AV$72,4)*O27)</f>
        <v>0</v>
      </c>
      <c r="Q27" s="838">
        <f>VLOOKUP(N27,Rebanho!$AN$45:$AV$72,7)*O27</f>
        <v>0</v>
      </c>
      <c r="R27" s="3">
        <v>1</v>
      </c>
      <c r="S27" s="29"/>
      <c r="T27" s="102">
        <f>VLOOKUP(R27,'Mão-de-obra'!$CJ$10:$CL$29,3)</f>
        <v>0</v>
      </c>
      <c r="U27" s="102">
        <f>T27*S27</f>
        <v>0</v>
      </c>
      <c r="V27" s="127">
        <f>IF(I27=1,M27*P27,IF(I27=2,M27*Q27*L27,IF(I27=3,M27,0)))</f>
        <v>0</v>
      </c>
      <c r="W27" s="129">
        <f>U27+V27</f>
        <v>0</v>
      </c>
      <c r="X27" s="93">
        <v>1</v>
      </c>
      <c r="Y27" s="93">
        <v>1</v>
      </c>
      <c r="Z27" s="127">
        <f t="shared" si="8"/>
        <v>0</v>
      </c>
      <c r="AO27" s="437"/>
      <c r="AP27" s="437"/>
      <c r="AQ27" s="437"/>
      <c r="AR27" s="437"/>
      <c r="AU27" s="93">
        <v>3</v>
      </c>
      <c r="AW27" s="3" t="s">
        <v>76</v>
      </c>
      <c r="AX27" s="94">
        <f>IF($E25=4,$V25,0)</f>
        <v>250</v>
      </c>
      <c r="AY27" s="94">
        <f>IF($E26=4,$V26,0)</f>
        <v>0</v>
      </c>
      <c r="AZ27" s="94">
        <f>IF($E27=4,$V27,0)</f>
        <v>0</v>
      </c>
      <c r="BA27" s="94">
        <f>IF($E28=4,$V28,0)</f>
        <v>0</v>
      </c>
      <c r="BB27" s="94">
        <f>IF($E29=4,$V29,0)</f>
        <v>0</v>
      </c>
      <c r="BC27" s="200">
        <f t="shared" si="7"/>
        <v>250</v>
      </c>
      <c r="CF27" s="93">
        <v>22</v>
      </c>
      <c r="CG27" s="316">
        <f>IF($E$7=2,Dados!$AE$35,IF($E$7=3,Dados!$AG$35,IF($E$7=4,Dados!$AI$35,IF($E$7=5,Dados!$AK$35,IF($E$7=6,Dados!$AM$35,IF($E$7=7,Dados!$AO$35,IF($E$7=8,Dados!$AS$35,0)))))))</f>
        <v>0</v>
      </c>
      <c r="CH27" s="304">
        <f>IF($E$7=2,Dados!$AF$35,IF($E$7=3,Dados!$AH$35,IF($E$7=4,Dados!$AJ$35,IF($E$7=5,Dados!$AL$35,IF($E$7=6,Dados!$AN$35,IF($E$7=7,Dados!$AP$35,IF($E$7=8,Dados!$AT$35,0)))))))</f>
        <v>0</v>
      </c>
      <c r="CI27" s="316">
        <f>IF($E$8=2,Dados!$AE$35,IF($E$8=3,Dados!$AG$35,IF($E$8=4,Dados!$AI$35,IF($E$8=5,Dados!$AK$35,IF($E$8=6,Dados!$AM$35,IF($E$8=7,Dados!$AO$35,IF($E$8=8,Dados!$AS$35,0)))))))</f>
        <v>0</v>
      </c>
      <c r="CJ27" s="304">
        <f>IF($E$8=2,Dados!$AF$35,IF($E$8=3,Dados!$AH$35,IF($E$8=4,Dados!$AJ$35,IF($E$8=5,Dados!$AL$35,IF($E$8=6,Dados!$AN$35,IF($E$8=7,Dados!$AP$35,IF($E$8=8,Dados!$AT$35,0)))))))</f>
        <v>0</v>
      </c>
      <c r="CK27" s="316">
        <f>IF($E$9=2,Dados!$AE$35,IF($E$9=3,Dados!$AG$35,IF($E$9=4,Dados!$AI$35,IF($E$9=5,Dados!$AK$35,IF($E$9=6,Dados!$AM$35,IF($E$9=7,Dados!$AO$35,IF($E$9=8,Dados!$AS$35,0)))))))</f>
        <v>0</v>
      </c>
      <c r="CL27" s="304">
        <f>IF($E$9=2,Dados!$AF$35,IF($E$9=3,Dados!$AH$35,IF($E$9=4,Dados!$AJ$35,IF($E$9=5,Dados!$AL$35,IF($E$9=6,Dados!$AN$35,IF($E$9=7,Dados!$AP$35,IF($E$9=8,Dados!$AT$35,0)))))))</f>
        <v>0</v>
      </c>
      <c r="CM27" s="316">
        <f>IF($E$10=2,Dados!$AE$35,IF($E$10=3,Dados!$AG$35,IF($E$10=4,Dados!$AI$35,IF($E$10=5,Dados!$AK$35,IF($E$10=6,Dados!$AM$35,IF($E$10=7,Dados!$AO$35,IF($E$10=8,Dados!$AS$35,0)))))))</f>
        <v>0</v>
      </c>
      <c r="CN27" s="304">
        <f>IF($E$10=2,Dados!$AF$35,IF($E$10=3,Dados!$AH$35,IF($E$10=4,Dados!$AJ$35,IF($E$10=5,Dados!$AL$35,IF($E$10=6,Dados!$AN$35,IF($E$10=7,Dados!$AP$35,IF($E$10=8,Dados!$AT$35,0)))))))</f>
        <v>0</v>
      </c>
      <c r="CO27" s="316">
        <f>IF($E$11=2,Dados!$AE$35,IF($E$11=3,Dados!$AG$35,IF($E$11=4,Dados!$AI$35,IF($E$11=5,Dados!$AK$35,IF($E$11=6,Dados!$AM$35,IF($E$11=7,Dados!$AO$35,IF($E$11=8,Dados!$AS$35,0)))))))</f>
        <v>0</v>
      </c>
      <c r="CP27" s="304">
        <f>IF($E$11=2,Dados!$AF$35,IF($E$11=3,Dados!$AH$35,IF($E$11=4,Dados!$AJ$35,IF($E$11=5,Dados!$AL$35,IF($E$11=6,Dados!$AN$35,IF($E$11=7,Dados!$AP$35,IF($E$11=8,Dados!$AT$35,0)))))))</f>
        <v>0</v>
      </c>
      <c r="CR27" s="316">
        <f>IF($E$16=2,Dados!$AE$35,IF($E$16=3,Dados!$AG$35,IF($E$16=4,Dados!$AI$35,IF($E$16=5,Dados!$AK$35,IF($E$16=6,Dados!$AM$35,IF($E$16=7,Dados!$AO$35,IF($E$16=8,Dados!$AS$35,0)))))))</f>
        <v>0</v>
      </c>
      <c r="CS27" s="304">
        <f>IF($E$16=2,Dados!$AF$35,IF($E$16=3,Dados!$AH$35,IF($E$16=4,Dados!$AJ$35,IF($E$16=5,Dados!$AL$35,IF($E$16=6,Dados!$AN$35,IF($E$16=7,Dados!$AP$35,IF($E$16=8,Dados!$AT$35,0)))))))</f>
        <v>0</v>
      </c>
      <c r="CT27" s="316">
        <f>IF($E$17=2,Dados!$AE$35,IF($E$17=3,Dados!$AG$35,IF($E$17=4,Dados!$AI$35,IF($E$17=5,Dados!$AK$35,IF($E$17=6,Dados!$AM$35,IF($E$17=7,Dados!$AO$35,IF($E$17=8,Dados!$AS$35,0)))))))</f>
        <v>0</v>
      </c>
      <c r="CU27" s="304">
        <f>IF($E$17=2,Dados!$AF$35,IF($E$17=3,Dados!$AH$35,IF($E$17=4,Dados!$AJ$35,IF($E$17=5,Dados!$AL$35,IF($E$17=6,Dados!$AN$35,IF($E$17=7,Dados!$AP$35,IF($E$17=8,Dados!$AT$35,0)))))))</f>
        <v>0</v>
      </c>
      <c r="CV27" s="316">
        <f>IF($E$18=2,Dados!$AE$35,IF($E$18=3,Dados!$AG$35,IF($E$18=4,Dados!$AI$35,IF($E$18=5,Dados!$AK$35,IF($E$18=6,Dados!$AM$35,IF($E$18=7,Dados!$AO$35,IF($E$18=8,Dados!$AS$35,0)))))))</f>
        <v>0</v>
      </c>
      <c r="CW27" s="304">
        <f>IF($E$18=2,Dados!$AF$35,IF($E$18=3,Dados!$AH$35,IF($E$18=4,Dados!$AJ$35,IF($E$18=5,Dados!$AL$35,IF($E$18=6,Dados!$AN$35,IF($E$18=7,Dados!$AP$35,IF($E$18=8,Dados!$AT$35,0)))))))</f>
        <v>0</v>
      </c>
      <c r="CX27" s="316">
        <f>IF($E$19=2,Dados!$AE$35,IF($E$19=3,Dados!$AG$35,IF($E$19=4,Dados!$AI$35,IF($E$19=5,Dados!$AK$35,IF($E$19=6,Dados!$AM$35,IF($E$19=7,Dados!$AO$35,IF($E$19=8,Dados!$AS$35,0)))))))</f>
        <v>0</v>
      </c>
      <c r="CY27" s="304">
        <f>IF($E$19=2,Dados!$AF$35,IF($E$19=3,Dados!$AH$35,IF($E$19=4,Dados!$AJ$35,IF($E$19=5,Dados!$AL$35,IF($E$19=6,Dados!$AN$35,IF($E$19=7,Dados!$AP$35,IF($E$19=8,Dados!$AT$35,0)))))))</f>
        <v>0</v>
      </c>
      <c r="CZ27" s="316">
        <f>IF($E$20=2,Dados!$AE$35,IF($E$20=3,Dados!$AG$35,IF($E$20=4,Dados!$AI$35,IF($E$20=5,Dados!$AK$35,IF($E$20=6,Dados!$AM$35,IF($E$20=7,Dados!$AO$35,IF($E$20=8,Dados!$AS$35,0)))))))</f>
        <v>0</v>
      </c>
      <c r="DA27" s="304">
        <f>IF($E$20=2,Dados!$AF$35,IF($E$20=3,Dados!$AH$35,IF($E$20=4,Dados!$AJ$35,IF($E$20=5,Dados!$AL$35,IF($E$20=6,Dados!$AN$35,IF($E$20=7,Dados!$AP$35,IF($E$20=8,Dados!$AT$35,0)))))))</f>
        <v>0</v>
      </c>
      <c r="DC27" s="316">
        <f>IF($E$25=2,Dados!$AE$35,IF($E$25=3,Dados!$AG$35,IF($E$25=4,Dados!$AI$35,IF($E$25=5,Dados!$AK$35,IF($E$25=6,Dados!$AM$35,IF($E$25=7,Dados!$AO$35,IF($E$25=8,Dados!$AS$35,0)))))))</f>
        <v>0</v>
      </c>
      <c r="DD27" s="304">
        <f>IF($E$25=2,Dados!$AF$35,IF($E$25=3,Dados!$AH$35,IF($E$25=4,Dados!$AJ$35,IF($E$25=5,Dados!$AL$35,IF($E$25=6,Dados!$AN$35,IF($E$25=7,Dados!$AP$35,IF($E$25=8,Dados!$AT$35,0)))))))</f>
        <v>0</v>
      </c>
      <c r="DE27" s="316">
        <f>IF($E$26=2,Dados!$AE$35,IF($E$26=3,Dados!$AG$35,IF($E$26=4,Dados!$AI$35,IF($E$26=5,Dados!$AK$35,IF($E$26=6,Dados!$AM$35,IF($E$26=7,Dados!$AO$35,IF($E$26=8,Dados!$AS$35,0)))))))</f>
        <v>0</v>
      </c>
      <c r="DF27" s="304">
        <f>IF($E$26=2,Dados!$AF$35,IF($E$26=3,Dados!$AH$35,IF($E$26=4,Dados!$AJ$35,IF($E$26=5,Dados!$AL$35,IF($E$26=6,Dados!$AN$35,IF($E$26=7,Dados!$AP$35,IF($E$26=8,Dados!$AT$35,0)))))))</f>
        <v>0</v>
      </c>
      <c r="DG27" s="316">
        <f>IF($E$27=2,Dados!$AE$35,IF($E$27=3,Dados!$AG$35,IF($E$27=4,Dados!$AI$35,IF($E$27=5,Dados!$AK$35,IF($E$27=6,Dados!$AM$35,IF($E$27=7,Dados!$AO$35,IF($E$27=8,Dados!$AS$35,0)))))))</f>
        <v>0</v>
      </c>
      <c r="DH27" s="304">
        <f>IF($E$27=2,Dados!$AF$35,IF($E$27=3,Dados!$AH$35,IF($E$27=4,Dados!$AJ$35,IF($E$27=5,Dados!$AL$35,IF($E$27=6,Dados!$AN$35,IF($E$27=7,Dados!$AP$35,IF($E$27=8,Dados!$AT$35,0)))))))</f>
        <v>0</v>
      </c>
      <c r="DI27" s="316">
        <f>IF($E$28=2,Dados!$AE$35,IF($E$28=3,Dados!$AG$35,IF($E$28=4,Dados!$AI$35,IF($E$28=5,Dados!$AK$35,IF($E$28=6,Dados!$AM$35,IF($E$28=7,Dados!$AO$35,IF($E$28=8,Dados!$AS$35,0)))))))</f>
        <v>0</v>
      </c>
      <c r="DJ27" s="304">
        <f>IF($E$28=2,Dados!$AF$35,IF($E$28=3,Dados!$AH$35,IF($E$28=4,Dados!$AJ$35,IF($E$28=5,Dados!$AL$35,IF($E$28=6,Dados!$AN$35,IF($E$28=7,Dados!$AP$35,IF($E$28=8,Dados!$AT$35,0)))))))</f>
        <v>0</v>
      </c>
      <c r="DK27" s="316">
        <f>IF($E$29=2,Dados!$AE$35,IF($E$29=3,Dados!$AG$35,IF($E$29=4,Dados!$AI$35,IF($E$29=5,Dados!$AK$35,IF($E$29=6,Dados!$AM$35,IF($E$29=7,Dados!$AO$35,IF($E$29=8,Dados!$AS$35,0)))))))</f>
        <v>0</v>
      </c>
      <c r="DL27" s="304">
        <f>IF($E$29=2,Dados!$AF$35,IF($E$29=3,Dados!$AH$35,IF($E$29=4,Dados!$AJ$35,IF($E$29=5,Dados!$AL$35,IF($E$29=6,Dados!$AN$35,IF($E$29=7,Dados!$AP$35,IF($E$29=8,Dados!$AT$35,0)))))))</f>
        <v>0</v>
      </c>
      <c r="DN27" s="316">
        <f>IF($E$34=2,Dados!$AE$35,IF($E$34=3,Dados!$AG$35,IF($E$34=4,Dados!$AI$35,IF($E$34=5,Dados!$AK$35,IF($E$34=6,Dados!$AM$35,IF($E$34=7,Dados!$AO$35,IF($E$34=8,Dados!$AS$35,0)))))))</f>
        <v>0</v>
      </c>
      <c r="DO27" s="304">
        <f>IF($E$34=2,Dados!$AF$35,IF($E$34=3,Dados!$AH$35,IF($E$34=4,Dados!$AJ$35,IF($E$34=5,Dados!$AL$35,IF($E$34=6,Dados!$AN$35,IF($E$34=7,Dados!$AP$35,IF($E$34=8,Dados!$AT$35,0)))))))</f>
        <v>0</v>
      </c>
      <c r="DP27" s="316">
        <f>IF($E$35=2,Dados!$AE$35,IF($E$35=3,Dados!$AG$35,IF($E$35=4,Dados!$AI$35,IF($E$35=5,Dados!$AK$35,IF($E$35=6,Dados!$AM$35,IF($E$35=7,Dados!$AO$35,IF($E$35=8,Dados!$AS$35,0)))))))</f>
        <v>0</v>
      </c>
      <c r="DQ27" s="304">
        <f>IF($E$35=2,Dados!$AF$35,IF($E$35=3,Dados!$AH$35,IF($E$35=4,Dados!$AJ$35,IF($E$35=5,Dados!$AL$35,IF($E$35=6,Dados!$AN$35,IF($E$35=7,Dados!$AP$35,IF($E$35=8,Dados!$AT$35,0)))))))</f>
        <v>0</v>
      </c>
      <c r="DR27" s="316">
        <f>IF($E$36=2,Dados!$AE$35,IF($E$36=3,Dados!$AG$35,IF($E$36=4,Dados!$AI$35,IF($E$36=5,Dados!$AK$35,IF($E$36=6,Dados!$AM$35,IF($E$36=7,Dados!$AO$35,IF($E$36=8,Dados!$AS$35,0)))))))</f>
        <v>0</v>
      </c>
      <c r="DS27" s="304">
        <f>IF($E$36=2,Dados!$AF$35,IF($E$36=3,Dados!$AH$35,IF($E$36=4,Dados!$AJ$35,IF($E$36=5,Dados!$AL$35,IF($E$36=6,Dados!$AN$35,IF($E$36=7,Dados!$AP$35,IF($E$36=8,Dados!$AT$35,0)))))))</f>
        <v>0</v>
      </c>
      <c r="DT27" s="316">
        <f>IF($E$37=2,Dados!$AE$35,IF($E$37=3,Dados!$AG$35,IF($E$37=4,Dados!$AI$35,IF($E$37=5,Dados!$AK$35,IF($E$37=6,Dados!$AM$35,IF($E$37=7,Dados!$AO$35,IF($E$37=8,Dados!$AS$35,0)))))))</f>
        <v>0</v>
      </c>
      <c r="DU27" s="304">
        <f>IF($E$37=2,Dados!$AF$35,IF($E$37=3,Dados!$AH$35,IF($E$37=4,Dados!$AJ$35,IF($E$37=5,Dados!$AL$35,IF($E$37=6,Dados!$AN$35,IF($E$37=7,Dados!$AP$35,IF($E$37=8,Dados!$AT$35,0)))))))</f>
        <v>0</v>
      </c>
      <c r="DV27" s="316">
        <f>IF($E$38=2,Dados!$AE$35,IF($E$38=3,Dados!$AG$35,IF($E$38=4,Dados!$AI$35,IF($E$38=5,Dados!$AK$35,IF($E$38=6,Dados!$AM$35,IF($E$38=7,Dados!$AO$35,IF($E$38=8,Dados!$AS$35,0)))))))</f>
        <v>0</v>
      </c>
      <c r="DW27" s="304">
        <f>IF($E$38=2,Dados!$AF$35,IF($E$38=3,Dados!$AH$35,IF($E$38=4,Dados!$AJ$35,IF($E$38=5,Dados!$AL$35,IF($E$38=6,Dados!$AN$35,IF($E$38=7,Dados!$AP$35,IF($E$38=8,Dados!$AT$35,0)))))))</f>
        <v>0</v>
      </c>
      <c r="DY27" s="316">
        <f>IF($E$43=2,Dados!$AE$35,IF($E$43=3,Dados!$AG$35,IF($E$43=4,Dados!$AI$35,IF($E$43=5,Dados!$AK$35,IF($E$43=6,Dados!$AM$35,IF($E$43=7,Dados!$AO$35,IF($E$43=8,Dados!$AS$35,0)))))))</f>
        <v>0</v>
      </c>
      <c r="DZ27" s="304">
        <f>IF($E$43=2,Dados!$AF$35,IF($E$43=3,Dados!$AH$35,IF($E$43=4,Dados!$AJ$35,IF($E$43=5,Dados!$AL$35,IF($E$43=6,Dados!$AN$35,IF($E$43=7,Dados!$AP$35,IF($E$43=8,Dados!$AT$35,0)))))))</f>
        <v>0</v>
      </c>
      <c r="EA27" s="316">
        <f>IF($E$44=2,Dados!$AE$35,IF($E$44=3,Dados!$AG$35,IF($E$44=4,Dados!$AI$35,IF($E$44=5,Dados!$AK$35,IF($E$44=6,Dados!$AM$35,IF($E$44=7,Dados!$AO$35,IF($E$44=8,Dados!$AS$35,0)))))))</f>
        <v>0</v>
      </c>
      <c r="EB27" s="304">
        <f>IF($E$44=2,Dados!$AF$35,IF($E$44=3,Dados!$AH$35,IF($E$44=4,Dados!$AJ$35,IF($E$44=5,Dados!$AL$35,IF($E$44=6,Dados!$AN$35,IF($E$44=7,Dados!$AP$35,IF($E$44=8,Dados!$AT$35,0)))))))</f>
        <v>0</v>
      </c>
      <c r="EC27" s="316">
        <f>IF($E$45=2,Dados!$AE$35,IF($E$45=3,Dados!$AG$35,IF($E$45=4,Dados!$AI$35,IF($E$45=5,Dados!$AK$35,IF($E$45=6,Dados!$AM$35,IF($E$45=7,Dados!$AO$35,IF($E$45=8,Dados!$AS$35,0)))))))</f>
        <v>0</v>
      </c>
      <c r="ED27" s="304">
        <f>IF($E$45=2,Dados!$AF$35,IF($E$45=3,Dados!$AH$35,IF($E$45=4,Dados!$AJ$35,IF($E$45=5,Dados!$AL$35,IF($E$45=6,Dados!$AN$35,IF($E$45=7,Dados!$AP$35,IF($E$45=8,Dados!$AT$35,0)))))))</f>
        <v>0</v>
      </c>
      <c r="EE27" s="316">
        <f>IF($E$46=2,Dados!$AE$35,IF($E$46=3,Dados!$AG$35,IF($E$46=4,Dados!$AI$35,IF($E$46=5,Dados!$AK$35,IF($E$46=6,Dados!$AM$35,IF($E$46=7,Dados!$AO$35,IF($E$46=8,Dados!$AS$35,0)))))))</f>
        <v>0</v>
      </c>
      <c r="EF27" s="304">
        <f>IF($E$46=2,Dados!$AF$35,IF($E$46=3,Dados!$AH$35,IF($E$46=4,Dados!$AJ$35,IF($E$46=5,Dados!$AL$35,IF($E$46=6,Dados!$AN$35,IF($E$46=7,Dados!$AP$35,IF($E$46=8,Dados!$AT$35,0)))))))</f>
        <v>0</v>
      </c>
      <c r="EG27" s="316">
        <f>IF($E$47=2,Dados!$AE$35,IF($E$47=3,Dados!$AG$35,IF($E$47=4,Dados!$AI$35,IF($E$47=5,Dados!$AK$35,IF($E$47=6,Dados!$AM$35,IF($E$47=7,Dados!$AO$35,IF($E$47=8,Dados!$AS$35,0)))))))</f>
        <v>0</v>
      </c>
      <c r="EH27" s="304">
        <f>IF($E$47=2,Dados!$AF$35,IF($E$47=3,Dados!$AH$35,IF($E$47=4,Dados!$AJ$35,IF($E$47=5,Dados!$AL$35,IF($E$47=6,Dados!$AN$35,IF($E$47=7,Dados!$AP$35,IF($E$47=8,Dados!$AT$35,0)))))))</f>
        <v>0</v>
      </c>
      <c r="EJ27" s="316">
        <f>IF($E$52=2,Dados!$AE$35,IF($E$52=3,Dados!$AG$35,IF($E$52=4,Dados!$AI$35,IF($E$52=5,Dados!$AK$35,IF($E$52=6,Dados!$AM$35,IF($E$52=7,Dados!$AO$35,IF($E$52=8,Dados!$AS$35,0)))))))</f>
        <v>0</v>
      </c>
      <c r="EK27" s="304">
        <f>IF($E$52=2,Dados!$AF$35,IF($E$52=3,Dados!$AH$35,IF($E$52=4,Dados!$AJ$35,IF($E$52=5,Dados!$AL$35,IF($E$52=6,Dados!$AN$35,IF($E$52=7,Dados!$AP$35,IF($E$52=8,Dados!$AT$35,0)))))))</f>
        <v>0</v>
      </c>
      <c r="EL27" s="316">
        <f>IF($E$53=2,Dados!$AE$35,IF($E$53=3,Dados!$AG$35,IF($E$53=4,Dados!$AI$35,IF($E$53=5,Dados!$AK$35,IF($E$53=6,Dados!$AM$35,IF($E$53=7,Dados!$AO$35,IF($E$53=8,Dados!$AS$35,0)))))))</f>
        <v>0</v>
      </c>
      <c r="EM27" s="304">
        <f>IF($E$53=2,Dados!$AF$35,IF($E$53=3,Dados!$AH$35,IF($E$53=4,Dados!$AJ$35,IF($E$53=5,Dados!$AL$35,IF($E$53=6,Dados!$AN$35,IF($E$53=7,Dados!$AP$35,IF($E$53=8,Dados!$AT$35,0)))))))</f>
        <v>0</v>
      </c>
      <c r="EN27" s="316">
        <f>IF($E$54=2,Dados!$AE$35,IF($E$54=3,Dados!$AG$35,IF($E$54=4,Dados!$AI$35,IF($E$54=5,Dados!$AK$35,IF($E$54=6,Dados!$AM$35,IF($E$54=7,Dados!$AO$35,IF($E$54=8,Dados!$AS$35,0)))))))</f>
        <v>0</v>
      </c>
      <c r="EO27" s="304">
        <f>IF($E$54=2,Dados!$AF$35,IF($E$54=3,Dados!$AH$35,IF($E$54=4,Dados!$AJ$35,IF($E$54=5,Dados!$AL$35,IF($E$54=6,Dados!$AN$35,IF($E$54=7,Dados!$AP$35,IF($E$54=8,Dados!$AT$35,0)))))))</f>
        <v>0</v>
      </c>
      <c r="EP27" s="316">
        <f>IF($E$55=2,Dados!$AE$35,IF($E$55=3,Dados!$AG$35,IF($E$55=4,Dados!$AI$35,IF($E$55=5,Dados!$AK$35,IF($E$55=6,Dados!$AM$35,IF($E$55=7,Dados!$AO$35,IF($E$55=8,Dados!$AS$35,0)))))))</f>
        <v>0</v>
      </c>
      <c r="EQ27" s="304">
        <f>IF($E$55=2,Dados!$AF$35,IF($E$55=3,Dados!$AH$35,IF($E$55=4,Dados!$AJ$35,IF($E$55=5,Dados!$AL$35,IF($E$55=6,Dados!$AN$35,IF($E$55=7,Dados!$AP$35,IF($E$55=8,Dados!$AT$35,0)))))))</f>
        <v>0</v>
      </c>
      <c r="ER27" s="316">
        <f>IF($E$56=2,Dados!$AE$35,IF($E$56=3,Dados!$AG$35,IF($E$56=4,Dados!$AI$35,IF($E$56=5,Dados!$AK$35,IF($E$56=6,Dados!$AM$35,IF($E$56=7,Dados!$AO$35,IF($E$56=8,Dados!$AS$35,0)))))))</f>
        <v>0</v>
      </c>
      <c r="ES27" s="304">
        <f>IF($E$56=2,Dados!$AF$35,IF($E$56=3,Dados!$AH$35,IF($E$56=4,Dados!$AJ$35,IF($E$56=5,Dados!$AL$35,IF($E$56=6,Dados!$AN$35,IF($E$56=7,Dados!$AP$35,IF($E$56=8,Dados!$AT$35,0)))))))</f>
        <v>0</v>
      </c>
      <c r="EU27" s="316">
        <f>IF($E$61=2,Dados!$AE$35,IF($E$61=3,Dados!$AG$35,IF($E$61=4,Dados!$AI$35,IF($E$61=5,Dados!$AK$35,IF($E$61=6,Dados!$AM$35,IF($E$61=7,Dados!$AO$35,IF($E$61=8,Dados!$AS$35,0)))))))</f>
        <v>0</v>
      </c>
      <c r="EV27" s="304">
        <f>IF($E$61=2,Dados!$AF$35,IF($E$61=3,Dados!$AH$35,IF($E$61=4,Dados!$AJ$35,IF($E$61=5,Dados!$AL$35,IF($E$61=6,Dados!$AN$35,IF($E$61=7,Dados!$AP$35,IF($E$61=8,Dados!$AT$35,0)))))))</f>
        <v>0</v>
      </c>
      <c r="EW27" s="316">
        <f>IF($E$62=2,Dados!$AE$35,IF($E$62=3,Dados!$AG$35,IF($E$62=4,Dados!$AI$35,IF($E$62=5,Dados!$AK$35,IF($E$62=6,Dados!$AM$35,IF($E$62=7,Dados!$AO$35,IF($E$62=8,Dados!$AS$35,0)))))))</f>
        <v>0</v>
      </c>
      <c r="EX27" s="304">
        <f>IF($E$62=2,Dados!$AF$35,IF($E$62=3,Dados!$AH$35,IF($E$62=4,Dados!$AJ$35,IF($E$62=5,Dados!$AL$35,IF($E$62=6,Dados!$AN$35,IF($E$62=7,Dados!$AP$35,IF($E$62=8,Dados!$AT$35,0)))))))</f>
        <v>0</v>
      </c>
      <c r="EY27" s="316">
        <f>IF($E$63=2,Dados!$AE$35,IF($E$63=3,Dados!$AG$35,IF($E$63=4,Dados!$AI$35,IF($E$63=5,Dados!$AK$35,IF($E$63=6,Dados!$AM$35,IF($E$63=7,Dados!$AO$35,IF($E$63=8,Dados!$AS$35,0)))))))</f>
        <v>0</v>
      </c>
      <c r="EZ27" s="304">
        <f>IF($E$63=2,Dados!$AF$35,IF($E$63=3,Dados!$AH$35,IF($E$63=4,Dados!$AJ$35,IF($E$63=5,Dados!$AL$35,IF($E$63=6,Dados!$AN$35,IF($E$63=7,Dados!$AP$35,IF($E$63=8,Dados!$AT$35,0)))))))</f>
        <v>0</v>
      </c>
      <c r="FA27" s="316">
        <f>IF($E$64=2,Dados!$AE$35,IF($E$64=3,Dados!$AG$35,IF($E$64=4,Dados!$AI$35,IF($E$64=5,Dados!$AK$35,IF($E$64=6,Dados!$AM$35,IF($E$64=7,Dados!$AO$35,IF($E$64=8,Dados!$AS$35,0)))))))</f>
        <v>0</v>
      </c>
      <c r="FB27" s="304">
        <f>IF($E$64=2,Dados!$AF$35,IF($E$64=3,Dados!$AH$35,IF($E$64=4,Dados!$AJ$35,IF($E$64=5,Dados!$AL$35,IF($E$64=6,Dados!$AN$35,IF($E$64=7,Dados!$AP$35,IF($E$64=8,Dados!$AT$35,0)))))))</f>
        <v>0</v>
      </c>
      <c r="FC27" s="316">
        <f>IF($E$65=2,Dados!$AE$35,IF($E$65=3,Dados!$AG$35,IF($E$65=4,Dados!$AI$35,IF($E$65=5,Dados!$AK$35,IF($E$65=6,Dados!$AM$35,IF($E$65=7,Dados!$AO$35,IF($E$65=8,Dados!$AS$35,0)))))))</f>
        <v>0</v>
      </c>
      <c r="FD27" s="304">
        <f>IF($E$65=2,Dados!$AF$35,IF($E$65=3,Dados!$AH$35,IF($E$65=4,Dados!$AJ$35,IF($E$65=5,Dados!$AL$35,IF($E$65=6,Dados!$AN$35,IF($E$65=7,Dados!$AP$35,IF($E$65=8,Dados!$AT$35,0)))))))</f>
        <v>0</v>
      </c>
      <c r="FF27" s="316">
        <f>IF($E$70=2,Dados!$AE$35,IF($E$70=3,Dados!$AG$35,IF($E$70=4,Dados!$AI$35,IF($E$70=5,Dados!$AK$35,IF($E$70=6,Dados!$AM$35,IF($E$70=7,Dados!$AO$35,IF($E$70=8,Dados!$AS$35,0)))))))</f>
        <v>0</v>
      </c>
      <c r="FG27" s="304">
        <f>IF($E$70=2,Dados!$AF$35,IF($E$70=3,Dados!$AH$35,IF($E$70=4,Dados!$AJ$35,IF($E$70=5,Dados!$AL$35,IF($E$70=6,Dados!$AN$35,IF($E$70=7,Dados!$AP$35,IF($E$70=8,Dados!$AT$35,0)))))))</f>
        <v>0</v>
      </c>
      <c r="FH27" s="316">
        <f>IF($E$71=2,Dados!$AE$35,IF($E$71=3,Dados!$AG$35,IF($E$71=4,Dados!$AI$35,IF($E$71=5,Dados!$AK$35,IF($E$71=6,Dados!$AM$35,IF($E$71=7,Dados!$AO$35,IF($E$71=8,Dados!$AS$35,0)))))))</f>
        <v>0</v>
      </c>
      <c r="FI27" s="304">
        <f>IF($E$71=2,Dados!$AF$35,IF($E$71=3,Dados!$AH$35,IF($E$71=4,Dados!$AJ$35,IF($E$71=5,Dados!$AL$35,IF($E$71=6,Dados!$AN$35,IF($E$71=7,Dados!$AP$35,IF($E$71=8,Dados!$AT$35,0)))))))</f>
        <v>0</v>
      </c>
      <c r="FJ27" s="316">
        <f>IF($E$72=2,Dados!$AE$35,IF($E$72=3,Dados!$AG$35,IF($E$72=4,Dados!$AI$35,IF($E$72=5,Dados!$AK$35,IF($E$72=6,Dados!$AM$35,IF($E$72=7,Dados!$AO$35,IF($E$72=8,Dados!$AS$35,0)))))))</f>
        <v>0</v>
      </c>
      <c r="FK27" s="304">
        <f>IF($E$72=2,Dados!$AF$35,IF($E$72=3,Dados!$AH$35,IF($E$72=4,Dados!$AJ$35,IF($E$72=5,Dados!$AL$35,IF($E$72=6,Dados!$AN$35,IF($E$72=7,Dados!$AP$35,IF($E$72=8,Dados!$AT$35,0)))))))</f>
        <v>0</v>
      </c>
      <c r="FL27" s="316">
        <f>IF($E$73=2,Dados!$AE$35,IF($E$73=3,Dados!$AG$35,IF($E$73=4,Dados!$AI$35,IF($E$73=5,Dados!$AK$35,IF($E$73=6,Dados!$AM$35,IF($E$73=7,Dados!$AO$35,IF($E$73=8,Dados!$AS$35,0)))))))</f>
        <v>0</v>
      </c>
      <c r="FM27" s="304">
        <f>IF($E$73=2,Dados!$AF$35,IF($E$73=3,Dados!$AH$35,IF($E$73=4,Dados!$AJ$35,IF($E$73=5,Dados!$AL$35,IF($E$73=6,Dados!$AN$35,IF($E$73=7,Dados!$AP$35,IF($E$73=8,Dados!$AT$35,0)))))))</f>
        <v>0</v>
      </c>
      <c r="FN27" s="316">
        <f>IF($E$74=2,Dados!$AE$35,IF($E$74=3,Dados!$AG$35,IF($E$74=4,Dados!$AI$35,IF($E$74=5,Dados!$AK$35,IF($E$74=6,Dados!$AM$35,IF($E$74=7,Dados!$AO$35,IF($E$74=8,Dados!$AS$35,0)))))))</f>
        <v>0</v>
      </c>
      <c r="FO27" s="304">
        <f>IF($E$74=2,Dados!$AF$35,IF($E$74=3,Dados!$AH$35,IF($E$74=4,Dados!$AJ$35,IF($E$74=5,Dados!$AL$35,IF($E$74=6,Dados!$AN$35,IF($E$74=7,Dados!$AP$35,IF($E$74=8,Dados!$AT$35,0)))))))</f>
        <v>0</v>
      </c>
      <c r="FQ27" s="316">
        <f>IF($E$79=2,Dados!$AE$35,IF($E$79=3,Dados!$AG$35,IF($E$79=4,Dados!$AI$35,IF($E$79=5,Dados!$AK$35,IF($E$79=6,Dados!$AM$35,IF($E$79=7,Dados!$AO$35,IF($E$79=8,Dados!$AS$35,0)))))))</f>
        <v>0</v>
      </c>
      <c r="FR27" s="304">
        <f>IF($E$79=2,Dados!$AF$35,IF($E$79=3,Dados!$AH$35,IF($E$79=4,Dados!$AJ$35,IF($E$79=5,Dados!$AL$35,IF($E$79=6,Dados!$AN$35,IF($E$79=7,Dados!$AP$35,IF($E$79=8,Dados!$AT$35,0)))))))</f>
        <v>0</v>
      </c>
      <c r="FS27" s="316">
        <f>IF($E$80=2,Dados!$AE$35,IF($E$80=3,Dados!$AG$35,IF($E$80=4,Dados!$AI$35,IF($E$80=5,Dados!$AK$35,IF($E$80=6,Dados!$AM$35,IF($E$80=7,Dados!$AO$35,IF($E$80=8,Dados!$AS$35,0)))))))</f>
        <v>0</v>
      </c>
      <c r="FT27" s="304">
        <f>IF($E$80=2,Dados!$AF$35,IF($E$80=3,Dados!$AH$35,IF($E$80=4,Dados!$AJ$35,IF($E$80=5,Dados!$AL$35,IF($E$80=6,Dados!$AN$35,IF($E$80=7,Dados!$AP$35,IF($E$80=8,Dados!$AT$35,0)))))))</f>
        <v>0</v>
      </c>
      <c r="FU27" s="316">
        <f>IF($E$81=2,Dados!$AE$35,IF($E$81=3,Dados!$AG$35,IF($E$81=4,Dados!$AI$35,IF($E$81=5,Dados!$AK$35,IF($E$81=6,Dados!$AM$35,IF($E$81=7,Dados!$AO$35,IF($E$81=8,Dados!$AS$35,0)))))))</f>
        <v>0</v>
      </c>
      <c r="FV27" s="304">
        <f>IF($E$81=2,Dados!$AF$35,IF($E$81=3,Dados!$AH$35,IF($E$81=4,Dados!$AJ$35,IF($E$81=5,Dados!$AL$35,IF($E$81=6,Dados!$AN$35,IF($E$81=7,Dados!$AP$35,IF($E$81=8,Dados!$AT$35,0)))))))</f>
        <v>0</v>
      </c>
      <c r="FW27" s="316">
        <f>IF($E$82=2,Dados!$AE$35,IF($E$82=3,Dados!$AG$35,IF($E$82=4,Dados!$AI$35,IF($E$82=5,Dados!$AK$35,IF($E$82=6,Dados!$AM$35,IF($E$82=7,Dados!$AO$35,IF($E$82=8,Dados!$AS$35,0)))))))</f>
        <v>0</v>
      </c>
      <c r="FX27" s="304">
        <f>IF($E$82=2,Dados!$AF$35,IF($E$82=3,Dados!$AH$35,IF($E$82=4,Dados!$AJ$35,IF($E$82=5,Dados!$AL$35,IF($E$82=6,Dados!$AN$35,IF($E$82=7,Dados!$AP$35,IF($E$82=8,Dados!$AT$35,0)))))))</f>
        <v>0</v>
      </c>
      <c r="FY27" s="316">
        <f>IF($E$83=2,Dados!$AE$35,IF($E$83=3,Dados!$AG$35,IF($E$83=4,Dados!$AI$35,IF($E$83=5,Dados!$AK$35,IF($E$83=6,Dados!$AM$35,IF($E$83=7,Dados!$AO$35,IF($E$83=8,Dados!$AS$35,0)))))))</f>
        <v>0</v>
      </c>
      <c r="FZ27" s="304">
        <f>IF($E$83=2,Dados!$AF$35,IF($E$83=3,Dados!$AH$35,IF($E$83=4,Dados!$AJ$35,IF($E$83=5,Dados!$AL$35,IF($E$83=6,Dados!$AN$35,IF($E$83=7,Dados!$AP$35,IF($E$83=8,Dados!$AT$35,0)))))))</f>
        <v>0</v>
      </c>
      <c r="GB27" s="316">
        <f>IF($E$88=2,Dados!$AE$35,IF($E$88=3,Dados!$AG$35,IF($E$88=4,Dados!$AI$35,IF($E$88=5,Dados!$AK$35,IF($E$88=6,Dados!$AM$35,IF($E$88=7,Dados!$AO$35,IF($E$88=8,Dados!$AS$35,0)))))))</f>
        <v>0</v>
      </c>
      <c r="GC27" s="304">
        <f>IF($E$88=2,Dados!$AF$35,IF($E$88=3,Dados!$AH$35,IF($E$88=4,Dados!$AJ$35,IF($E$88=5,Dados!$AL$35,IF($E$88=6,Dados!$AN$35,IF($E$88=7,Dados!$AP$35,IF($E$88=8,Dados!$AT$35,0)))))))</f>
        <v>0</v>
      </c>
      <c r="GD27" s="316">
        <f>IF($E$89=2,Dados!$AE$35,IF($E$89=3,Dados!$AG$35,IF($E$89=4,Dados!$AI$35,IF($E$89=5,Dados!$AK$35,IF($E$89=6,Dados!$AM$35,IF($E$89=7,Dados!$AO$35,IF($E$89=8,Dados!$AS$35,0)))))))</f>
        <v>0</v>
      </c>
      <c r="GE27" s="304">
        <f>IF($E$89=2,Dados!$AF$35,IF($E$89=3,Dados!$AH$35,IF($E$89=4,Dados!$AJ$35,IF($E$89=5,Dados!$AL$35,IF($E$89=6,Dados!$AN$35,IF($E$89=7,Dados!$AP$35,IF($E$89=8,Dados!$AT$35,0)))))))</f>
        <v>0</v>
      </c>
      <c r="GF27" s="316">
        <f>IF($E$90=2,Dados!$AE$35,IF($E$90=3,Dados!$AG$35,IF($E$90=4,Dados!$AI$35,IF($E$90=5,Dados!$AK$35,IF($E$90=6,Dados!$AM$35,IF($E$90=7,Dados!$AO$35,IF($E$90=8,Dados!$AS$35,0)))))))</f>
        <v>0</v>
      </c>
      <c r="GG27" s="304">
        <f>IF($E$90=2,Dados!$AF$35,IF($E$90=3,Dados!$AH$35,IF($E$90=4,Dados!$AJ$35,IF($E$90=5,Dados!$AL$35,IF($E$90=6,Dados!$AN$35,IF($E$90=7,Dados!$AP$35,IF($E$90=8,Dados!$AT$35,0)))))))</f>
        <v>0</v>
      </c>
      <c r="GH27" s="316">
        <f>IF($E$91=2,Dados!$AE$35,IF($E$91=3,Dados!$AG$35,IF($E$91=4,Dados!$AI$35,IF($E$91=5,Dados!$AK$35,IF($E$91=6,Dados!$AM$35,IF($E$91=7,Dados!$AO$35,IF($E$91=8,Dados!$AS$35,0)))))))</f>
        <v>0</v>
      </c>
      <c r="GI27" s="304">
        <f>IF($E$91=2,Dados!$AF$35,IF($E$91=3,Dados!$AH$35,IF($E$91=4,Dados!$AJ$35,IF($E$91=5,Dados!$AL$35,IF($E$91=6,Dados!$AN$35,IF($E$91=7,Dados!$AP$35,IF($E$91=8,Dados!$AT$35,0)))))))</f>
        <v>0</v>
      </c>
      <c r="GJ27" s="316">
        <f>IF($E$92=2,Dados!$AE$35,IF($E$92=3,Dados!$AG$35,IF($E$92=4,Dados!$AI$35,IF($E$92=5,Dados!$AK$35,IF($E$92=6,Dados!$AM$35,IF($E$92=7,Dados!$AO$35,IF($E$92=8,Dados!$AS$35,0)))))))</f>
        <v>0</v>
      </c>
      <c r="GK27" s="304">
        <f>IF($E$92=2,Dados!$AF$35,IF($E$92=3,Dados!$AH$35,IF($E$92=4,Dados!$AJ$35,IF($E$92=5,Dados!$AL$35,IF($E$92=6,Dados!$AN$35,IF($E$92=7,Dados!$AP$35,IF($E$92=8,Dados!$AT$35,0)))))))</f>
        <v>0</v>
      </c>
      <c r="GM27" s="316">
        <f>IF($E$97=2,Dados!$AE$35,IF($E$97=3,Dados!$AG$35,IF($E$97=4,Dados!$AI$35,IF($E$97=5,Dados!$AK$35,IF($E$97=6,Dados!$AM$35,IF($E$97=7,Dados!$AO$35,IF($E$97=8,Dados!$AS$35,0)))))))</f>
        <v>0</v>
      </c>
      <c r="GN27" s="304">
        <f>IF($E$97=2,Dados!$AF$35,IF($E$97=3,Dados!$AH$35,IF($E$97=4,Dados!$AJ$35,IF($E$97=5,Dados!$AL$35,IF($E$97=6,Dados!$AN$35,IF($E$97=7,Dados!$AP$35,IF($E$97=8,Dados!$AT$35,0)))))))</f>
        <v>0</v>
      </c>
      <c r="GO27" s="316">
        <f>IF($E$98=2,Dados!$AE$35,IF($E$98=3,Dados!$AG$35,IF($E$98=4,Dados!$AI$35,IF($E$98=5,Dados!$AK$35,IF($E$98=6,Dados!$AM$35,IF($E$98=7,Dados!$AO$35,IF($E$98=8,Dados!$AS$35,0)))))))</f>
        <v>0</v>
      </c>
      <c r="GP27" s="304">
        <f>IF($E$98=2,Dados!$AF$35,IF($E$98=3,Dados!$AH$35,IF($E$98=4,Dados!$AJ$35,IF($E$98=5,Dados!$AL$35,IF($E$98=6,Dados!$AN$35,IF($E$98=7,Dados!$AP$35,IF($E$98=8,Dados!$AT$35,0)))))))</f>
        <v>0</v>
      </c>
      <c r="GQ27" s="316">
        <f>IF($E$99=2,Dados!$AE$35,IF($E$99=3,Dados!$AG$35,IF($E$99=4,Dados!$AI$35,IF($E$99=5,Dados!$AK$35,IF($E$99=6,Dados!$AM$35,IF($E$99=7,Dados!$AO$35,IF($E$99=8,Dados!$AS$35,0)))))))</f>
        <v>0</v>
      </c>
      <c r="GR27" s="304">
        <f>IF($E$99=2,Dados!$AF$35,IF($E$99=3,Dados!$AH$35,IF($E$99=4,Dados!$AJ$35,IF($E$99=5,Dados!$AL$35,IF($E$99=6,Dados!$AN$35,IF($E$99=7,Dados!$AP$35,IF($E$99=8,Dados!$AT$35,0)))))))</f>
        <v>0</v>
      </c>
      <c r="GS27" s="316">
        <f>IF($E$100=2,Dados!$AE$35,IF($E$100=3,Dados!$AG$35,IF($E$100=4,Dados!$AI$35,IF($E$100=5,Dados!$AK$35,IF($E$100=6,Dados!$AM$35,IF($E$100=7,Dados!$AO$35,IF($E$100=8,Dados!$AS$35,0)))))))</f>
        <v>0</v>
      </c>
      <c r="GT27" s="304">
        <f>IF($E$100=2,Dados!$AF$35,IF($E$100=3,Dados!$AH$35,IF($E$100=4,Dados!$AJ$35,IF($E$100=5,Dados!$AL$35,IF($E$100=6,Dados!$AN$35,IF($E$100=7,Dados!$AP$35,IF($E$100=8,Dados!$AT$35,0)))))))</f>
        <v>0</v>
      </c>
      <c r="GU27" s="316">
        <f>IF($E$101=2,Dados!$AE$35,IF($E$101=3,Dados!$AG$35,IF($E$101=4,Dados!$AI$35,IF($E$101=5,Dados!$AK$35,IF($E$101=6,Dados!$AM$35,IF($E$101=7,Dados!$AO$35,IF($E$101=8,Dados!$AS$35,0)))))))</f>
        <v>0</v>
      </c>
      <c r="GV27" s="304">
        <f>IF($E$101=2,Dados!$AF$35,IF($E$101=3,Dados!$AH$35,IF($E$101=4,Dados!$AJ$35,IF($E$101=5,Dados!$AL$35,IF($E$101=6,Dados!$AN$35,IF($E$101=7,Dados!$AP$35,IF($E$101=8,Dados!$AT$35,0)))))))</f>
        <v>0</v>
      </c>
      <c r="GX27" s="316">
        <f>IF($E$106=2,Dados!$AE$35,IF($E$106=3,Dados!$AG$35,IF($E$106=4,Dados!$AI$35,IF($E$106=5,Dados!$AK$35,IF($E$106=6,Dados!$AM$35,IF($E$106=7,Dados!$AO$35,IF($E$106=8,Dados!$AS$35,0)))))))</f>
        <v>0</v>
      </c>
      <c r="GY27" s="304">
        <f>IF($E$106=2,Dados!$AF$35,IF($E$106=3,Dados!$AH$35,IF($E$106=4,Dados!$AJ$35,IF($E$106=5,Dados!$AL$35,IF($E$106=6,Dados!$AN$35,IF($E$106=7,Dados!$AP$35,IF($E$106=8,Dados!$AT$35,0)))))))</f>
        <v>0</v>
      </c>
      <c r="GZ27" s="316">
        <f>IF($E$107=2,Dados!$AE$35,IF($E$107=3,Dados!$AG$35,IF($E$107=4,Dados!$AI$35,IF($E$107=5,Dados!$AK$35,IF($E$107=6,Dados!$AM$35,IF($E$107=7,Dados!$AO$35,IF($E$107=8,Dados!$AS$35,0)))))))</f>
        <v>0</v>
      </c>
      <c r="HA27" s="304">
        <f>IF($E$107=2,Dados!$AF$35,IF($E$107=3,Dados!$AH$35,IF($E$107=4,Dados!$AJ$35,IF($E$107=5,Dados!$AL$35,IF($E$107=6,Dados!$AN$35,IF($E$107=7,Dados!$AP$35,IF($E$107=8,Dados!$AT$35,0)))))))</f>
        <v>0</v>
      </c>
      <c r="HB27" s="316">
        <f>IF($E$108=2,Dados!$AE$35,IF($E$108=3,Dados!$AG$35,IF($E$108=4,Dados!$AI$35,IF($E$108=5,Dados!$AK$35,IF($E$108=6,Dados!$AM$35,IF($E$108=7,Dados!$AO$35,IF($E$108=8,Dados!$AS$35,0)))))))</f>
        <v>0</v>
      </c>
      <c r="HC27" s="304">
        <f>IF($E$108=2,Dados!$AF$35,IF($E$108=3,Dados!$AH$35,IF($E$108=4,Dados!$AJ$35,IF($E$108=5,Dados!$AL$35,IF($E$108=6,Dados!$AN$35,IF($E$108=7,Dados!$AP$35,IF($E$108=8,Dados!$AT$35,0)))))))</f>
        <v>0</v>
      </c>
      <c r="HD27" s="316">
        <f>IF($E$109=2,Dados!$AE$35,IF($E$109=3,Dados!$AG$35,IF($E$109=4,Dados!$AI$35,IF($E$109=5,Dados!$AK$35,IF($E$109=6,Dados!$AM$35,IF($E$109=7,Dados!$AO$35,IF($E$109=8,Dados!$AS$35,0)))))))</f>
        <v>0</v>
      </c>
      <c r="HE27" s="304">
        <f>IF($E$109=2,Dados!$AF$35,IF($E$109=3,Dados!$AH$35,IF($E$109=4,Dados!$AJ$35,IF($E$109=5,Dados!$AL$35,IF($E$109=6,Dados!$AN$35,IF($E$109=7,Dados!$AP$35,IF($E$109=8,Dados!$AT$35,0)))))))</f>
        <v>0</v>
      </c>
      <c r="HF27" s="316">
        <f>IF($E$110=2,Dados!$AE$35,IF($E$110=3,Dados!$AG$35,IF($E$110=4,Dados!$AI$35,IF($E$110=5,Dados!$AK$35,IF($E$110=6,Dados!$AM$35,IF($E$110=7,Dados!$AO$35,IF($E$110=8,Dados!$AS$35,0)))))))</f>
        <v>0</v>
      </c>
      <c r="HG27" s="304">
        <f>IF($E$110=2,Dados!$AF$35,IF($E$110=3,Dados!$AH$35,IF($E$110=4,Dados!$AJ$35,IF($E$110=5,Dados!$AL$35,IF($E$110=6,Dados!$AN$35,IF($E$110=7,Dados!$AP$35,IF($E$110=8,Dados!$AT$35,0)))))))</f>
        <v>0</v>
      </c>
    </row>
    <row r="28" spans="3:215" ht="15.75" customHeight="1" x14ac:dyDescent="0.2">
      <c r="C28" s="156">
        <f>IF(R28=1,0,S28)</f>
        <v>0</v>
      </c>
      <c r="D28" s="2721"/>
      <c r="E28" s="180">
        <v>1</v>
      </c>
      <c r="F28" s="2718">
        <v>1</v>
      </c>
      <c r="G28" s="2719"/>
      <c r="H28" s="284"/>
      <c r="I28" s="229"/>
      <c r="J28" s="314"/>
      <c r="K28" s="157"/>
      <c r="L28" s="305"/>
      <c r="M28" s="127">
        <f>IF(I28=1,K28,IF(I28=2,K28/J28,IF(I28=3,K28*L28,0)))</f>
        <v>0</v>
      </c>
      <c r="N28" s="128">
        <v>1</v>
      </c>
      <c r="O28" s="30">
        <v>1</v>
      </c>
      <c r="P28" s="837">
        <f>IF(N28=1,0,VLOOKUP(N28,Rebanho!$AN$45:$AV$72,4)*O28)</f>
        <v>0</v>
      </c>
      <c r="Q28" s="838">
        <f>VLOOKUP(N28,Rebanho!$AN$45:$AV$72,7)*O28</f>
        <v>0</v>
      </c>
      <c r="R28" s="3">
        <v>1</v>
      </c>
      <c r="S28" s="29"/>
      <c r="T28" s="102">
        <f>VLOOKUP(R28,'Mão-de-obra'!$CJ$10:$CL$29,3)</f>
        <v>0</v>
      </c>
      <c r="U28" s="102">
        <f>T28*S28</f>
        <v>0</v>
      </c>
      <c r="V28" s="127">
        <f>IF(I28=1,M28*P28,IF(I28=2,M28*Q28*L28,IF(I28=3,M28,0)))</f>
        <v>0</v>
      </c>
      <c r="W28" s="129">
        <f>U28+V28</f>
        <v>0</v>
      </c>
      <c r="X28" s="93">
        <v>1</v>
      </c>
      <c r="Y28" s="93">
        <v>1</v>
      </c>
      <c r="Z28" s="127">
        <f t="shared" si="8"/>
        <v>0</v>
      </c>
      <c r="AW28" s="3" t="s">
        <v>528</v>
      </c>
      <c r="AX28" s="94">
        <f>IF($E25=5,$V25,0)</f>
        <v>0</v>
      </c>
      <c r="AY28" s="94">
        <f>IF($E26=5,$V26,0)</f>
        <v>1380</v>
      </c>
      <c r="AZ28" s="94">
        <f>IF($E27=5,$V27,0)</f>
        <v>0</v>
      </c>
      <c r="BA28" s="94">
        <f>IF($E28=5,$V28,0)</f>
        <v>0</v>
      </c>
      <c r="BB28" s="94">
        <f>IF($E29=5,$V29,0)</f>
        <v>0</v>
      </c>
      <c r="BC28" s="200">
        <f t="shared" si="7"/>
        <v>1380</v>
      </c>
      <c r="CF28" s="93">
        <v>23</v>
      </c>
      <c r="CG28" s="316">
        <f>IF($E$7=2,Dados!$AE$36,IF($E$7=3,Dados!$AG$36,IF($E$7=4,Dados!$AI$36,IF($E$7=5,Dados!$AK$36,IF($E$7=6,Dados!$AM$36,IF($E$7=7,Dados!$AO$36,IF($E$7=8,Dados!$AS$36,0)))))))</f>
        <v>0</v>
      </c>
      <c r="CH28" s="304">
        <f>IF($E$7=2,Dados!$AF$36,IF($E$7=3,Dados!$AH$36,IF($E$7=4,Dados!$AJ$36,IF($E$7=5,Dados!$AL$36,IF($E$7=6,Dados!$AN$36,IF($E$7=7,Dados!$AP$36,IF($E$7=8,Dados!$AT$36,0)))))))</f>
        <v>0</v>
      </c>
      <c r="CI28" s="316">
        <f>IF($E$8=2,Dados!$AE$36,IF($E$8=3,Dados!$AG$36,IF($E$8=4,Dados!$AI$36,IF($E$8=5,Dados!$AK$36,IF($E$8=6,Dados!$AM$36,IF($E$8=7,Dados!$AO$36,IF($E$8=8,Dados!$AS$36,0)))))))</f>
        <v>0</v>
      </c>
      <c r="CJ28" s="304">
        <f>IF($E$8=2,Dados!$AF$36,IF($E$8=3,Dados!$AH$36,IF($E$8=4,Dados!$AJ$36,IF($E$8=5,Dados!$AL$36,IF($E$8=6,Dados!$AN$36,IF($E$8=7,Dados!$AP$36,IF($E$8=8,Dados!$AT$36,0)))))))</f>
        <v>0</v>
      </c>
      <c r="CK28" s="316">
        <f>IF($E$9=2,Dados!$AE$36,IF($E$9=3,Dados!$AG$36,IF($E$9=4,Dados!$AI$36,IF($E$9=5,Dados!$AK$36,IF($E$9=6,Dados!$AM$36,IF($E$9=7,Dados!$AO$36,IF($E$9=8,Dados!$AS$36,0)))))))</f>
        <v>0</v>
      </c>
      <c r="CL28" s="304">
        <f>IF($E$9=2,Dados!$AF$36,IF($E$9=3,Dados!$AH$36,IF($E$9=4,Dados!$AJ$36,IF($E$9=5,Dados!$AL$36,IF($E$9=6,Dados!$AN$36,IF($E$9=7,Dados!$AP$36,IF($E$9=8,Dados!$AT$36,0)))))))</f>
        <v>0</v>
      </c>
      <c r="CM28" s="316">
        <f>IF($E$10=2,Dados!$AE$36,IF($E$10=3,Dados!$AG$36,IF($E$10=4,Dados!$AI$36,IF($E$10=5,Dados!$AK$36,IF($E$10=6,Dados!$AM$36,IF($E$10=7,Dados!$AO$36,IF($E$10=8,Dados!$AS$36,0)))))))</f>
        <v>0</v>
      </c>
      <c r="CN28" s="304">
        <f>IF($E$10=2,Dados!$AF$36,IF($E$10=3,Dados!$AH$36,IF($E$10=4,Dados!$AJ$36,IF($E$10=5,Dados!$AL$36,IF($E$10=6,Dados!$AN$36,IF($E$10=7,Dados!$AP$36,IF($E$10=8,Dados!$AT$36,0)))))))</f>
        <v>0</v>
      </c>
      <c r="CO28" s="316">
        <f>IF($E$11=2,Dados!$AE$36,IF($E$11=3,Dados!$AG$36,IF($E$11=4,Dados!$AI$36,IF($E$11=5,Dados!$AK$36,IF($E$11=6,Dados!$AM$36,IF($E$11=7,Dados!$AO$36,IF($E$11=8,Dados!$AS$36,0)))))))</f>
        <v>0</v>
      </c>
      <c r="CP28" s="304">
        <f>IF($E$11=2,Dados!$AF$36,IF($E$11=3,Dados!$AH$36,IF($E$11=4,Dados!$AJ$36,IF($E$11=5,Dados!$AL$36,IF($E$11=6,Dados!$AN$36,IF($E$11=7,Dados!$AP$36,IF($E$11=8,Dados!$AT$36,0)))))))</f>
        <v>0</v>
      </c>
      <c r="CR28" s="316">
        <f>IF($E$16=2,Dados!$AE$36,IF($E$16=3,Dados!$AG$36,IF($E$16=4,Dados!$AI$36,IF($E$16=5,Dados!$AK$36,IF($E$16=6,Dados!$AM$36,IF($E$16=7,Dados!$AO$36,IF($E$16=8,Dados!$AS$36,0)))))))</f>
        <v>0</v>
      </c>
      <c r="CS28" s="304">
        <f>IF($E$16=2,Dados!$AF$36,IF($E$16=3,Dados!$AH$36,IF($E$16=4,Dados!$AJ$36,IF($E$16=5,Dados!$AL$36,IF($E$16=6,Dados!$AN$36,IF($E$16=7,Dados!$AP$36,IF($E$16=8,Dados!$AT$36,0)))))))</f>
        <v>0</v>
      </c>
      <c r="CT28" s="316">
        <f>IF($E$17=2,Dados!$AE$36,IF($E$17=3,Dados!$AG$36,IF($E$17=4,Dados!$AI$36,IF($E$17=5,Dados!$AK$36,IF($E$17=6,Dados!$AM$36,IF($E$17=7,Dados!$AO$36,IF($E$17=8,Dados!$AS$36,0)))))))</f>
        <v>0</v>
      </c>
      <c r="CU28" s="304">
        <f>IF($E$17=2,Dados!$AF$36,IF($E$17=3,Dados!$AH$36,IF($E$17=4,Dados!$AJ$36,IF($E$17=5,Dados!$AL$36,IF($E$17=6,Dados!$AN$36,IF($E$17=7,Dados!$AP$36,IF($E$17=8,Dados!$AT$36,0)))))))</f>
        <v>0</v>
      </c>
      <c r="CV28" s="316">
        <f>IF($E$18=2,Dados!$AE$36,IF($E$18=3,Dados!$AG$36,IF($E$18=4,Dados!$AI$36,IF($E$18=5,Dados!$AK$36,IF($E$18=6,Dados!$AM$36,IF($E$18=7,Dados!$AO$36,IF($E$18=8,Dados!$AS$36,0)))))))</f>
        <v>0</v>
      </c>
      <c r="CW28" s="304">
        <f>IF($E$18=2,Dados!$AF$36,IF($E$18=3,Dados!$AH$36,IF($E$18=4,Dados!$AJ$36,IF($E$18=5,Dados!$AL$36,IF($E$18=6,Dados!$AN$36,IF($E$18=7,Dados!$AP$36,IF($E$18=8,Dados!$AT$36,0)))))))</f>
        <v>0</v>
      </c>
      <c r="CX28" s="316">
        <f>IF($E$19=2,Dados!$AE$36,IF($E$19=3,Dados!$AG$36,IF($E$19=4,Dados!$AI$36,IF($E$19=5,Dados!$AK$36,IF($E$19=6,Dados!$AM$36,IF($E$19=7,Dados!$AO$36,IF($E$19=8,Dados!$AS$36,0)))))))</f>
        <v>0</v>
      </c>
      <c r="CY28" s="304">
        <f>IF($E$19=2,Dados!$AF$36,IF($E$19=3,Dados!$AH$36,IF($E$19=4,Dados!$AJ$36,IF($E$19=5,Dados!$AL$36,IF($E$19=6,Dados!$AN$36,IF($E$19=7,Dados!$AP$36,IF($E$19=8,Dados!$AT$36,0)))))))</f>
        <v>0</v>
      </c>
      <c r="CZ28" s="316">
        <f>IF($E$20=2,Dados!$AE$36,IF($E$20=3,Dados!$AG$36,IF($E$20=4,Dados!$AI$36,IF($E$20=5,Dados!$AK$36,IF($E$20=6,Dados!$AM$36,IF($E$20=7,Dados!$AO$36,IF($E$20=8,Dados!$AS$36,0)))))))</f>
        <v>0</v>
      </c>
      <c r="DA28" s="304">
        <f>IF($E$20=2,Dados!$AF$36,IF($E$20=3,Dados!$AH$36,IF($E$20=4,Dados!$AJ$36,IF($E$20=5,Dados!$AL$36,IF($E$20=6,Dados!$AN$36,IF($E$20=7,Dados!$AP$36,IF($E$20=8,Dados!$AT$36,0)))))))</f>
        <v>0</v>
      </c>
      <c r="DC28" s="316">
        <f>IF($E$25=2,Dados!$AE$36,IF($E$25=3,Dados!$AG$36,IF($E$25=4,Dados!$AI$36,IF($E$25=5,Dados!$AK$36,IF($E$25=6,Dados!$AM$36,IF($E$25=7,Dados!$AO$36,IF($E$25=8,Dados!$AS$36,0)))))))</f>
        <v>0</v>
      </c>
      <c r="DD28" s="304">
        <f>IF($E$25=2,Dados!$AF$36,IF($E$25=3,Dados!$AH$36,IF($E$25=4,Dados!$AJ$36,IF($E$25=5,Dados!$AL$36,IF($E$25=6,Dados!$AN$36,IF($E$25=7,Dados!$AP$36,IF($E$25=8,Dados!$AT$36,0)))))))</f>
        <v>0</v>
      </c>
      <c r="DE28" s="316">
        <f>IF($E$26=2,Dados!$AE$36,IF($E$26=3,Dados!$AG$36,IF($E$26=4,Dados!$AI$36,IF($E$26=5,Dados!$AK$36,IF($E$26=6,Dados!$AM$36,IF($E$26=7,Dados!$AO$36,IF($E$26=8,Dados!$AS$36,0)))))))</f>
        <v>0</v>
      </c>
      <c r="DF28" s="304">
        <f>IF($E$26=2,Dados!$AF$36,IF($E$26=3,Dados!$AH$36,IF($E$26=4,Dados!$AJ$36,IF($E$26=5,Dados!$AL$36,IF($E$26=6,Dados!$AN$36,IF($E$26=7,Dados!$AP$36,IF($E$26=8,Dados!$AT$36,0)))))))</f>
        <v>0</v>
      </c>
      <c r="DG28" s="316">
        <f>IF($E$27=2,Dados!$AE$36,IF($E$27=3,Dados!$AG$36,IF($E$27=4,Dados!$AI$36,IF($E$27=5,Dados!$AK$36,IF($E$27=6,Dados!$AM$36,IF($E$27=7,Dados!$AO$36,IF($E$27=8,Dados!$AS$36,0)))))))</f>
        <v>0</v>
      </c>
      <c r="DH28" s="304">
        <f>IF($E$27=2,Dados!$AF$36,IF($E$27=3,Dados!$AH$36,IF($E$27=4,Dados!$AJ$36,IF($E$27=5,Dados!$AL$36,IF($E$27=6,Dados!$AN$36,IF($E$27=7,Dados!$AP$36,IF($E$27=8,Dados!$AT$36,0)))))))</f>
        <v>0</v>
      </c>
      <c r="DI28" s="316">
        <f>IF($E$28=2,Dados!$AE$36,IF($E$28=3,Dados!$AG$36,IF($E$28=4,Dados!$AI$36,IF($E$28=5,Dados!$AK$36,IF($E$28=6,Dados!$AM$36,IF($E$28=7,Dados!$AO$36,IF($E$28=8,Dados!$AS$36,0)))))))</f>
        <v>0</v>
      </c>
      <c r="DJ28" s="304">
        <f>IF($E$28=2,Dados!$AF$36,IF($E$28=3,Dados!$AH$36,IF($E$28=4,Dados!$AJ$36,IF($E$28=5,Dados!$AL$36,IF($E$28=6,Dados!$AN$36,IF($E$28=7,Dados!$AP$36,IF($E$28=8,Dados!$AT$36,0)))))))</f>
        <v>0</v>
      </c>
      <c r="DK28" s="316">
        <f>IF($E$29=2,Dados!$AE$36,IF($E$29=3,Dados!$AG$36,IF($E$29=4,Dados!$AI$36,IF($E$29=5,Dados!$AK$36,IF($E$29=6,Dados!$AM$36,IF($E$29=7,Dados!$AO$36,IF($E$29=8,Dados!$AS$36,0)))))))</f>
        <v>0</v>
      </c>
      <c r="DL28" s="304">
        <f>IF($E$29=2,Dados!$AF$36,IF($E$29=3,Dados!$AH$36,IF($E$29=4,Dados!$AJ$36,IF($E$29=5,Dados!$AL$36,IF($E$29=6,Dados!$AN$36,IF($E$29=7,Dados!$AP$36,IF($E$29=8,Dados!$AT$36,0)))))))</f>
        <v>0</v>
      </c>
      <c r="DN28" s="316">
        <f>IF($E$34=2,Dados!$AE$36,IF($E$34=3,Dados!$AG$36,IF($E$34=4,Dados!$AI$36,IF($E$34=5,Dados!$AK$36,IF($E$34=6,Dados!$AM$36,IF($E$34=7,Dados!$AO$36,IF($E$34=8,Dados!$AS$36,0)))))))</f>
        <v>0</v>
      </c>
      <c r="DO28" s="304">
        <f>IF($E$34=2,Dados!$AF$36,IF($E$34=3,Dados!$AH$36,IF($E$34=4,Dados!$AJ$36,IF($E$34=5,Dados!$AL$36,IF($E$34=6,Dados!$AN$36,IF($E$34=7,Dados!$AP$36,IF($E$34=8,Dados!$AT$36,0)))))))</f>
        <v>0</v>
      </c>
      <c r="DP28" s="316">
        <f>IF($E$35=2,Dados!$AE$36,IF($E$35=3,Dados!$AG$36,IF($E$35=4,Dados!$AI$36,IF($E$35=5,Dados!$AK$36,IF($E$35=6,Dados!$AM$36,IF($E$35=7,Dados!$AO$36,IF($E$35=8,Dados!$AS$36,0)))))))</f>
        <v>0</v>
      </c>
      <c r="DQ28" s="304">
        <f>IF($E$35=2,Dados!$AF$36,IF($E$35=3,Dados!$AH$36,IF($E$35=4,Dados!$AJ$36,IF($E$35=5,Dados!$AL$36,IF($E$35=6,Dados!$AN$36,IF($E$35=7,Dados!$AP$36,IF($E$35=8,Dados!$AT$36,0)))))))</f>
        <v>0</v>
      </c>
      <c r="DR28" s="316">
        <f>IF($E$36=2,Dados!$AE$36,IF($E$36=3,Dados!$AG$36,IF($E$36=4,Dados!$AI$36,IF($E$36=5,Dados!$AK$36,IF($E$36=6,Dados!$AM$36,IF($E$36=7,Dados!$AO$36,IF($E$36=8,Dados!$AS$36,0)))))))</f>
        <v>0</v>
      </c>
      <c r="DS28" s="304">
        <f>IF($E$36=2,Dados!$AF$36,IF($E$36=3,Dados!$AH$36,IF($E$36=4,Dados!$AJ$36,IF($E$36=5,Dados!$AL$36,IF($E$36=6,Dados!$AN$36,IF($E$36=7,Dados!$AP$36,IF($E$36=8,Dados!$AT$36,0)))))))</f>
        <v>0</v>
      </c>
      <c r="DT28" s="316">
        <f>IF($E$37=2,Dados!$AE$36,IF($E$37=3,Dados!$AG$36,IF($E$37=4,Dados!$AI$36,IF($E$37=5,Dados!$AK$36,IF($E$37=6,Dados!$AM$36,IF($E$37=7,Dados!$AO$36,IF($E$37=8,Dados!$AS$36,0)))))))</f>
        <v>0</v>
      </c>
      <c r="DU28" s="304">
        <f>IF($E$37=2,Dados!$AF$36,IF($E$37=3,Dados!$AH$36,IF($E$37=4,Dados!$AJ$36,IF($E$37=5,Dados!$AL$36,IF($E$37=6,Dados!$AN$36,IF($E$37=7,Dados!$AP$36,IF($E$37=8,Dados!$AT$36,0)))))))</f>
        <v>0</v>
      </c>
      <c r="DV28" s="316">
        <f>IF($E$38=2,Dados!$AE$36,IF($E$38=3,Dados!$AG$36,IF($E$38=4,Dados!$AI$36,IF($E$38=5,Dados!$AK$36,IF($E$38=6,Dados!$AM$36,IF($E$38=7,Dados!$AO$36,IF($E$38=8,Dados!$AS$36,0)))))))</f>
        <v>0</v>
      </c>
      <c r="DW28" s="304">
        <f>IF($E$38=2,Dados!$AF$36,IF($E$38=3,Dados!$AH$36,IF($E$38=4,Dados!$AJ$36,IF($E$38=5,Dados!$AL$36,IF($E$38=6,Dados!$AN$36,IF($E$38=7,Dados!$AP$36,IF($E$38=8,Dados!$AT$36,0)))))))</f>
        <v>0</v>
      </c>
      <c r="DY28" s="316">
        <f>IF($E$43=2,Dados!$AE$36,IF($E$43=3,Dados!$AG$36,IF($E$43=4,Dados!$AI$36,IF($E$43=5,Dados!$AK$36,IF($E$43=6,Dados!$AM$36,IF($E$43=7,Dados!$AO$36,IF($E$43=8,Dados!$AS$36,0)))))))</f>
        <v>0</v>
      </c>
      <c r="DZ28" s="304">
        <f>IF($E$43=2,Dados!$AF$36,IF($E$43=3,Dados!$AH$36,IF($E$43=4,Dados!$AJ$36,IF($E$43=5,Dados!$AL$36,IF($E$43=6,Dados!$AN$36,IF($E$43=7,Dados!$AP$36,IF($E$43=8,Dados!$AT$36,0)))))))</f>
        <v>0</v>
      </c>
      <c r="EA28" s="316">
        <f>IF($E$44=2,Dados!$AE$36,IF($E$44=3,Dados!$AG$36,IF($E$44=4,Dados!$AI$36,IF($E$44=5,Dados!$AK$36,IF($E$44=6,Dados!$AM$36,IF($E$44=7,Dados!$AO$36,IF($E$44=8,Dados!$AS$36,0)))))))</f>
        <v>0</v>
      </c>
      <c r="EB28" s="304">
        <f>IF($E$44=2,Dados!$AF$36,IF($E$44=3,Dados!$AH$36,IF($E$44=4,Dados!$AJ$36,IF($E$44=5,Dados!$AL$36,IF($E$44=6,Dados!$AN$36,IF($E$44=7,Dados!$AP$36,IF($E$44=8,Dados!$AT$36,0)))))))</f>
        <v>0</v>
      </c>
      <c r="EC28" s="316">
        <f>IF($E$45=2,Dados!$AE$36,IF($E$45=3,Dados!$AG$36,IF($E$45=4,Dados!$AI$36,IF($E$45=5,Dados!$AK$36,IF($E$45=6,Dados!$AM$36,IF($E$45=7,Dados!$AO$36,IF($E$45=8,Dados!$AS$36,0)))))))</f>
        <v>0</v>
      </c>
      <c r="ED28" s="304">
        <f>IF($E$45=2,Dados!$AF$36,IF($E$45=3,Dados!$AH$36,IF($E$45=4,Dados!$AJ$36,IF($E$45=5,Dados!$AL$36,IF($E$45=6,Dados!$AN$36,IF($E$45=7,Dados!$AP$36,IF($E$45=8,Dados!$AT$36,0)))))))</f>
        <v>0</v>
      </c>
      <c r="EE28" s="316">
        <f>IF($E$46=2,Dados!$AE$36,IF($E$46=3,Dados!$AG$36,IF($E$46=4,Dados!$AI$36,IF($E$46=5,Dados!$AK$36,IF($E$46=6,Dados!$AM$36,IF($E$46=7,Dados!$AO$36,IF($E$46=8,Dados!$AS$36,0)))))))</f>
        <v>0</v>
      </c>
      <c r="EF28" s="304">
        <f>IF($E$46=2,Dados!$AF$36,IF($E$46=3,Dados!$AH$36,IF($E$46=4,Dados!$AJ$36,IF($E$46=5,Dados!$AL$36,IF($E$46=6,Dados!$AN$36,IF($E$46=7,Dados!$AP$36,IF($E$46=8,Dados!$AT$36,0)))))))</f>
        <v>0</v>
      </c>
      <c r="EG28" s="316">
        <f>IF($E$47=2,Dados!$AE$36,IF($E$47=3,Dados!$AG$36,IF($E$47=4,Dados!$AI$36,IF($E$47=5,Dados!$AK$36,IF($E$47=6,Dados!$AM$36,IF($E$47=7,Dados!$AO$36,IF($E$47=8,Dados!$AS$36,0)))))))</f>
        <v>0</v>
      </c>
      <c r="EH28" s="304">
        <f>IF($E$47=2,Dados!$AF$36,IF($E$47=3,Dados!$AH$36,IF($E$47=4,Dados!$AJ$36,IF($E$47=5,Dados!$AL$36,IF($E$47=6,Dados!$AN$36,IF($E$47=7,Dados!$AP$36,IF($E$47=8,Dados!$AT$36,0)))))))</f>
        <v>0</v>
      </c>
      <c r="EJ28" s="316">
        <f>IF($E$52=2,Dados!$AE$36,IF($E$52=3,Dados!$AG$36,IF($E$52=4,Dados!$AI$36,IF($E$52=5,Dados!$AK$36,IF($E$52=6,Dados!$AM$36,IF($E$52=7,Dados!$AO$36,IF($E$52=8,Dados!$AS$36,0)))))))</f>
        <v>0</v>
      </c>
      <c r="EK28" s="304">
        <f>IF($E$52=2,Dados!$AF$36,IF($E$52=3,Dados!$AH$36,IF($E$52=4,Dados!$AJ$36,IF($E$52=5,Dados!$AL$36,IF($E$52=6,Dados!$AN$36,IF($E$52=7,Dados!$AP$36,IF($E$52=8,Dados!$AT$36,0)))))))</f>
        <v>0</v>
      </c>
      <c r="EL28" s="316">
        <f>IF($E$53=2,Dados!$AE$36,IF($E$53=3,Dados!$AG$36,IF($E$53=4,Dados!$AI$36,IF($E$53=5,Dados!$AK$36,IF($E$53=6,Dados!$AM$36,IF($E$53=7,Dados!$AO$36,IF($E$53=8,Dados!$AS$36,0)))))))</f>
        <v>0</v>
      </c>
      <c r="EM28" s="304">
        <f>IF($E$53=2,Dados!$AF$36,IF($E$53=3,Dados!$AH$36,IF($E$53=4,Dados!$AJ$36,IF($E$53=5,Dados!$AL$36,IF($E$53=6,Dados!$AN$36,IF($E$53=7,Dados!$AP$36,IF($E$53=8,Dados!$AT$36,0)))))))</f>
        <v>0</v>
      </c>
      <c r="EN28" s="316">
        <f>IF($E$54=2,Dados!$AE$36,IF($E$54=3,Dados!$AG$36,IF($E$54=4,Dados!$AI$36,IF($E$54=5,Dados!$AK$36,IF($E$54=6,Dados!$AM$36,IF($E$54=7,Dados!$AO$36,IF($E$54=8,Dados!$AS$36,0)))))))</f>
        <v>0</v>
      </c>
      <c r="EO28" s="304">
        <f>IF($E$54=2,Dados!$AF$36,IF($E$54=3,Dados!$AH$36,IF($E$54=4,Dados!$AJ$36,IF($E$54=5,Dados!$AL$36,IF($E$54=6,Dados!$AN$36,IF($E$54=7,Dados!$AP$36,IF($E$54=8,Dados!$AT$36,0)))))))</f>
        <v>0</v>
      </c>
      <c r="EP28" s="316">
        <f>IF($E$55=2,Dados!$AE$36,IF($E$55=3,Dados!$AG$36,IF($E$55=4,Dados!$AI$36,IF($E$55=5,Dados!$AK$36,IF($E$55=6,Dados!$AM$36,IF($E$55=7,Dados!$AO$36,IF($E$55=8,Dados!$AS$36,0)))))))</f>
        <v>0</v>
      </c>
      <c r="EQ28" s="304">
        <f>IF($E$55=2,Dados!$AF$36,IF($E$55=3,Dados!$AH$36,IF($E$55=4,Dados!$AJ$36,IF($E$55=5,Dados!$AL$36,IF($E$55=6,Dados!$AN$36,IF($E$55=7,Dados!$AP$36,IF($E$55=8,Dados!$AT$36,0)))))))</f>
        <v>0</v>
      </c>
      <c r="ER28" s="316">
        <f>IF($E$56=2,Dados!$AE$36,IF($E$56=3,Dados!$AG$36,IF($E$56=4,Dados!$AI$36,IF($E$56=5,Dados!$AK$36,IF($E$56=6,Dados!$AM$36,IF($E$56=7,Dados!$AO$36,IF($E$56=8,Dados!$AS$36,0)))))))</f>
        <v>0</v>
      </c>
      <c r="ES28" s="304">
        <f>IF($E$56=2,Dados!$AF$36,IF($E$56=3,Dados!$AH$36,IF($E$56=4,Dados!$AJ$36,IF($E$56=5,Dados!$AL$36,IF($E$56=6,Dados!$AN$36,IF($E$56=7,Dados!$AP$36,IF($E$56=8,Dados!$AT$36,0)))))))</f>
        <v>0</v>
      </c>
      <c r="EU28" s="316">
        <f>IF($E$61=2,Dados!$AE$36,IF($E$61=3,Dados!$AG$36,IF($E$61=4,Dados!$AI$36,IF($E$61=5,Dados!$AK$36,IF($E$61=6,Dados!$AM$36,IF($E$61=7,Dados!$AO$36,IF($E$61=8,Dados!$AS$36,0)))))))</f>
        <v>0</v>
      </c>
      <c r="EV28" s="304">
        <f>IF($E$61=2,Dados!$AF$36,IF($E$61=3,Dados!$AH$36,IF($E$61=4,Dados!$AJ$36,IF($E$61=5,Dados!$AL$36,IF($E$61=6,Dados!$AN$36,IF($E$61=7,Dados!$AP$36,IF($E$61=8,Dados!$AT$36,0)))))))</f>
        <v>0</v>
      </c>
      <c r="EW28" s="316">
        <f>IF($E$62=2,Dados!$AE$36,IF($E$62=3,Dados!$AG$36,IF($E$62=4,Dados!$AI$36,IF($E$62=5,Dados!$AK$36,IF($E$62=6,Dados!$AM$36,IF($E$62=7,Dados!$AO$36,IF($E$62=8,Dados!$AS$36,0)))))))</f>
        <v>0</v>
      </c>
      <c r="EX28" s="304">
        <f>IF($E$62=2,Dados!$AF$36,IF($E$62=3,Dados!$AH$36,IF($E$62=4,Dados!$AJ$36,IF($E$62=5,Dados!$AL$36,IF($E$62=6,Dados!$AN$36,IF($E$62=7,Dados!$AP$36,IF($E$62=8,Dados!$AT$36,0)))))))</f>
        <v>0</v>
      </c>
      <c r="EY28" s="316">
        <f>IF($E$63=2,Dados!$AE$36,IF($E$63=3,Dados!$AG$36,IF($E$63=4,Dados!$AI$36,IF($E$63=5,Dados!$AK$36,IF($E$63=6,Dados!$AM$36,IF($E$63=7,Dados!$AO$36,IF($E$63=8,Dados!$AS$36,0)))))))</f>
        <v>0</v>
      </c>
      <c r="EZ28" s="304">
        <f>IF($E$63=2,Dados!$AF$36,IF($E$63=3,Dados!$AH$36,IF($E$63=4,Dados!$AJ$36,IF($E$63=5,Dados!$AL$36,IF($E$63=6,Dados!$AN$36,IF($E$63=7,Dados!$AP$36,IF($E$63=8,Dados!$AT$36,0)))))))</f>
        <v>0</v>
      </c>
      <c r="FA28" s="316">
        <f>IF($E$64=2,Dados!$AE$36,IF($E$64=3,Dados!$AG$36,IF($E$64=4,Dados!$AI$36,IF($E$64=5,Dados!$AK$36,IF($E$64=6,Dados!$AM$36,IF($E$64=7,Dados!$AO$36,IF($E$64=8,Dados!$AS$36,0)))))))</f>
        <v>0</v>
      </c>
      <c r="FB28" s="304">
        <f>IF($E$64=2,Dados!$AF$36,IF($E$64=3,Dados!$AH$36,IF($E$64=4,Dados!$AJ$36,IF($E$64=5,Dados!$AL$36,IF($E$64=6,Dados!$AN$36,IF($E$64=7,Dados!$AP$36,IF($E$64=8,Dados!$AT$36,0)))))))</f>
        <v>0</v>
      </c>
      <c r="FC28" s="316">
        <f>IF($E$65=2,Dados!$AE$36,IF($E$65=3,Dados!$AG$36,IF($E$65=4,Dados!$AI$36,IF($E$65=5,Dados!$AK$36,IF($E$65=6,Dados!$AM$36,IF($E$65=7,Dados!$AO$36,IF($E$65=8,Dados!$AS$36,0)))))))</f>
        <v>0</v>
      </c>
      <c r="FD28" s="304">
        <f>IF($E$65=2,Dados!$AF$36,IF($E$65=3,Dados!$AH$36,IF($E$65=4,Dados!$AJ$36,IF($E$65=5,Dados!$AL$36,IF($E$65=6,Dados!$AN$36,IF($E$65=7,Dados!$AP$36,IF($E$65=8,Dados!$AT$36,0)))))))</f>
        <v>0</v>
      </c>
      <c r="FF28" s="316">
        <f>IF($E$70=2,Dados!$AE$36,IF($E$70=3,Dados!$AG$36,IF($E$70=4,Dados!$AI$36,IF($E$70=5,Dados!$AK$36,IF($E$70=6,Dados!$AM$36,IF($E$70=7,Dados!$AO$36,IF($E$70=8,Dados!$AS$36,0)))))))</f>
        <v>0</v>
      </c>
      <c r="FG28" s="304">
        <f>IF($E$70=2,Dados!$AF$36,IF($E$70=3,Dados!$AH$36,IF($E$70=4,Dados!$AJ$36,IF($E$70=5,Dados!$AL$36,IF($E$70=6,Dados!$AN$36,IF($E$70=7,Dados!$AP$36,IF($E$70=8,Dados!$AT$36,0)))))))</f>
        <v>0</v>
      </c>
      <c r="FH28" s="316">
        <f>IF($E$71=2,Dados!$AE$36,IF($E$71=3,Dados!$AG$36,IF($E$71=4,Dados!$AI$36,IF($E$71=5,Dados!$AK$36,IF($E$71=6,Dados!$AM$36,IF($E$71=7,Dados!$AO$36,IF($E$71=8,Dados!$AS$36,0)))))))</f>
        <v>0</v>
      </c>
      <c r="FI28" s="304">
        <f>IF($E$71=2,Dados!$AF$36,IF($E$71=3,Dados!$AH$36,IF($E$71=4,Dados!$AJ$36,IF($E$71=5,Dados!$AL$36,IF($E$71=6,Dados!$AN$36,IF($E$71=7,Dados!$AP$36,IF($E$71=8,Dados!$AT$36,0)))))))</f>
        <v>0</v>
      </c>
      <c r="FJ28" s="316">
        <f>IF($E$72=2,Dados!$AE$36,IF($E$72=3,Dados!$AG$36,IF($E$72=4,Dados!$AI$36,IF($E$72=5,Dados!$AK$36,IF($E$72=6,Dados!$AM$36,IF($E$72=7,Dados!$AO$36,IF($E$72=8,Dados!$AS$36,0)))))))</f>
        <v>0</v>
      </c>
      <c r="FK28" s="304">
        <f>IF($E$72=2,Dados!$AF$36,IF($E$72=3,Dados!$AH$36,IF($E$72=4,Dados!$AJ$36,IF($E$72=5,Dados!$AL$36,IF($E$72=6,Dados!$AN$36,IF($E$72=7,Dados!$AP$36,IF($E$72=8,Dados!$AT$36,0)))))))</f>
        <v>0</v>
      </c>
      <c r="FL28" s="316">
        <f>IF($E$73=2,Dados!$AE$36,IF($E$73=3,Dados!$AG$36,IF($E$73=4,Dados!$AI$36,IF($E$73=5,Dados!$AK$36,IF($E$73=6,Dados!$AM$36,IF($E$73=7,Dados!$AO$36,IF($E$73=8,Dados!$AS$36,0)))))))</f>
        <v>0</v>
      </c>
      <c r="FM28" s="304">
        <f>IF($E$73=2,Dados!$AF$36,IF($E$73=3,Dados!$AH$36,IF($E$73=4,Dados!$AJ$36,IF($E$73=5,Dados!$AL$36,IF($E$73=6,Dados!$AN$36,IF($E$73=7,Dados!$AP$36,IF($E$73=8,Dados!$AT$36,0)))))))</f>
        <v>0</v>
      </c>
      <c r="FN28" s="316">
        <f>IF($E$74=2,Dados!$AE$36,IF($E$74=3,Dados!$AG$36,IF($E$74=4,Dados!$AI$36,IF($E$74=5,Dados!$AK$36,IF($E$74=6,Dados!$AM$36,IF($E$74=7,Dados!$AO$36,IF($E$74=8,Dados!$AS$36,0)))))))</f>
        <v>0</v>
      </c>
      <c r="FO28" s="304">
        <f>IF($E$74=2,Dados!$AF$36,IF($E$74=3,Dados!$AH$36,IF($E$74=4,Dados!$AJ$36,IF($E$74=5,Dados!$AL$36,IF($E$74=6,Dados!$AN$36,IF($E$74=7,Dados!$AP$36,IF($E$74=8,Dados!$AT$36,0)))))))</f>
        <v>0</v>
      </c>
      <c r="FQ28" s="316">
        <f>IF($E$79=2,Dados!$AE$36,IF($E$79=3,Dados!$AG$36,IF($E$79=4,Dados!$AI$36,IF($E$79=5,Dados!$AK$36,IF($E$79=6,Dados!$AM$36,IF($E$79=7,Dados!$AO$36,IF($E$79=8,Dados!$AS$36,0)))))))</f>
        <v>0</v>
      </c>
      <c r="FR28" s="304">
        <f>IF($E$79=2,Dados!$AF$36,IF($E$79=3,Dados!$AH$36,IF($E$79=4,Dados!$AJ$36,IF($E$79=5,Dados!$AL$36,IF($E$79=6,Dados!$AN$36,IF($E$79=7,Dados!$AP$36,IF($E$79=8,Dados!$AT$36,0)))))))</f>
        <v>0</v>
      </c>
      <c r="FS28" s="316">
        <f>IF($E$80=2,Dados!$AE$36,IF($E$80=3,Dados!$AG$36,IF($E$80=4,Dados!$AI$36,IF($E$80=5,Dados!$AK$36,IF($E$80=6,Dados!$AM$36,IF($E$80=7,Dados!$AO$36,IF($E$80=8,Dados!$AS$36,0)))))))</f>
        <v>0</v>
      </c>
      <c r="FT28" s="304">
        <f>IF($E$80=2,Dados!$AF$36,IF($E$80=3,Dados!$AH$36,IF($E$80=4,Dados!$AJ$36,IF($E$80=5,Dados!$AL$36,IF($E$80=6,Dados!$AN$36,IF($E$80=7,Dados!$AP$36,IF($E$80=8,Dados!$AT$36,0)))))))</f>
        <v>0</v>
      </c>
      <c r="FU28" s="316">
        <f>IF($E$81=2,Dados!$AE$36,IF($E$81=3,Dados!$AG$36,IF($E$81=4,Dados!$AI$36,IF($E$81=5,Dados!$AK$36,IF($E$81=6,Dados!$AM$36,IF($E$81=7,Dados!$AO$36,IF($E$81=8,Dados!$AS$36,0)))))))</f>
        <v>0</v>
      </c>
      <c r="FV28" s="304">
        <f>IF($E$81=2,Dados!$AF$36,IF($E$81=3,Dados!$AH$36,IF($E$81=4,Dados!$AJ$36,IF($E$81=5,Dados!$AL$36,IF($E$81=6,Dados!$AN$36,IF($E$81=7,Dados!$AP$36,IF($E$81=8,Dados!$AT$36,0)))))))</f>
        <v>0</v>
      </c>
      <c r="FW28" s="316">
        <f>IF($E$82=2,Dados!$AE$36,IF($E$82=3,Dados!$AG$36,IF($E$82=4,Dados!$AI$36,IF($E$82=5,Dados!$AK$36,IF($E$82=6,Dados!$AM$36,IF($E$82=7,Dados!$AO$36,IF($E$82=8,Dados!$AS$36,0)))))))</f>
        <v>0</v>
      </c>
      <c r="FX28" s="304">
        <f>IF($E$82=2,Dados!$AF$36,IF($E$82=3,Dados!$AH$36,IF($E$82=4,Dados!$AJ$36,IF($E$82=5,Dados!$AL$36,IF($E$82=6,Dados!$AN$36,IF($E$82=7,Dados!$AP$36,IF($E$82=8,Dados!$AT$36,0)))))))</f>
        <v>0</v>
      </c>
      <c r="FY28" s="316">
        <f>IF($E$83=2,Dados!$AE$36,IF($E$83=3,Dados!$AG$36,IF($E$83=4,Dados!$AI$36,IF($E$83=5,Dados!$AK$36,IF($E$83=6,Dados!$AM$36,IF($E$83=7,Dados!$AO$36,IF($E$83=8,Dados!$AS$36,0)))))))</f>
        <v>0</v>
      </c>
      <c r="FZ28" s="304">
        <f>IF($E$83=2,Dados!$AF$36,IF($E$83=3,Dados!$AH$36,IF($E$83=4,Dados!$AJ$36,IF($E$83=5,Dados!$AL$36,IF($E$83=6,Dados!$AN$36,IF($E$83=7,Dados!$AP$36,IF($E$83=8,Dados!$AT$36,0)))))))</f>
        <v>0</v>
      </c>
      <c r="GB28" s="316">
        <f>IF($E$88=2,Dados!$AE$36,IF($E$88=3,Dados!$AG$36,IF($E$88=4,Dados!$AI$36,IF($E$88=5,Dados!$AK$36,IF($E$88=6,Dados!$AM$36,IF($E$88=7,Dados!$AO$36,IF($E$88=8,Dados!$AS$36,0)))))))</f>
        <v>0</v>
      </c>
      <c r="GC28" s="304">
        <f>IF($E$88=2,Dados!$AF$36,IF($E$88=3,Dados!$AH$36,IF($E$88=4,Dados!$AJ$36,IF($E$88=5,Dados!$AL$36,IF($E$88=6,Dados!$AN$36,IF($E$88=7,Dados!$AP$36,IF($E$88=8,Dados!$AT$36,0)))))))</f>
        <v>0</v>
      </c>
      <c r="GD28" s="316">
        <f>IF($E$89=2,Dados!$AE$36,IF($E$89=3,Dados!$AG$36,IF($E$89=4,Dados!$AI$36,IF($E$89=5,Dados!$AK$36,IF($E$89=6,Dados!$AM$36,IF($E$89=7,Dados!$AO$36,IF($E$89=8,Dados!$AS$36,0)))))))</f>
        <v>0</v>
      </c>
      <c r="GE28" s="304">
        <f>IF($E$89=2,Dados!$AF$36,IF($E$89=3,Dados!$AH$36,IF($E$89=4,Dados!$AJ$36,IF($E$89=5,Dados!$AL$36,IF($E$89=6,Dados!$AN$36,IF($E$89=7,Dados!$AP$36,IF($E$89=8,Dados!$AT$36,0)))))))</f>
        <v>0</v>
      </c>
      <c r="GF28" s="316">
        <f>IF($E$90=2,Dados!$AE$36,IF($E$90=3,Dados!$AG$36,IF($E$90=4,Dados!$AI$36,IF($E$90=5,Dados!$AK$36,IF($E$90=6,Dados!$AM$36,IF($E$90=7,Dados!$AO$36,IF($E$90=8,Dados!$AS$36,0)))))))</f>
        <v>0</v>
      </c>
      <c r="GG28" s="304">
        <f>IF($E$90=2,Dados!$AF$36,IF($E$90=3,Dados!$AH$36,IF($E$90=4,Dados!$AJ$36,IF($E$90=5,Dados!$AL$36,IF($E$90=6,Dados!$AN$36,IF($E$90=7,Dados!$AP$36,IF($E$90=8,Dados!$AT$36,0)))))))</f>
        <v>0</v>
      </c>
      <c r="GH28" s="316">
        <f>IF($E$91=2,Dados!$AE$36,IF($E$91=3,Dados!$AG$36,IF($E$91=4,Dados!$AI$36,IF($E$91=5,Dados!$AK$36,IF($E$91=6,Dados!$AM$36,IF($E$91=7,Dados!$AO$36,IF($E$91=8,Dados!$AS$36,0)))))))</f>
        <v>0</v>
      </c>
      <c r="GI28" s="304">
        <f>IF($E$91=2,Dados!$AF$36,IF($E$91=3,Dados!$AH$36,IF($E$91=4,Dados!$AJ$36,IF($E$91=5,Dados!$AL$36,IF($E$91=6,Dados!$AN$36,IF($E$91=7,Dados!$AP$36,IF($E$91=8,Dados!$AT$36,0)))))))</f>
        <v>0</v>
      </c>
      <c r="GJ28" s="316">
        <f>IF($E$92=2,Dados!$AE$36,IF($E$92=3,Dados!$AG$36,IF($E$92=4,Dados!$AI$36,IF($E$92=5,Dados!$AK$36,IF($E$92=6,Dados!$AM$36,IF($E$92=7,Dados!$AO$36,IF($E$92=8,Dados!$AS$36,0)))))))</f>
        <v>0</v>
      </c>
      <c r="GK28" s="304">
        <f>IF($E$92=2,Dados!$AF$36,IF($E$92=3,Dados!$AH$36,IF($E$92=4,Dados!$AJ$36,IF($E$92=5,Dados!$AL$36,IF($E$92=6,Dados!$AN$36,IF($E$92=7,Dados!$AP$36,IF($E$92=8,Dados!$AT$36,0)))))))</f>
        <v>0</v>
      </c>
      <c r="GM28" s="316">
        <f>IF($E$97=2,Dados!$AE$36,IF($E$97=3,Dados!$AG$36,IF($E$97=4,Dados!$AI$36,IF($E$97=5,Dados!$AK$36,IF($E$97=6,Dados!$AM$36,IF($E$97=7,Dados!$AO$36,IF($E$97=8,Dados!$AS$36,0)))))))</f>
        <v>0</v>
      </c>
      <c r="GN28" s="304">
        <f>IF($E$97=2,Dados!$AF$36,IF($E$97=3,Dados!$AH$36,IF($E$97=4,Dados!$AJ$36,IF($E$97=5,Dados!$AL$36,IF($E$97=6,Dados!$AN$36,IF($E$97=7,Dados!$AP$36,IF($E$97=8,Dados!$AT$36,0)))))))</f>
        <v>0</v>
      </c>
      <c r="GO28" s="316">
        <f>IF($E$98=2,Dados!$AE$36,IF($E$98=3,Dados!$AG$36,IF($E$98=4,Dados!$AI$36,IF($E$98=5,Dados!$AK$36,IF($E$98=6,Dados!$AM$36,IF($E$98=7,Dados!$AO$36,IF($E$98=8,Dados!$AS$36,0)))))))</f>
        <v>0</v>
      </c>
      <c r="GP28" s="304">
        <f>IF($E$98=2,Dados!$AF$36,IF($E$98=3,Dados!$AH$36,IF($E$98=4,Dados!$AJ$36,IF($E$98=5,Dados!$AL$36,IF($E$98=6,Dados!$AN$36,IF($E$98=7,Dados!$AP$36,IF($E$98=8,Dados!$AT$36,0)))))))</f>
        <v>0</v>
      </c>
      <c r="GQ28" s="316">
        <f>IF($E$99=2,Dados!$AE$36,IF($E$99=3,Dados!$AG$36,IF($E$99=4,Dados!$AI$36,IF($E$99=5,Dados!$AK$36,IF($E$99=6,Dados!$AM$36,IF($E$99=7,Dados!$AO$36,IF($E$99=8,Dados!$AS$36,0)))))))</f>
        <v>0</v>
      </c>
      <c r="GR28" s="304">
        <f>IF($E$99=2,Dados!$AF$36,IF($E$99=3,Dados!$AH$36,IF($E$99=4,Dados!$AJ$36,IF($E$99=5,Dados!$AL$36,IF($E$99=6,Dados!$AN$36,IF($E$99=7,Dados!$AP$36,IF($E$99=8,Dados!$AT$36,0)))))))</f>
        <v>0</v>
      </c>
      <c r="GS28" s="316">
        <f>IF($E$100=2,Dados!$AE$36,IF($E$100=3,Dados!$AG$36,IF($E$100=4,Dados!$AI$36,IF($E$100=5,Dados!$AK$36,IF($E$100=6,Dados!$AM$36,IF($E$100=7,Dados!$AO$36,IF($E$100=8,Dados!$AS$36,0)))))))</f>
        <v>0</v>
      </c>
      <c r="GT28" s="304">
        <f>IF($E$100=2,Dados!$AF$36,IF($E$100=3,Dados!$AH$36,IF($E$100=4,Dados!$AJ$36,IF($E$100=5,Dados!$AL$36,IF($E$100=6,Dados!$AN$36,IF($E$100=7,Dados!$AP$36,IF($E$100=8,Dados!$AT$36,0)))))))</f>
        <v>0</v>
      </c>
      <c r="GU28" s="316">
        <f>IF($E$101=2,Dados!$AE$36,IF($E$101=3,Dados!$AG$36,IF($E$101=4,Dados!$AI$36,IF($E$101=5,Dados!$AK$36,IF($E$101=6,Dados!$AM$36,IF($E$101=7,Dados!$AO$36,IF($E$101=8,Dados!$AS$36,0)))))))</f>
        <v>0</v>
      </c>
      <c r="GV28" s="304">
        <f>IF($E$101=2,Dados!$AF$36,IF($E$101=3,Dados!$AH$36,IF($E$101=4,Dados!$AJ$36,IF($E$101=5,Dados!$AL$36,IF($E$101=6,Dados!$AN$36,IF($E$101=7,Dados!$AP$36,IF($E$101=8,Dados!$AT$36,0)))))))</f>
        <v>0</v>
      </c>
      <c r="GX28" s="316">
        <f>IF($E$106=2,Dados!$AE$36,IF($E$106=3,Dados!$AG$36,IF($E$106=4,Dados!$AI$36,IF($E$106=5,Dados!$AK$36,IF($E$106=6,Dados!$AM$36,IF($E$106=7,Dados!$AO$36,IF($E$106=8,Dados!$AS$36,0)))))))</f>
        <v>0</v>
      </c>
      <c r="GY28" s="304">
        <f>IF($E$106=2,Dados!$AF$36,IF($E$106=3,Dados!$AH$36,IF($E$106=4,Dados!$AJ$36,IF($E$106=5,Dados!$AL$36,IF($E$106=6,Dados!$AN$36,IF($E$106=7,Dados!$AP$36,IF($E$106=8,Dados!$AT$36,0)))))))</f>
        <v>0</v>
      </c>
      <c r="GZ28" s="316">
        <f>IF($E$107=2,Dados!$AE$36,IF($E$107=3,Dados!$AG$36,IF($E$107=4,Dados!$AI$36,IF($E$107=5,Dados!$AK$36,IF($E$107=6,Dados!$AM$36,IF($E$107=7,Dados!$AO$36,IF($E$107=8,Dados!$AS$36,0)))))))</f>
        <v>0</v>
      </c>
      <c r="HA28" s="304">
        <f>IF($E$107=2,Dados!$AF$36,IF($E$107=3,Dados!$AH$36,IF($E$107=4,Dados!$AJ$36,IF($E$107=5,Dados!$AL$36,IF($E$107=6,Dados!$AN$36,IF($E$107=7,Dados!$AP$36,IF($E$107=8,Dados!$AT$36,0)))))))</f>
        <v>0</v>
      </c>
      <c r="HB28" s="316">
        <f>IF($E$108=2,Dados!$AE$36,IF($E$108=3,Dados!$AG$36,IF($E$108=4,Dados!$AI$36,IF($E$108=5,Dados!$AK$36,IF($E$108=6,Dados!$AM$36,IF($E$108=7,Dados!$AO$36,IF($E$108=8,Dados!$AS$36,0)))))))</f>
        <v>0</v>
      </c>
      <c r="HC28" s="304">
        <f>IF($E$108=2,Dados!$AF$36,IF($E$108=3,Dados!$AH$36,IF($E$108=4,Dados!$AJ$36,IF($E$108=5,Dados!$AL$36,IF($E$108=6,Dados!$AN$36,IF($E$108=7,Dados!$AP$36,IF($E$108=8,Dados!$AT$36,0)))))))</f>
        <v>0</v>
      </c>
      <c r="HD28" s="316">
        <f>IF($E$109=2,Dados!$AE$36,IF($E$109=3,Dados!$AG$36,IF($E$109=4,Dados!$AI$36,IF($E$109=5,Dados!$AK$36,IF($E$109=6,Dados!$AM$36,IF($E$109=7,Dados!$AO$36,IF($E$109=8,Dados!$AS$36,0)))))))</f>
        <v>0</v>
      </c>
      <c r="HE28" s="304">
        <f>IF($E$109=2,Dados!$AF$36,IF($E$109=3,Dados!$AH$36,IF($E$109=4,Dados!$AJ$36,IF($E$109=5,Dados!$AL$36,IF($E$109=6,Dados!$AN$36,IF($E$109=7,Dados!$AP$36,IF($E$109=8,Dados!$AT$36,0)))))))</f>
        <v>0</v>
      </c>
      <c r="HF28" s="316">
        <f>IF($E$110=2,Dados!$AE$36,IF($E$110=3,Dados!$AG$36,IF($E$110=4,Dados!$AI$36,IF($E$110=5,Dados!$AK$36,IF($E$110=6,Dados!$AM$36,IF($E$110=7,Dados!$AO$36,IF($E$110=8,Dados!$AS$36,0)))))))</f>
        <v>0</v>
      </c>
      <c r="HG28" s="304">
        <f>IF($E$110=2,Dados!$AF$36,IF($E$110=3,Dados!$AH$36,IF($E$110=4,Dados!$AJ$36,IF($E$110=5,Dados!$AL$36,IF($E$110=6,Dados!$AN$36,IF($E$110=7,Dados!$AP$36,IF($E$110=8,Dados!$AT$36,0)))))))</f>
        <v>0</v>
      </c>
    </row>
    <row r="29" spans="3:215" ht="15.75" customHeight="1" x14ac:dyDescent="0.2">
      <c r="C29" s="156">
        <f>IF(R29=1,0,S29)</f>
        <v>0</v>
      </c>
      <c r="D29" s="2722"/>
      <c r="E29" s="180">
        <v>1</v>
      </c>
      <c r="F29" s="2633">
        <v>1</v>
      </c>
      <c r="G29" s="2633"/>
      <c r="H29" s="295"/>
      <c r="I29" s="229"/>
      <c r="J29" s="314"/>
      <c r="K29" s="157"/>
      <c r="L29" s="305"/>
      <c r="M29" s="127">
        <f>IF(I29=1,K29,IF(I29=2,K29/J29,IF(I29=3,K29*L29,0)))</f>
        <v>0</v>
      </c>
      <c r="N29" s="3">
        <v>1</v>
      </c>
      <c r="O29" s="30">
        <v>1</v>
      </c>
      <c r="P29" s="837">
        <f>IF(N29=1,0,VLOOKUP(N29,Rebanho!$AN$45:$AV$72,4)*O29)</f>
        <v>0</v>
      </c>
      <c r="Q29" s="838">
        <f>VLOOKUP(N29,Rebanho!$AN$45:$AV$72,7)*O29</f>
        <v>0</v>
      </c>
      <c r="R29" s="3">
        <v>1</v>
      </c>
      <c r="S29" s="20"/>
      <c r="T29" s="94">
        <f>VLOOKUP(R29,'Mão-de-obra'!$CJ$10:$CL$29,3)</f>
        <v>0</v>
      </c>
      <c r="U29" s="94">
        <f>T29*S29</f>
        <v>0</v>
      </c>
      <c r="V29" s="127">
        <f>IF(I29=1,M29*P29,IF(I29=2,M29*Q29*L29,IF(I29=3,M29,0)))</f>
        <v>0</v>
      </c>
      <c r="W29" s="106">
        <f>U29+V29</f>
        <v>0</v>
      </c>
      <c r="X29" s="93">
        <v>1</v>
      </c>
      <c r="Y29" s="93">
        <v>1</v>
      </c>
      <c r="Z29" s="127">
        <f t="shared" si="8"/>
        <v>0</v>
      </c>
      <c r="AW29" s="3" t="s">
        <v>498</v>
      </c>
      <c r="AX29" s="94">
        <f>IF($E25=6,$V25,0)</f>
        <v>0</v>
      </c>
      <c r="AY29" s="94">
        <f>IF($E26=6,$V26,0)</f>
        <v>0</v>
      </c>
      <c r="AZ29" s="94">
        <f>IF($E27=6,$V27,0)</f>
        <v>0</v>
      </c>
      <c r="BA29" s="94">
        <f>IF($E28=6,$V28,0)</f>
        <v>0</v>
      </c>
      <c r="BB29" s="94">
        <f>IF($E29=6,$V29,0)</f>
        <v>0</v>
      </c>
      <c r="BC29" s="200">
        <f t="shared" si="7"/>
        <v>0</v>
      </c>
      <c r="CF29" s="93">
        <v>24</v>
      </c>
      <c r="CG29" s="316">
        <f>IF($E$7=2,Dados!$AE$37,IF($E$7=3,Dados!$AG$37,IF($E$7=4,Dados!$AI$37,IF($E$7=5,Dados!$AK$37,IF($E$7=6,Dados!$AM$37,IF($E$7=7,Dados!$AO$37,IF($E$7=8,Dados!$AS$37,0)))))))</f>
        <v>0</v>
      </c>
      <c r="CH29" s="304">
        <f>IF($E$7=2,Dados!$AF$37,IF($E$7=3,Dados!$AH$37,IF($E$7=4,Dados!$AJ$37,IF($E$7=5,Dados!$AL$37,IF($E$7=6,Dados!$AN$37,IF($E$7=7,Dados!$AP$37,IF($E$7=8,Dados!$AT$37,0)))))))</f>
        <v>0</v>
      </c>
      <c r="CI29" s="316">
        <f>IF($E$8=2,Dados!$AE$37,IF($E$8=3,Dados!$AG$37,IF($E$8=4,Dados!$AI$37,IF($E$8=5,Dados!$AK$37,IF($E$8=6,Dados!$AM$37,IF($E$8=7,Dados!$AO$37,IF($E$8=8,Dados!$AS$37,0)))))))</f>
        <v>0</v>
      </c>
      <c r="CJ29" s="304">
        <f>IF($E$8=2,Dados!$AF$37,IF($E$8=3,Dados!$AH$37,IF($E$8=4,Dados!$AJ$37,IF($E$8=5,Dados!$AL$37,IF($E$8=6,Dados!$AN$37,IF($E$8=7,Dados!$AP$37,IF($E$8=8,Dados!$AT$37,0)))))))</f>
        <v>0</v>
      </c>
      <c r="CK29" s="316">
        <f>IF($E$9=2,Dados!$AE$37,IF($E$9=3,Dados!$AG$37,IF($E$9=4,Dados!$AI$37,IF($E$9=5,Dados!$AK$37,IF($E$9=6,Dados!$AM$37,IF($E$9=7,Dados!$AO$37,IF($E$9=8,Dados!$AS$37,0)))))))</f>
        <v>0</v>
      </c>
      <c r="CL29" s="304">
        <f>IF($E$9=2,Dados!$AF$37,IF($E$9=3,Dados!$AH$37,IF($E$9=4,Dados!$AJ$37,IF($E$9=5,Dados!$AL$37,IF($E$9=6,Dados!$AN$37,IF($E$9=7,Dados!$AP$37,IF($E$9=8,Dados!$AT$37,0)))))))</f>
        <v>0</v>
      </c>
      <c r="CM29" s="316">
        <f>IF($E$10=2,Dados!$AE$37,IF($E$10=3,Dados!$AG$37,IF($E$10=4,Dados!$AI$37,IF($E$10=5,Dados!$AK$37,IF($E$10=6,Dados!$AM$37,IF($E$10=7,Dados!$AO$37,IF($E$10=8,Dados!$AS$37,0)))))))</f>
        <v>0</v>
      </c>
      <c r="CN29" s="304">
        <f>IF($E$10=2,Dados!$AF$37,IF($E$10=3,Dados!$AH$37,IF($E$10=4,Dados!$AJ$37,IF($E$10=5,Dados!$AL$37,IF($E$10=6,Dados!$AN$37,IF($E$10=7,Dados!$AP$37,IF($E$10=8,Dados!$AT$37,0)))))))</f>
        <v>0</v>
      </c>
      <c r="CO29" s="316">
        <f>IF($E$11=2,Dados!$AE$37,IF($E$11=3,Dados!$AG$37,IF($E$11=4,Dados!$AI$37,IF($E$11=5,Dados!$AK$37,IF($E$11=6,Dados!$AM$37,IF($E$11=7,Dados!$AO$37,IF($E$11=8,Dados!$AS$37,0)))))))</f>
        <v>0</v>
      </c>
      <c r="CP29" s="304">
        <f>IF($E$11=2,Dados!$AF$37,IF($E$11=3,Dados!$AH$37,IF($E$11=4,Dados!$AJ$37,IF($E$11=5,Dados!$AL$37,IF($E$11=6,Dados!$AN$37,IF($E$11=7,Dados!$AP$37,IF($E$11=8,Dados!$AT$37,0)))))))</f>
        <v>0</v>
      </c>
      <c r="CR29" s="316">
        <f>IF($E$16=2,Dados!$AE$37,IF($E$16=3,Dados!$AG$37,IF($E$16=4,Dados!$AI$37,IF($E$16=5,Dados!$AK$37,IF($E$16=6,Dados!$AM$37,IF($E$16=7,Dados!$AO$37,IF($E$16=8,Dados!$AS$37,0)))))))</f>
        <v>0</v>
      </c>
      <c r="CS29" s="304">
        <f>IF($E$16=2,Dados!$AF$37,IF($E$16=3,Dados!$AH$37,IF($E$16=4,Dados!$AJ$37,IF($E$16=5,Dados!$AL$37,IF($E$16=6,Dados!$AN$37,IF($E$16=7,Dados!$AP$37,IF($E$16=8,Dados!$AT$37,0)))))))</f>
        <v>0</v>
      </c>
      <c r="CT29" s="316">
        <f>IF($E$17=2,Dados!$AE$37,IF($E$17=3,Dados!$AG$37,IF($E$17=4,Dados!$AI$37,IF($E$17=5,Dados!$AK$37,IF($E$17=6,Dados!$AM$37,IF($E$17=7,Dados!$AO$37,IF($E$17=8,Dados!$AS$37,0)))))))</f>
        <v>0</v>
      </c>
      <c r="CU29" s="304">
        <f>IF($E$17=2,Dados!$AF$37,IF($E$17=3,Dados!$AH$37,IF($E$17=4,Dados!$AJ$37,IF($E$17=5,Dados!$AL$37,IF($E$17=6,Dados!$AN$37,IF($E$17=7,Dados!$AP$37,IF($E$17=8,Dados!$AT$37,0)))))))</f>
        <v>0</v>
      </c>
      <c r="CV29" s="316">
        <f>IF($E$18=2,Dados!$AE$37,IF($E$18=3,Dados!$AG$37,IF($E$18=4,Dados!$AI$37,IF($E$18=5,Dados!$AK$37,IF($E$18=6,Dados!$AM$37,IF($E$18=7,Dados!$AO$37,IF($E$18=8,Dados!$AS$37,0)))))))</f>
        <v>0</v>
      </c>
      <c r="CW29" s="304">
        <f>IF($E$18=2,Dados!$AF$37,IF($E$18=3,Dados!$AH$37,IF($E$18=4,Dados!$AJ$37,IF($E$18=5,Dados!$AL$37,IF($E$18=6,Dados!$AN$37,IF($E$18=7,Dados!$AP$37,IF($E$18=8,Dados!$AT$37,0)))))))</f>
        <v>0</v>
      </c>
      <c r="CX29" s="316">
        <f>IF($E$19=2,Dados!$AE$37,IF($E$19=3,Dados!$AG$37,IF($E$19=4,Dados!$AI$37,IF($E$19=5,Dados!$AK$37,IF($E$19=6,Dados!$AM$37,IF($E$19=7,Dados!$AO$37,IF($E$19=8,Dados!$AS$37,0)))))))</f>
        <v>0</v>
      </c>
      <c r="CY29" s="304">
        <f>IF($E$19=2,Dados!$AF$37,IF($E$19=3,Dados!$AH$37,IF($E$19=4,Dados!$AJ$37,IF($E$19=5,Dados!$AL$37,IF($E$19=6,Dados!$AN$37,IF($E$19=7,Dados!$AP$37,IF($E$19=8,Dados!$AT$37,0)))))))</f>
        <v>0</v>
      </c>
      <c r="CZ29" s="316">
        <f>IF($E$20=2,Dados!$AE$37,IF($E$20=3,Dados!$AG$37,IF($E$20=4,Dados!$AI$37,IF($E$20=5,Dados!$AK$37,IF($E$20=6,Dados!$AM$37,IF($E$20=7,Dados!$AO$37,IF($E$20=8,Dados!$AS$37,0)))))))</f>
        <v>0</v>
      </c>
      <c r="DA29" s="304">
        <f>IF($E$20=2,Dados!$AF$37,IF($E$20=3,Dados!$AH$37,IF($E$20=4,Dados!$AJ$37,IF($E$20=5,Dados!$AL$37,IF($E$20=6,Dados!$AN$37,IF($E$20=7,Dados!$AP$37,IF($E$20=8,Dados!$AT$37,0)))))))</f>
        <v>0</v>
      </c>
      <c r="DC29" s="316">
        <f>IF($E$25=2,Dados!$AE$37,IF($E$25=3,Dados!$AG$37,IF($E$25=4,Dados!$AI$37,IF($E$25=5,Dados!$AK$37,IF($E$25=6,Dados!$AM$37,IF($E$25=7,Dados!$AO$37,IF($E$25=8,Dados!$AS$37,0)))))))</f>
        <v>0</v>
      </c>
      <c r="DD29" s="304">
        <f>IF($E$25=2,Dados!$AF$37,IF($E$25=3,Dados!$AH$37,IF($E$25=4,Dados!$AJ$37,IF($E$25=5,Dados!$AL$37,IF($E$25=6,Dados!$AN$37,IF($E$25=7,Dados!$AP$37,IF($E$25=8,Dados!$AT$37,0)))))))</f>
        <v>0</v>
      </c>
      <c r="DE29" s="316">
        <f>IF($E$26=2,Dados!$AE$37,IF($E$26=3,Dados!$AG$37,IF($E$26=4,Dados!$AI$37,IF($E$26=5,Dados!$AK$37,IF($E$26=6,Dados!$AM$37,IF($E$26=7,Dados!$AO$37,IF($E$26=8,Dados!$AS$37,0)))))))</f>
        <v>0</v>
      </c>
      <c r="DF29" s="304">
        <f>IF($E$26=2,Dados!$AF$37,IF($E$26=3,Dados!$AH$37,IF($E$26=4,Dados!$AJ$37,IF($E$26=5,Dados!$AL$37,IF($E$26=6,Dados!$AN$37,IF($E$26=7,Dados!$AP$37,IF($E$26=8,Dados!$AT$37,0)))))))</f>
        <v>0</v>
      </c>
      <c r="DG29" s="316">
        <f>IF($E$27=2,Dados!$AE$37,IF($E$27=3,Dados!$AG$37,IF($E$27=4,Dados!$AI$37,IF($E$27=5,Dados!$AK$37,IF($E$27=6,Dados!$AM$37,IF($E$27=7,Dados!$AO$37,IF($E$27=8,Dados!$AS$37,0)))))))</f>
        <v>0</v>
      </c>
      <c r="DH29" s="304">
        <f>IF($E$27=2,Dados!$AF$37,IF($E$27=3,Dados!$AH$37,IF($E$27=4,Dados!$AJ$37,IF($E$27=5,Dados!$AL$37,IF($E$27=6,Dados!$AN$37,IF($E$27=7,Dados!$AP$37,IF($E$27=8,Dados!$AT$37,0)))))))</f>
        <v>0</v>
      </c>
      <c r="DI29" s="316">
        <f>IF($E$28=2,Dados!$AE$37,IF($E$28=3,Dados!$AG$37,IF($E$28=4,Dados!$AI$37,IF($E$28=5,Dados!$AK$37,IF($E$28=6,Dados!$AM$37,IF($E$28=7,Dados!$AO$37,IF($E$28=8,Dados!$AS$37,0)))))))</f>
        <v>0</v>
      </c>
      <c r="DJ29" s="304">
        <f>IF($E$28=2,Dados!$AF$37,IF($E$28=3,Dados!$AH$37,IF($E$28=4,Dados!$AJ$37,IF($E$28=5,Dados!$AL$37,IF($E$28=6,Dados!$AN$37,IF($E$28=7,Dados!$AP$37,IF($E$28=8,Dados!$AT$37,0)))))))</f>
        <v>0</v>
      </c>
      <c r="DK29" s="316">
        <f>IF($E$29=2,Dados!$AE$37,IF($E$29=3,Dados!$AG$37,IF($E$29=4,Dados!$AI$37,IF($E$29=5,Dados!$AK$37,IF($E$29=6,Dados!$AM$37,IF($E$29=7,Dados!$AO$37,IF($E$29=8,Dados!$AS$37,0)))))))</f>
        <v>0</v>
      </c>
      <c r="DL29" s="304">
        <f>IF($E$29=2,Dados!$AF$37,IF($E$29=3,Dados!$AH$37,IF($E$29=4,Dados!$AJ$37,IF($E$29=5,Dados!$AL$37,IF($E$29=6,Dados!$AN$37,IF($E$29=7,Dados!$AP$37,IF($E$29=8,Dados!$AT$37,0)))))))</f>
        <v>0</v>
      </c>
      <c r="DN29" s="316">
        <f>IF($E$34=2,Dados!$AE$37,IF($E$34=3,Dados!$AG$37,IF($E$34=4,Dados!$AI$37,IF($E$34=5,Dados!$AK$37,IF($E$34=6,Dados!$AM$37,IF($E$34=7,Dados!$AO$37,IF($E$34=8,Dados!$AS$37,0)))))))</f>
        <v>0</v>
      </c>
      <c r="DO29" s="304">
        <f>IF($E$34=2,Dados!$AF$37,IF($E$34=3,Dados!$AH$37,IF($E$34=4,Dados!$AJ$37,IF($E$34=5,Dados!$AL$37,IF($E$34=6,Dados!$AN$37,IF($E$34=7,Dados!$AP$37,IF($E$34=8,Dados!$AT$37,0)))))))</f>
        <v>0</v>
      </c>
      <c r="DP29" s="316">
        <f>IF($E$35=2,Dados!$AE$37,IF($E$35=3,Dados!$AG$37,IF($E$35=4,Dados!$AI$37,IF($E$35=5,Dados!$AK$37,IF($E$35=6,Dados!$AM$37,IF($E$35=7,Dados!$AO$37,IF($E$35=8,Dados!$AS$37,0)))))))</f>
        <v>0</v>
      </c>
      <c r="DQ29" s="304">
        <f>IF($E$35=2,Dados!$AF$37,IF($E$35=3,Dados!$AH$37,IF($E$35=4,Dados!$AJ$37,IF($E$35=5,Dados!$AL$37,IF($E$35=6,Dados!$AN$37,IF($E$35=7,Dados!$AP$37,IF($E$35=8,Dados!$AT$37,0)))))))</f>
        <v>0</v>
      </c>
      <c r="DR29" s="316">
        <f>IF($E$36=2,Dados!$AE$37,IF($E$36=3,Dados!$AG$37,IF($E$36=4,Dados!$AI$37,IF($E$36=5,Dados!$AK$37,IF($E$36=6,Dados!$AM$37,IF($E$36=7,Dados!$AO$37,IF($E$36=8,Dados!$AS$37,0)))))))</f>
        <v>0</v>
      </c>
      <c r="DS29" s="304">
        <f>IF($E$36=2,Dados!$AF$37,IF($E$36=3,Dados!$AH$37,IF($E$36=4,Dados!$AJ$37,IF($E$36=5,Dados!$AL$37,IF($E$36=6,Dados!$AN$37,IF($E$36=7,Dados!$AP$37,IF($E$36=8,Dados!$AT$37,0)))))))</f>
        <v>0</v>
      </c>
      <c r="DT29" s="316">
        <f>IF($E$37=2,Dados!$AE$37,IF($E$37=3,Dados!$AG$37,IF($E$37=4,Dados!$AI$37,IF($E$37=5,Dados!$AK$37,IF($E$37=6,Dados!$AM$37,IF($E$37=7,Dados!$AO$37,IF($E$37=8,Dados!$AS$37,0)))))))</f>
        <v>0</v>
      </c>
      <c r="DU29" s="304">
        <f>IF($E$37=2,Dados!$AF$37,IF($E$37=3,Dados!$AH$37,IF($E$37=4,Dados!$AJ$37,IF($E$37=5,Dados!$AL$37,IF($E$37=6,Dados!$AN$37,IF($E$37=7,Dados!$AP$37,IF($E$37=8,Dados!$AT$37,0)))))))</f>
        <v>0</v>
      </c>
      <c r="DV29" s="316">
        <f>IF($E$38=2,Dados!$AE$37,IF($E$38=3,Dados!$AG$37,IF($E$38=4,Dados!$AI$37,IF($E$38=5,Dados!$AK$37,IF($E$38=6,Dados!$AM$37,IF($E$38=7,Dados!$AO$37,IF($E$38=8,Dados!$AS$37,0)))))))</f>
        <v>0</v>
      </c>
      <c r="DW29" s="304">
        <f>IF($E$38=2,Dados!$AF$37,IF($E$38=3,Dados!$AH$37,IF($E$38=4,Dados!$AJ$37,IF($E$38=5,Dados!$AL$37,IF($E$38=6,Dados!$AN$37,IF($E$38=7,Dados!$AP$37,IF($E$38=8,Dados!$AT$37,0)))))))</f>
        <v>0</v>
      </c>
      <c r="DY29" s="316">
        <f>IF($E$43=2,Dados!$AE$37,IF($E$43=3,Dados!$AG$37,IF($E$43=4,Dados!$AI$37,IF($E$43=5,Dados!$AK$37,IF($E$43=6,Dados!$AM$37,IF($E$43=7,Dados!$AO$37,IF($E$43=8,Dados!$AS$37,0)))))))</f>
        <v>0</v>
      </c>
      <c r="DZ29" s="304">
        <f>IF($E$43=2,Dados!$AF$37,IF($E$43=3,Dados!$AH$37,IF($E$43=4,Dados!$AJ$37,IF($E$43=5,Dados!$AL$37,IF($E$43=6,Dados!$AN$37,IF($E$43=7,Dados!$AP$37,IF($E$43=8,Dados!$AT$37,0)))))))</f>
        <v>0</v>
      </c>
      <c r="EA29" s="316">
        <f>IF($E$44=2,Dados!$AE$37,IF($E$44=3,Dados!$AG$37,IF($E$44=4,Dados!$AI$37,IF($E$44=5,Dados!$AK$37,IF($E$44=6,Dados!$AM$37,IF($E$44=7,Dados!$AO$37,IF($E$44=8,Dados!$AS$37,0)))))))</f>
        <v>0</v>
      </c>
      <c r="EB29" s="304">
        <f>IF($E$44=2,Dados!$AF$37,IF($E$44=3,Dados!$AH$37,IF($E$44=4,Dados!$AJ$37,IF($E$44=5,Dados!$AL$37,IF($E$44=6,Dados!$AN$37,IF($E$44=7,Dados!$AP$37,IF($E$44=8,Dados!$AT$37,0)))))))</f>
        <v>0</v>
      </c>
      <c r="EC29" s="316">
        <f>IF($E$45=2,Dados!$AE$37,IF($E$45=3,Dados!$AG$37,IF($E$45=4,Dados!$AI$37,IF($E$45=5,Dados!$AK$37,IF($E$45=6,Dados!$AM$37,IF($E$45=7,Dados!$AO$37,IF($E$45=8,Dados!$AS$37,0)))))))</f>
        <v>0</v>
      </c>
      <c r="ED29" s="304">
        <f>IF($E$45=2,Dados!$AF$37,IF($E$45=3,Dados!$AH$37,IF($E$45=4,Dados!$AJ$37,IF($E$45=5,Dados!$AL$37,IF($E$45=6,Dados!$AN$37,IF($E$45=7,Dados!$AP$37,IF($E$45=8,Dados!$AT$37,0)))))))</f>
        <v>0</v>
      </c>
      <c r="EE29" s="316">
        <f>IF($E$46=2,Dados!$AE$37,IF($E$46=3,Dados!$AG$37,IF($E$46=4,Dados!$AI$37,IF($E$46=5,Dados!$AK$37,IF($E$46=6,Dados!$AM$37,IF($E$46=7,Dados!$AO$37,IF($E$46=8,Dados!$AS$37,0)))))))</f>
        <v>0</v>
      </c>
      <c r="EF29" s="304">
        <f>IF($E$46=2,Dados!$AF$37,IF($E$46=3,Dados!$AH$37,IF($E$46=4,Dados!$AJ$37,IF($E$46=5,Dados!$AL$37,IF($E$46=6,Dados!$AN$37,IF($E$46=7,Dados!$AP$37,IF($E$46=8,Dados!$AT$37,0)))))))</f>
        <v>0</v>
      </c>
      <c r="EG29" s="316">
        <f>IF($E$47=2,Dados!$AE$37,IF($E$47=3,Dados!$AG$37,IF($E$47=4,Dados!$AI$37,IF($E$47=5,Dados!$AK$37,IF($E$47=6,Dados!$AM$37,IF($E$47=7,Dados!$AO$37,IF($E$47=8,Dados!$AS$37,0)))))))</f>
        <v>0</v>
      </c>
      <c r="EH29" s="304">
        <f>IF($E$47=2,Dados!$AF$37,IF($E$47=3,Dados!$AH$37,IF($E$47=4,Dados!$AJ$37,IF($E$47=5,Dados!$AL$37,IF($E$47=6,Dados!$AN$37,IF($E$47=7,Dados!$AP$37,IF($E$47=8,Dados!$AT$37,0)))))))</f>
        <v>0</v>
      </c>
      <c r="EJ29" s="316">
        <f>IF($E$52=2,Dados!$AE$37,IF($E$52=3,Dados!$AG$37,IF($E$52=4,Dados!$AI$37,IF($E$52=5,Dados!$AK$37,IF($E$52=6,Dados!$AM$37,IF($E$52=7,Dados!$AO$37,IF($E$52=8,Dados!$AS$37,0)))))))</f>
        <v>0</v>
      </c>
      <c r="EK29" s="304">
        <f>IF($E$52=2,Dados!$AF$37,IF($E$52=3,Dados!$AH$37,IF($E$52=4,Dados!$AJ$37,IF($E$52=5,Dados!$AL$37,IF($E$52=6,Dados!$AN$37,IF($E$52=7,Dados!$AP$37,IF($E$52=8,Dados!$AT$37,0)))))))</f>
        <v>0</v>
      </c>
      <c r="EL29" s="316">
        <f>IF($E$53=2,Dados!$AE$37,IF($E$53=3,Dados!$AG$37,IF($E$53=4,Dados!$AI$37,IF($E$53=5,Dados!$AK$37,IF($E$53=6,Dados!$AM$37,IF($E$53=7,Dados!$AO$37,IF($E$53=8,Dados!$AS$37,0)))))))</f>
        <v>0</v>
      </c>
      <c r="EM29" s="304">
        <f>IF($E$53=2,Dados!$AF$37,IF($E$53=3,Dados!$AH$37,IF($E$53=4,Dados!$AJ$37,IF($E$53=5,Dados!$AL$37,IF($E$53=6,Dados!$AN$37,IF($E$53=7,Dados!$AP$37,IF($E$53=8,Dados!$AT$37,0)))))))</f>
        <v>0</v>
      </c>
      <c r="EN29" s="316">
        <f>IF($E$54=2,Dados!$AE$37,IF($E$54=3,Dados!$AG$37,IF($E$54=4,Dados!$AI$37,IF($E$54=5,Dados!$AK$37,IF($E$54=6,Dados!$AM$37,IF($E$54=7,Dados!$AO$37,IF($E$54=8,Dados!$AS$37,0)))))))</f>
        <v>0</v>
      </c>
      <c r="EO29" s="304">
        <f>IF($E$54=2,Dados!$AF$37,IF($E$54=3,Dados!$AH$37,IF($E$54=4,Dados!$AJ$37,IF($E$54=5,Dados!$AL$37,IF($E$54=6,Dados!$AN$37,IF($E$54=7,Dados!$AP$37,IF($E$54=8,Dados!$AT$37,0)))))))</f>
        <v>0</v>
      </c>
      <c r="EP29" s="316">
        <f>IF($E$55=2,Dados!$AE$37,IF($E$55=3,Dados!$AG$37,IF($E$55=4,Dados!$AI$37,IF($E$55=5,Dados!$AK$37,IF($E$55=6,Dados!$AM$37,IF($E$55=7,Dados!$AO$37,IF($E$55=8,Dados!$AS$37,0)))))))</f>
        <v>0</v>
      </c>
      <c r="EQ29" s="304">
        <f>IF($E$55=2,Dados!$AF$37,IF($E$55=3,Dados!$AH$37,IF($E$55=4,Dados!$AJ$37,IF($E$55=5,Dados!$AL$37,IF($E$55=6,Dados!$AN$37,IF($E$55=7,Dados!$AP$37,IF($E$55=8,Dados!$AT$37,0)))))))</f>
        <v>0</v>
      </c>
      <c r="ER29" s="316">
        <f>IF($E$56=2,Dados!$AE$37,IF($E$56=3,Dados!$AG$37,IF($E$56=4,Dados!$AI$37,IF($E$56=5,Dados!$AK$37,IF($E$56=6,Dados!$AM$37,IF($E$56=7,Dados!$AO$37,IF($E$56=8,Dados!$AS$37,0)))))))</f>
        <v>0</v>
      </c>
      <c r="ES29" s="304">
        <f>IF($E$56=2,Dados!$AF$37,IF($E$56=3,Dados!$AH$37,IF($E$56=4,Dados!$AJ$37,IF($E$56=5,Dados!$AL$37,IF($E$56=6,Dados!$AN$37,IF($E$56=7,Dados!$AP$37,IF($E$56=8,Dados!$AT$37,0)))))))</f>
        <v>0</v>
      </c>
      <c r="EU29" s="316">
        <f>IF($E$61=2,Dados!$AE$37,IF($E$61=3,Dados!$AG$37,IF($E$61=4,Dados!$AI$37,IF($E$61=5,Dados!$AK$37,IF($E$61=6,Dados!$AM$37,IF($E$61=7,Dados!$AO$37,IF($E$61=8,Dados!$AS$37,0)))))))</f>
        <v>0</v>
      </c>
      <c r="EV29" s="304">
        <f>IF($E$61=2,Dados!$AF$37,IF($E$61=3,Dados!$AH$37,IF($E$61=4,Dados!$AJ$37,IF($E$61=5,Dados!$AL$37,IF($E$61=6,Dados!$AN$37,IF($E$61=7,Dados!$AP$37,IF($E$61=8,Dados!$AT$37,0)))))))</f>
        <v>0</v>
      </c>
      <c r="EW29" s="316">
        <f>IF($E$62=2,Dados!$AE$37,IF($E$62=3,Dados!$AG$37,IF($E$62=4,Dados!$AI$37,IF($E$62=5,Dados!$AK$37,IF($E$62=6,Dados!$AM$37,IF($E$62=7,Dados!$AO$37,IF($E$62=8,Dados!$AS$37,0)))))))</f>
        <v>0</v>
      </c>
      <c r="EX29" s="304">
        <f>IF($E$62=2,Dados!$AF$37,IF($E$62=3,Dados!$AH$37,IF($E$62=4,Dados!$AJ$37,IF($E$62=5,Dados!$AL$37,IF($E$62=6,Dados!$AN$37,IF($E$62=7,Dados!$AP$37,IF($E$62=8,Dados!$AT$37,0)))))))</f>
        <v>0</v>
      </c>
      <c r="EY29" s="316">
        <f>IF($E$63=2,Dados!$AE$37,IF($E$63=3,Dados!$AG$37,IF($E$63=4,Dados!$AI$37,IF($E$63=5,Dados!$AK$37,IF($E$63=6,Dados!$AM$37,IF($E$63=7,Dados!$AO$37,IF($E$63=8,Dados!$AS$37,0)))))))</f>
        <v>0</v>
      </c>
      <c r="EZ29" s="304">
        <f>IF($E$63=2,Dados!$AF$37,IF($E$63=3,Dados!$AH$37,IF($E$63=4,Dados!$AJ$37,IF($E$63=5,Dados!$AL$37,IF($E$63=6,Dados!$AN$37,IF($E$63=7,Dados!$AP$37,IF($E$63=8,Dados!$AT$37,0)))))))</f>
        <v>0</v>
      </c>
      <c r="FA29" s="316">
        <f>IF($E$64=2,Dados!$AE$37,IF($E$64=3,Dados!$AG$37,IF($E$64=4,Dados!$AI$37,IF($E$64=5,Dados!$AK$37,IF($E$64=6,Dados!$AM$37,IF($E$64=7,Dados!$AO$37,IF($E$64=8,Dados!$AS$37,0)))))))</f>
        <v>0</v>
      </c>
      <c r="FB29" s="304">
        <f>IF($E$64=2,Dados!$AF$37,IF($E$64=3,Dados!$AH$37,IF($E$64=4,Dados!$AJ$37,IF($E$64=5,Dados!$AL$37,IF($E$64=6,Dados!$AN$37,IF($E$64=7,Dados!$AP$37,IF($E$64=8,Dados!$AT$37,0)))))))</f>
        <v>0</v>
      </c>
      <c r="FC29" s="316">
        <f>IF($E$65=2,Dados!$AE$37,IF($E$65=3,Dados!$AG$37,IF($E$65=4,Dados!$AI$37,IF($E$65=5,Dados!$AK$37,IF($E$65=6,Dados!$AM$37,IF($E$65=7,Dados!$AO$37,IF($E$65=8,Dados!$AS$37,0)))))))</f>
        <v>0</v>
      </c>
      <c r="FD29" s="304">
        <f>IF($E$65=2,Dados!$AF$37,IF($E$65=3,Dados!$AH$37,IF($E$65=4,Dados!$AJ$37,IF($E$65=5,Dados!$AL$37,IF($E$65=6,Dados!$AN$37,IF($E$65=7,Dados!$AP$37,IF($E$65=8,Dados!$AT$37,0)))))))</f>
        <v>0</v>
      </c>
      <c r="FF29" s="316">
        <f>IF($E$70=2,Dados!$AE$37,IF($E$70=3,Dados!$AG$37,IF($E$70=4,Dados!$AI$37,IF($E$70=5,Dados!$AK$37,IF($E$70=6,Dados!$AM$37,IF($E$70=7,Dados!$AO$37,IF($E$70=8,Dados!$AS$37,0)))))))</f>
        <v>0</v>
      </c>
      <c r="FG29" s="304">
        <f>IF($E$70=2,Dados!$AF$37,IF($E$70=3,Dados!$AH$37,IF($E$70=4,Dados!$AJ$37,IF($E$70=5,Dados!$AL$37,IF($E$70=6,Dados!$AN$37,IF($E$70=7,Dados!$AP$37,IF($E$70=8,Dados!$AT$37,0)))))))</f>
        <v>0</v>
      </c>
      <c r="FH29" s="316">
        <f>IF($E$71=2,Dados!$AE$37,IF($E$71=3,Dados!$AG$37,IF($E$71=4,Dados!$AI$37,IF($E$71=5,Dados!$AK$37,IF($E$71=6,Dados!$AM$37,IF($E$71=7,Dados!$AO$37,IF($E$71=8,Dados!$AS$37,0)))))))</f>
        <v>0</v>
      </c>
      <c r="FI29" s="304">
        <f>IF($E$71=2,Dados!$AF$37,IF($E$71=3,Dados!$AH$37,IF($E$71=4,Dados!$AJ$37,IF($E$71=5,Dados!$AL$37,IF($E$71=6,Dados!$AN$37,IF($E$71=7,Dados!$AP$37,IF($E$71=8,Dados!$AT$37,0)))))))</f>
        <v>0</v>
      </c>
      <c r="FJ29" s="316">
        <f>IF($E$72=2,Dados!$AE$37,IF($E$72=3,Dados!$AG$37,IF($E$72=4,Dados!$AI$37,IF($E$72=5,Dados!$AK$37,IF($E$72=6,Dados!$AM$37,IF($E$72=7,Dados!$AO$37,IF($E$72=8,Dados!$AS$37,0)))))))</f>
        <v>0</v>
      </c>
      <c r="FK29" s="304">
        <f>IF($E$72=2,Dados!$AF$37,IF($E$72=3,Dados!$AH$37,IF($E$72=4,Dados!$AJ$37,IF($E$72=5,Dados!$AL$37,IF($E$72=6,Dados!$AN$37,IF($E$72=7,Dados!$AP$37,IF($E$72=8,Dados!$AT$37,0)))))))</f>
        <v>0</v>
      </c>
      <c r="FL29" s="316">
        <f>IF($E$73=2,Dados!$AE$37,IF($E$73=3,Dados!$AG$37,IF($E$73=4,Dados!$AI$37,IF($E$73=5,Dados!$AK$37,IF($E$73=6,Dados!$AM$37,IF($E$73=7,Dados!$AO$37,IF($E$73=8,Dados!$AS$37,0)))))))</f>
        <v>0</v>
      </c>
      <c r="FM29" s="304">
        <f>IF($E$73=2,Dados!$AF$37,IF($E$73=3,Dados!$AH$37,IF($E$73=4,Dados!$AJ$37,IF($E$73=5,Dados!$AL$37,IF($E$73=6,Dados!$AN$37,IF($E$73=7,Dados!$AP$37,IF($E$73=8,Dados!$AT$37,0)))))))</f>
        <v>0</v>
      </c>
      <c r="FN29" s="316">
        <f>IF($E$74=2,Dados!$AE$37,IF($E$74=3,Dados!$AG$37,IF($E$74=4,Dados!$AI$37,IF($E$74=5,Dados!$AK$37,IF($E$74=6,Dados!$AM$37,IF($E$74=7,Dados!$AO$37,IF($E$74=8,Dados!$AS$37,0)))))))</f>
        <v>0</v>
      </c>
      <c r="FO29" s="304">
        <f>IF($E$74=2,Dados!$AF$37,IF($E$74=3,Dados!$AH$37,IF($E$74=4,Dados!$AJ$37,IF($E$74=5,Dados!$AL$37,IF($E$74=6,Dados!$AN$37,IF($E$74=7,Dados!$AP$37,IF($E$74=8,Dados!$AT$37,0)))))))</f>
        <v>0</v>
      </c>
      <c r="FQ29" s="316">
        <f>IF($E$79=2,Dados!$AE$37,IF($E$79=3,Dados!$AG$37,IF($E$79=4,Dados!$AI$37,IF($E$79=5,Dados!$AK$37,IF($E$79=6,Dados!$AM$37,IF($E$79=7,Dados!$AO$37,IF($E$79=8,Dados!$AS$37,0)))))))</f>
        <v>0</v>
      </c>
      <c r="FR29" s="304">
        <f>IF($E$79=2,Dados!$AF$37,IF($E$79=3,Dados!$AH$37,IF($E$79=4,Dados!$AJ$37,IF($E$79=5,Dados!$AL$37,IF($E$79=6,Dados!$AN$37,IF($E$79=7,Dados!$AP$37,IF($E$79=8,Dados!$AT$37,0)))))))</f>
        <v>0</v>
      </c>
      <c r="FS29" s="316">
        <f>IF($E$80=2,Dados!$AE$37,IF($E$80=3,Dados!$AG$37,IF($E$80=4,Dados!$AI$37,IF($E$80=5,Dados!$AK$37,IF($E$80=6,Dados!$AM$37,IF($E$80=7,Dados!$AO$37,IF($E$80=8,Dados!$AS$37,0)))))))</f>
        <v>0</v>
      </c>
      <c r="FT29" s="304">
        <f>IF($E$80=2,Dados!$AF$37,IF($E$80=3,Dados!$AH$37,IF($E$80=4,Dados!$AJ$37,IF($E$80=5,Dados!$AL$37,IF($E$80=6,Dados!$AN$37,IF($E$80=7,Dados!$AP$37,IF($E$80=8,Dados!$AT$37,0)))))))</f>
        <v>0</v>
      </c>
      <c r="FU29" s="316">
        <f>IF($E$81=2,Dados!$AE$37,IF($E$81=3,Dados!$AG$37,IF($E$81=4,Dados!$AI$37,IF($E$81=5,Dados!$AK$37,IF($E$81=6,Dados!$AM$37,IF($E$81=7,Dados!$AO$37,IF($E$81=8,Dados!$AS$37,0)))))))</f>
        <v>0</v>
      </c>
      <c r="FV29" s="304">
        <f>IF($E$81=2,Dados!$AF$37,IF($E$81=3,Dados!$AH$37,IF($E$81=4,Dados!$AJ$37,IF($E$81=5,Dados!$AL$37,IF($E$81=6,Dados!$AN$37,IF($E$81=7,Dados!$AP$37,IF($E$81=8,Dados!$AT$37,0)))))))</f>
        <v>0</v>
      </c>
      <c r="FW29" s="316">
        <f>IF($E$82=2,Dados!$AE$37,IF($E$82=3,Dados!$AG$37,IF($E$82=4,Dados!$AI$37,IF($E$82=5,Dados!$AK$37,IF($E$82=6,Dados!$AM$37,IF($E$82=7,Dados!$AO$37,IF($E$82=8,Dados!$AS$37,0)))))))</f>
        <v>0</v>
      </c>
      <c r="FX29" s="304">
        <f>IF($E$82=2,Dados!$AF$37,IF($E$82=3,Dados!$AH$37,IF($E$82=4,Dados!$AJ$37,IF($E$82=5,Dados!$AL$37,IF($E$82=6,Dados!$AN$37,IF($E$82=7,Dados!$AP$37,IF($E$82=8,Dados!$AT$37,0)))))))</f>
        <v>0</v>
      </c>
      <c r="FY29" s="316">
        <f>IF($E$83=2,Dados!$AE$37,IF($E$83=3,Dados!$AG$37,IF($E$83=4,Dados!$AI$37,IF($E$83=5,Dados!$AK$37,IF($E$83=6,Dados!$AM$37,IF($E$83=7,Dados!$AO$37,IF($E$83=8,Dados!$AS$37,0)))))))</f>
        <v>0</v>
      </c>
      <c r="FZ29" s="304">
        <f>IF($E$83=2,Dados!$AF$37,IF($E$83=3,Dados!$AH$37,IF($E$83=4,Dados!$AJ$37,IF($E$83=5,Dados!$AL$37,IF($E$83=6,Dados!$AN$37,IF($E$83=7,Dados!$AP$37,IF($E$83=8,Dados!$AT$37,0)))))))</f>
        <v>0</v>
      </c>
      <c r="GB29" s="316">
        <f>IF($E$88=2,Dados!$AE$37,IF($E$88=3,Dados!$AG$37,IF($E$88=4,Dados!$AI$37,IF($E$88=5,Dados!$AK$37,IF($E$88=6,Dados!$AM$37,IF($E$88=7,Dados!$AO$37,IF($E$88=8,Dados!$AS$37,0)))))))</f>
        <v>0</v>
      </c>
      <c r="GC29" s="304">
        <f>IF($E$88=2,Dados!$AF$37,IF($E$88=3,Dados!$AH$37,IF($E$88=4,Dados!$AJ$37,IF($E$88=5,Dados!$AL$37,IF($E$88=6,Dados!$AN$37,IF($E$88=7,Dados!$AP$37,IF($E$88=8,Dados!$AT$37,0)))))))</f>
        <v>0</v>
      </c>
      <c r="GD29" s="316">
        <f>IF($E$89=2,Dados!$AE$37,IF($E$89=3,Dados!$AG$37,IF($E$89=4,Dados!$AI$37,IF($E$89=5,Dados!$AK$37,IF($E$89=6,Dados!$AM$37,IF($E$89=7,Dados!$AO$37,IF($E$89=8,Dados!$AS$37,0)))))))</f>
        <v>0</v>
      </c>
      <c r="GE29" s="304">
        <f>IF($E$89=2,Dados!$AF$37,IF($E$89=3,Dados!$AH$37,IF($E$89=4,Dados!$AJ$37,IF($E$89=5,Dados!$AL$37,IF($E$89=6,Dados!$AN$37,IF($E$89=7,Dados!$AP$37,IF($E$89=8,Dados!$AT$37,0)))))))</f>
        <v>0</v>
      </c>
      <c r="GF29" s="316">
        <f>IF($E$90=2,Dados!$AE$37,IF($E$90=3,Dados!$AG$37,IF($E$90=4,Dados!$AI$37,IF($E$90=5,Dados!$AK$37,IF($E$90=6,Dados!$AM$37,IF($E$90=7,Dados!$AO$37,IF($E$90=8,Dados!$AS$37,0)))))))</f>
        <v>0</v>
      </c>
      <c r="GG29" s="304">
        <f>IF($E$90=2,Dados!$AF$37,IF($E$90=3,Dados!$AH$37,IF($E$90=4,Dados!$AJ$37,IF($E$90=5,Dados!$AL$37,IF($E$90=6,Dados!$AN$37,IF($E$90=7,Dados!$AP$37,IF($E$90=8,Dados!$AT$37,0)))))))</f>
        <v>0</v>
      </c>
      <c r="GH29" s="316">
        <f>IF($E$91=2,Dados!$AE$37,IF($E$91=3,Dados!$AG$37,IF($E$91=4,Dados!$AI$37,IF($E$91=5,Dados!$AK$37,IF($E$91=6,Dados!$AM$37,IF($E$91=7,Dados!$AO$37,IF($E$91=8,Dados!$AS$37,0)))))))</f>
        <v>0</v>
      </c>
      <c r="GI29" s="304">
        <f>IF($E$91=2,Dados!$AF$37,IF($E$91=3,Dados!$AH$37,IF($E$91=4,Dados!$AJ$37,IF($E$91=5,Dados!$AL$37,IF($E$91=6,Dados!$AN$37,IF($E$91=7,Dados!$AP$37,IF($E$91=8,Dados!$AT$37,0)))))))</f>
        <v>0</v>
      </c>
      <c r="GJ29" s="316">
        <f>IF($E$92=2,Dados!$AE$37,IF($E$92=3,Dados!$AG$37,IF($E$92=4,Dados!$AI$37,IF($E$92=5,Dados!$AK$37,IF($E$92=6,Dados!$AM$37,IF($E$92=7,Dados!$AO$37,IF($E$92=8,Dados!$AS$37,0)))))))</f>
        <v>0</v>
      </c>
      <c r="GK29" s="304">
        <f>IF($E$92=2,Dados!$AF$37,IF($E$92=3,Dados!$AH$37,IF($E$92=4,Dados!$AJ$37,IF($E$92=5,Dados!$AL$37,IF($E$92=6,Dados!$AN$37,IF($E$92=7,Dados!$AP$37,IF($E$92=8,Dados!$AT$37,0)))))))</f>
        <v>0</v>
      </c>
      <c r="GM29" s="316">
        <f>IF($E$97=2,Dados!$AE$37,IF($E$97=3,Dados!$AG$37,IF($E$97=4,Dados!$AI$37,IF($E$97=5,Dados!$AK$37,IF($E$97=6,Dados!$AM$37,IF($E$97=7,Dados!$AO$37,IF($E$97=8,Dados!$AS$37,0)))))))</f>
        <v>0</v>
      </c>
      <c r="GN29" s="304">
        <f>IF($E$97=2,Dados!$AF$37,IF($E$97=3,Dados!$AH$37,IF($E$97=4,Dados!$AJ$37,IF($E$97=5,Dados!$AL$37,IF($E$97=6,Dados!$AN$37,IF($E$97=7,Dados!$AP$37,IF($E$97=8,Dados!$AT$37,0)))))))</f>
        <v>0</v>
      </c>
      <c r="GO29" s="316">
        <f>IF($E$98=2,Dados!$AE$37,IF($E$98=3,Dados!$AG$37,IF($E$98=4,Dados!$AI$37,IF($E$98=5,Dados!$AK$37,IF($E$98=6,Dados!$AM$37,IF($E$98=7,Dados!$AO$37,IF($E$98=8,Dados!$AS$37,0)))))))</f>
        <v>0</v>
      </c>
      <c r="GP29" s="304">
        <f>IF($E$98=2,Dados!$AF$37,IF($E$98=3,Dados!$AH$37,IF($E$98=4,Dados!$AJ$37,IF($E$98=5,Dados!$AL$37,IF($E$98=6,Dados!$AN$37,IF($E$98=7,Dados!$AP$37,IF($E$98=8,Dados!$AT$37,0)))))))</f>
        <v>0</v>
      </c>
      <c r="GQ29" s="316">
        <f>IF($E$99=2,Dados!$AE$37,IF($E$99=3,Dados!$AG$37,IF($E$99=4,Dados!$AI$37,IF($E$99=5,Dados!$AK$37,IF($E$99=6,Dados!$AM$37,IF($E$99=7,Dados!$AO$37,IF($E$99=8,Dados!$AS$37,0)))))))</f>
        <v>0</v>
      </c>
      <c r="GR29" s="304">
        <f>IF($E$99=2,Dados!$AF$37,IF($E$99=3,Dados!$AH$37,IF($E$99=4,Dados!$AJ$37,IF($E$99=5,Dados!$AL$37,IF($E$99=6,Dados!$AN$37,IF($E$99=7,Dados!$AP$37,IF($E$99=8,Dados!$AT$37,0)))))))</f>
        <v>0</v>
      </c>
      <c r="GS29" s="316">
        <f>IF($E$100=2,Dados!$AE$37,IF($E$100=3,Dados!$AG$37,IF($E$100=4,Dados!$AI$37,IF($E$100=5,Dados!$AK$37,IF($E$100=6,Dados!$AM$37,IF($E$100=7,Dados!$AO$37,IF($E$100=8,Dados!$AS$37,0)))))))</f>
        <v>0</v>
      </c>
      <c r="GT29" s="304">
        <f>IF($E$100=2,Dados!$AF$37,IF($E$100=3,Dados!$AH$37,IF($E$100=4,Dados!$AJ$37,IF($E$100=5,Dados!$AL$37,IF($E$100=6,Dados!$AN$37,IF($E$100=7,Dados!$AP$37,IF($E$100=8,Dados!$AT$37,0)))))))</f>
        <v>0</v>
      </c>
      <c r="GU29" s="316">
        <f>IF($E$101=2,Dados!$AE$37,IF($E$101=3,Dados!$AG$37,IF($E$101=4,Dados!$AI$37,IF($E$101=5,Dados!$AK$37,IF($E$101=6,Dados!$AM$37,IF($E$101=7,Dados!$AO$37,IF($E$101=8,Dados!$AS$37,0)))))))</f>
        <v>0</v>
      </c>
      <c r="GV29" s="304">
        <f>IF($E$101=2,Dados!$AF$37,IF($E$101=3,Dados!$AH$37,IF($E$101=4,Dados!$AJ$37,IF($E$101=5,Dados!$AL$37,IF($E$101=6,Dados!$AN$37,IF($E$101=7,Dados!$AP$37,IF($E$101=8,Dados!$AT$37,0)))))))</f>
        <v>0</v>
      </c>
      <c r="GX29" s="316">
        <f>IF($E$106=2,Dados!$AE$37,IF($E$106=3,Dados!$AG$37,IF($E$106=4,Dados!$AI$37,IF($E$106=5,Dados!$AK$37,IF($E$106=6,Dados!$AM$37,IF($E$106=7,Dados!$AO$37,IF($E$106=8,Dados!$AS$37,0)))))))</f>
        <v>0</v>
      </c>
      <c r="GY29" s="304">
        <f>IF($E$106=2,Dados!$AF$37,IF($E$106=3,Dados!$AH$37,IF($E$106=4,Dados!$AJ$37,IF($E$106=5,Dados!$AL$37,IF($E$106=6,Dados!$AN$37,IF($E$106=7,Dados!$AP$37,IF($E$106=8,Dados!$AT$37,0)))))))</f>
        <v>0</v>
      </c>
      <c r="GZ29" s="316">
        <f>IF($E$107=2,Dados!$AE$37,IF($E$107=3,Dados!$AG$37,IF($E$107=4,Dados!$AI$37,IF($E$107=5,Dados!$AK$37,IF($E$107=6,Dados!$AM$37,IF($E$107=7,Dados!$AO$37,IF($E$107=8,Dados!$AS$37,0)))))))</f>
        <v>0</v>
      </c>
      <c r="HA29" s="304">
        <f>IF($E$107=2,Dados!$AF$37,IF($E$107=3,Dados!$AH$37,IF($E$107=4,Dados!$AJ$37,IF($E$107=5,Dados!$AL$37,IF($E$107=6,Dados!$AN$37,IF($E$107=7,Dados!$AP$37,IF($E$107=8,Dados!$AT$37,0)))))))</f>
        <v>0</v>
      </c>
      <c r="HB29" s="316">
        <f>IF($E$108=2,Dados!$AE$37,IF($E$108=3,Dados!$AG$37,IF($E$108=4,Dados!$AI$37,IF($E$108=5,Dados!$AK$37,IF($E$108=6,Dados!$AM$37,IF($E$108=7,Dados!$AO$37,IF($E$108=8,Dados!$AS$37,0)))))))</f>
        <v>0</v>
      </c>
      <c r="HC29" s="304">
        <f>IF($E$108=2,Dados!$AF$37,IF($E$108=3,Dados!$AH$37,IF($E$108=4,Dados!$AJ$37,IF($E$108=5,Dados!$AL$37,IF($E$108=6,Dados!$AN$37,IF($E$108=7,Dados!$AP$37,IF($E$108=8,Dados!$AT$37,0)))))))</f>
        <v>0</v>
      </c>
      <c r="HD29" s="316">
        <f>IF($E$109=2,Dados!$AE$37,IF($E$109=3,Dados!$AG$37,IF($E$109=4,Dados!$AI$37,IF($E$109=5,Dados!$AK$37,IF($E$109=6,Dados!$AM$37,IF($E$109=7,Dados!$AO$37,IF($E$109=8,Dados!$AS$37,0)))))))</f>
        <v>0</v>
      </c>
      <c r="HE29" s="304">
        <f>IF($E$109=2,Dados!$AF$37,IF($E$109=3,Dados!$AH$37,IF($E$109=4,Dados!$AJ$37,IF($E$109=5,Dados!$AL$37,IF($E$109=6,Dados!$AN$37,IF($E$109=7,Dados!$AP$37,IF($E$109=8,Dados!$AT$37,0)))))))</f>
        <v>0</v>
      </c>
      <c r="HF29" s="316">
        <f>IF($E$110=2,Dados!$AE$37,IF($E$110=3,Dados!$AG$37,IF($E$110=4,Dados!$AI$37,IF($E$110=5,Dados!$AK$37,IF($E$110=6,Dados!$AM$37,IF($E$110=7,Dados!$AO$37,IF($E$110=8,Dados!$AS$37,0)))))))</f>
        <v>0</v>
      </c>
      <c r="HG29" s="304">
        <f>IF($E$110=2,Dados!$AF$37,IF($E$110=3,Dados!$AH$37,IF($E$110=4,Dados!$AJ$37,IF($E$110=5,Dados!$AL$37,IF($E$110=6,Dados!$AN$37,IF($E$110=7,Dados!$AP$37,IF($E$110=8,Dados!$AT$37,0)))))))</f>
        <v>0</v>
      </c>
    </row>
    <row r="30" spans="3:215" x14ac:dyDescent="0.2">
      <c r="C30" s="156">
        <f>SUM(C25:C29)</f>
        <v>0</v>
      </c>
      <c r="K30" s="158"/>
      <c r="AW30" s="4" t="s">
        <v>634</v>
      </c>
      <c r="AX30" s="94">
        <f>IF($E25=7,$V25,0)</f>
        <v>0</v>
      </c>
      <c r="AY30" s="94">
        <f>IF($E26=7,$V26,0)</f>
        <v>0</v>
      </c>
      <c r="AZ30" s="94">
        <f>IF($E27=7,$V27,0)</f>
        <v>0</v>
      </c>
      <c r="BA30" s="94">
        <f>IF($E28=7,$V28,0)</f>
        <v>0</v>
      </c>
      <c r="BB30" s="94">
        <f>IF($E29=7,$V29,0)</f>
        <v>0</v>
      </c>
      <c r="BC30" s="200">
        <f t="shared" si="7"/>
        <v>0</v>
      </c>
      <c r="CF30" s="93">
        <v>25</v>
      </c>
      <c r="CG30" s="316">
        <f>IF($E$7=2,Dados!$AE$38,IF($E$7=3,Dados!$AG$38,IF($E$7=4,Dados!$AI$38,IF($E$7=5,Dados!$AK$38,IF($E$7=6,Dados!$AM$38,IF($E$7=7,Dados!$AO$38,IF($E$7=8,Dados!$AS$38,0)))))))</f>
        <v>0</v>
      </c>
      <c r="CH30" s="304">
        <f>IF($E$7=2,Dados!$AF$38,IF($E$7=3,Dados!$AH$38,IF($E$7=4,Dados!$AJ$38,IF($E$7=5,Dados!$AL$38,IF($E$7=6,Dados!$AN$38,IF($E$7=7,Dados!$AP$38,IF($E$7=8,Dados!$AT$38,0)))))))</f>
        <v>0</v>
      </c>
      <c r="CI30" s="316">
        <f>IF($E$8=2,Dados!$AE$38,IF($E$8=3,Dados!$AG$38,IF($E$8=4,Dados!$AI$38,IF($E$8=5,Dados!$AK$38,IF($E$8=6,Dados!$AM$38,IF($E$8=7,Dados!$AO$38,IF($E$8=8,Dados!$AS$38,0)))))))</f>
        <v>0</v>
      </c>
      <c r="CJ30" s="304">
        <f>IF($E$8=2,Dados!$AF$38,IF($E$8=3,Dados!$AH$38,IF($E$8=4,Dados!$AJ$38,IF($E$8=5,Dados!$AL$38,IF($E$8=6,Dados!$AN$38,IF($E$8=7,Dados!$AP$38,IF($E$8=8,Dados!$AT$38,0)))))))</f>
        <v>0</v>
      </c>
      <c r="CK30" s="316">
        <f>IF($E$9=2,Dados!$AE$38,IF($E$9=3,Dados!$AG$38,IF($E$9=4,Dados!$AI$38,IF($E$9=5,Dados!$AK$38,IF($E$9=6,Dados!$AM$38,IF($E$9=7,Dados!$AO$38,IF($E$9=8,Dados!$AS$38,0)))))))</f>
        <v>0</v>
      </c>
      <c r="CL30" s="304">
        <f>IF($E$9=2,Dados!$AF$38,IF($E$9=3,Dados!$AH$38,IF($E$9=4,Dados!$AJ$38,IF($E$9=5,Dados!$AL$38,IF($E$9=6,Dados!$AN$38,IF($E$9=7,Dados!$AP$38,IF($E$9=8,Dados!$AT$38,0)))))))</f>
        <v>0</v>
      </c>
      <c r="CM30" s="316">
        <f>IF($E$10=2,Dados!$AE$38,IF($E$10=3,Dados!$AG$38,IF($E$10=4,Dados!$AI$38,IF($E$10=5,Dados!$AK$38,IF($E$10=6,Dados!$AM$38,IF($E$10=7,Dados!$AO$38,IF($E$10=8,Dados!$AS$38,0)))))))</f>
        <v>0</v>
      </c>
      <c r="CN30" s="304">
        <f>IF($E$10=2,Dados!$AF$38,IF($E$10=3,Dados!$AH$38,IF($E$10=4,Dados!$AJ$38,IF($E$10=5,Dados!$AL$38,IF($E$10=6,Dados!$AN$38,IF($E$10=7,Dados!$AP$38,IF($E$10=8,Dados!$AT$38,0)))))))</f>
        <v>0</v>
      </c>
      <c r="CO30" s="316">
        <f>IF($E$11=2,Dados!$AE$38,IF($E$11=3,Dados!$AG$38,IF($E$11=4,Dados!$AI$38,IF($E$11=5,Dados!$AK$38,IF($E$11=6,Dados!$AM$38,IF($E$11=7,Dados!$AO$38,IF($E$11=8,Dados!$AS$38,0)))))))</f>
        <v>0</v>
      </c>
      <c r="CP30" s="304">
        <f>IF($E$11=2,Dados!$AF$38,IF($E$11=3,Dados!$AH$38,IF($E$11=4,Dados!$AJ$38,IF($E$11=5,Dados!$AL$38,IF($E$11=6,Dados!$AN$38,IF($E$11=7,Dados!$AP$38,IF($E$11=8,Dados!$AT$38,0)))))))</f>
        <v>0</v>
      </c>
      <c r="CR30" s="316">
        <f>IF($E$16=2,Dados!$AE$38,IF($E$16=3,Dados!$AG$38,IF($E$16=4,Dados!$AI$38,IF($E$16=5,Dados!$AK$38,IF($E$16=6,Dados!$AM$38,IF($E$16=7,Dados!$AO$38,IF($E$16=8,Dados!$AS$38,0)))))))</f>
        <v>0</v>
      </c>
      <c r="CS30" s="304">
        <f>IF($E$16=2,Dados!$AF$38,IF($E$16=3,Dados!$AH$38,IF($E$16=4,Dados!$AJ$38,IF($E$16=5,Dados!$AL$38,IF($E$16=6,Dados!$AN$38,IF($E$16=7,Dados!$AP$38,IF($E$16=8,Dados!$AT$38,0)))))))</f>
        <v>0</v>
      </c>
      <c r="CT30" s="316">
        <f>IF($E$17=2,Dados!$AE$38,IF($E$17=3,Dados!$AG$38,IF($E$17=4,Dados!$AI$38,IF($E$17=5,Dados!$AK$38,IF($E$17=6,Dados!$AM$38,IF($E$17=7,Dados!$AO$38,IF($E$17=8,Dados!$AS$38,0)))))))</f>
        <v>0</v>
      </c>
      <c r="CU30" s="304">
        <f>IF($E$17=2,Dados!$AF$38,IF($E$17=3,Dados!$AH$38,IF($E$17=4,Dados!$AJ$38,IF($E$17=5,Dados!$AL$38,IF($E$17=6,Dados!$AN$38,IF($E$17=7,Dados!$AP$38,IF($E$17=8,Dados!$AT$38,0)))))))</f>
        <v>0</v>
      </c>
      <c r="CV30" s="316">
        <f>IF($E$18=2,Dados!$AE$38,IF($E$18=3,Dados!$AG$38,IF($E$18=4,Dados!$AI$38,IF($E$18=5,Dados!$AK$38,IF($E$18=6,Dados!$AM$38,IF($E$18=7,Dados!$AO$38,IF($E$18=8,Dados!$AS$38,0)))))))</f>
        <v>0</v>
      </c>
      <c r="CW30" s="304">
        <f>IF($E$18=2,Dados!$AF$38,IF($E$18=3,Dados!$AH$38,IF($E$18=4,Dados!$AJ$38,IF($E$18=5,Dados!$AL$38,IF($E$18=6,Dados!$AN$38,IF($E$18=7,Dados!$AP$38,IF($E$18=8,Dados!$AT$38,0)))))))</f>
        <v>0</v>
      </c>
      <c r="CX30" s="316">
        <f>IF($E$19=2,Dados!$AE$38,IF($E$19=3,Dados!$AG$38,IF($E$19=4,Dados!$AI$38,IF($E$19=5,Dados!$AK$38,IF($E$19=6,Dados!$AM$38,IF($E$19=7,Dados!$AO$38,IF($E$19=8,Dados!$AS$38,0)))))))</f>
        <v>0</v>
      </c>
      <c r="CY30" s="304">
        <f>IF($E$19=2,Dados!$AF$38,IF($E$19=3,Dados!$AH$38,IF($E$19=4,Dados!$AJ$38,IF($E$19=5,Dados!$AL$38,IF($E$19=6,Dados!$AN$38,IF($E$19=7,Dados!$AP$38,IF($E$19=8,Dados!$AT$38,0)))))))</f>
        <v>0</v>
      </c>
      <c r="CZ30" s="316">
        <f>IF($E$20=2,Dados!$AE$38,IF($E$20=3,Dados!$AG$38,IF($E$20=4,Dados!$AI$38,IF($E$20=5,Dados!$AK$38,IF($E$20=6,Dados!$AM$38,IF($E$20=7,Dados!$AO$38,IF($E$20=8,Dados!$AS$38,0)))))))</f>
        <v>0</v>
      </c>
      <c r="DA30" s="304">
        <f>IF($E$20=2,Dados!$AF$38,IF($E$20=3,Dados!$AH$38,IF($E$20=4,Dados!$AJ$38,IF($E$20=5,Dados!$AL$38,IF($E$20=6,Dados!$AN$38,IF($E$20=7,Dados!$AP$38,IF($E$20=8,Dados!$AT$38,0)))))))</f>
        <v>0</v>
      </c>
      <c r="DC30" s="316">
        <f>IF($E$25=2,Dados!$AE$38,IF($E$25=3,Dados!$AG$38,IF($E$25=4,Dados!$AI$38,IF($E$25=5,Dados!$AK$38,IF($E$25=6,Dados!$AM$38,IF($E$25=7,Dados!$AO$38,IF($E$25=8,Dados!$AS$38,0)))))))</f>
        <v>0</v>
      </c>
      <c r="DD30" s="304">
        <f>IF($E$25=2,Dados!$AF$38,IF($E$25=3,Dados!$AH$38,IF($E$25=4,Dados!$AJ$38,IF($E$25=5,Dados!$AL$38,IF($E$25=6,Dados!$AN$38,IF($E$25=7,Dados!$AP$38,IF($E$25=8,Dados!$AT$38,0)))))))</f>
        <v>0</v>
      </c>
      <c r="DE30" s="316">
        <f>IF($E$26=2,Dados!$AE$38,IF($E$26=3,Dados!$AG$38,IF($E$26=4,Dados!$AI$38,IF($E$26=5,Dados!$AK$38,IF($E$26=6,Dados!$AM$38,IF($E$26=7,Dados!$AO$38,IF($E$26=8,Dados!$AS$38,0)))))))</f>
        <v>0</v>
      </c>
      <c r="DF30" s="304">
        <f>IF($E$26=2,Dados!$AF$38,IF($E$26=3,Dados!$AH$38,IF($E$26=4,Dados!$AJ$38,IF($E$26=5,Dados!$AL$38,IF($E$26=6,Dados!$AN$38,IF($E$26=7,Dados!$AP$38,IF($E$26=8,Dados!$AT$38,0)))))))</f>
        <v>0</v>
      </c>
      <c r="DG30" s="316">
        <f>IF($E$27=2,Dados!$AE$38,IF($E$27=3,Dados!$AG$38,IF($E$27=4,Dados!$AI$38,IF($E$27=5,Dados!$AK$38,IF($E$27=6,Dados!$AM$38,IF($E$27=7,Dados!$AO$38,IF($E$27=8,Dados!$AS$38,0)))))))</f>
        <v>0</v>
      </c>
      <c r="DH30" s="304">
        <f>IF($E$27=2,Dados!$AF$38,IF($E$27=3,Dados!$AH$38,IF($E$27=4,Dados!$AJ$38,IF($E$27=5,Dados!$AL$38,IF($E$27=6,Dados!$AN$38,IF($E$27=7,Dados!$AP$38,IF($E$27=8,Dados!$AT$38,0)))))))</f>
        <v>0</v>
      </c>
      <c r="DI30" s="316">
        <f>IF($E$28=2,Dados!$AE$38,IF($E$28=3,Dados!$AG$38,IF($E$28=4,Dados!$AI$38,IF($E$28=5,Dados!$AK$38,IF($E$28=6,Dados!$AM$38,IF($E$28=7,Dados!$AO$38,IF($E$28=8,Dados!$AS$38,0)))))))</f>
        <v>0</v>
      </c>
      <c r="DJ30" s="304">
        <f>IF($E$28=2,Dados!$AF$38,IF($E$28=3,Dados!$AH$38,IF($E$28=4,Dados!$AJ$38,IF($E$28=5,Dados!$AL$38,IF($E$28=6,Dados!$AN$38,IF($E$28=7,Dados!$AP$38,IF($E$28=8,Dados!$AT$38,0)))))))</f>
        <v>0</v>
      </c>
      <c r="DK30" s="316">
        <f>IF($E$29=2,Dados!$AE$38,IF($E$29=3,Dados!$AG$38,IF($E$29=4,Dados!$AI$38,IF($E$29=5,Dados!$AK$38,IF($E$29=6,Dados!$AM$38,IF($E$29=7,Dados!$AO$38,IF($E$29=8,Dados!$AS$38,0)))))))</f>
        <v>0</v>
      </c>
      <c r="DL30" s="304">
        <f>IF($E$29=2,Dados!$AF$38,IF($E$29=3,Dados!$AH$38,IF($E$29=4,Dados!$AJ$38,IF($E$29=5,Dados!$AL$38,IF($E$29=6,Dados!$AN$38,IF($E$29=7,Dados!$AP$38,IF($E$29=8,Dados!$AT$38,0)))))))</f>
        <v>0</v>
      </c>
      <c r="DN30" s="316">
        <f>IF($E$34=2,Dados!$AE$38,IF($E$34=3,Dados!$AG$38,IF($E$34=4,Dados!$AI$38,IF($E$34=5,Dados!$AK$38,IF($E$34=6,Dados!$AM$38,IF($E$34=7,Dados!$AO$38,IF($E$34=8,Dados!$AS$38,0)))))))</f>
        <v>0</v>
      </c>
      <c r="DO30" s="304">
        <f>IF($E$34=2,Dados!$AF$38,IF($E$34=3,Dados!$AH$38,IF($E$34=4,Dados!$AJ$38,IF($E$34=5,Dados!$AL$38,IF($E$34=6,Dados!$AN$38,IF($E$34=7,Dados!$AP$38,IF($E$34=8,Dados!$AT$38,0)))))))</f>
        <v>0</v>
      </c>
      <c r="DP30" s="316">
        <f>IF($E$35=2,Dados!$AE$38,IF($E$35=3,Dados!$AG$38,IF($E$35=4,Dados!$AI$38,IF($E$35=5,Dados!$AK$38,IF($E$35=6,Dados!$AM$38,IF($E$35=7,Dados!$AO$38,IF($E$35=8,Dados!$AS$38,0)))))))</f>
        <v>0</v>
      </c>
      <c r="DQ30" s="304">
        <f>IF($E$35=2,Dados!$AF$38,IF($E$35=3,Dados!$AH$38,IF($E$35=4,Dados!$AJ$38,IF($E$35=5,Dados!$AL$38,IF($E$35=6,Dados!$AN$38,IF($E$35=7,Dados!$AP$38,IF($E$35=8,Dados!$AT$38,0)))))))</f>
        <v>0</v>
      </c>
      <c r="DR30" s="316">
        <f>IF($E$36=2,Dados!$AE$38,IF($E$36=3,Dados!$AG$38,IF($E$36=4,Dados!$AI$38,IF($E$36=5,Dados!$AK$38,IF($E$36=6,Dados!$AM$38,IF($E$36=7,Dados!$AO$38,IF($E$36=8,Dados!$AS$38,0)))))))</f>
        <v>0</v>
      </c>
      <c r="DS30" s="304">
        <f>IF($E$36=2,Dados!$AF$38,IF($E$36=3,Dados!$AH$38,IF($E$36=4,Dados!$AJ$38,IF($E$36=5,Dados!$AL$38,IF($E$36=6,Dados!$AN$38,IF($E$36=7,Dados!$AP$38,IF($E$36=8,Dados!$AT$38,0)))))))</f>
        <v>0</v>
      </c>
      <c r="DT30" s="316">
        <f>IF($E$37=2,Dados!$AE$38,IF($E$37=3,Dados!$AG$38,IF($E$37=4,Dados!$AI$38,IF($E$37=5,Dados!$AK$38,IF($E$37=6,Dados!$AM$38,IF($E$37=7,Dados!$AO$38,IF($E$37=8,Dados!$AS$38,0)))))))</f>
        <v>0</v>
      </c>
      <c r="DU30" s="304">
        <f>IF($E$37=2,Dados!$AF$38,IF($E$37=3,Dados!$AH$38,IF($E$37=4,Dados!$AJ$38,IF($E$37=5,Dados!$AL$38,IF($E$37=6,Dados!$AN$38,IF($E$37=7,Dados!$AP$38,IF($E$37=8,Dados!$AT$38,0)))))))</f>
        <v>0</v>
      </c>
      <c r="DV30" s="316">
        <f>IF($E$38=2,Dados!$AE$38,IF($E$38=3,Dados!$AG$38,IF($E$38=4,Dados!$AI$38,IF($E$38=5,Dados!$AK$38,IF($E$38=6,Dados!$AM$38,IF($E$38=7,Dados!$AO$38,IF($E$38=8,Dados!$AS$38,0)))))))</f>
        <v>0</v>
      </c>
      <c r="DW30" s="304">
        <f>IF($E$38=2,Dados!$AF$38,IF($E$38=3,Dados!$AH$38,IF($E$38=4,Dados!$AJ$38,IF($E$38=5,Dados!$AL$38,IF($E$38=6,Dados!$AN$38,IF($E$38=7,Dados!$AP$38,IF($E$38=8,Dados!$AT$38,0)))))))</f>
        <v>0</v>
      </c>
      <c r="DY30" s="316">
        <f>IF($E$43=2,Dados!$AE$38,IF($E$43=3,Dados!$AG$38,IF($E$43=4,Dados!$AI$38,IF($E$43=5,Dados!$AK$38,IF($E$43=6,Dados!$AM$38,IF($E$43=7,Dados!$AO$38,IF($E$43=8,Dados!$AS$38,0)))))))</f>
        <v>0</v>
      </c>
      <c r="DZ30" s="304">
        <f>IF($E$43=2,Dados!$AF$38,IF($E$43=3,Dados!$AH$38,IF($E$43=4,Dados!$AJ$38,IF($E$43=5,Dados!$AL$38,IF($E$43=6,Dados!$AN$38,IF($E$43=7,Dados!$AP$38,IF($E$43=8,Dados!$AT$38,0)))))))</f>
        <v>0</v>
      </c>
      <c r="EA30" s="316">
        <f>IF($E$44=2,Dados!$AE$38,IF($E$44=3,Dados!$AG$38,IF($E$44=4,Dados!$AI$38,IF($E$44=5,Dados!$AK$38,IF($E$44=6,Dados!$AM$38,IF($E$44=7,Dados!$AO$38,IF($E$44=8,Dados!$AS$38,0)))))))</f>
        <v>0</v>
      </c>
      <c r="EB30" s="304">
        <f>IF($E$44=2,Dados!$AF$38,IF($E$44=3,Dados!$AH$38,IF($E$44=4,Dados!$AJ$38,IF($E$44=5,Dados!$AL$38,IF($E$44=6,Dados!$AN$38,IF($E$44=7,Dados!$AP$38,IF($E$44=8,Dados!$AT$38,0)))))))</f>
        <v>0</v>
      </c>
      <c r="EC30" s="316">
        <f>IF($E$45=2,Dados!$AE$38,IF($E$45=3,Dados!$AG$38,IF($E$45=4,Dados!$AI$38,IF($E$45=5,Dados!$AK$38,IF($E$45=6,Dados!$AM$38,IF($E$45=7,Dados!$AO$38,IF($E$45=8,Dados!$AS$38,0)))))))</f>
        <v>0</v>
      </c>
      <c r="ED30" s="304">
        <f>IF($E$45=2,Dados!$AF$38,IF($E$45=3,Dados!$AH$38,IF($E$45=4,Dados!$AJ$38,IF($E$45=5,Dados!$AL$38,IF($E$45=6,Dados!$AN$38,IF($E$45=7,Dados!$AP$38,IF($E$45=8,Dados!$AT$38,0)))))))</f>
        <v>0</v>
      </c>
      <c r="EE30" s="316">
        <f>IF($E$46=2,Dados!$AE$38,IF($E$46=3,Dados!$AG$38,IF($E$46=4,Dados!$AI$38,IF($E$46=5,Dados!$AK$38,IF($E$46=6,Dados!$AM$38,IF($E$46=7,Dados!$AO$38,IF($E$46=8,Dados!$AS$38,0)))))))</f>
        <v>0</v>
      </c>
      <c r="EF30" s="304">
        <f>IF($E$46=2,Dados!$AF$38,IF($E$46=3,Dados!$AH$38,IF($E$46=4,Dados!$AJ$38,IF($E$46=5,Dados!$AL$38,IF($E$46=6,Dados!$AN$38,IF($E$46=7,Dados!$AP$38,IF($E$46=8,Dados!$AT$38,0)))))))</f>
        <v>0</v>
      </c>
      <c r="EG30" s="316">
        <f>IF($E$47=2,Dados!$AE$38,IF($E$47=3,Dados!$AG$38,IF($E$47=4,Dados!$AI$38,IF($E$47=5,Dados!$AK$38,IF($E$47=6,Dados!$AM$38,IF($E$47=7,Dados!$AO$38,IF($E$47=8,Dados!$AS$38,0)))))))</f>
        <v>0</v>
      </c>
      <c r="EH30" s="304">
        <f>IF($E$47=2,Dados!$AF$38,IF($E$47=3,Dados!$AH$38,IF($E$47=4,Dados!$AJ$38,IF($E$47=5,Dados!$AL$38,IF($E$47=6,Dados!$AN$38,IF($E$47=7,Dados!$AP$38,IF($E$47=8,Dados!$AT$38,0)))))))</f>
        <v>0</v>
      </c>
      <c r="EJ30" s="316">
        <f>IF($E$52=2,Dados!$AE$38,IF($E$52=3,Dados!$AG$38,IF($E$52=4,Dados!$AI$38,IF($E$52=5,Dados!$AK$38,IF($E$52=6,Dados!$AM$38,IF($E$52=7,Dados!$AO$38,IF($E$52=8,Dados!$AS$38,0)))))))</f>
        <v>0</v>
      </c>
      <c r="EK30" s="304">
        <f>IF($E$52=2,Dados!$AF$38,IF($E$52=3,Dados!$AH$38,IF($E$52=4,Dados!$AJ$38,IF($E$52=5,Dados!$AL$38,IF($E$52=6,Dados!$AN$38,IF($E$52=7,Dados!$AP$38,IF($E$52=8,Dados!$AT$38,0)))))))</f>
        <v>0</v>
      </c>
      <c r="EL30" s="316">
        <f>IF($E$53=2,Dados!$AE$38,IF($E$53=3,Dados!$AG$38,IF($E$53=4,Dados!$AI$38,IF($E$53=5,Dados!$AK$38,IF($E$53=6,Dados!$AM$38,IF($E$53=7,Dados!$AO$38,IF($E$53=8,Dados!$AS$38,0)))))))</f>
        <v>0</v>
      </c>
      <c r="EM30" s="304">
        <f>IF($E$53=2,Dados!$AF$38,IF($E$53=3,Dados!$AH$38,IF($E$53=4,Dados!$AJ$38,IF($E$53=5,Dados!$AL$38,IF($E$53=6,Dados!$AN$38,IF($E$53=7,Dados!$AP$38,IF($E$53=8,Dados!$AT$38,0)))))))</f>
        <v>0</v>
      </c>
      <c r="EN30" s="316">
        <f>IF($E$54=2,Dados!$AE$38,IF($E$54=3,Dados!$AG$38,IF($E$54=4,Dados!$AI$38,IF($E$54=5,Dados!$AK$38,IF($E$54=6,Dados!$AM$38,IF($E$54=7,Dados!$AO$38,IF($E$54=8,Dados!$AS$38,0)))))))</f>
        <v>0</v>
      </c>
      <c r="EO30" s="304">
        <f>IF($E$54=2,Dados!$AF$38,IF($E$54=3,Dados!$AH$38,IF($E$54=4,Dados!$AJ$38,IF($E$54=5,Dados!$AL$38,IF($E$54=6,Dados!$AN$38,IF($E$54=7,Dados!$AP$38,IF($E$54=8,Dados!$AT$38,0)))))))</f>
        <v>0</v>
      </c>
      <c r="EP30" s="316">
        <f>IF($E$55=2,Dados!$AE$38,IF($E$55=3,Dados!$AG$38,IF($E$55=4,Dados!$AI$38,IF($E$55=5,Dados!$AK$38,IF($E$55=6,Dados!$AM$38,IF($E$55=7,Dados!$AO$38,IF($E$55=8,Dados!$AS$38,0)))))))</f>
        <v>0</v>
      </c>
      <c r="EQ30" s="304">
        <f>IF($E$55=2,Dados!$AF$38,IF($E$55=3,Dados!$AH$38,IF($E$55=4,Dados!$AJ$38,IF($E$55=5,Dados!$AL$38,IF($E$55=6,Dados!$AN$38,IF($E$55=7,Dados!$AP$38,IF($E$55=8,Dados!$AT$38,0)))))))</f>
        <v>0</v>
      </c>
      <c r="ER30" s="316">
        <f>IF($E$56=2,Dados!$AE$38,IF($E$56=3,Dados!$AG$38,IF($E$56=4,Dados!$AI$38,IF($E$56=5,Dados!$AK$38,IF($E$56=6,Dados!$AM$38,IF($E$56=7,Dados!$AO$38,IF($E$56=8,Dados!$AS$38,0)))))))</f>
        <v>0</v>
      </c>
      <c r="ES30" s="304">
        <f>IF($E$56=2,Dados!$AF$38,IF($E$56=3,Dados!$AH$38,IF($E$56=4,Dados!$AJ$38,IF($E$56=5,Dados!$AL$38,IF($E$56=6,Dados!$AN$38,IF($E$56=7,Dados!$AP$38,IF($E$56=8,Dados!$AT$38,0)))))))</f>
        <v>0</v>
      </c>
      <c r="EU30" s="316">
        <f>IF($E$61=2,Dados!$AE$38,IF($E$61=3,Dados!$AG$38,IF($E$61=4,Dados!$AI$38,IF($E$61=5,Dados!$AK$38,IF($E$61=6,Dados!$AM$38,IF($E$61=7,Dados!$AO$38,IF($E$61=8,Dados!$AS$38,0)))))))</f>
        <v>0</v>
      </c>
      <c r="EV30" s="304">
        <f>IF($E$61=2,Dados!$AF$38,IF($E$61=3,Dados!$AH$38,IF($E$61=4,Dados!$AJ$38,IF($E$61=5,Dados!$AL$38,IF($E$61=6,Dados!$AN$38,IF($E$61=7,Dados!$AP$38,IF($E$61=8,Dados!$AT$38,0)))))))</f>
        <v>0</v>
      </c>
      <c r="EW30" s="316">
        <f>IF($E$62=2,Dados!$AE$38,IF($E$62=3,Dados!$AG$38,IF($E$62=4,Dados!$AI$38,IF($E$62=5,Dados!$AK$38,IF($E$62=6,Dados!$AM$38,IF($E$62=7,Dados!$AO$38,IF($E$62=8,Dados!$AS$38,0)))))))</f>
        <v>0</v>
      </c>
      <c r="EX30" s="304">
        <f>IF($E$62=2,Dados!$AF$38,IF($E$62=3,Dados!$AH$38,IF($E$62=4,Dados!$AJ$38,IF($E$62=5,Dados!$AL$38,IF($E$62=6,Dados!$AN$38,IF($E$62=7,Dados!$AP$38,IF($E$62=8,Dados!$AT$38,0)))))))</f>
        <v>0</v>
      </c>
      <c r="EY30" s="316">
        <f>IF($E$63=2,Dados!$AE$38,IF($E$63=3,Dados!$AG$38,IF($E$63=4,Dados!$AI$38,IF($E$63=5,Dados!$AK$38,IF($E$63=6,Dados!$AM$38,IF($E$63=7,Dados!$AO$38,IF($E$63=8,Dados!$AS$38,0)))))))</f>
        <v>0</v>
      </c>
      <c r="EZ30" s="304">
        <f>IF($E$63=2,Dados!$AF$38,IF($E$63=3,Dados!$AH$38,IF($E$63=4,Dados!$AJ$38,IF($E$63=5,Dados!$AL$38,IF($E$63=6,Dados!$AN$38,IF($E$63=7,Dados!$AP$38,IF($E$63=8,Dados!$AT$38,0)))))))</f>
        <v>0</v>
      </c>
      <c r="FA30" s="316">
        <f>IF($E$64=2,Dados!$AE$38,IF($E$64=3,Dados!$AG$38,IF($E$64=4,Dados!$AI$38,IF($E$64=5,Dados!$AK$38,IF($E$64=6,Dados!$AM$38,IF($E$64=7,Dados!$AO$38,IF($E$64=8,Dados!$AS$38,0)))))))</f>
        <v>0</v>
      </c>
      <c r="FB30" s="304">
        <f>IF($E$64=2,Dados!$AF$38,IF($E$64=3,Dados!$AH$38,IF($E$64=4,Dados!$AJ$38,IF($E$64=5,Dados!$AL$38,IF($E$64=6,Dados!$AN$38,IF($E$64=7,Dados!$AP$38,IF($E$64=8,Dados!$AT$38,0)))))))</f>
        <v>0</v>
      </c>
      <c r="FC30" s="316">
        <f>IF($E$65=2,Dados!$AE$38,IF($E$65=3,Dados!$AG$38,IF($E$65=4,Dados!$AI$38,IF($E$65=5,Dados!$AK$38,IF($E$65=6,Dados!$AM$38,IF($E$65=7,Dados!$AO$38,IF($E$65=8,Dados!$AS$38,0)))))))</f>
        <v>0</v>
      </c>
      <c r="FD30" s="304">
        <f>IF($E$65=2,Dados!$AF$38,IF($E$65=3,Dados!$AH$38,IF($E$65=4,Dados!$AJ$38,IF($E$65=5,Dados!$AL$38,IF($E$65=6,Dados!$AN$38,IF($E$65=7,Dados!$AP$38,IF($E$65=8,Dados!$AT$38,0)))))))</f>
        <v>0</v>
      </c>
      <c r="FF30" s="316">
        <f>IF($E$70=2,Dados!$AE$38,IF($E$70=3,Dados!$AG$38,IF($E$70=4,Dados!$AI$38,IF($E$70=5,Dados!$AK$38,IF($E$70=6,Dados!$AM$38,IF($E$70=7,Dados!$AO$38,IF($E$70=8,Dados!$AS$38,0)))))))</f>
        <v>0</v>
      </c>
      <c r="FG30" s="304">
        <f>IF($E$70=2,Dados!$AF$38,IF($E$70=3,Dados!$AH$38,IF($E$70=4,Dados!$AJ$38,IF($E$70=5,Dados!$AL$38,IF($E$70=6,Dados!$AN$38,IF($E$70=7,Dados!$AP$38,IF($E$70=8,Dados!$AT$38,0)))))))</f>
        <v>0</v>
      </c>
      <c r="FH30" s="316">
        <f>IF($E$71=2,Dados!$AE$38,IF($E$71=3,Dados!$AG$38,IF($E$71=4,Dados!$AI$38,IF($E$71=5,Dados!$AK$38,IF($E$71=6,Dados!$AM$38,IF($E$71=7,Dados!$AO$38,IF($E$71=8,Dados!$AS$38,0)))))))</f>
        <v>0</v>
      </c>
      <c r="FI30" s="304">
        <f>IF($E$71=2,Dados!$AF$38,IF($E$71=3,Dados!$AH$38,IF($E$71=4,Dados!$AJ$38,IF($E$71=5,Dados!$AL$38,IF($E$71=6,Dados!$AN$38,IF($E$71=7,Dados!$AP$38,IF($E$71=8,Dados!$AT$38,0)))))))</f>
        <v>0</v>
      </c>
      <c r="FJ30" s="316">
        <f>IF($E$72=2,Dados!$AE$38,IF($E$72=3,Dados!$AG$38,IF($E$72=4,Dados!$AI$38,IF($E$72=5,Dados!$AK$38,IF($E$72=6,Dados!$AM$38,IF($E$72=7,Dados!$AO$38,IF($E$72=8,Dados!$AS$38,0)))))))</f>
        <v>0</v>
      </c>
      <c r="FK30" s="304">
        <f>IF($E$72=2,Dados!$AF$38,IF($E$72=3,Dados!$AH$38,IF($E$72=4,Dados!$AJ$38,IF($E$72=5,Dados!$AL$38,IF($E$72=6,Dados!$AN$38,IF($E$72=7,Dados!$AP$38,IF($E$72=8,Dados!$AT$38,0)))))))</f>
        <v>0</v>
      </c>
      <c r="FL30" s="316">
        <f>IF($E$73=2,Dados!$AE$38,IF($E$73=3,Dados!$AG$38,IF($E$73=4,Dados!$AI$38,IF($E$73=5,Dados!$AK$38,IF($E$73=6,Dados!$AM$38,IF($E$73=7,Dados!$AO$38,IF($E$73=8,Dados!$AS$38,0)))))))</f>
        <v>0</v>
      </c>
      <c r="FM30" s="304">
        <f>IF($E$73=2,Dados!$AF$38,IF($E$73=3,Dados!$AH$38,IF($E$73=4,Dados!$AJ$38,IF($E$73=5,Dados!$AL$38,IF($E$73=6,Dados!$AN$38,IF($E$73=7,Dados!$AP$38,IF($E$73=8,Dados!$AT$38,0)))))))</f>
        <v>0</v>
      </c>
      <c r="FN30" s="316">
        <f>IF($E$74=2,Dados!$AE$38,IF($E$74=3,Dados!$AG$38,IF($E$74=4,Dados!$AI$38,IF($E$74=5,Dados!$AK$38,IF($E$74=6,Dados!$AM$38,IF($E$74=7,Dados!$AO$38,IF($E$74=8,Dados!$AS$38,0)))))))</f>
        <v>0</v>
      </c>
      <c r="FO30" s="304">
        <f>IF($E$74=2,Dados!$AF$38,IF($E$74=3,Dados!$AH$38,IF($E$74=4,Dados!$AJ$38,IF($E$74=5,Dados!$AL$38,IF($E$74=6,Dados!$AN$38,IF($E$74=7,Dados!$AP$38,IF($E$74=8,Dados!$AT$38,0)))))))</f>
        <v>0</v>
      </c>
      <c r="FQ30" s="316">
        <f>IF($E$79=2,Dados!$AE$38,IF($E$79=3,Dados!$AG$38,IF($E$79=4,Dados!$AI$38,IF($E$79=5,Dados!$AK$38,IF($E$79=6,Dados!$AM$38,IF($E$79=7,Dados!$AO$38,IF($E$79=8,Dados!$AS$38,0)))))))</f>
        <v>0</v>
      </c>
      <c r="FR30" s="304">
        <f>IF($E$79=2,Dados!$AF$38,IF($E$79=3,Dados!$AH$38,IF($E$79=4,Dados!$AJ$38,IF($E$79=5,Dados!$AL$38,IF($E$79=6,Dados!$AN$38,IF($E$79=7,Dados!$AP$38,IF($E$79=8,Dados!$AT$38,0)))))))</f>
        <v>0</v>
      </c>
      <c r="FS30" s="316">
        <f>IF($E$80=2,Dados!$AE$38,IF($E$80=3,Dados!$AG$38,IF($E$80=4,Dados!$AI$38,IF($E$80=5,Dados!$AK$38,IF($E$80=6,Dados!$AM$38,IF($E$80=7,Dados!$AO$38,IF($E$80=8,Dados!$AS$38,0)))))))</f>
        <v>0</v>
      </c>
      <c r="FT30" s="304">
        <f>IF($E$80=2,Dados!$AF$38,IF($E$80=3,Dados!$AH$38,IF($E$80=4,Dados!$AJ$38,IF($E$80=5,Dados!$AL$38,IF($E$80=6,Dados!$AN$38,IF($E$80=7,Dados!$AP$38,IF($E$80=8,Dados!$AT$38,0)))))))</f>
        <v>0</v>
      </c>
      <c r="FU30" s="316">
        <f>IF($E$81=2,Dados!$AE$38,IF($E$81=3,Dados!$AG$38,IF($E$81=4,Dados!$AI$38,IF($E$81=5,Dados!$AK$38,IF($E$81=6,Dados!$AM$38,IF($E$81=7,Dados!$AO$38,IF($E$81=8,Dados!$AS$38,0)))))))</f>
        <v>0</v>
      </c>
      <c r="FV30" s="304">
        <f>IF($E$81=2,Dados!$AF$38,IF($E$81=3,Dados!$AH$38,IF($E$81=4,Dados!$AJ$38,IF($E$81=5,Dados!$AL$38,IF($E$81=6,Dados!$AN$38,IF($E$81=7,Dados!$AP$38,IF($E$81=8,Dados!$AT$38,0)))))))</f>
        <v>0</v>
      </c>
      <c r="FW30" s="316">
        <f>IF($E$82=2,Dados!$AE$38,IF($E$82=3,Dados!$AG$38,IF($E$82=4,Dados!$AI$38,IF($E$82=5,Dados!$AK$38,IF($E$82=6,Dados!$AM$38,IF($E$82=7,Dados!$AO$38,IF($E$82=8,Dados!$AS$38,0)))))))</f>
        <v>0</v>
      </c>
      <c r="FX30" s="304">
        <f>IF($E$82=2,Dados!$AF$38,IF($E$82=3,Dados!$AH$38,IF($E$82=4,Dados!$AJ$38,IF($E$82=5,Dados!$AL$38,IF($E$82=6,Dados!$AN$38,IF($E$82=7,Dados!$AP$38,IF($E$82=8,Dados!$AT$38,0)))))))</f>
        <v>0</v>
      </c>
      <c r="FY30" s="316">
        <f>IF($E$83=2,Dados!$AE$38,IF($E$83=3,Dados!$AG$38,IF($E$83=4,Dados!$AI$38,IF($E$83=5,Dados!$AK$38,IF($E$83=6,Dados!$AM$38,IF($E$83=7,Dados!$AO$38,IF($E$83=8,Dados!$AS$38,0)))))))</f>
        <v>0</v>
      </c>
      <c r="FZ30" s="304">
        <f>IF($E$83=2,Dados!$AF$38,IF($E$83=3,Dados!$AH$38,IF($E$83=4,Dados!$AJ$38,IF($E$83=5,Dados!$AL$38,IF($E$83=6,Dados!$AN$38,IF($E$83=7,Dados!$AP$38,IF($E$83=8,Dados!$AT$38,0)))))))</f>
        <v>0</v>
      </c>
      <c r="GB30" s="316">
        <f>IF($E$88=2,Dados!$AE$38,IF($E$88=3,Dados!$AG$38,IF($E$88=4,Dados!$AI$38,IF($E$88=5,Dados!$AK$38,IF($E$88=6,Dados!$AM$38,IF($E$88=7,Dados!$AO$38,IF($E$88=8,Dados!$AS$38,0)))))))</f>
        <v>0</v>
      </c>
      <c r="GC30" s="304">
        <f>IF($E$88=2,Dados!$AF$38,IF($E$88=3,Dados!$AH$38,IF($E$88=4,Dados!$AJ$38,IF($E$88=5,Dados!$AL$38,IF($E$88=6,Dados!$AN$38,IF($E$88=7,Dados!$AP$38,IF($E$88=8,Dados!$AT$38,0)))))))</f>
        <v>0</v>
      </c>
      <c r="GD30" s="316">
        <f>IF($E$89=2,Dados!$AE$38,IF($E$89=3,Dados!$AG$38,IF($E$89=4,Dados!$AI$38,IF($E$89=5,Dados!$AK$38,IF($E$89=6,Dados!$AM$38,IF($E$89=7,Dados!$AO$38,IF($E$89=8,Dados!$AS$38,0)))))))</f>
        <v>0</v>
      </c>
      <c r="GE30" s="304">
        <f>IF($E$89=2,Dados!$AF$38,IF($E$89=3,Dados!$AH$38,IF($E$89=4,Dados!$AJ$38,IF($E$89=5,Dados!$AL$38,IF($E$89=6,Dados!$AN$38,IF($E$89=7,Dados!$AP$38,IF($E$89=8,Dados!$AT$38,0)))))))</f>
        <v>0</v>
      </c>
      <c r="GF30" s="316">
        <f>IF($E$90=2,Dados!$AE$38,IF($E$90=3,Dados!$AG$38,IF($E$90=4,Dados!$AI$38,IF($E$90=5,Dados!$AK$38,IF($E$90=6,Dados!$AM$38,IF($E$90=7,Dados!$AO$38,IF($E$90=8,Dados!$AS$38,0)))))))</f>
        <v>0</v>
      </c>
      <c r="GG30" s="304">
        <f>IF($E$90=2,Dados!$AF$38,IF($E$90=3,Dados!$AH$38,IF($E$90=4,Dados!$AJ$38,IF($E$90=5,Dados!$AL$38,IF($E$90=6,Dados!$AN$38,IF($E$90=7,Dados!$AP$38,IF($E$90=8,Dados!$AT$38,0)))))))</f>
        <v>0</v>
      </c>
      <c r="GH30" s="316">
        <f>IF($E$91=2,Dados!$AE$38,IF($E$91=3,Dados!$AG$38,IF($E$91=4,Dados!$AI$38,IF($E$91=5,Dados!$AK$38,IF($E$91=6,Dados!$AM$38,IF($E$91=7,Dados!$AO$38,IF($E$91=8,Dados!$AS$38,0)))))))</f>
        <v>0</v>
      </c>
      <c r="GI30" s="304">
        <f>IF($E$91=2,Dados!$AF$38,IF($E$91=3,Dados!$AH$38,IF($E$91=4,Dados!$AJ$38,IF($E$91=5,Dados!$AL$38,IF($E$91=6,Dados!$AN$38,IF($E$91=7,Dados!$AP$38,IF($E$91=8,Dados!$AT$38,0)))))))</f>
        <v>0</v>
      </c>
      <c r="GJ30" s="316">
        <f>IF($E$92=2,Dados!$AE$38,IF($E$92=3,Dados!$AG$38,IF($E$92=4,Dados!$AI$38,IF($E$92=5,Dados!$AK$38,IF($E$92=6,Dados!$AM$38,IF($E$92=7,Dados!$AO$38,IF($E$92=8,Dados!$AS$38,0)))))))</f>
        <v>0</v>
      </c>
      <c r="GK30" s="304">
        <f>IF($E$92=2,Dados!$AF$38,IF($E$92=3,Dados!$AH$38,IF($E$92=4,Dados!$AJ$38,IF($E$92=5,Dados!$AL$38,IF($E$92=6,Dados!$AN$38,IF($E$92=7,Dados!$AP$38,IF($E$92=8,Dados!$AT$38,0)))))))</f>
        <v>0</v>
      </c>
      <c r="GM30" s="316">
        <f>IF($E$97=2,Dados!$AE$38,IF($E$97=3,Dados!$AG$38,IF($E$97=4,Dados!$AI$38,IF($E$97=5,Dados!$AK$38,IF($E$97=6,Dados!$AM$38,IF($E$97=7,Dados!$AO$38,IF($E$97=8,Dados!$AS$38,0)))))))</f>
        <v>0</v>
      </c>
      <c r="GN30" s="304">
        <f>IF($E$97=2,Dados!$AF$38,IF($E$97=3,Dados!$AH$38,IF($E$97=4,Dados!$AJ$38,IF($E$97=5,Dados!$AL$38,IF($E$97=6,Dados!$AN$38,IF($E$97=7,Dados!$AP$38,IF($E$97=8,Dados!$AT$38,0)))))))</f>
        <v>0</v>
      </c>
      <c r="GO30" s="316">
        <f>IF($E$98=2,Dados!$AE$38,IF($E$98=3,Dados!$AG$38,IF($E$98=4,Dados!$AI$38,IF($E$98=5,Dados!$AK$38,IF($E$98=6,Dados!$AM$38,IF($E$98=7,Dados!$AO$38,IF($E$98=8,Dados!$AS$38,0)))))))</f>
        <v>0</v>
      </c>
      <c r="GP30" s="304">
        <f>IF($E$98=2,Dados!$AF$38,IF($E$98=3,Dados!$AH$38,IF($E$98=4,Dados!$AJ$38,IF($E$98=5,Dados!$AL$38,IF($E$98=6,Dados!$AN$38,IF($E$98=7,Dados!$AP$38,IF($E$98=8,Dados!$AT$38,0)))))))</f>
        <v>0</v>
      </c>
      <c r="GQ30" s="316">
        <f>IF($E$99=2,Dados!$AE$38,IF($E$99=3,Dados!$AG$38,IF($E$99=4,Dados!$AI$38,IF($E$99=5,Dados!$AK$38,IF($E$99=6,Dados!$AM$38,IF($E$99=7,Dados!$AO$38,IF($E$99=8,Dados!$AS$38,0)))))))</f>
        <v>0</v>
      </c>
      <c r="GR30" s="304">
        <f>IF($E$99=2,Dados!$AF$38,IF($E$99=3,Dados!$AH$38,IF($E$99=4,Dados!$AJ$38,IF($E$99=5,Dados!$AL$38,IF($E$99=6,Dados!$AN$38,IF($E$99=7,Dados!$AP$38,IF($E$99=8,Dados!$AT$38,0)))))))</f>
        <v>0</v>
      </c>
      <c r="GS30" s="316">
        <f>IF($E$100=2,Dados!$AE$38,IF($E$100=3,Dados!$AG$38,IF($E$100=4,Dados!$AI$38,IF($E$100=5,Dados!$AK$38,IF($E$100=6,Dados!$AM$38,IF($E$100=7,Dados!$AO$38,IF($E$100=8,Dados!$AS$38,0)))))))</f>
        <v>0</v>
      </c>
      <c r="GT30" s="304">
        <f>IF($E$100=2,Dados!$AF$38,IF($E$100=3,Dados!$AH$38,IF($E$100=4,Dados!$AJ$38,IF($E$100=5,Dados!$AL$38,IF($E$100=6,Dados!$AN$38,IF($E$100=7,Dados!$AP$38,IF($E$100=8,Dados!$AT$38,0)))))))</f>
        <v>0</v>
      </c>
      <c r="GU30" s="316">
        <f>IF($E$101=2,Dados!$AE$38,IF($E$101=3,Dados!$AG$38,IF($E$101=4,Dados!$AI$38,IF($E$101=5,Dados!$AK$38,IF($E$101=6,Dados!$AM$38,IF($E$101=7,Dados!$AO$38,IF($E$101=8,Dados!$AS$38,0)))))))</f>
        <v>0</v>
      </c>
      <c r="GV30" s="304">
        <f>IF($E$101=2,Dados!$AF$38,IF($E$101=3,Dados!$AH$38,IF($E$101=4,Dados!$AJ$38,IF($E$101=5,Dados!$AL$38,IF($E$101=6,Dados!$AN$38,IF($E$101=7,Dados!$AP$38,IF($E$101=8,Dados!$AT$38,0)))))))</f>
        <v>0</v>
      </c>
      <c r="GX30" s="316">
        <f>IF($E$106=2,Dados!$AE$38,IF($E$106=3,Dados!$AG$38,IF($E$106=4,Dados!$AI$38,IF($E$106=5,Dados!$AK$38,IF($E$106=6,Dados!$AM$38,IF($E$106=7,Dados!$AO$38,IF($E$106=8,Dados!$AS$38,0)))))))</f>
        <v>0</v>
      </c>
      <c r="GY30" s="304">
        <f>IF($E$106=2,Dados!$AF$38,IF($E$106=3,Dados!$AH$38,IF($E$106=4,Dados!$AJ$38,IF($E$106=5,Dados!$AL$38,IF($E$106=6,Dados!$AN$38,IF($E$106=7,Dados!$AP$38,IF($E$106=8,Dados!$AT$38,0)))))))</f>
        <v>0</v>
      </c>
      <c r="GZ30" s="316">
        <f>IF($E$107=2,Dados!$AE$38,IF($E$107=3,Dados!$AG$38,IF($E$107=4,Dados!$AI$38,IF($E$107=5,Dados!$AK$38,IF($E$107=6,Dados!$AM$38,IF($E$107=7,Dados!$AO$38,IF($E$107=8,Dados!$AS$38,0)))))))</f>
        <v>0</v>
      </c>
      <c r="HA30" s="304">
        <f>IF($E$107=2,Dados!$AF$38,IF($E$107=3,Dados!$AH$38,IF($E$107=4,Dados!$AJ$38,IF($E$107=5,Dados!$AL$38,IF($E$107=6,Dados!$AN$38,IF($E$107=7,Dados!$AP$38,IF($E$107=8,Dados!$AT$38,0)))))))</f>
        <v>0</v>
      </c>
      <c r="HB30" s="316">
        <f>IF($E$108=2,Dados!$AE$38,IF($E$108=3,Dados!$AG$38,IF($E$108=4,Dados!$AI$38,IF($E$108=5,Dados!$AK$38,IF($E$108=6,Dados!$AM$38,IF($E$108=7,Dados!$AO$38,IF($E$108=8,Dados!$AS$38,0)))))))</f>
        <v>0</v>
      </c>
      <c r="HC30" s="304">
        <f>IF($E$108=2,Dados!$AF$38,IF($E$108=3,Dados!$AH$38,IF($E$108=4,Dados!$AJ$38,IF($E$108=5,Dados!$AL$38,IF($E$108=6,Dados!$AN$38,IF($E$108=7,Dados!$AP$38,IF($E$108=8,Dados!$AT$38,0)))))))</f>
        <v>0</v>
      </c>
      <c r="HD30" s="316">
        <f>IF($E$109=2,Dados!$AE$38,IF($E$109=3,Dados!$AG$38,IF($E$109=4,Dados!$AI$38,IF($E$109=5,Dados!$AK$38,IF($E$109=6,Dados!$AM$38,IF($E$109=7,Dados!$AO$38,IF($E$109=8,Dados!$AS$38,0)))))))</f>
        <v>0</v>
      </c>
      <c r="HE30" s="304">
        <f>IF($E$109=2,Dados!$AF$38,IF($E$109=3,Dados!$AH$38,IF($E$109=4,Dados!$AJ$38,IF($E$109=5,Dados!$AL$38,IF($E$109=6,Dados!$AN$38,IF($E$109=7,Dados!$AP$38,IF($E$109=8,Dados!$AT$38,0)))))))</f>
        <v>0</v>
      </c>
      <c r="HF30" s="316">
        <f>IF($E$110=2,Dados!$AE$38,IF($E$110=3,Dados!$AG$38,IF($E$110=4,Dados!$AI$38,IF($E$110=5,Dados!$AK$38,IF($E$110=6,Dados!$AM$38,IF($E$110=7,Dados!$AO$38,IF($E$110=8,Dados!$AS$38,0)))))))</f>
        <v>0</v>
      </c>
      <c r="HG30" s="304">
        <f>IF($E$110=2,Dados!$AF$38,IF($E$110=3,Dados!$AH$38,IF($E$110=4,Dados!$AJ$38,IF($E$110=5,Dados!$AL$38,IF($E$110=6,Dados!$AN$38,IF($E$110=7,Dados!$AP$38,IF($E$110=8,Dados!$AT$38,0)))))))</f>
        <v>0</v>
      </c>
    </row>
    <row r="31" spans="3:215" x14ac:dyDescent="0.2">
      <c r="AW31" s="4" t="s">
        <v>787</v>
      </c>
      <c r="AX31" s="94">
        <f>IF($E25=8,$V25,0)</f>
        <v>0</v>
      </c>
      <c r="AY31" s="94">
        <f>IF($E26=8,$V26,0)</f>
        <v>0</v>
      </c>
      <c r="AZ31" s="94">
        <f>IF($E27=8,$V27,0)</f>
        <v>0</v>
      </c>
      <c r="BA31" s="94">
        <f>IF($E28=8,$V28,0)</f>
        <v>0</v>
      </c>
      <c r="BB31" s="94">
        <f>IF($E29=8,$V29,0)</f>
        <v>0</v>
      </c>
      <c r="BC31" s="200">
        <f>SUM(AX31:BB31)</f>
        <v>0</v>
      </c>
      <c r="CF31" s="93">
        <v>26</v>
      </c>
      <c r="CG31" s="316">
        <f>IF($E$7=2,Dados!$AE$39,IF($E$7=3,Dados!$AG$39,IF($E$7=4,Dados!$AI$39,IF($E$7=5,Dados!$AK$39,IF($E$7=6,Dados!$AM$39,IF($E$7=7,Dados!$AO$39,IF($E$7=8,Dados!$AS$39,0)))))))</f>
        <v>0</v>
      </c>
      <c r="CH31" s="304">
        <f>IF($E$7=2,Dados!$AF$39,IF($E$7=3,Dados!$AH$39,IF($E$7=4,Dados!$AJ$39,IF($E$7=5,Dados!$AL$39,IF($E$7=6,Dados!$AN$39,IF($E$7=7,Dados!$AP$39,IF($E$7=8,Dados!$AT$39,0)))))))</f>
        <v>0</v>
      </c>
      <c r="CI31" s="316">
        <f>IF($E$8=2,Dados!$AE$39,IF($E$8=3,Dados!$AG$39,IF($E$8=4,Dados!$AI$39,IF($E$8=5,Dados!$AK$39,IF($E$8=6,Dados!$AM$39,IF($E$8=7,Dados!$AO$39,IF($E$8=8,Dados!$AS$39,0)))))))</f>
        <v>0</v>
      </c>
      <c r="CJ31" s="304">
        <f>IF($E$8=2,Dados!$AF$39,IF($E$8=3,Dados!$AH$39,IF($E$8=4,Dados!$AJ$39,IF($E$8=5,Dados!$AL$39,IF($E$8=6,Dados!$AN$39,IF($E$8=7,Dados!$AP$39,IF($E$8=8,Dados!$AT$39,0)))))))</f>
        <v>0</v>
      </c>
      <c r="CK31" s="316">
        <f>IF($E$9=2,Dados!$AE$39,IF($E$9=3,Dados!$AG$39,IF($E$9=4,Dados!$AI$39,IF($E$9=5,Dados!$AK$39,IF($E$9=6,Dados!$AM$39,IF($E$9=7,Dados!$AO$39,IF($E$9=8,Dados!$AS$39,0)))))))</f>
        <v>0</v>
      </c>
      <c r="CL31" s="304">
        <f>IF($E$9=2,Dados!$AF$39,IF($E$9=3,Dados!$AH$39,IF($E$9=4,Dados!$AJ$39,IF($E$9=5,Dados!$AL$39,IF($E$9=6,Dados!$AN$39,IF($E$9=7,Dados!$AP$39,IF($E$9=8,Dados!$AT$39,0)))))))</f>
        <v>0</v>
      </c>
      <c r="CM31" s="316">
        <f>IF($E$10=2,Dados!$AE$39,IF($E$10=3,Dados!$AG$39,IF($E$10=4,Dados!$AI$39,IF($E$10=5,Dados!$AK$39,IF($E$10=6,Dados!$AM$39,IF($E$10=7,Dados!$AO$39,IF($E$10=8,Dados!$AS$39,0)))))))</f>
        <v>0</v>
      </c>
      <c r="CN31" s="304">
        <f>IF($E$10=2,Dados!$AF$39,IF($E$10=3,Dados!$AH$39,IF($E$10=4,Dados!$AJ$39,IF($E$10=5,Dados!$AL$39,IF($E$10=6,Dados!$AN$39,IF($E$10=7,Dados!$AP$39,IF($E$10=8,Dados!$AT$39,0)))))))</f>
        <v>0</v>
      </c>
      <c r="CO31" s="316">
        <f>IF($E$11=2,Dados!$AE$39,IF($E$11=3,Dados!$AG$39,IF($E$11=4,Dados!$AI$39,IF($E$11=5,Dados!$AK$39,IF($E$11=6,Dados!$AM$39,IF($E$11=7,Dados!$AO$39,IF($E$11=8,Dados!$AS$39,0)))))))</f>
        <v>0</v>
      </c>
      <c r="CP31" s="304">
        <f>IF($E$11=2,Dados!$AF$39,IF($E$11=3,Dados!$AH$39,IF($E$11=4,Dados!$AJ$39,IF($E$11=5,Dados!$AL$39,IF($E$11=6,Dados!$AN$39,IF($E$11=7,Dados!$AP$39,IF($E$11=8,Dados!$AT$39,0)))))))</f>
        <v>0</v>
      </c>
      <c r="CR31" s="316">
        <f>IF($E$16=2,Dados!$AE$39,IF($E$16=3,Dados!$AG$39,IF($E$16=4,Dados!$AI$39,IF($E$16=5,Dados!$AK$39,IF($E$16=6,Dados!$AM$39,IF($E$16=7,Dados!$AO$39,IF($E$16=8,Dados!$AS$39,0)))))))</f>
        <v>0</v>
      </c>
      <c r="CS31" s="304">
        <f>IF($E$16=2,Dados!$AF$39,IF($E$16=3,Dados!$AH$39,IF($E$16=4,Dados!$AJ$39,IF($E$16=5,Dados!$AL$39,IF($E$16=6,Dados!$AN$39,IF($E$16=7,Dados!$AP$39,IF($E$16=8,Dados!$AT$39,0)))))))</f>
        <v>0</v>
      </c>
      <c r="CT31" s="316">
        <f>IF($E$17=2,Dados!$AE$39,IF($E$17=3,Dados!$AG$39,IF($E$17=4,Dados!$AI$39,IF($E$17=5,Dados!$AK$39,IF($E$17=6,Dados!$AM$39,IF($E$17=7,Dados!$AO$39,IF($E$17=8,Dados!$AS$39,0)))))))</f>
        <v>0</v>
      </c>
      <c r="CU31" s="304">
        <f>IF($E$17=2,Dados!$AF$39,IF($E$17=3,Dados!$AH$39,IF($E$17=4,Dados!$AJ$39,IF($E$17=5,Dados!$AL$39,IF($E$17=6,Dados!$AN$39,IF($E$17=7,Dados!$AP$39,IF($E$17=8,Dados!$AT$39,0)))))))</f>
        <v>0</v>
      </c>
      <c r="CV31" s="316">
        <f>IF($E$18=2,Dados!$AE$39,IF($E$18=3,Dados!$AG$39,IF($E$18=4,Dados!$AI$39,IF($E$18=5,Dados!$AK$39,IF($E$18=6,Dados!$AM$39,IF($E$18=7,Dados!$AO$39,IF($E$18=8,Dados!$AS$39,0)))))))</f>
        <v>0</v>
      </c>
      <c r="CW31" s="304">
        <f>IF($E$18=2,Dados!$AF$39,IF($E$18=3,Dados!$AH$39,IF($E$18=4,Dados!$AJ$39,IF($E$18=5,Dados!$AL$39,IF($E$18=6,Dados!$AN$39,IF($E$18=7,Dados!$AP$39,IF($E$18=8,Dados!$AT$39,0)))))))</f>
        <v>0</v>
      </c>
      <c r="CX31" s="316">
        <f>IF($E$19=2,Dados!$AE$39,IF($E$19=3,Dados!$AG$39,IF($E$19=4,Dados!$AI$39,IF($E$19=5,Dados!$AK$39,IF($E$19=6,Dados!$AM$39,IF($E$19=7,Dados!$AO$39,IF($E$19=8,Dados!$AS$39,0)))))))</f>
        <v>0</v>
      </c>
      <c r="CY31" s="304">
        <f>IF($E$19=2,Dados!$AF$39,IF($E$19=3,Dados!$AH$39,IF($E$19=4,Dados!$AJ$39,IF($E$19=5,Dados!$AL$39,IF($E$19=6,Dados!$AN$39,IF($E$19=7,Dados!$AP$39,IF($E$19=8,Dados!$AT$39,0)))))))</f>
        <v>0</v>
      </c>
      <c r="CZ31" s="316">
        <f>IF($E$20=2,Dados!$AE$39,IF($E$20=3,Dados!$AG$39,IF($E$20=4,Dados!$AI$39,IF($E$20=5,Dados!$AK$39,IF($E$20=6,Dados!$AM$39,IF($E$20=7,Dados!$AO$39,IF($E$20=8,Dados!$AS$39,0)))))))</f>
        <v>0</v>
      </c>
      <c r="DA31" s="304">
        <f>IF($E$20=2,Dados!$AF$39,IF($E$20=3,Dados!$AH$39,IF($E$20=4,Dados!$AJ$39,IF($E$20=5,Dados!$AL$39,IF($E$20=6,Dados!$AN$39,IF($E$20=7,Dados!$AP$39,IF($E$20=8,Dados!$AT$39,0)))))))</f>
        <v>0</v>
      </c>
      <c r="DC31" s="316">
        <f>IF($E$25=2,Dados!$AE$39,IF($E$25=3,Dados!$AG$39,IF($E$25=4,Dados!$AI$39,IF($E$25=5,Dados!$AK$39,IF($E$25=6,Dados!$AM$39,IF($E$25=7,Dados!$AO$39,IF($E$25=8,Dados!$AS$39,0)))))))</f>
        <v>0</v>
      </c>
      <c r="DD31" s="304">
        <f>IF($E$25=2,Dados!$AF$39,IF($E$25=3,Dados!$AH$39,IF($E$25=4,Dados!$AJ$39,IF($E$25=5,Dados!$AL$39,IF($E$25=6,Dados!$AN$39,IF($E$25=7,Dados!$AP$39,IF($E$25=8,Dados!$AT$39,0)))))))</f>
        <v>0</v>
      </c>
      <c r="DE31" s="316">
        <f>IF($E$26=2,Dados!$AE$39,IF($E$26=3,Dados!$AG$39,IF($E$26=4,Dados!$AI$39,IF($E$26=5,Dados!$AK$39,IF($E$26=6,Dados!$AM$39,IF($E$26=7,Dados!$AO$39,IF($E$26=8,Dados!$AS$39,0)))))))</f>
        <v>0</v>
      </c>
      <c r="DF31" s="304">
        <f>IF($E$26=2,Dados!$AF$39,IF($E$26=3,Dados!$AH$39,IF($E$26=4,Dados!$AJ$39,IF($E$26=5,Dados!$AL$39,IF($E$26=6,Dados!$AN$39,IF($E$26=7,Dados!$AP$39,IF($E$26=8,Dados!$AT$39,0)))))))</f>
        <v>0</v>
      </c>
      <c r="DG31" s="316">
        <f>IF($E$27=2,Dados!$AE$39,IF($E$27=3,Dados!$AG$39,IF($E$27=4,Dados!$AI$39,IF($E$27=5,Dados!$AK$39,IF($E$27=6,Dados!$AM$39,IF($E$27=7,Dados!$AO$39,IF($E$27=8,Dados!$AS$39,0)))))))</f>
        <v>0</v>
      </c>
      <c r="DH31" s="304">
        <f>IF($E$27=2,Dados!$AF$39,IF($E$27=3,Dados!$AH$39,IF($E$27=4,Dados!$AJ$39,IF($E$27=5,Dados!$AL$39,IF($E$27=6,Dados!$AN$39,IF($E$27=7,Dados!$AP$39,IF($E$27=8,Dados!$AT$39,0)))))))</f>
        <v>0</v>
      </c>
      <c r="DI31" s="316">
        <f>IF($E$28=2,Dados!$AE$39,IF($E$28=3,Dados!$AG$39,IF($E$28=4,Dados!$AI$39,IF($E$28=5,Dados!$AK$39,IF($E$28=6,Dados!$AM$39,IF($E$28=7,Dados!$AO$39,IF($E$28=8,Dados!$AS$39,0)))))))</f>
        <v>0</v>
      </c>
      <c r="DJ31" s="304">
        <f>IF($E$28=2,Dados!$AF$39,IF($E$28=3,Dados!$AH$39,IF($E$28=4,Dados!$AJ$39,IF($E$28=5,Dados!$AL$39,IF($E$28=6,Dados!$AN$39,IF($E$28=7,Dados!$AP$39,IF($E$28=8,Dados!$AT$39,0)))))))</f>
        <v>0</v>
      </c>
      <c r="DK31" s="316">
        <f>IF($E$29=2,Dados!$AE$39,IF($E$29=3,Dados!$AG$39,IF($E$29=4,Dados!$AI$39,IF($E$29=5,Dados!$AK$39,IF($E$29=6,Dados!$AM$39,IF($E$29=7,Dados!$AO$39,IF($E$29=8,Dados!$AS$39,0)))))))</f>
        <v>0</v>
      </c>
      <c r="DL31" s="304">
        <f>IF($E$29=2,Dados!$AF$39,IF($E$29=3,Dados!$AH$39,IF($E$29=4,Dados!$AJ$39,IF($E$29=5,Dados!$AL$39,IF($E$29=6,Dados!$AN$39,IF($E$29=7,Dados!$AP$39,IF($E$29=8,Dados!$AT$39,0)))))))</f>
        <v>0</v>
      </c>
      <c r="DN31" s="316">
        <f>IF($E$34=2,Dados!$AE$39,IF($E$34=3,Dados!$AG$39,IF($E$34=4,Dados!$AI$39,IF($E$34=5,Dados!$AK$39,IF($E$34=6,Dados!$AM$39,IF($E$34=7,Dados!$AO$39,IF($E$34=8,Dados!$AS$39,0)))))))</f>
        <v>0</v>
      </c>
      <c r="DO31" s="304">
        <f>IF($E$34=2,Dados!$AF$39,IF($E$34=3,Dados!$AH$39,IF($E$34=4,Dados!$AJ$39,IF($E$34=5,Dados!$AL$39,IF($E$34=6,Dados!$AN$39,IF($E$34=7,Dados!$AP$39,IF($E$34=8,Dados!$AT$39,0)))))))</f>
        <v>0</v>
      </c>
      <c r="DP31" s="316">
        <f>IF($E$35=2,Dados!$AE$39,IF($E$35=3,Dados!$AG$39,IF($E$35=4,Dados!$AI$39,IF($E$35=5,Dados!$AK$39,IF($E$35=6,Dados!$AM$39,IF($E$35=7,Dados!$AO$39,IF($E$35=8,Dados!$AS$39,0)))))))</f>
        <v>0</v>
      </c>
      <c r="DQ31" s="304">
        <f>IF($E$35=2,Dados!$AF$39,IF($E$35=3,Dados!$AH$39,IF($E$35=4,Dados!$AJ$39,IF($E$35=5,Dados!$AL$39,IF($E$35=6,Dados!$AN$39,IF($E$35=7,Dados!$AP$39,IF($E$35=8,Dados!$AT$39,0)))))))</f>
        <v>0</v>
      </c>
      <c r="DR31" s="316">
        <f>IF($E$36=2,Dados!$AE$39,IF($E$36=3,Dados!$AG$39,IF($E$36=4,Dados!$AI$39,IF($E$36=5,Dados!$AK$39,IF($E$36=6,Dados!$AM$39,IF($E$36=7,Dados!$AO$39,IF($E$36=8,Dados!$AS$39,0)))))))</f>
        <v>0</v>
      </c>
      <c r="DS31" s="304">
        <f>IF($E$36=2,Dados!$AF$39,IF($E$36=3,Dados!$AH$39,IF($E$36=4,Dados!$AJ$39,IF($E$36=5,Dados!$AL$39,IF($E$36=6,Dados!$AN$39,IF($E$36=7,Dados!$AP$39,IF($E$36=8,Dados!$AT$39,0)))))))</f>
        <v>0</v>
      </c>
      <c r="DT31" s="316">
        <f>IF($E$37=2,Dados!$AE$39,IF($E$37=3,Dados!$AG$39,IF($E$37=4,Dados!$AI$39,IF($E$37=5,Dados!$AK$39,IF($E$37=6,Dados!$AM$39,IF($E$37=7,Dados!$AO$39,IF($E$37=8,Dados!$AS$39,0)))))))</f>
        <v>0</v>
      </c>
      <c r="DU31" s="304">
        <f>IF($E$37=2,Dados!$AF$39,IF($E$37=3,Dados!$AH$39,IF($E$37=4,Dados!$AJ$39,IF($E$37=5,Dados!$AL$39,IF($E$37=6,Dados!$AN$39,IF($E$37=7,Dados!$AP$39,IF($E$37=8,Dados!$AT$39,0)))))))</f>
        <v>0</v>
      </c>
      <c r="DV31" s="316">
        <f>IF($E$38=2,Dados!$AE$39,IF($E$38=3,Dados!$AG$39,IF($E$38=4,Dados!$AI$39,IF($E$38=5,Dados!$AK$39,IF($E$38=6,Dados!$AM$39,IF($E$38=7,Dados!$AO$39,IF($E$38=8,Dados!$AS$39,0)))))))</f>
        <v>0</v>
      </c>
      <c r="DW31" s="304">
        <f>IF($E$38=2,Dados!$AF$39,IF($E$38=3,Dados!$AH$39,IF($E$38=4,Dados!$AJ$39,IF($E$38=5,Dados!$AL$39,IF($E$38=6,Dados!$AN$39,IF($E$38=7,Dados!$AP$39,IF($E$38=8,Dados!$AT$39,0)))))))</f>
        <v>0</v>
      </c>
      <c r="DY31" s="316">
        <f>IF($E$43=2,Dados!$AE$39,IF($E$43=3,Dados!$AG$39,IF($E$43=4,Dados!$AI$39,IF($E$43=5,Dados!$AK$39,IF($E$43=6,Dados!$AM$39,IF($E$43=7,Dados!$AO$39,IF($E$43=8,Dados!$AS$39,0)))))))</f>
        <v>0</v>
      </c>
      <c r="DZ31" s="304">
        <f>IF($E$43=2,Dados!$AF$39,IF($E$43=3,Dados!$AH$39,IF($E$43=4,Dados!$AJ$39,IF($E$43=5,Dados!$AL$39,IF($E$43=6,Dados!$AN$39,IF($E$43=7,Dados!$AP$39,IF($E$43=8,Dados!$AT$39,0)))))))</f>
        <v>0</v>
      </c>
      <c r="EA31" s="316">
        <f>IF($E$44=2,Dados!$AE$39,IF($E$44=3,Dados!$AG$39,IF($E$44=4,Dados!$AI$39,IF($E$44=5,Dados!$AK$39,IF($E$44=6,Dados!$AM$39,IF($E$44=7,Dados!$AO$39,IF($E$44=8,Dados!$AS$39,0)))))))</f>
        <v>0</v>
      </c>
      <c r="EB31" s="304">
        <f>IF($E$44=2,Dados!$AF$39,IF($E$44=3,Dados!$AH$39,IF($E$44=4,Dados!$AJ$39,IF($E$44=5,Dados!$AL$39,IF($E$44=6,Dados!$AN$39,IF($E$44=7,Dados!$AP$39,IF($E$44=8,Dados!$AT$39,0)))))))</f>
        <v>0</v>
      </c>
      <c r="EC31" s="316">
        <f>IF($E$45=2,Dados!$AE$39,IF($E$45=3,Dados!$AG$39,IF($E$45=4,Dados!$AI$39,IF($E$45=5,Dados!$AK$39,IF($E$45=6,Dados!$AM$39,IF($E$45=7,Dados!$AO$39,IF($E$45=8,Dados!$AS$39,0)))))))</f>
        <v>0</v>
      </c>
      <c r="ED31" s="304">
        <f>IF($E$45=2,Dados!$AF$39,IF($E$45=3,Dados!$AH$39,IF($E$45=4,Dados!$AJ$39,IF($E$45=5,Dados!$AL$39,IF($E$45=6,Dados!$AN$39,IF($E$45=7,Dados!$AP$39,IF($E$45=8,Dados!$AT$39,0)))))))</f>
        <v>0</v>
      </c>
      <c r="EE31" s="316">
        <f>IF($E$46=2,Dados!$AE$39,IF($E$46=3,Dados!$AG$39,IF($E$46=4,Dados!$AI$39,IF($E$46=5,Dados!$AK$39,IF($E$46=6,Dados!$AM$39,IF($E$46=7,Dados!$AO$39,IF($E$46=8,Dados!$AS$39,0)))))))</f>
        <v>0</v>
      </c>
      <c r="EF31" s="304">
        <f>IF($E$46=2,Dados!$AF$39,IF($E$46=3,Dados!$AH$39,IF($E$46=4,Dados!$AJ$39,IF($E$46=5,Dados!$AL$39,IF($E$46=6,Dados!$AN$39,IF($E$46=7,Dados!$AP$39,IF($E$46=8,Dados!$AT$39,0)))))))</f>
        <v>0</v>
      </c>
      <c r="EG31" s="316">
        <f>IF($E$47=2,Dados!$AE$39,IF($E$47=3,Dados!$AG$39,IF($E$47=4,Dados!$AI$39,IF($E$47=5,Dados!$AK$39,IF($E$47=6,Dados!$AM$39,IF($E$47=7,Dados!$AO$39,IF($E$47=8,Dados!$AS$39,0)))))))</f>
        <v>0</v>
      </c>
      <c r="EH31" s="304">
        <f>IF($E$47=2,Dados!$AF$39,IF($E$47=3,Dados!$AH$39,IF($E$47=4,Dados!$AJ$39,IF($E$47=5,Dados!$AL$39,IF($E$47=6,Dados!$AN$39,IF($E$47=7,Dados!$AP$39,IF($E$47=8,Dados!$AT$39,0)))))))</f>
        <v>0</v>
      </c>
      <c r="EJ31" s="316">
        <f>IF($E$52=2,Dados!$AE$39,IF($E$52=3,Dados!$AG$39,IF($E$52=4,Dados!$AI$39,IF($E$52=5,Dados!$AK$39,IF($E$52=6,Dados!$AM$39,IF($E$52=7,Dados!$AO$39,IF($E$52=8,Dados!$AS$39,0)))))))</f>
        <v>0</v>
      </c>
      <c r="EK31" s="304">
        <f>IF($E$52=2,Dados!$AF$39,IF($E$52=3,Dados!$AH$39,IF($E$52=4,Dados!$AJ$39,IF($E$52=5,Dados!$AL$39,IF($E$52=6,Dados!$AN$39,IF($E$52=7,Dados!$AP$39,IF($E$52=8,Dados!$AT$39,0)))))))</f>
        <v>0</v>
      </c>
      <c r="EL31" s="316">
        <f>IF($E$53=2,Dados!$AE$39,IF($E$53=3,Dados!$AG$39,IF($E$53=4,Dados!$AI$39,IF($E$53=5,Dados!$AK$39,IF($E$53=6,Dados!$AM$39,IF($E$53=7,Dados!$AO$39,IF($E$53=8,Dados!$AS$39,0)))))))</f>
        <v>0</v>
      </c>
      <c r="EM31" s="304">
        <f>IF($E$53=2,Dados!$AF$39,IF($E$53=3,Dados!$AH$39,IF($E$53=4,Dados!$AJ$39,IF($E$53=5,Dados!$AL$39,IF($E$53=6,Dados!$AN$39,IF($E$53=7,Dados!$AP$39,IF($E$53=8,Dados!$AT$39,0)))))))</f>
        <v>0</v>
      </c>
      <c r="EN31" s="316">
        <f>IF($E$54=2,Dados!$AE$39,IF($E$54=3,Dados!$AG$39,IF($E$54=4,Dados!$AI$39,IF($E$54=5,Dados!$AK$39,IF($E$54=6,Dados!$AM$39,IF($E$54=7,Dados!$AO$39,IF($E$54=8,Dados!$AS$39,0)))))))</f>
        <v>0</v>
      </c>
      <c r="EO31" s="304">
        <f>IF($E$54=2,Dados!$AF$39,IF($E$54=3,Dados!$AH$39,IF($E$54=4,Dados!$AJ$39,IF($E$54=5,Dados!$AL$39,IF($E$54=6,Dados!$AN$39,IF($E$54=7,Dados!$AP$39,IF($E$54=8,Dados!$AT$39,0)))))))</f>
        <v>0</v>
      </c>
      <c r="EP31" s="316">
        <f>IF($E$55=2,Dados!$AE$39,IF($E$55=3,Dados!$AG$39,IF($E$55=4,Dados!$AI$39,IF($E$55=5,Dados!$AK$39,IF($E$55=6,Dados!$AM$39,IF($E$55=7,Dados!$AO$39,IF($E$55=8,Dados!$AS$39,0)))))))</f>
        <v>0</v>
      </c>
      <c r="EQ31" s="304">
        <f>IF($E$55=2,Dados!$AF$39,IF($E$55=3,Dados!$AH$39,IF($E$55=4,Dados!$AJ$39,IF($E$55=5,Dados!$AL$39,IF($E$55=6,Dados!$AN$39,IF($E$55=7,Dados!$AP$39,IF($E$55=8,Dados!$AT$39,0)))))))</f>
        <v>0</v>
      </c>
      <c r="ER31" s="316">
        <f>IF($E$56=2,Dados!$AE$39,IF($E$56=3,Dados!$AG$39,IF($E$56=4,Dados!$AI$39,IF($E$56=5,Dados!$AK$39,IF($E$56=6,Dados!$AM$39,IF($E$56=7,Dados!$AO$39,IF($E$56=8,Dados!$AS$39,0)))))))</f>
        <v>0</v>
      </c>
      <c r="ES31" s="304">
        <f>IF($E$56=2,Dados!$AF$39,IF($E$56=3,Dados!$AH$39,IF($E$56=4,Dados!$AJ$39,IF($E$56=5,Dados!$AL$39,IF($E$56=6,Dados!$AN$39,IF($E$56=7,Dados!$AP$39,IF($E$56=8,Dados!$AT$39,0)))))))</f>
        <v>0</v>
      </c>
      <c r="EU31" s="316">
        <f>IF($E$61=2,Dados!$AE$39,IF($E$61=3,Dados!$AG$39,IF($E$61=4,Dados!$AI$39,IF($E$61=5,Dados!$AK$39,IF($E$61=6,Dados!$AM$39,IF($E$61=7,Dados!$AO$39,IF($E$61=8,Dados!$AS$39,0)))))))</f>
        <v>0</v>
      </c>
      <c r="EV31" s="304">
        <f>IF($E$61=2,Dados!$AF$39,IF($E$61=3,Dados!$AH$39,IF($E$61=4,Dados!$AJ$39,IF($E$61=5,Dados!$AL$39,IF($E$61=6,Dados!$AN$39,IF($E$61=7,Dados!$AP$39,IF($E$61=8,Dados!$AT$39,0)))))))</f>
        <v>0</v>
      </c>
      <c r="EW31" s="316">
        <f>IF($E$62=2,Dados!$AE$39,IF($E$62=3,Dados!$AG$39,IF($E$62=4,Dados!$AI$39,IF($E$62=5,Dados!$AK$39,IF($E$62=6,Dados!$AM$39,IF($E$62=7,Dados!$AO$39,IF($E$62=8,Dados!$AS$39,0)))))))</f>
        <v>0</v>
      </c>
      <c r="EX31" s="304">
        <f>IF($E$62=2,Dados!$AF$39,IF($E$62=3,Dados!$AH$39,IF($E$62=4,Dados!$AJ$39,IF($E$62=5,Dados!$AL$39,IF($E$62=6,Dados!$AN$39,IF($E$62=7,Dados!$AP$39,IF($E$62=8,Dados!$AT$39,0)))))))</f>
        <v>0</v>
      </c>
      <c r="EY31" s="316">
        <f>IF($E$63=2,Dados!$AE$39,IF($E$63=3,Dados!$AG$39,IF($E$63=4,Dados!$AI$39,IF($E$63=5,Dados!$AK$39,IF($E$63=6,Dados!$AM$39,IF($E$63=7,Dados!$AO$39,IF($E$63=8,Dados!$AS$39,0)))))))</f>
        <v>0</v>
      </c>
      <c r="EZ31" s="304">
        <f>IF($E$63=2,Dados!$AF$39,IF($E$63=3,Dados!$AH$39,IF($E$63=4,Dados!$AJ$39,IF($E$63=5,Dados!$AL$39,IF($E$63=6,Dados!$AN$39,IF($E$63=7,Dados!$AP$39,IF($E$63=8,Dados!$AT$39,0)))))))</f>
        <v>0</v>
      </c>
      <c r="FA31" s="316">
        <f>IF($E$64=2,Dados!$AE$39,IF($E$64=3,Dados!$AG$39,IF($E$64=4,Dados!$AI$39,IF($E$64=5,Dados!$AK$39,IF($E$64=6,Dados!$AM$39,IF($E$64=7,Dados!$AO$39,IF($E$64=8,Dados!$AS$39,0)))))))</f>
        <v>0</v>
      </c>
      <c r="FB31" s="304">
        <f>IF($E$64=2,Dados!$AF$39,IF($E$64=3,Dados!$AH$39,IF($E$64=4,Dados!$AJ$39,IF($E$64=5,Dados!$AL$39,IF($E$64=6,Dados!$AN$39,IF($E$64=7,Dados!$AP$39,IF($E$64=8,Dados!$AT$39,0)))))))</f>
        <v>0</v>
      </c>
      <c r="FC31" s="316">
        <f>IF($E$65=2,Dados!$AE$39,IF($E$65=3,Dados!$AG$39,IF($E$65=4,Dados!$AI$39,IF($E$65=5,Dados!$AK$39,IF($E$65=6,Dados!$AM$39,IF($E$65=7,Dados!$AO$39,IF($E$65=8,Dados!$AS$39,0)))))))</f>
        <v>0</v>
      </c>
      <c r="FD31" s="304">
        <f>IF($E$65=2,Dados!$AF$39,IF($E$65=3,Dados!$AH$39,IF($E$65=4,Dados!$AJ$39,IF($E$65=5,Dados!$AL$39,IF($E$65=6,Dados!$AN$39,IF($E$65=7,Dados!$AP$39,IF($E$65=8,Dados!$AT$39,0)))))))</f>
        <v>0</v>
      </c>
      <c r="FF31" s="316">
        <f>IF($E$70=2,Dados!$AE$39,IF($E$70=3,Dados!$AG$39,IF($E$70=4,Dados!$AI$39,IF($E$70=5,Dados!$AK$39,IF($E$70=6,Dados!$AM$39,IF($E$70=7,Dados!$AO$39,IF($E$70=8,Dados!$AS$39,0)))))))</f>
        <v>0</v>
      </c>
      <c r="FG31" s="304">
        <f>IF($E$70=2,Dados!$AF$39,IF($E$70=3,Dados!$AH$39,IF($E$70=4,Dados!$AJ$39,IF($E$70=5,Dados!$AL$39,IF($E$70=6,Dados!$AN$39,IF($E$70=7,Dados!$AP$39,IF($E$70=8,Dados!$AT$39,0)))))))</f>
        <v>0</v>
      </c>
      <c r="FH31" s="316">
        <f>IF($E$71=2,Dados!$AE$39,IF($E$71=3,Dados!$AG$39,IF($E$71=4,Dados!$AI$39,IF($E$71=5,Dados!$AK$39,IF($E$71=6,Dados!$AM$39,IF($E$71=7,Dados!$AO$39,IF($E$71=8,Dados!$AS$39,0)))))))</f>
        <v>0</v>
      </c>
      <c r="FI31" s="304">
        <f>IF($E$71=2,Dados!$AF$39,IF($E$71=3,Dados!$AH$39,IF($E$71=4,Dados!$AJ$39,IF($E$71=5,Dados!$AL$39,IF($E$71=6,Dados!$AN$39,IF($E$71=7,Dados!$AP$39,IF($E$71=8,Dados!$AT$39,0)))))))</f>
        <v>0</v>
      </c>
      <c r="FJ31" s="316">
        <f>IF($E$72=2,Dados!$AE$39,IF($E$72=3,Dados!$AG$39,IF($E$72=4,Dados!$AI$39,IF($E$72=5,Dados!$AK$39,IF($E$72=6,Dados!$AM$39,IF($E$72=7,Dados!$AO$39,IF($E$72=8,Dados!$AS$39,0)))))))</f>
        <v>0</v>
      </c>
      <c r="FK31" s="304">
        <f>IF($E$72=2,Dados!$AF$39,IF($E$72=3,Dados!$AH$39,IF($E$72=4,Dados!$AJ$39,IF($E$72=5,Dados!$AL$39,IF($E$72=6,Dados!$AN$39,IF($E$72=7,Dados!$AP$39,IF($E$72=8,Dados!$AT$39,0)))))))</f>
        <v>0</v>
      </c>
      <c r="FL31" s="316">
        <f>IF($E$73=2,Dados!$AE$39,IF($E$73=3,Dados!$AG$39,IF($E$73=4,Dados!$AI$39,IF($E$73=5,Dados!$AK$39,IF($E$73=6,Dados!$AM$39,IF($E$73=7,Dados!$AO$39,IF($E$73=8,Dados!$AS$39,0)))))))</f>
        <v>0</v>
      </c>
      <c r="FM31" s="304">
        <f>IF($E$73=2,Dados!$AF$39,IF($E$73=3,Dados!$AH$39,IF($E$73=4,Dados!$AJ$39,IF($E$73=5,Dados!$AL$39,IF($E$73=6,Dados!$AN$39,IF($E$73=7,Dados!$AP$39,IF($E$73=8,Dados!$AT$39,0)))))))</f>
        <v>0</v>
      </c>
      <c r="FN31" s="316">
        <f>IF($E$74=2,Dados!$AE$39,IF($E$74=3,Dados!$AG$39,IF($E$74=4,Dados!$AI$39,IF($E$74=5,Dados!$AK$39,IF($E$74=6,Dados!$AM$39,IF($E$74=7,Dados!$AO$39,IF($E$74=8,Dados!$AS$39,0)))))))</f>
        <v>0</v>
      </c>
      <c r="FO31" s="304">
        <f>IF($E$74=2,Dados!$AF$39,IF($E$74=3,Dados!$AH$39,IF($E$74=4,Dados!$AJ$39,IF($E$74=5,Dados!$AL$39,IF($E$74=6,Dados!$AN$39,IF($E$74=7,Dados!$AP$39,IF($E$74=8,Dados!$AT$39,0)))))))</f>
        <v>0</v>
      </c>
      <c r="FQ31" s="316">
        <f>IF($E$79=2,Dados!$AE$39,IF($E$79=3,Dados!$AG$39,IF($E$79=4,Dados!$AI$39,IF($E$79=5,Dados!$AK$39,IF($E$79=6,Dados!$AM$39,IF($E$79=7,Dados!$AO$39,IF($E$79=8,Dados!$AS$39,0)))))))</f>
        <v>0</v>
      </c>
      <c r="FR31" s="304">
        <f>IF($E$79=2,Dados!$AF$39,IF($E$79=3,Dados!$AH$39,IF($E$79=4,Dados!$AJ$39,IF($E$79=5,Dados!$AL$39,IF($E$79=6,Dados!$AN$39,IF($E$79=7,Dados!$AP$39,IF($E$79=8,Dados!$AT$39,0)))))))</f>
        <v>0</v>
      </c>
      <c r="FS31" s="316">
        <f>IF($E$80=2,Dados!$AE$39,IF($E$80=3,Dados!$AG$39,IF($E$80=4,Dados!$AI$39,IF($E$80=5,Dados!$AK$39,IF($E$80=6,Dados!$AM$39,IF($E$80=7,Dados!$AO$39,IF($E$80=8,Dados!$AS$39,0)))))))</f>
        <v>0</v>
      </c>
      <c r="FT31" s="304">
        <f>IF($E$80=2,Dados!$AF$39,IF($E$80=3,Dados!$AH$39,IF($E$80=4,Dados!$AJ$39,IF($E$80=5,Dados!$AL$39,IF($E$80=6,Dados!$AN$39,IF($E$80=7,Dados!$AP$39,IF($E$80=8,Dados!$AT$39,0)))))))</f>
        <v>0</v>
      </c>
      <c r="FU31" s="316">
        <f>IF($E$81=2,Dados!$AE$39,IF($E$81=3,Dados!$AG$39,IF($E$81=4,Dados!$AI$39,IF($E$81=5,Dados!$AK$39,IF($E$81=6,Dados!$AM$39,IF($E$81=7,Dados!$AO$39,IF($E$81=8,Dados!$AS$39,0)))))))</f>
        <v>0</v>
      </c>
      <c r="FV31" s="304">
        <f>IF($E$81=2,Dados!$AF$39,IF($E$81=3,Dados!$AH$39,IF($E$81=4,Dados!$AJ$39,IF($E$81=5,Dados!$AL$39,IF($E$81=6,Dados!$AN$39,IF($E$81=7,Dados!$AP$39,IF($E$81=8,Dados!$AT$39,0)))))))</f>
        <v>0</v>
      </c>
      <c r="FW31" s="316">
        <f>IF($E$82=2,Dados!$AE$39,IF($E$82=3,Dados!$AG$39,IF($E$82=4,Dados!$AI$39,IF($E$82=5,Dados!$AK$39,IF($E$82=6,Dados!$AM$39,IF($E$82=7,Dados!$AO$39,IF($E$82=8,Dados!$AS$39,0)))))))</f>
        <v>0</v>
      </c>
      <c r="FX31" s="304">
        <f>IF($E$82=2,Dados!$AF$39,IF($E$82=3,Dados!$AH$39,IF($E$82=4,Dados!$AJ$39,IF($E$82=5,Dados!$AL$39,IF($E$82=6,Dados!$AN$39,IF($E$82=7,Dados!$AP$39,IF($E$82=8,Dados!$AT$39,0)))))))</f>
        <v>0</v>
      </c>
      <c r="FY31" s="316">
        <f>IF($E$83=2,Dados!$AE$39,IF($E$83=3,Dados!$AG$39,IF($E$83=4,Dados!$AI$39,IF($E$83=5,Dados!$AK$39,IF($E$83=6,Dados!$AM$39,IF($E$83=7,Dados!$AO$39,IF($E$83=8,Dados!$AS$39,0)))))))</f>
        <v>0</v>
      </c>
      <c r="FZ31" s="304">
        <f>IF($E$83=2,Dados!$AF$39,IF($E$83=3,Dados!$AH$39,IF($E$83=4,Dados!$AJ$39,IF($E$83=5,Dados!$AL$39,IF($E$83=6,Dados!$AN$39,IF($E$83=7,Dados!$AP$39,IF($E$83=8,Dados!$AT$39,0)))))))</f>
        <v>0</v>
      </c>
      <c r="GB31" s="316">
        <f>IF($E$88=2,Dados!$AE$39,IF($E$88=3,Dados!$AG$39,IF($E$88=4,Dados!$AI$39,IF($E$88=5,Dados!$AK$39,IF($E$88=6,Dados!$AM$39,IF($E$88=7,Dados!$AO$39,IF($E$88=8,Dados!$AS$39,0)))))))</f>
        <v>0</v>
      </c>
      <c r="GC31" s="304">
        <f>IF($E$88=2,Dados!$AF$39,IF($E$88=3,Dados!$AH$39,IF($E$88=4,Dados!$AJ$39,IF($E$88=5,Dados!$AL$39,IF($E$88=6,Dados!$AN$39,IF($E$88=7,Dados!$AP$39,IF($E$88=8,Dados!$AT$39,0)))))))</f>
        <v>0</v>
      </c>
      <c r="GD31" s="316">
        <f>IF($E$89=2,Dados!$AE$39,IF($E$89=3,Dados!$AG$39,IF($E$89=4,Dados!$AI$39,IF($E$89=5,Dados!$AK$39,IF($E$89=6,Dados!$AM$39,IF($E$89=7,Dados!$AO$39,IF($E$89=8,Dados!$AS$39,0)))))))</f>
        <v>0</v>
      </c>
      <c r="GE31" s="304">
        <f>IF($E$89=2,Dados!$AF$39,IF($E$89=3,Dados!$AH$39,IF($E$89=4,Dados!$AJ$39,IF($E$89=5,Dados!$AL$39,IF($E$89=6,Dados!$AN$39,IF($E$89=7,Dados!$AP$39,IF($E$89=8,Dados!$AT$39,0)))))))</f>
        <v>0</v>
      </c>
      <c r="GF31" s="316">
        <f>IF($E$90=2,Dados!$AE$39,IF($E$90=3,Dados!$AG$39,IF($E$90=4,Dados!$AI$39,IF($E$90=5,Dados!$AK$39,IF($E$90=6,Dados!$AM$39,IF($E$90=7,Dados!$AO$39,IF($E$90=8,Dados!$AS$39,0)))))))</f>
        <v>0</v>
      </c>
      <c r="GG31" s="304">
        <f>IF($E$90=2,Dados!$AF$39,IF($E$90=3,Dados!$AH$39,IF($E$90=4,Dados!$AJ$39,IF($E$90=5,Dados!$AL$39,IF($E$90=6,Dados!$AN$39,IF($E$90=7,Dados!$AP$39,IF($E$90=8,Dados!$AT$39,0)))))))</f>
        <v>0</v>
      </c>
      <c r="GH31" s="316">
        <f>IF($E$91=2,Dados!$AE$39,IF($E$91=3,Dados!$AG$39,IF($E$91=4,Dados!$AI$39,IF($E$91=5,Dados!$AK$39,IF($E$91=6,Dados!$AM$39,IF($E$91=7,Dados!$AO$39,IF($E$91=8,Dados!$AS$39,0)))))))</f>
        <v>0</v>
      </c>
      <c r="GI31" s="304">
        <f>IF($E$91=2,Dados!$AF$39,IF($E$91=3,Dados!$AH$39,IF($E$91=4,Dados!$AJ$39,IF($E$91=5,Dados!$AL$39,IF($E$91=6,Dados!$AN$39,IF($E$91=7,Dados!$AP$39,IF($E$91=8,Dados!$AT$39,0)))))))</f>
        <v>0</v>
      </c>
      <c r="GJ31" s="316">
        <f>IF($E$92=2,Dados!$AE$39,IF($E$92=3,Dados!$AG$39,IF($E$92=4,Dados!$AI$39,IF($E$92=5,Dados!$AK$39,IF($E$92=6,Dados!$AM$39,IF($E$92=7,Dados!$AO$39,IF($E$92=8,Dados!$AS$39,0)))))))</f>
        <v>0</v>
      </c>
      <c r="GK31" s="304">
        <f>IF($E$92=2,Dados!$AF$39,IF($E$92=3,Dados!$AH$39,IF($E$92=4,Dados!$AJ$39,IF($E$92=5,Dados!$AL$39,IF($E$92=6,Dados!$AN$39,IF($E$92=7,Dados!$AP$39,IF($E$92=8,Dados!$AT$39,0)))))))</f>
        <v>0</v>
      </c>
      <c r="GM31" s="316">
        <f>IF($E$97=2,Dados!$AE$39,IF($E$97=3,Dados!$AG$39,IF($E$97=4,Dados!$AI$39,IF($E$97=5,Dados!$AK$39,IF($E$97=6,Dados!$AM$39,IF($E$97=7,Dados!$AO$39,IF($E$97=8,Dados!$AS$39,0)))))))</f>
        <v>0</v>
      </c>
      <c r="GN31" s="304">
        <f>IF($E$97=2,Dados!$AF$39,IF($E$97=3,Dados!$AH$39,IF($E$97=4,Dados!$AJ$39,IF($E$97=5,Dados!$AL$39,IF($E$97=6,Dados!$AN$39,IF($E$97=7,Dados!$AP$39,IF($E$97=8,Dados!$AT$39,0)))))))</f>
        <v>0</v>
      </c>
      <c r="GO31" s="316">
        <f>IF($E$98=2,Dados!$AE$39,IF($E$98=3,Dados!$AG$39,IF($E$98=4,Dados!$AI$39,IF($E$98=5,Dados!$AK$39,IF($E$98=6,Dados!$AM$39,IF($E$98=7,Dados!$AO$39,IF($E$98=8,Dados!$AS$39,0)))))))</f>
        <v>0</v>
      </c>
      <c r="GP31" s="304">
        <f>IF($E$98=2,Dados!$AF$39,IF($E$98=3,Dados!$AH$39,IF($E$98=4,Dados!$AJ$39,IF($E$98=5,Dados!$AL$39,IF($E$98=6,Dados!$AN$39,IF($E$98=7,Dados!$AP$39,IF($E$98=8,Dados!$AT$39,0)))))))</f>
        <v>0</v>
      </c>
      <c r="GQ31" s="316">
        <f>IF($E$99=2,Dados!$AE$39,IF($E$99=3,Dados!$AG$39,IF($E$99=4,Dados!$AI$39,IF($E$99=5,Dados!$AK$39,IF($E$99=6,Dados!$AM$39,IF($E$99=7,Dados!$AO$39,IF($E$99=8,Dados!$AS$39,0)))))))</f>
        <v>0</v>
      </c>
      <c r="GR31" s="304">
        <f>IF($E$99=2,Dados!$AF$39,IF($E$99=3,Dados!$AH$39,IF($E$99=4,Dados!$AJ$39,IF($E$99=5,Dados!$AL$39,IF($E$99=6,Dados!$AN$39,IF($E$99=7,Dados!$AP$39,IF($E$99=8,Dados!$AT$39,0)))))))</f>
        <v>0</v>
      </c>
      <c r="GS31" s="316">
        <f>IF($E$100=2,Dados!$AE$39,IF($E$100=3,Dados!$AG$39,IF($E$100=4,Dados!$AI$39,IF($E$100=5,Dados!$AK$39,IF($E$100=6,Dados!$AM$39,IF($E$100=7,Dados!$AO$39,IF($E$100=8,Dados!$AS$39,0)))))))</f>
        <v>0</v>
      </c>
      <c r="GT31" s="304">
        <f>IF($E$100=2,Dados!$AF$39,IF($E$100=3,Dados!$AH$39,IF($E$100=4,Dados!$AJ$39,IF($E$100=5,Dados!$AL$39,IF($E$100=6,Dados!$AN$39,IF($E$100=7,Dados!$AP$39,IF($E$100=8,Dados!$AT$39,0)))))))</f>
        <v>0</v>
      </c>
      <c r="GU31" s="316">
        <f>IF($E$101=2,Dados!$AE$39,IF($E$101=3,Dados!$AG$39,IF($E$101=4,Dados!$AI$39,IF($E$101=5,Dados!$AK$39,IF($E$101=6,Dados!$AM$39,IF($E$101=7,Dados!$AO$39,IF($E$101=8,Dados!$AS$39,0)))))))</f>
        <v>0</v>
      </c>
      <c r="GV31" s="304">
        <f>IF($E$101=2,Dados!$AF$39,IF($E$101=3,Dados!$AH$39,IF($E$101=4,Dados!$AJ$39,IF($E$101=5,Dados!$AL$39,IF($E$101=6,Dados!$AN$39,IF($E$101=7,Dados!$AP$39,IF($E$101=8,Dados!$AT$39,0)))))))</f>
        <v>0</v>
      </c>
      <c r="GX31" s="316">
        <f>IF($E$106=2,Dados!$AE$39,IF($E$106=3,Dados!$AG$39,IF($E$106=4,Dados!$AI$39,IF($E$106=5,Dados!$AK$39,IF($E$106=6,Dados!$AM$39,IF($E$106=7,Dados!$AO$39,IF($E$106=8,Dados!$AS$39,0)))))))</f>
        <v>0</v>
      </c>
      <c r="GY31" s="304">
        <f>IF($E$106=2,Dados!$AF$39,IF($E$106=3,Dados!$AH$39,IF($E$106=4,Dados!$AJ$39,IF($E$106=5,Dados!$AL$39,IF($E$106=6,Dados!$AN$39,IF($E$106=7,Dados!$AP$39,IF($E$106=8,Dados!$AT$39,0)))))))</f>
        <v>0</v>
      </c>
      <c r="GZ31" s="316">
        <f>IF($E$107=2,Dados!$AE$39,IF($E$107=3,Dados!$AG$39,IF($E$107=4,Dados!$AI$39,IF($E$107=5,Dados!$AK$39,IF($E$107=6,Dados!$AM$39,IF($E$107=7,Dados!$AO$39,IF($E$107=8,Dados!$AS$39,0)))))))</f>
        <v>0</v>
      </c>
      <c r="HA31" s="304">
        <f>IF($E$107=2,Dados!$AF$39,IF($E$107=3,Dados!$AH$39,IF($E$107=4,Dados!$AJ$39,IF($E$107=5,Dados!$AL$39,IF($E$107=6,Dados!$AN$39,IF($E$107=7,Dados!$AP$39,IF($E$107=8,Dados!$AT$39,0)))))))</f>
        <v>0</v>
      </c>
      <c r="HB31" s="316">
        <f>IF($E$108=2,Dados!$AE$39,IF($E$108=3,Dados!$AG$39,IF($E$108=4,Dados!$AI$39,IF($E$108=5,Dados!$AK$39,IF($E$108=6,Dados!$AM$39,IF($E$108=7,Dados!$AO$39,IF($E$108=8,Dados!$AS$39,0)))))))</f>
        <v>0</v>
      </c>
      <c r="HC31" s="304">
        <f>IF($E$108=2,Dados!$AF$39,IF($E$108=3,Dados!$AH$39,IF($E$108=4,Dados!$AJ$39,IF($E$108=5,Dados!$AL$39,IF($E$108=6,Dados!$AN$39,IF($E$108=7,Dados!$AP$39,IF($E$108=8,Dados!$AT$39,0)))))))</f>
        <v>0</v>
      </c>
      <c r="HD31" s="316">
        <f>IF($E$109=2,Dados!$AE$39,IF($E$109=3,Dados!$AG$39,IF($E$109=4,Dados!$AI$39,IF($E$109=5,Dados!$AK$39,IF($E$109=6,Dados!$AM$39,IF($E$109=7,Dados!$AO$39,IF($E$109=8,Dados!$AS$39,0)))))))</f>
        <v>0</v>
      </c>
      <c r="HE31" s="304">
        <f>IF($E$109=2,Dados!$AF$39,IF($E$109=3,Dados!$AH$39,IF($E$109=4,Dados!$AJ$39,IF($E$109=5,Dados!$AL$39,IF($E$109=6,Dados!$AN$39,IF($E$109=7,Dados!$AP$39,IF($E$109=8,Dados!$AT$39,0)))))))</f>
        <v>0</v>
      </c>
      <c r="HF31" s="316">
        <f>IF($E$110=2,Dados!$AE$39,IF($E$110=3,Dados!$AG$39,IF($E$110=4,Dados!$AI$39,IF($E$110=5,Dados!$AK$39,IF($E$110=6,Dados!$AM$39,IF($E$110=7,Dados!$AO$39,IF($E$110=8,Dados!$AS$39,0)))))))</f>
        <v>0</v>
      </c>
      <c r="HG31" s="304">
        <f>IF($E$110=2,Dados!$AF$39,IF($E$110=3,Dados!$AH$39,IF($E$110=4,Dados!$AJ$39,IF($E$110=5,Dados!$AL$39,IF($E$110=6,Dados!$AN$39,IF($E$110=7,Dados!$AP$39,IF($E$110=8,Dados!$AT$39,0)))))))</f>
        <v>0</v>
      </c>
    </row>
    <row r="32" spans="3:215" x14ac:dyDescent="0.2">
      <c r="I32" s="126" t="s">
        <v>519</v>
      </c>
      <c r="K32" s="118"/>
      <c r="L32" s="118"/>
      <c r="X32" s="2625" t="s">
        <v>414</v>
      </c>
      <c r="Y32" s="2625"/>
      <c r="Z32" s="183" t="s">
        <v>1246</v>
      </c>
      <c r="CF32" s="93">
        <v>27</v>
      </c>
      <c r="CG32" s="316">
        <f>IF($E$7=2,Dados!$AE$40,IF($E$7=3,Dados!$AG$40,IF($E$7=4,Dados!$AI$40,IF($E$7=5,Dados!$AK$40,IF($E$7=6,Dados!$AM$40,IF($E$7=7,Dados!$AO$40,IF($E$7=8,Dados!$AS$40,0)))))))</f>
        <v>0</v>
      </c>
      <c r="CH32" s="304">
        <f>IF($E$7=2,Dados!$AF$40,IF($E$7=3,Dados!$AH$40,IF($E$7=4,Dados!$AJ$40,IF($E$7=5,Dados!$AL$40,IF($E$7=6,Dados!$AN$40,IF($E$7=7,Dados!$AP$40,IF($E$7=8,Dados!$AT$40,0)))))))</f>
        <v>0</v>
      </c>
      <c r="CI32" s="316">
        <f>IF($E$8=2,Dados!$AE$40,IF($E$8=3,Dados!$AG$40,IF($E$8=4,Dados!$AI$40,IF($E$8=5,Dados!$AK$40,IF($E$8=6,Dados!$AM$40,IF($E$8=7,Dados!$AO$40,IF($E$8=8,Dados!$AS$40,0)))))))</f>
        <v>0</v>
      </c>
      <c r="CJ32" s="304">
        <f>IF($E$8=2,Dados!$AF$40,IF($E$8=3,Dados!$AH$40,IF($E$8=4,Dados!$AJ$40,IF($E$8=5,Dados!$AL$40,IF($E$8=6,Dados!$AN$40,IF($E$8=7,Dados!$AP$40,IF($E$8=8,Dados!$AT$40,0)))))))</f>
        <v>0</v>
      </c>
      <c r="CK32" s="316">
        <f>IF($E$9=2,Dados!$AE$40,IF($E$9=3,Dados!$AG$40,IF($E$9=4,Dados!$AI$40,IF($E$9=5,Dados!$AK$40,IF($E$9=6,Dados!$AM$40,IF($E$9=7,Dados!$AO$40,IF($E$9=8,Dados!$AS$40,0)))))))</f>
        <v>0</v>
      </c>
      <c r="CL32" s="304">
        <f>IF($E$9=2,Dados!$AF$40,IF($E$9=3,Dados!$AH$40,IF($E$9=4,Dados!$AJ$40,IF($E$9=5,Dados!$AL$40,IF($E$9=6,Dados!$AN$40,IF($E$9=7,Dados!$AP$40,IF($E$9=8,Dados!$AT$40,0)))))))</f>
        <v>0</v>
      </c>
      <c r="CM32" s="316">
        <f>IF($E$10=2,Dados!$AE$40,IF($E$10=3,Dados!$AG$40,IF($E$10=4,Dados!$AI$40,IF($E$10=5,Dados!$AK$40,IF($E$10=6,Dados!$AM$40,IF($E$10=7,Dados!$AO$40,IF($E$10=8,Dados!$AS$40,0)))))))</f>
        <v>0</v>
      </c>
      <c r="CN32" s="304">
        <f>IF($E$10=2,Dados!$AF$40,IF($E$10=3,Dados!$AH$40,IF($E$10=4,Dados!$AJ$40,IF($E$10=5,Dados!$AL$40,IF($E$10=6,Dados!$AN$40,IF($E$10=7,Dados!$AP$40,IF($E$10=8,Dados!$AT$40,0)))))))</f>
        <v>0</v>
      </c>
      <c r="CO32" s="316">
        <f>IF($E$11=2,Dados!$AE$40,IF($E$11=3,Dados!$AG$40,IF($E$11=4,Dados!$AI$40,IF($E$11=5,Dados!$AK$40,IF($E$11=6,Dados!$AM$40,IF($E$11=7,Dados!$AO$40,IF($E$11=8,Dados!$AS$40,0)))))))</f>
        <v>0</v>
      </c>
      <c r="CP32" s="304">
        <f>IF($E$11=2,Dados!$AF$40,IF($E$11=3,Dados!$AH$40,IF($E$11=4,Dados!$AJ$40,IF($E$11=5,Dados!$AL$40,IF($E$11=6,Dados!$AN$40,IF($E$11=7,Dados!$AP$40,IF($E$11=8,Dados!$AT$40,0)))))))</f>
        <v>0</v>
      </c>
      <c r="CR32" s="316">
        <f>IF($E$16=2,Dados!$AE$40,IF($E$16=3,Dados!$AG$40,IF($E$16=4,Dados!$AI$40,IF($E$16=5,Dados!$AK$40,IF($E$16=6,Dados!$AM$40,IF($E$16=7,Dados!$AO$40,IF($E$16=8,Dados!$AS$40,0)))))))</f>
        <v>0</v>
      </c>
      <c r="CS32" s="304">
        <f>IF($E$16=2,Dados!$AF$40,IF($E$16=3,Dados!$AH$40,IF($E$16=4,Dados!$AJ$40,IF($E$16=5,Dados!$AL$40,IF($E$16=6,Dados!$AN$40,IF($E$16=7,Dados!$AP$40,IF($E$16=8,Dados!$AT$40,0)))))))</f>
        <v>0</v>
      </c>
      <c r="CT32" s="316">
        <f>IF($E$17=2,Dados!$AE$40,IF($E$17=3,Dados!$AG$40,IF($E$17=4,Dados!$AI$40,IF($E$17=5,Dados!$AK$40,IF($E$17=6,Dados!$AM$40,IF($E$17=7,Dados!$AO$40,IF($E$17=8,Dados!$AS$40,0)))))))</f>
        <v>0</v>
      </c>
      <c r="CU32" s="304">
        <f>IF($E$17=2,Dados!$AF$40,IF($E$17=3,Dados!$AH$40,IF($E$17=4,Dados!$AJ$40,IF($E$17=5,Dados!$AL$40,IF($E$17=6,Dados!$AN$40,IF($E$17=7,Dados!$AP$40,IF($E$17=8,Dados!$AT$40,0)))))))</f>
        <v>0</v>
      </c>
      <c r="CV32" s="316">
        <f>IF($E$18=2,Dados!$AE$40,IF($E$18=3,Dados!$AG$40,IF($E$18=4,Dados!$AI$40,IF($E$18=5,Dados!$AK$40,IF($E$18=6,Dados!$AM$40,IF($E$18=7,Dados!$AO$40,IF($E$18=8,Dados!$AS$40,0)))))))</f>
        <v>0</v>
      </c>
      <c r="CW32" s="304">
        <f>IF($E$18=2,Dados!$AF$40,IF($E$18=3,Dados!$AH$40,IF($E$18=4,Dados!$AJ$40,IF($E$18=5,Dados!$AL$40,IF($E$18=6,Dados!$AN$40,IF($E$18=7,Dados!$AP$40,IF($E$18=8,Dados!$AT$40,0)))))))</f>
        <v>0</v>
      </c>
      <c r="CX32" s="316">
        <f>IF($E$19=2,Dados!$AE$40,IF($E$19=3,Dados!$AG$40,IF($E$19=4,Dados!$AI$40,IF($E$19=5,Dados!$AK$40,IF($E$19=6,Dados!$AM$40,IF($E$19=7,Dados!$AO$40,IF($E$19=8,Dados!$AS$40,0)))))))</f>
        <v>0</v>
      </c>
      <c r="CY32" s="304">
        <f>IF($E$19=2,Dados!$AF$40,IF($E$19=3,Dados!$AH$40,IF($E$19=4,Dados!$AJ$40,IF($E$19=5,Dados!$AL$40,IF($E$19=6,Dados!$AN$40,IF($E$19=7,Dados!$AP$40,IF($E$19=8,Dados!$AT$40,0)))))))</f>
        <v>0</v>
      </c>
      <c r="CZ32" s="316">
        <f>IF($E$20=2,Dados!$AE$40,IF($E$20=3,Dados!$AG$40,IF($E$20=4,Dados!$AI$40,IF($E$20=5,Dados!$AK$40,IF($E$20=6,Dados!$AM$40,IF($E$20=7,Dados!$AO$40,IF($E$20=8,Dados!$AS$40,0)))))))</f>
        <v>0</v>
      </c>
      <c r="DA32" s="304">
        <f>IF($E$20=2,Dados!$AF$40,IF($E$20=3,Dados!$AH$40,IF($E$20=4,Dados!$AJ$40,IF($E$20=5,Dados!$AL$40,IF($E$20=6,Dados!$AN$40,IF($E$20=7,Dados!$AP$40,IF($E$20=8,Dados!$AT$40,0)))))))</f>
        <v>0</v>
      </c>
      <c r="DC32" s="316">
        <f>IF($E$25=2,Dados!$AE$40,IF($E$25=3,Dados!$AG$40,IF($E$25=4,Dados!$AI$40,IF($E$25=5,Dados!$AK$40,IF($E$25=6,Dados!$AM$40,IF($E$25=7,Dados!$AO$40,IF($E$25=8,Dados!$AS$40,0)))))))</f>
        <v>0</v>
      </c>
      <c r="DD32" s="304">
        <f>IF($E$25=2,Dados!$AF$40,IF($E$25=3,Dados!$AH$40,IF($E$25=4,Dados!$AJ$40,IF($E$25=5,Dados!$AL$40,IF($E$25=6,Dados!$AN$40,IF($E$25=7,Dados!$AP$40,IF($E$25=8,Dados!$AT$40,0)))))))</f>
        <v>0</v>
      </c>
      <c r="DE32" s="316">
        <f>IF($E$26=2,Dados!$AE$40,IF($E$26=3,Dados!$AG$40,IF($E$26=4,Dados!$AI$40,IF($E$26=5,Dados!$AK$40,IF($E$26=6,Dados!$AM$40,IF($E$26=7,Dados!$AO$40,IF($E$26=8,Dados!$AS$40,0)))))))</f>
        <v>0</v>
      </c>
      <c r="DF32" s="304">
        <f>IF($E$26=2,Dados!$AF$40,IF($E$26=3,Dados!$AH$40,IF($E$26=4,Dados!$AJ$40,IF($E$26=5,Dados!$AL$40,IF($E$26=6,Dados!$AN$40,IF($E$26=7,Dados!$AP$40,IF($E$26=8,Dados!$AT$40,0)))))))</f>
        <v>0</v>
      </c>
      <c r="DG32" s="316">
        <f>IF($E$27=2,Dados!$AE$40,IF($E$27=3,Dados!$AG$40,IF($E$27=4,Dados!$AI$40,IF($E$27=5,Dados!$AK$40,IF($E$27=6,Dados!$AM$40,IF($E$27=7,Dados!$AO$40,IF($E$27=8,Dados!$AS$40,0)))))))</f>
        <v>0</v>
      </c>
      <c r="DH32" s="304">
        <f>IF($E$27=2,Dados!$AF$40,IF($E$27=3,Dados!$AH$40,IF($E$27=4,Dados!$AJ$40,IF($E$27=5,Dados!$AL$40,IF($E$27=6,Dados!$AN$40,IF($E$27=7,Dados!$AP$40,IF($E$27=8,Dados!$AT$40,0)))))))</f>
        <v>0</v>
      </c>
      <c r="DI32" s="316">
        <f>IF($E$28=2,Dados!$AE$40,IF($E$28=3,Dados!$AG$40,IF($E$28=4,Dados!$AI$40,IF($E$28=5,Dados!$AK$40,IF($E$28=6,Dados!$AM$40,IF($E$28=7,Dados!$AO$40,IF($E$28=8,Dados!$AS$40,0)))))))</f>
        <v>0</v>
      </c>
      <c r="DJ32" s="304">
        <f>IF($E$28=2,Dados!$AF$40,IF($E$28=3,Dados!$AH$40,IF($E$28=4,Dados!$AJ$40,IF($E$28=5,Dados!$AL$40,IF($E$28=6,Dados!$AN$40,IF($E$28=7,Dados!$AP$40,IF($E$28=8,Dados!$AT$40,0)))))))</f>
        <v>0</v>
      </c>
      <c r="DK32" s="316">
        <f>IF($E$29=2,Dados!$AE$40,IF($E$29=3,Dados!$AG$40,IF($E$29=4,Dados!$AI$40,IF($E$29=5,Dados!$AK$40,IF($E$29=6,Dados!$AM$40,IF($E$29=7,Dados!$AO$40,IF($E$29=8,Dados!$AS$40,0)))))))</f>
        <v>0</v>
      </c>
      <c r="DL32" s="304">
        <f>IF($E$29=2,Dados!$AF$40,IF($E$29=3,Dados!$AH$40,IF($E$29=4,Dados!$AJ$40,IF($E$29=5,Dados!$AL$40,IF($E$29=6,Dados!$AN$40,IF($E$29=7,Dados!$AP$40,IF($E$29=8,Dados!$AT$40,0)))))))</f>
        <v>0</v>
      </c>
      <c r="DN32" s="316">
        <f>IF($E$34=2,Dados!$AE$40,IF($E$34=3,Dados!$AG$40,IF($E$34=4,Dados!$AI$40,IF($E$34=5,Dados!$AK$40,IF($E$34=6,Dados!$AM$40,IF($E$34=7,Dados!$AO$40,IF($E$34=8,Dados!$AS$40,0)))))))</f>
        <v>0</v>
      </c>
      <c r="DO32" s="304">
        <f>IF($E$34=2,Dados!$AF$40,IF($E$34=3,Dados!$AH$40,IF($E$34=4,Dados!$AJ$40,IF($E$34=5,Dados!$AL$40,IF($E$34=6,Dados!$AN$40,IF($E$34=7,Dados!$AP$40,IF($E$34=8,Dados!$AT$40,0)))))))</f>
        <v>0</v>
      </c>
      <c r="DP32" s="316">
        <f>IF($E$35=2,Dados!$AE$40,IF($E$35=3,Dados!$AG$40,IF($E$35=4,Dados!$AI$40,IF($E$35=5,Dados!$AK$40,IF($E$35=6,Dados!$AM$40,IF($E$35=7,Dados!$AO$40,IF($E$35=8,Dados!$AS$40,0)))))))</f>
        <v>0</v>
      </c>
      <c r="DQ32" s="304">
        <f>IF($E$35=2,Dados!$AF$40,IF($E$35=3,Dados!$AH$40,IF($E$35=4,Dados!$AJ$40,IF($E$35=5,Dados!$AL$40,IF($E$35=6,Dados!$AN$40,IF($E$35=7,Dados!$AP$40,IF($E$35=8,Dados!$AT$40,0)))))))</f>
        <v>0</v>
      </c>
      <c r="DR32" s="316">
        <f>IF($E$36=2,Dados!$AE$40,IF($E$36=3,Dados!$AG$40,IF($E$36=4,Dados!$AI$40,IF($E$36=5,Dados!$AK$40,IF($E$36=6,Dados!$AM$40,IF($E$36=7,Dados!$AO$40,IF($E$36=8,Dados!$AS$40,0)))))))</f>
        <v>0</v>
      </c>
      <c r="DS32" s="304">
        <f>IF($E$36=2,Dados!$AF$40,IF($E$36=3,Dados!$AH$40,IF($E$36=4,Dados!$AJ$40,IF($E$36=5,Dados!$AL$40,IF($E$36=6,Dados!$AN$40,IF($E$36=7,Dados!$AP$40,IF($E$36=8,Dados!$AT$40,0)))))))</f>
        <v>0</v>
      </c>
      <c r="DT32" s="316">
        <f>IF($E$37=2,Dados!$AE$40,IF($E$37=3,Dados!$AG$40,IF($E$37=4,Dados!$AI$40,IF($E$37=5,Dados!$AK$40,IF($E$37=6,Dados!$AM$40,IF($E$37=7,Dados!$AO$40,IF($E$37=8,Dados!$AS$40,0)))))))</f>
        <v>0</v>
      </c>
      <c r="DU32" s="304">
        <f>IF($E$37=2,Dados!$AF$40,IF($E$37=3,Dados!$AH$40,IF($E$37=4,Dados!$AJ$40,IF($E$37=5,Dados!$AL$40,IF($E$37=6,Dados!$AN$40,IF($E$37=7,Dados!$AP$40,IF($E$37=8,Dados!$AT$40,0)))))))</f>
        <v>0</v>
      </c>
      <c r="DV32" s="316">
        <f>IF($E$38=2,Dados!$AE$40,IF($E$38=3,Dados!$AG$40,IF($E$38=4,Dados!$AI$40,IF($E$38=5,Dados!$AK$40,IF($E$38=6,Dados!$AM$40,IF($E$38=7,Dados!$AO$40,IF($E$38=8,Dados!$AS$40,0)))))))</f>
        <v>0</v>
      </c>
      <c r="DW32" s="304">
        <f>IF($E$38=2,Dados!$AF$40,IF($E$38=3,Dados!$AH$40,IF($E$38=4,Dados!$AJ$40,IF($E$38=5,Dados!$AL$40,IF($E$38=6,Dados!$AN$40,IF($E$38=7,Dados!$AP$40,IF($E$38=8,Dados!$AT$40,0)))))))</f>
        <v>0</v>
      </c>
      <c r="DY32" s="316">
        <f>IF($E$43=2,Dados!$AE$40,IF($E$43=3,Dados!$AG$40,IF($E$43=4,Dados!$AI$40,IF($E$43=5,Dados!$AK$40,IF($E$43=6,Dados!$AM$40,IF($E$43=7,Dados!$AO$40,IF($E$43=8,Dados!$AS$40,0)))))))</f>
        <v>0</v>
      </c>
      <c r="DZ32" s="304">
        <f>IF($E$43=2,Dados!$AF$40,IF($E$43=3,Dados!$AH$40,IF($E$43=4,Dados!$AJ$40,IF($E$43=5,Dados!$AL$40,IF($E$43=6,Dados!$AN$40,IF($E$43=7,Dados!$AP$40,IF($E$43=8,Dados!$AT$40,0)))))))</f>
        <v>0</v>
      </c>
      <c r="EA32" s="316">
        <f>IF($E$44=2,Dados!$AE$40,IF($E$44=3,Dados!$AG$40,IF($E$44=4,Dados!$AI$40,IF($E$44=5,Dados!$AK$40,IF($E$44=6,Dados!$AM$40,IF($E$44=7,Dados!$AO$40,IF($E$44=8,Dados!$AS$40,0)))))))</f>
        <v>0</v>
      </c>
      <c r="EB32" s="304">
        <f>IF($E$44=2,Dados!$AF$40,IF($E$44=3,Dados!$AH$40,IF($E$44=4,Dados!$AJ$40,IF($E$44=5,Dados!$AL$40,IF($E$44=6,Dados!$AN$40,IF($E$44=7,Dados!$AP$40,IF($E$44=8,Dados!$AT$40,0)))))))</f>
        <v>0</v>
      </c>
      <c r="EC32" s="316">
        <f>IF($E$45=2,Dados!$AE$40,IF($E$45=3,Dados!$AG$40,IF($E$45=4,Dados!$AI$40,IF($E$45=5,Dados!$AK$40,IF($E$45=6,Dados!$AM$40,IF($E$45=7,Dados!$AO$40,IF($E$45=8,Dados!$AS$40,0)))))))</f>
        <v>0</v>
      </c>
      <c r="ED32" s="304">
        <f>IF($E$45=2,Dados!$AF$40,IF($E$45=3,Dados!$AH$40,IF($E$45=4,Dados!$AJ$40,IF($E$45=5,Dados!$AL$40,IF($E$45=6,Dados!$AN$40,IF($E$45=7,Dados!$AP$40,IF($E$45=8,Dados!$AT$40,0)))))))</f>
        <v>0</v>
      </c>
      <c r="EE32" s="316">
        <f>IF($E$46=2,Dados!$AE$40,IF($E$46=3,Dados!$AG$40,IF($E$46=4,Dados!$AI$40,IF($E$46=5,Dados!$AK$40,IF($E$46=6,Dados!$AM$40,IF($E$46=7,Dados!$AO$40,IF($E$46=8,Dados!$AS$40,0)))))))</f>
        <v>0</v>
      </c>
      <c r="EF32" s="304">
        <f>IF($E$46=2,Dados!$AF$40,IF($E$46=3,Dados!$AH$40,IF($E$46=4,Dados!$AJ$40,IF($E$46=5,Dados!$AL$40,IF($E$46=6,Dados!$AN$40,IF($E$46=7,Dados!$AP$40,IF($E$46=8,Dados!$AT$40,0)))))))</f>
        <v>0</v>
      </c>
      <c r="EG32" s="316">
        <f>IF($E$47=2,Dados!$AE$40,IF($E$47=3,Dados!$AG$40,IF($E$47=4,Dados!$AI$40,IF($E$47=5,Dados!$AK$40,IF($E$47=6,Dados!$AM$40,IF($E$47=7,Dados!$AO$40,IF($E$47=8,Dados!$AS$40,0)))))))</f>
        <v>0</v>
      </c>
      <c r="EH32" s="304">
        <f>IF($E$47=2,Dados!$AF$40,IF($E$47=3,Dados!$AH$40,IF($E$47=4,Dados!$AJ$40,IF($E$47=5,Dados!$AL$40,IF($E$47=6,Dados!$AN$40,IF($E$47=7,Dados!$AP$40,IF($E$47=8,Dados!$AT$40,0)))))))</f>
        <v>0</v>
      </c>
      <c r="EJ32" s="316">
        <f>IF($E$52=2,Dados!$AE$40,IF($E$52=3,Dados!$AG$40,IF($E$52=4,Dados!$AI$40,IF($E$52=5,Dados!$AK$40,IF($E$52=6,Dados!$AM$40,IF($E$52=7,Dados!$AO$40,IF($E$52=8,Dados!$AS$40,0)))))))</f>
        <v>0</v>
      </c>
      <c r="EK32" s="304">
        <f>IF($E$52=2,Dados!$AF$40,IF($E$52=3,Dados!$AH$40,IF($E$52=4,Dados!$AJ$40,IF($E$52=5,Dados!$AL$40,IF($E$52=6,Dados!$AN$40,IF($E$52=7,Dados!$AP$40,IF($E$52=8,Dados!$AT$40,0)))))))</f>
        <v>0</v>
      </c>
      <c r="EL32" s="316">
        <f>IF($E$53=2,Dados!$AE$40,IF($E$53=3,Dados!$AG$40,IF($E$53=4,Dados!$AI$40,IF($E$53=5,Dados!$AK$40,IF($E$53=6,Dados!$AM$40,IF($E$53=7,Dados!$AO$40,IF($E$53=8,Dados!$AS$40,0)))))))</f>
        <v>0</v>
      </c>
      <c r="EM32" s="304">
        <f>IF($E$53=2,Dados!$AF$40,IF($E$53=3,Dados!$AH$40,IF($E$53=4,Dados!$AJ$40,IF($E$53=5,Dados!$AL$40,IF($E$53=6,Dados!$AN$40,IF($E$53=7,Dados!$AP$40,IF($E$53=8,Dados!$AT$40,0)))))))</f>
        <v>0</v>
      </c>
      <c r="EN32" s="316">
        <f>IF($E$54=2,Dados!$AE$40,IF($E$54=3,Dados!$AG$40,IF($E$54=4,Dados!$AI$40,IF($E$54=5,Dados!$AK$40,IF($E$54=6,Dados!$AM$40,IF($E$54=7,Dados!$AO$40,IF($E$54=8,Dados!$AS$40,0)))))))</f>
        <v>0</v>
      </c>
      <c r="EO32" s="304">
        <f>IF($E$54=2,Dados!$AF$40,IF($E$54=3,Dados!$AH$40,IF($E$54=4,Dados!$AJ$40,IF($E$54=5,Dados!$AL$40,IF($E$54=6,Dados!$AN$40,IF($E$54=7,Dados!$AP$40,IF($E$54=8,Dados!$AT$40,0)))))))</f>
        <v>0</v>
      </c>
      <c r="EP32" s="316">
        <f>IF($E$55=2,Dados!$AE$40,IF($E$55=3,Dados!$AG$40,IF($E$55=4,Dados!$AI$40,IF($E$55=5,Dados!$AK$40,IF($E$55=6,Dados!$AM$40,IF($E$55=7,Dados!$AO$40,IF($E$55=8,Dados!$AS$40,0)))))))</f>
        <v>0</v>
      </c>
      <c r="EQ32" s="304">
        <f>IF($E$55=2,Dados!$AF$40,IF($E$55=3,Dados!$AH$40,IF($E$55=4,Dados!$AJ$40,IF($E$55=5,Dados!$AL$40,IF($E$55=6,Dados!$AN$40,IF($E$55=7,Dados!$AP$40,IF($E$55=8,Dados!$AT$40,0)))))))</f>
        <v>0</v>
      </c>
      <c r="ER32" s="316">
        <f>IF($E$56=2,Dados!$AE$40,IF($E$56=3,Dados!$AG$40,IF($E$56=4,Dados!$AI$40,IF($E$56=5,Dados!$AK$40,IF($E$56=6,Dados!$AM$40,IF($E$56=7,Dados!$AO$40,IF($E$56=8,Dados!$AS$40,0)))))))</f>
        <v>0</v>
      </c>
      <c r="ES32" s="304">
        <f>IF($E$56=2,Dados!$AF$40,IF($E$56=3,Dados!$AH$40,IF($E$56=4,Dados!$AJ$40,IF($E$56=5,Dados!$AL$40,IF($E$56=6,Dados!$AN$40,IF($E$56=7,Dados!$AP$40,IF($E$56=8,Dados!$AT$40,0)))))))</f>
        <v>0</v>
      </c>
      <c r="EU32" s="316">
        <f>IF($E$61=2,Dados!$AE$40,IF($E$61=3,Dados!$AG$40,IF($E$61=4,Dados!$AI$40,IF($E$61=5,Dados!$AK$40,IF($E$61=6,Dados!$AM$40,IF($E$61=7,Dados!$AO$40,IF($E$61=8,Dados!$AS$40,0)))))))</f>
        <v>0</v>
      </c>
      <c r="EV32" s="304">
        <f>IF($E$61=2,Dados!$AF$40,IF($E$61=3,Dados!$AH$40,IF($E$61=4,Dados!$AJ$40,IF($E$61=5,Dados!$AL$40,IF($E$61=6,Dados!$AN$40,IF($E$61=7,Dados!$AP$40,IF($E$61=8,Dados!$AT$40,0)))))))</f>
        <v>0</v>
      </c>
      <c r="EW32" s="316">
        <f>IF($E$62=2,Dados!$AE$40,IF($E$62=3,Dados!$AG$40,IF($E$62=4,Dados!$AI$40,IF($E$62=5,Dados!$AK$40,IF($E$62=6,Dados!$AM$40,IF($E$62=7,Dados!$AO$40,IF($E$62=8,Dados!$AS$40,0)))))))</f>
        <v>0</v>
      </c>
      <c r="EX32" s="304">
        <f>IF($E$62=2,Dados!$AF$40,IF($E$62=3,Dados!$AH$40,IF($E$62=4,Dados!$AJ$40,IF($E$62=5,Dados!$AL$40,IF($E$62=6,Dados!$AN$40,IF($E$62=7,Dados!$AP$40,IF($E$62=8,Dados!$AT$40,0)))))))</f>
        <v>0</v>
      </c>
      <c r="EY32" s="316">
        <f>IF($E$63=2,Dados!$AE$40,IF($E$63=3,Dados!$AG$40,IF($E$63=4,Dados!$AI$40,IF($E$63=5,Dados!$AK$40,IF($E$63=6,Dados!$AM$40,IF($E$63=7,Dados!$AO$40,IF($E$63=8,Dados!$AS$40,0)))))))</f>
        <v>0</v>
      </c>
      <c r="EZ32" s="304">
        <f>IF($E$63=2,Dados!$AF$40,IF($E$63=3,Dados!$AH$40,IF($E$63=4,Dados!$AJ$40,IF($E$63=5,Dados!$AL$40,IF($E$63=6,Dados!$AN$40,IF($E$63=7,Dados!$AP$40,IF($E$63=8,Dados!$AT$40,0)))))))</f>
        <v>0</v>
      </c>
      <c r="FA32" s="316">
        <f>IF($E$64=2,Dados!$AE$40,IF($E$64=3,Dados!$AG$40,IF($E$64=4,Dados!$AI$40,IF($E$64=5,Dados!$AK$40,IF($E$64=6,Dados!$AM$40,IF($E$64=7,Dados!$AO$40,IF($E$64=8,Dados!$AS$40,0)))))))</f>
        <v>0</v>
      </c>
      <c r="FB32" s="304">
        <f>IF($E$64=2,Dados!$AF$40,IF($E$64=3,Dados!$AH$40,IF($E$64=4,Dados!$AJ$40,IF($E$64=5,Dados!$AL$40,IF($E$64=6,Dados!$AN$40,IF($E$64=7,Dados!$AP$40,IF($E$64=8,Dados!$AT$40,0)))))))</f>
        <v>0</v>
      </c>
      <c r="FC32" s="316">
        <f>IF($E$65=2,Dados!$AE$40,IF($E$65=3,Dados!$AG$40,IF($E$65=4,Dados!$AI$40,IF($E$65=5,Dados!$AK$40,IF($E$65=6,Dados!$AM$40,IF($E$65=7,Dados!$AO$40,IF($E$65=8,Dados!$AS$40,0)))))))</f>
        <v>0</v>
      </c>
      <c r="FD32" s="304">
        <f>IF($E$65=2,Dados!$AF$40,IF($E$65=3,Dados!$AH$40,IF($E$65=4,Dados!$AJ$40,IF($E$65=5,Dados!$AL$40,IF($E$65=6,Dados!$AN$40,IF($E$65=7,Dados!$AP$40,IF($E$65=8,Dados!$AT$40,0)))))))</f>
        <v>0</v>
      </c>
      <c r="FF32" s="316">
        <f>IF($E$70=2,Dados!$AE$40,IF($E$70=3,Dados!$AG$40,IF($E$70=4,Dados!$AI$40,IF($E$70=5,Dados!$AK$40,IF($E$70=6,Dados!$AM$40,IF($E$70=7,Dados!$AO$40,IF($E$70=8,Dados!$AS$40,0)))))))</f>
        <v>0</v>
      </c>
      <c r="FG32" s="304">
        <f>IF($E$70=2,Dados!$AF$40,IF($E$70=3,Dados!$AH$40,IF($E$70=4,Dados!$AJ$40,IF($E$70=5,Dados!$AL$40,IF($E$70=6,Dados!$AN$40,IF($E$70=7,Dados!$AP$40,IF($E$70=8,Dados!$AT$40,0)))))))</f>
        <v>0</v>
      </c>
      <c r="FH32" s="316">
        <f>IF($E$71=2,Dados!$AE$40,IF($E$71=3,Dados!$AG$40,IF($E$71=4,Dados!$AI$40,IF($E$71=5,Dados!$AK$40,IF($E$71=6,Dados!$AM$40,IF($E$71=7,Dados!$AO$40,IF($E$71=8,Dados!$AS$40,0)))))))</f>
        <v>0</v>
      </c>
      <c r="FI32" s="304">
        <f>IF($E$71=2,Dados!$AF$40,IF($E$71=3,Dados!$AH$40,IF($E$71=4,Dados!$AJ$40,IF($E$71=5,Dados!$AL$40,IF($E$71=6,Dados!$AN$40,IF($E$71=7,Dados!$AP$40,IF($E$71=8,Dados!$AT$40,0)))))))</f>
        <v>0</v>
      </c>
      <c r="FJ32" s="316">
        <f>IF($E$72=2,Dados!$AE$40,IF($E$72=3,Dados!$AG$40,IF($E$72=4,Dados!$AI$40,IF($E$72=5,Dados!$AK$40,IF($E$72=6,Dados!$AM$40,IF($E$72=7,Dados!$AO$40,IF($E$72=8,Dados!$AS$40,0)))))))</f>
        <v>0</v>
      </c>
      <c r="FK32" s="304">
        <f>IF($E$72=2,Dados!$AF$40,IF($E$72=3,Dados!$AH$40,IF($E$72=4,Dados!$AJ$40,IF($E$72=5,Dados!$AL$40,IF($E$72=6,Dados!$AN$40,IF($E$72=7,Dados!$AP$40,IF($E$72=8,Dados!$AT$40,0)))))))</f>
        <v>0</v>
      </c>
      <c r="FL32" s="316">
        <f>IF($E$73=2,Dados!$AE$40,IF($E$73=3,Dados!$AG$40,IF($E$73=4,Dados!$AI$40,IF($E$73=5,Dados!$AK$40,IF($E$73=6,Dados!$AM$40,IF($E$73=7,Dados!$AO$40,IF($E$73=8,Dados!$AS$40,0)))))))</f>
        <v>0</v>
      </c>
      <c r="FM32" s="304">
        <f>IF($E$73=2,Dados!$AF$40,IF($E$73=3,Dados!$AH$40,IF($E$73=4,Dados!$AJ$40,IF($E$73=5,Dados!$AL$40,IF($E$73=6,Dados!$AN$40,IF($E$73=7,Dados!$AP$40,IF($E$73=8,Dados!$AT$40,0)))))))</f>
        <v>0</v>
      </c>
      <c r="FN32" s="316">
        <f>IF($E$74=2,Dados!$AE$40,IF($E$74=3,Dados!$AG$40,IF($E$74=4,Dados!$AI$40,IF($E$74=5,Dados!$AK$40,IF($E$74=6,Dados!$AM$40,IF($E$74=7,Dados!$AO$40,IF($E$74=8,Dados!$AS$40,0)))))))</f>
        <v>0</v>
      </c>
      <c r="FO32" s="304">
        <f>IF($E$74=2,Dados!$AF$40,IF($E$74=3,Dados!$AH$40,IF($E$74=4,Dados!$AJ$40,IF($E$74=5,Dados!$AL$40,IF($E$74=6,Dados!$AN$40,IF($E$74=7,Dados!$AP$40,IF($E$74=8,Dados!$AT$40,0)))))))</f>
        <v>0</v>
      </c>
      <c r="FQ32" s="316">
        <f>IF($E$79=2,Dados!$AE$40,IF($E$79=3,Dados!$AG$40,IF($E$79=4,Dados!$AI$40,IF($E$79=5,Dados!$AK$40,IF($E$79=6,Dados!$AM$40,IF($E$79=7,Dados!$AO$40,IF($E$79=8,Dados!$AS$40,0)))))))</f>
        <v>0</v>
      </c>
      <c r="FR32" s="304">
        <f>IF($E$79=2,Dados!$AF$40,IF($E$79=3,Dados!$AH$40,IF($E$79=4,Dados!$AJ$40,IF($E$79=5,Dados!$AL$40,IF($E$79=6,Dados!$AN$40,IF($E$79=7,Dados!$AP$40,IF($E$79=8,Dados!$AT$40,0)))))))</f>
        <v>0</v>
      </c>
      <c r="FS32" s="316">
        <f>IF($E$80=2,Dados!$AE$40,IF($E$80=3,Dados!$AG$40,IF($E$80=4,Dados!$AI$40,IF($E$80=5,Dados!$AK$40,IF($E$80=6,Dados!$AM$40,IF($E$80=7,Dados!$AO$40,IF($E$80=8,Dados!$AS$40,0)))))))</f>
        <v>0</v>
      </c>
      <c r="FT32" s="304">
        <f>IF($E$80=2,Dados!$AF$40,IF($E$80=3,Dados!$AH$40,IF($E$80=4,Dados!$AJ$40,IF($E$80=5,Dados!$AL$40,IF($E$80=6,Dados!$AN$40,IF($E$80=7,Dados!$AP$40,IF($E$80=8,Dados!$AT$40,0)))))))</f>
        <v>0</v>
      </c>
      <c r="FU32" s="316">
        <f>IF($E$81=2,Dados!$AE$40,IF($E$81=3,Dados!$AG$40,IF($E$81=4,Dados!$AI$40,IF($E$81=5,Dados!$AK$40,IF($E$81=6,Dados!$AM$40,IF($E$81=7,Dados!$AO$40,IF($E$81=8,Dados!$AS$40,0)))))))</f>
        <v>0</v>
      </c>
      <c r="FV32" s="304">
        <f>IF($E$81=2,Dados!$AF$40,IF($E$81=3,Dados!$AH$40,IF($E$81=4,Dados!$AJ$40,IF($E$81=5,Dados!$AL$40,IF($E$81=6,Dados!$AN$40,IF($E$81=7,Dados!$AP$40,IF($E$81=8,Dados!$AT$40,0)))))))</f>
        <v>0</v>
      </c>
      <c r="FW32" s="316">
        <f>IF($E$82=2,Dados!$AE$40,IF($E$82=3,Dados!$AG$40,IF($E$82=4,Dados!$AI$40,IF($E$82=5,Dados!$AK$40,IF($E$82=6,Dados!$AM$40,IF($E$82=7,Dados!$AO$40,IF($E$82=8,Dados!$AS$40,0)))))))</f>
        <v>0</v>
      </c>
      <c r="FX32" s="304">
        <f>IF($E$82=2,Dados!$AF$40,IF($E$82=3,Dados!$AH$40,IF($E$82=4,Dados!$AJ$40,IF($E$82=5,Dados!$AL$40,IF($E$82=6,Dados!$AN$40,IF($E$82=7,Dados!$AP$40,IF($E$82=8,Dados!$AT$40,0)))))))</f>
        <v>0</v>
      </c>
      <c r="FY32" s="316">
        <f>IF($E$83=2,Dados!$AE$40,IF($E$83=3,Dados!$AG$40,IF($E$83=4,Dados!$AI$40,IF($E$83=5,Dados!$AK$40,IF($E$83=6,Dados!$AM$40,IF($E$83=7,Dados!$AO$40,IF($E$83=8,Dados!$AS$40,0)))))))</f>
        <v>0</v>
      </c>
      <c r="FZ32" s="304">
        <f>IF($E$83=2,Dados!$AF$40,IF($E$83=3,Dados!$AH$40,IF($E$83=4,Dados!$AJ$40,IF($E$83=5,Dados!$AL$40,IF($E$83=6,Dados!$AN$40,IF($E$83=7,Dados!$AP$40,IF($E$83=8,Dados!$AT$40,0)))))))</f>
        <v>0</v>
      </c>
      <c r="GB32" s="316">
        <f>IF($E$88=2,Dados!$AE$40,IF($E$88=3,Dados!$AG$40,IF($E$88=4,Dados!$AI$40,IF($E$88=5,Dados!$AK$40,IF($E$88=6,Dados!$AM$40,IF($E$88=7,Dados!$AO$40,IF($E$88=8,Dados!$AS$40,0)))))))</f>
        <v>0</v>
      </c>
      <c r="GC32" s="304">
        <f>IF($E$88=2,Dados!$AF$40,IF($E$88=3,Dados!$AH$40,IF($E$88=4,Dados!$AJ$40,IF($E$88=5,Dados!$AL$40,IF($E$88=6,Dados!$AN$40,IF($E$88=7,Dados!$AP$40,IF($E$88=8,Dados!$AT$40,0)))))))</f>
        <v>0</v>
      </c>
      <c r="GD32" s="316">
        <f>IF($E$89=2,Dados!$AE$40,IF($E$89=3,Dados!$AG$40,IF($E$89=4,Dados!$AI$40,IF($E$89=5,Dados!$AK$40,IF($E$89=6,Dados!$AM$40,IF($E$89=7,Dados!$AO$40,IF($E$89=8,Dados!$AS$40,0)))))))</f>
        <v>0</v>
      </c>
      <c r="GE32" s="304">
        <f>IF($E$89=2,Dados!$AF$40,IF($E$89=3,Dados!$AH$40,IF($E$89=4,Dados!$AJ$40,IF($E$89=5,Dados!$AL$40,IF($E$89=6,Dados!$AN$40,IF($E$89=7,Dados!$AP$40,IF($E$89=8,Dados!$AT$40,0)))))))</f>
        <v>0</v>
      </c>
      <c r="GF32" s="316">
        <f>IF($E$90=2,Dados!$AE$40,IF($E$90=3,Dados!$AG$40,IF($E$90=4,Dados!$AI$40,IF($E$90=5,Dados!$AK$40,IF($E$90=6,Dados!$AM$40,IF($E$90=7,Dados!$AO$40,IF($E$90=8,Dados!$AS$40,0)))))))</f>
        <v>0</v>
      </c>
      <c r="GG32" s="304">
        <f>IF($E$90=2,Dados!$AF$40,IF($E$90=3,Dados!$AH$40,IF($E$90=4,Dados!$AJ$40,IF($E$90=5,Dados!$AL$40,IF($E$90=6,Dados!$AN$40,IF($E$90=7,Dados!$AP$40,IF($E$90=8,Dados!$AT$40,0)))))))</f>
        <v>0</v>
      </c>
      <c r="GH32" s="316">
        <f>IF($E$91=2,Dados!$AE$40,IF($E$91=3,Dados!$AG$40,IF($E$91=4,Dados!$AI$40,IF($E$91=5,Dados!$AK$40,IF($E$91=6,Dados!$AM$40,IF($E$91=7,Dados!$AO$40,IF($E$91=8,Dados!$AS$40,0)))))))</f>
        <v>0</v>
      </c>
      <c r="GI32" s="304">
        <f>IF($E$91=2,Dados!$AF$40,IF($E$91=3,Dados!$AH$40,IF($E$91=4,Dados!$AJ$40,IF($E$91=5,Dados!$AL$40,IF($E$91=6,Dados!$AN$40,IF($E$91=7,Dados!$AP$40,IF($E$91=8,Dados!$AT$40,0)))))))</f>
        <v>0</v>
      </c>
      <c r="GJ32" s="316">
        <f>IF($E$92=2,Dados!$AE$40,IF($E$92=3,Dados!$AG$40,IF($E$92=4,Dados!$AI$40,IF($E$92=5,Dados!$AK$40,IF($E$92=6,Dados!$AM$40,IF($E$92=7,Dados!$AO$40,IF($E$92=8,Dados!$AS$40,0)))))))</f>
        <v>0</v>
      </c>
      <c r="GK32" s="304">
        <f>IF($E$92=2,Dados!$AF$40,IF($E$92=3,Dados!$AH$40,IF($E$92=4,Dados!$AJ$40,IF($E$92=5,Dados!$AL$40,IF($E$92=6,Dados!$AN$40,IF($E$92=7,Dados!$AP$40,IF($E$92=8,Dados!$AT$40,0)))))))</f>
        <v>0</v>
      </c>
      <c r="GM32" s="316">
        <f>IF($E$97=2,Dados!$AE$40,IF($E$97=3,Dados!$AG$40,IF($E$97=4,Dados!$AI$40,IF($E$97=5,Dados!$AK$40,IF($E$97=6,Dados!$AM$40,IF($E$97=7,Dados!$AO$40,IF($E$97=8,Dados!$AS$40,0)))))))</f>
        <v>0</v>
      </c>
      <c r="GN32" s="304">
        <f>IF($E$97=2,Dados!$AF$40,IF($E$97=3,Dados!$AH$40,IF($E$97=4,Dados!$AJ$40,IF($E$97=5,Dados!$AL$40,IF($E$97=6,Dados!$AN$40,IF($E$97=7,Dados!$AP$40,IF($E$97=8,Dados!$AT$40,0)))))))</f>
        <v>0</v>
      </c>
      <c r="GO32" s="316">
        <f>IF($E$98=2,Dados!$AE$40,IF($E$98=3,Dados!$AG$40,IF($E$98=4,Dados!$AI$40,IF($E$98=5,Dados!$AK$40,IF($E$98=6,Dados!$AM$40,IF($E$98=7,Dados!$AO$40,IF($E$98=8,Dados!$AS$40,0)))))))</f>
        <v>0</v>
      </c>
      <c r="GP32" s="304">
        <f>IF($E$98=2,Dados!$AF$40,IF($E$98=3,Dados!$AH$40,IF($E$98=4,Dados!$AJ$40,IF($E$98=5,Dados!$AL$40,IF($E$98=6,Dados!$AN$40,IF($E$98=7,Dados!$AP$40,IF($E$98=8,Dados!$AT$40,0)))))))</f>
        <v>0</v>
      </c>
      <c r="GQ32" s="316">
        <f>IF($E$99=2,Dados!$AE$40,IF($E$99=3,Dados!$AG$40,IF($E$99=4,Dados!$AI$40,IF($E$99=5,Dados!$AK$40,IF($E$99=6,Dados!$AM$40,IF($E$99=7,Dados!$AO$40,IF($E$99=8,Dados!$AS$40,0)))))))</f>
        <v>0</v>
      </c>
      <c r="GR32" s="304">
        <f>IF($E$99=2,Dados!$AF$40,IF($E$99=3,Dados!$AH$40,IF($E$99=4,Dados!$AJ$40,IF($E$99=5,Dados!$AL$40,IF($E$99=6,Dados!$AN$40,IF($E$99=7,Dados!$AP$40,IF($E$99=8,Dados!$AT$40,0)))))))</f>
        <v>0</v>
      </c>
      <c r="GS32" s="316">
        <f>IF($E$100=2,Dados!$AE$40,IF($E$100=3,Dados!$AG$40,IF($E$100=4,Dados!$AI$40,IF($E$100=5,Dados!$AK$40,IF($E$100=6,Dados!$AM$40,IF($E$100=7,Dados!$AO$40,IF($E$100=8,Dados!$AS$40,0)))))))</f>
        <v>0</v>
      </c>
      <c r="GT32" s="304">
        <f>IF($E$100=2,Dados!$AF$40,IF($E$100=3,Dados!$AH$40,IF($E$100=4,Dados!$AJ$40,IF($E$100=5,Dados!$AL$40,IF($E$100=6,Dados!$AN$40,IF($E$100=7,Dados!$AP$40,IF($E$100=8,Dados!$AT$40,0)))))))</f>
        <v>0</v>
      </c>
      <c r="GU32" s="316">
        <f>IF($E$101=2,Dados!$AE$40,IF($E$101=3,Dados!$AG$40,IF($E$101=4,Dados!$AI$40,IF($E$101=5,Dados!$AK$40,IF($E$101=6,Dados!$AM$40,IF($E$101=7,Dados!$AO$40,IF($E$101=8,Dados!$AS$40,0)))))))</f>
        <v>0</v>
      </c>
      <c r="GV32" s="304">
        <f>IF($E$101=2,Dados!$AF$40,IF($E$101=3,Dados!$AH$40,IF($E$101=4,Dados!$AJ$40,IF($E$101=5,Dados!$AL$40,IF($E$101=6,Dados!$AN$40,IF($E$101=7,Dados!$AP$40,IF($E$101=8,Dados!$AT$40,0)))))))</f>
        <v>0</v>
      </c>
      <c r="GX32" s="316">
        <f>IF($E$106=2,Dados!$AE$40,IF($E$106=3,Dados!$AG$40,IF($E$106=4,Dados!$AI$40,IF($E$106=5,Dados!$AK$40,IF($E$106=6,Dados!$AM$40,IF($E$106=7,Dados!$AO$40,IF($E$106=8,Dados!$AS$40,0)))))))</f>
        <v>0</v>
      </c>
      <c r="GY32" s="304">
        <f>IF($E$106=2,Dados!$AF$40,IF($E$106=3,Dados!$AH$40,IF($E$106=4,Dados!$AJ$40,IF($E$106=5,Dados!$AL$40,IF($E$106=6,Dados!$AN$40,IF($E$106=7,Dados!$AP$40,IF($E$106=8,Dados!$AT$40,0)))))))</f>
        <v>0</v>
      </c>
      <c r="GZ32" s="316">
        <f>IF($E$107=2,Dados!$AE$40,IF($E$107=3,Dados!$AG$40,IF($E$107=4,Dados!$AI$40,IF($E$107=5,Dados!$AK$40,IF($E$107=6,Dados!$AM$40,IF($E$107=7,Dados!$AO$40,IF($E$107=8,Dados!$AS$40,0)))))))</f>
        <v>0</v>
      </c>
      <c r="HA32" s="304">
        <f>IF($E$107=2,Dados!$AF$40,IF($E$107=3,Dados!$AH$40,IF($E$107=4,Dados!$AJ$40,IF($E$107=5,Dados!$AL$40,IF($E$107=6,Dados!$AN$40,IF($E$107=7,Dados!$AP$40,IF($E$107=8,Dados!$AT$40,0)))))))</f>
        <v>0</v>
      </c>
      <c r="HB32" s="316">
        <f>IF($E$108=2,Dados!$AE$40,IF($E$108=3,Dados!$AG$40,IF($E$108=4,Dados!$AI$40,IF($E$108=5,Dados!$AK$40,IF($E$108=6,Dados!$AM$40,IF($E$108=7,Dados!$AO$40,IF($E$108=8,Dados!$AS$40,0)))))))</f>
        <v>0</v>
      </c>
      <c r="HC32" s="304">
        <f>IF($E$108=2,Dados!$AF$40,IF($E$108=3,Dados!$AH$40,IF($E$108=4,Dados!$AJ$40,IF($E$108=5,Dados!$AL$40,IF($E$108=6,Dados!$AN$40,IF($E$108=7,Dados!$AP$40,IF($E$108=8,Dados!$AT$40,0)))))))</f>
        <v>0</v>
      </c>
      <c r="HD32" s="316">
        <f>IF($E$109=2,Dados!$AE$40,IF($E$109=3,Dados!$AG$40,IF($E$109=4,Dados!$AI$40,IF($E$109=5,Dados!$AK$40,IF($E$109=6,Dados!$AM$40,IF($E$109=7,Dados!$AO$40,IF($E$109=8,Dados!$AS$40,0)))))))</f>
        <v>0</v>
      </c>
      <c r="HE32" s="304">
        <f>IF($E$109=2,Dados!$AF$40,IF($E$109=3,Dados!$AH$40,IF($E$109=4,Dados!$AJ$40,IF($E$109=5,Dados!$AL$40,IF($E$109=6,Dados!$AN$40,IF($E$109=7,Dados!$AP$40,IF($E$109=8,Dados!$AT$40,0)))))))</f>
        <v>0</v>
      </c>
      <c r="HF32" s="316">
        <f>IF($E$110=2,Dados!$AE$40,IF($E$110=3,Dados!$AG$40,IF($E$110=4,Dados!$AI$40,IF($E$110=5,Dados!$AK$40,IF($E$110=6,Dados!$AM$40,IF($E$110=7,Dados!$AO$40,IF($E$110=8,Dados!$AS$40,0)))))))</f>
        <v>0</v>
      </c>
      <c r="HG32" s="304">
        <f>IF($E$110=2,Dados!$AF$40,IF($E$110=3,Dados!$AH$40,IF($E$110=4,Dados!$AJ$40,IF($E$110=5,Dados!$AL$40,IF($E$110=6,Dados!$AN$40,IF($E$110=7,Dados!$AP$40,IF($E$110=8,Dados!$AT$40,0)))))))</f>
        <v>0</v>
      </c>
    </row>
    <row r="33" spans="3:215" x14ac:dyDescent="0.2">
      <c r="D33" s="99" t="s">
        <v>509</v>
      </c>
      <c r="E33" s="116" t="s">
        <v>39</v>
      </c>
      <c r="F33" s="2630" t="s">
        <v>79</v>
      </c>
      <c r="G33" s="2631"/>
      <c r="H33" s="117" t="s">
        <v>637</v>
      </c>
      <c r="I33" s="99" t="s">
        <v>42</v>
      </c>
      <c r="J33" s="117" t="s">
        <v>431</v>
      </c>
      <c r="K33" s="117" t="s">
        <v>432</v>
      </c>
      <c r="L33" s="117" t="s">
        <v>518</v>
      </c>
      <c r="M33" s="117" t="s">
        <v>433</v>
      </c>
      <c r="N33" s="99" t="s">
        <v>426</v>
      </c>
      <c r="O33" s="98" t="s">
        <v>417</v>
      </c>
      <c r="P33" s="99" t="s">
        <v>418</v>
      </c>
      <c r="Q33" s="99" t="s">
        <v>434</v>
      </c>
      <c r="R33" s="99" t="s">
        <v>301</v>
      </c>
      <c r="S33" s="99" t="s">
        <v>436</v>
      </c>
      <c r="T33" s="98" t="s">
        <v>411</v>
      </c>
      <c r="U33" s="99" t="s">
        <v>412</v>
      </c>
      <c r="V33" s="99" t="s">
        <v>435</v>
      </c>
      <c r="W33" s="99" t="s">
        <v>437</v>
      </c>
      <c r="X33" s="99" t="s">
        <v>292</v>
      </c>
      <c r="Y33" s="99" t="s">
        <v>80</v>
      </c>
      <c r="Z33" s="99" t="s">
        <v>1247</v>
      </c>
      <c r="AX33" s="287">
        <v>1</v>
      </c>
      <c r="AY33" s="287">
        <v>2</v>
      </c>
      <c r="AZ33" s="287">
        <v>3</v>
      </c>
      <c r="BA33" s="287">
        <v>4</v>
      </c>
      <c r="BB33" s="287">
        <v>5</v>
      </c>
      <c r="BC33" s="288" t="s">
        <v>2</v>
      </c>
      <c r="CF33" s="93">
        <v>28</v>
      </c>
      <c r="CG33" s="316">
        <f>IF($E$7=2,Dados!$AE$41,IF($E$7=3,Dados!$AG$41,IF($E$7=4,Dados!$AI$41,IF($E$7=5,Dados!$AK$41,IF($E$7=6,Dados!$AM$41,IF($E$7=7,Dados!$AO$41,IF($E$7=8,Dados!$AS$41,0)))))))</f>
        <v>0</v>
      </c>
      <c r="CH33" s="304">
        <f>IF($E$7=2,Dados!$AF$41,IF($E$7=3,Dados!$AH$41,IF($E$7=4,Dados!$AJ$41,IF($E$7=5,Dados!$AL$41,IF($E$7=6,Dados!$AN$41,IF($E$7=7,Dados!$AP$41,IF($E$7=8,Dados!$AT$41,0)))))))</f>
        <v>0</v>
      </c>
      <c r="CI33" s="316">
        <f>IF($E$8=2,Dados!$AE$41,IF($E$8=3,Dados!$AG$41,IF($E$8=4,Dados!$AI$41,IF($E$8=5,Dados!$AK$41,IF($E$8=6,Dados!$AM$41,IF($E$8=7,Dados!$AO$41,IF($E$8=8,Dados!$AS$41,0)))))))</f>
        <v>0</v>
      </c>
      <c r="CJ33" s="304">
        <f>IF($E$8=2,Dados!$AF$41,IF($E$8=3,Dados!$AH$41,IF($E$8=4,Dados!$AJ$41,IF($E$8=5,Dados!$AL$41,IF($E$8=6,Dados!$AN$41,IF($E$8=7,Dados!$AP$41,IF($E$8=8,Dados!$AT$41,0)))))))</f>
        <v>0</v>
      </c>
      <c r="CK33" s="316">
        <f>IF($E$9=2,Dados!$AE$41,IF($E$9=3,Dados!$AG$41,IF($E$9=4,Dados!$AI$41,IF($E$9=5,Dados!$AK$41,IF($E$9=6,Dados!$AM$41,IF($E$9=7,Dados!$AO$41,IF($E$9=8,Dados!$AS$41,0)))))))</f>
        <v>0</v>
      </c>
      <c r="CL33" s="304">
        <f>IF($E$9=2,Dados!$AF$41,IF($E$9=3,Dados!$AH$41,IF($E$9=4,Dados!$AJ$41,IF($E$9=5,Dados!$AL$41,IF($E$9=6,Dados!$AN$41,IF($E$9=7,Dados!$AP$41,IF($E$9=8,Dados!$AT$41,0)))))))</f>
        <v>0</v>
      </c>
      <c r="CM33" s="316">
        <f>IF($E$10=2,Dados!$AE$41,IF($E$10=3,Dados!$AG$41,IF($E$10=4,Dados!$AI$41,IF($E$10=5,Dados!$AK$41,IF($E$10=6,Dados!$AM$41,IF($E$10=7,Dados!$AO$41,IF($E$10=8,Dados!$AS$41,0)))))))</f>
        <v>0</v>
      </c>
      <c r="CN33" s="304">
        <f>IF($E$10=2,Dados!$AF$41,IF($E$10=3,Dados!$AH$41,IF($E$10=4,Dados!$AJ$41,IF($E$10=5,Dados!$AL$41,IF($E$10=6,Dados!$AN$41,IF($E$10=7,Dados!$AP$41,IF($E$10=8,Dados!$AT$41,0)))))))</f>
        <v>0</v>
      </c>
      <c r="CO33" s="316">
        <f>IF($E$11=2,Dados!$AE$41,IF($E$11=3,Dados!$AG$41,IF($E$11=4,Dados!$AI$41,IF($E$11=5,Dados!$AK$41,IF($E$11=6,Dados!$AM$41,IF($E$11=7,Dados!$AO$41,IF($E$11=8,Dados!$AS$41,0)))))))</f>
        <v>0</v>
      </c>
      <c r="CP33" s="304">
        <f>IF($E$11=2,Dados!$AF$41,IF($E$11=3,Dados!$AH$41,IF($E$11=4,Dados!$AJ$41,IF($E$11=5,Dados!$AL$41,IF($E$11=6,Dados!$AN$41,IF($E$11=7,Dados!$AP$41,IF($E$11=8,Dados!$AT$41,0)))))))</f>
        <v>0</v>
      </c>
      <c r="CR33" s="316">
        <f>IF($E$16=2,Dados!$AE$41,IF($E$16=3,Dados!$AG$41,IF($E$16=4,Dados!$AI$41,IF($E$16=5,Dados!$AK$41,IF($E$16=6,Dados!$AM$41,IF($E$16=7,Dados!$AO$41,IF($E$16=8,Dados!$AS$41,0)))))))</f>
        <v>0</v>
      </c>
      <c r="CS33" s="304">
        <f>IF($E$16=2,Dados!$AF$41,IF($E$16=3,Dados!$AH$41,IF($E$16=4,Dados!$AJ$41,IF($E$16=5,Dados!$AL$41,IF($E$16=6,Dados!$AN$41,IF($E$16=7,Dados!$AP$41,IF($E$16=8,Dados!$AT$41,0)))))))</f>
        <v>0</v>
      </c>
      <c r="CT33" s="316">
        <f>IF($E$17=2,Dados!$AE$41,IF($E$17=3,Dados!$AG$41,IF($E$17=4,Dados!$AI$41,IF($E$17=5,Dados!$AK$41,IF($E$17=6,Dados!$AM$41,IF($E$17=7,Dados!$AO$41,IF($E$17=8,Dados!$AS$41,0)))))))</f>
        <v>0</v>
      </c>
      <c r="CU33" s="304">
        <f>IF($E$17=2,Dados!$AF$41,IF($E$17=3,Dados!$AH$41,IF($E$17=4,Dados!$AJ$41,IF($E$17=5,Dados!$AL$41,IF($E$17=6,Dados!$AN$41,IF($E$17=7,Dados!$AP$41,IF($E$17=8,Dados!$AT$41,0)))))))</f>
        <v>0</v>
      </c>
      <c r="CV33" s="316">
        <f>IF($E$18=2,Dados!$AE$41,IF($E$18=3,Dados!$AG$41,IF($E$18=4,Dados!$AI$41,IF($E$18=5,Dados!$AK$41,IF($E$18=6,Dados!$AM$41,IF($E$18=7,Dados!$AO$41,IF($E$18=8,Dados!$AS$41,0)))))))</f>
        <v>0</v>
      </c>
      <c r="CW33" s="304">
        <f>IF($E$18=2,Dados!$AF$41,IF($E$18=3,Dados!$AH$41,IF($E$18=4,Dados!$AJ$41,IF($E$18=5,Dados!$AL$41,IF($E$18=6,Dados!$AN$41,IF($E$18=7,Dados!$AP$41,IF($E$18=8,Dados!$AT$41,0)))))))</f>
        <v>0</v>
      </c>
      <c r="CX33" s="316">
        <f>IF($E$19=2,Dados!$AE$41,IF($E$19=3,Dados!$AG$41,IF($E$19=4,Dados!$AI$41,IF($E$19=5,Dados!$AK$41,IF($E$19=6,Dados!$AM$41,IF($E$19=7,Dados!$AO$41,IF($E$19=8,Dados!$AS$41,0)))))))</f>
        <v>0</v>
      </c>
      <c r="CY33" s="304">
        <f>IF($E$19=2,Dados!$AF$41,IF($E$19=3,Dados!$AH$41,IF($E$19=4,Dados!$AJ$41,IF($E$19=5,Dados!$AL$41,IF($E$19=6,Dados!$AN$41,IF($E$19=7,Dados!$AP$41,IF($E$19=8,Dados!$AT$41,0)))))))</f>
        <v>0</v>
      </c>
      <c r="CZ33" s="316">
        <f>IF($E$20=2,Dados!$AE$41,IF($E$20=3,Dados!$AG$41,IF($E$20=4,Dados!$AI$41,IF($E$20=5,Dados!$AK$41,IF($E$20=6,Dados!$AM$41,IF($E$20=7,Dados!$AO$41,IF($E$20=8,Dados!$AS$41,0)))))))</f>
        <v>0</v>
      </c>
      <c r="DA33" s="304">
        <f>IF($E$20=2,Dados!$AF$41,IF($E$20=3,Dados!$AH$41,IF($E$20=4,Dados!$AJ$41,IF($E$20=5,Dados!$AL$41,IF($E$20=6,Dados!$AN$41,IF($E$20=7,Dados!$AP$41,IF($E$20=8,Dados!$AT$41,0)))))))</f>
        <v>0</v>
      </c>
      <c r="DC33" s="316">
        <f>IF($E$25=2,Dados!$AE$41,IF($E$25=3,Dados!$AG$41,IF($E$25=4,Dados!$AI$41,IF($E$25=5,Dados!$AK$41,IF($E$25=6,Dados!$AM$41,IF($E$25=7,Dados!$AO$41,IF($E$25=8,Dados!$AS$41,0)))))))</f>
        <v>0</v>
      </c>
      <c r="DD33" s="304">
        <f>IF($E$25=2,Dados!$AF$41,IF($E$25=3,Dados!$AH$41,IF($E$25=4,Dados!$AJ$41,IF($E$25=5,Dados!$AL$41,IF($E$25=6,Dados!$AN$41,IF($E$25=7,Dados!$AP$41,IF($E$25=8,Dados!$AT$41,0)))))))</f>
        <v>0</v>
      </c>
      <c r="DE33" s="316">
        <f>IF($E$26=2,Dados!$AE$41,IF($E$26=3,Dados!$AG$41,IF($E$26=4,Dados!$AI$41,IF($E$26=5,Dados!$AK$41,IF($E$26=6,Dados!$AM$41,IF($E$26=7,Dados!$AO$41,IF($E$26=8,Dados!$AS$41,0)))))))</f>
        <v>0</v>
      </c>
      <c r="DF33" s="304">
        <f>IF($E$26=2,Dados!$AF$41,IF($E$26=3,Dados!$AH$41,IF($E$26=4,Dados!$AJ$41,IF($E$26=5,Dados!$AL$41,IF($E$26=6,Dados!$AN$41,IF($E$26=7,Dados!$AP$41,IF($E$26=8,Dados!$AT$41,0)))))))</f>
        <v>0</v>
      </c>
      <c r="DG33" s="316">
        <f>IF($E$27=2,Dados!$AE$41,IF($E$27=3,Dados!$AG$41,IF($E$27=4,Dados!$AI$41,IF($E$27=5,Dados!$AK$41,IF($E$27=6,Dados!$AM$41,IF($E$27=7,Dados!$AO$41,IF($E$27=8,Dados!$AS$41,0)))))))</f>
        <v>0</v>
      </c>
      <c r="DH33" s="304">
        <f>IF($E$27=2,Dados!$AF$41,IF($E$27=3,Dados!$AH$41,IF($E$27=4,Dados!$AJ$41,IF($E$27=5,Dados!$AL$41,IF($E$27=6,Dados!$AN$41,IF($E$27=7,Dados!$AP$41,IF($E$27=8,Dados!$AT$41,0)))))))</f>
        <v>0</v>
      </c>
      <c r="DI33" s="316">
        <f>IF($E$28=2,Dados!$AE$41,IF($E$28=3,Dados!$AG$41,IF($E$28=4,Dados!$AI$41,IF($E$28=5,Dados!$AK$41,IF($E$28=6,Dados!$AM$41,IF($E$28=7,Dados!$AO$41,IF($E$28=8,Dados!$AS$41,0)))))))</f>
        <v>0</v>
      </c>
      <c r="DJ33" s="304">
        <f>IF($E$28=2,Dados!$AF$41,IF($E$28=3,Dados!$AH$41,IF($E$28=4,Dados!$AJ$41,IF($E$28=5,Dados!$AL$41,IF($E$28=6,Dados!$AN$41,IF($E$28=7,Dados!$AP$41,IF($E$28=8,Dados!$AT$41,0)))))))</f>
        <v>0</v>
      </c>
      <c r="DK33" s="316">
        <f>IF($E$29=2,Dados!$AE$41,IF($E$29=3,Dados!$AG$41,IF($E$29=4,Dados!$AI$41,IF($E$29=5,Dados!$AK$41,IF($E$29=6,Dados!$AM$41,IF($E$29=7,Dados!$AO$41,IF($E$29=8,Dados!$AS$41,0)))))))</f>
        <v>0</v>
      </c>
      <c r="DL33" s="304">
        <f>IF($E$29=2,Dados!$AF$41,IF($E$29=3,Dados!$AH$41,IF($E$29=4,Dados!$AJ$41,IF($E$29=5,Dados!$AL$41,IF($E$29=6,Dados!$AN$41,IF($E$29=7,Dados!$AP$41,IF($E$29=8,Dados!$AT$41,0)))))))</f>
        <v>0</v>
      </c>
      <c r="DN33" s="316">
        <f>IF($E$34=2,Dados!$AE$41,IF($E$34=3,Dados!$AG$41,IF($E$34=4,Dados!$AI$41,IF($E$34=5,Dados!$AK$41,IF($E$34=6,Dados!$AM$41,IF($E$34=7,Dados!$AO$41,IF($E$34=8,Dados!$AS$41,0)))))))</f>
        <v>0</v>
      </c>
      <c r="DO33" s="304">
        <f>IF($E$34=2,Dados!$AF$41,IF($E$34=3,Dados!$AH$41,IF($E$34=4,Dados!$AJ$41,IF($E$34=5,Dados!$AL$41,IF($E$34=6,Dados!$AN$41,IF($E$34=7,Dados!$AP$41,IF($E$34=8,Dados!$AT$41,0)))))))</f>
        <v>0</v>
      </c>
      <c r="DP33" s="316">
        <f>IF($E$35=2,Dados!$AE$41,IF($E$35=3,Dados!$AG$41,IF($E$35=4,Dados!$AI$41,IF($E$35=5,Dados!$AK$41,IF($E$35=6,Dados!$AM$41,IF($E$35=7,Dados!$AO$41,IF($E$35=8,Dados!$AS$41,0)))))))</f>
        <v>0</v>
      </c>
      <c r="DQ33" s="304">
        <f>IF($E$35=2,Dados!$AF$41,IF($E$35=3,Dados!$AH$41,IF($E$35=4,Dados!$AJ$41,IF($E$35=5,Dados!$AL$41,IF($E$35=6,Dados!$AN$41,IF($E$35=7,Dados!$AP$41,IF($E$35=8,Dados!$AT$41,0)))))))</f>
        <v>0</v>
      </c>
      <c r="DR33" s="316">
        <f>IF($E$36=2,Dados!$AE$41,IF($E$36=3,Dados!$AG$41,IF($E$36=4,Dados!$AI$41,IF($E$36=5,Dados!$AK$41,IF($E$36=6,Dados!$AM$41,IF($E$36=7,Dados!$AO$41,IF($E$36=8,Dados!$AS$41,0)))))))</f>
        <v>0</v>
      </c>
      <c r="DS33" s="304">
        <f>IF($E$36=2,Dados!$AF$41,IF($E$36=3,Dados!$AH$41,IF($E$36=4,Dados!$AJ$41,IF($E$36=5,Dados!$AL$41,IF($E$36=6,Dados!$AN$41,IF($E$36=7,Dados!$AP$41,IF($E$36=8,Dados!$AT$41,0)))))))</f>
        <v>0</v>
      </c>
      <c r="DT33" s="316">
        <f>IF($E$37=2,Dados!$AE$41,IF($E$37=3,Dados!$AG$41,IF($E$37=4,Dados!$AI$41,IF($E$37=5,Dados!$AK$41,IF($E$37=6,Dados!$AM$41,IF($E$37=7,Dados!$AO$41,IF($E$37=8,Dados!$AS$41,0)))))))</f>
        <v>0</v>
      </c>
      <c r="DU33" s="304">
        <f>IF($E$37=2,Dados!$AF$41,IF($E$37=3,Dados!$AH$41,IF($E$37=4,Dados!$AJ$41,IF($E$37=5,Dados!$AL$41,IF($E$37=6,Dados!$AN$41,IF($E$37=7,Dados!$AP$41,IF($E$37=8,Dados!$AT$41,0)))))))</f>
        <v>0</v>
      </c>
      <c r="DV33" s="316">
        <f>IF($E$38=2,Dados!$AE$41,IF($E$38=3,Dados!$AG$41,IF($E$38=4,Dados!$AI$41,IF($E$38=5,Dados!$AK$41,IF($E$38=6,Dados!$AM$41,IF($E$38=7,Dados!$AO$41,IF($E$38=8,Dados!$AS$41,0)))))))</f>
        <v>0</v>
      </c>
      <c r="DW33" s="304">
        <f>IF($E$38=2,Dados!$AF$41,IF($E$38=3,Dados!$AH$41,IF($E$38=4,Dados!$AJ$41,IF($E$38=5,Dados!$AL$41,IF($E$38=6,Dados!$AN$41,IF($E$38=7,Dados!$AP$41,IF($E$38=8,Dados!$AT$41,0)))))))</f>
        <v>0</v>
      </c>
      <c r="DY33" s="316">
        <f>IF($E$43=2,Dados!$AE$41,IF($E$43=3,Dados!$AG$41,IF($E$43=4,Dados!$AI$41,IF($E$43=5,Dados!$AK$41,IF($E$43=6,Dados!$AM$41,IF($E$43=7,Dados!$AO$41,IF($E$43=8,Dados!$AS$41,0)))))))</f>
        <v>0</v>
      </c>
      <c r="DZ33" s="304">
        <f>IF($E$43=2,Dados!$AF$41,IF($E$43=3,Dados!$AH$41,IF($E$43=4,Dados!$AJ$41,IF($E$43=5,Dados!$AL$41,IF($E$43=6,Dados!$AN$41,IF($E$43=7,Dados!$AP$41,IF($E$43=8,Dados!$AT$41,0)))))))</f>
        <v>0</v>
      </c>
      <c r="EA33" s="316">
        <f>IF($E$44=2,Dados!$AE$41,IF($E$44=3,Dados!$AG$41,IF($E$44=4,Dados!$AI$41,IF($E$44=5,Dados!$AK$41,IF($E$44=6,Dados!$AM$41,IF($E$44=7,Dados!$AO$41,IF($E$44=8,Dados!$AS$41,0)))))))</f>
        <v>0</v>
      </c>
      <c r="EB33" s="304">
        <f>IF($E$44=2,Dados!$AF$41,IF($E$44=3,Dados!$AH$41,IF($E$44=4,Dados!$AJ$41,IF($E$44=5,Dados!$AL$41,IF($E$44=6,Dados!$AN$41,IF($E$44=7,Dados!$AP$41,IF($E$44=8,Dados!$AT$41,0)))))))</f>
        <v>0</v>
      </c>
      <c r="EC33" s="316">
        <f>IF($E$45=2,Dados!$AE$41,IF($E$45=3,Dados!$AG$41,IF($E$45=4,Dados!$AI$41,IF($E$45=5,Dados!$AK$41,IF($E$45=6,Dados!$AM$41,IF($E$45=7,Dados!$AO$41,IF($E$45=8,Dados!$AS$41,0)))))))</f>
        <v>0</v>
      </c>
      <c r="ED33" s="304">
        <f>IF($E$45=2,Dados!$AF$41,IF($E$45=3,Dados!$AH$41,IF($E$45=4,Dados!$AJ$41,IF($E$45=5,Dados!$AL$41,IF($E$45=6,Dados!$AN$41,IF($E$45=7,Dados!$AP$41,IF($E$45=8,Dados!$AT$41,0)))))))</f>
        <v>0</v>
      </c>
      <c r="EE33" s="316">
        <f>IF($E$46=2,Dados!$AE$41,IF($E$46=3,Dados!$AG$41,IF($E$46=4,Dados!$AI$41,IF($E$46=5,Dados!$AK$41,IF($E$46=6,Dados!$AM$41,IF($E$46=7,Dados!$AO$41,IF($E$46=8,Dados!$AS$41,0)))))))</f>
        <v>0</v>
      </c>
      <c r="EF33" s="304">
        <f>IF($E$46=2,Dados!$AF$41,IF($E$46=3,Dados!$AH$41,IF($E$46=4,Dados!$AJ$41,IF($E$46=5,Dados!$AL$41,IF($E$46=6,Dados!$AN$41,IF($E$46=7,Dados!$AP$41,IF($E$46=8,Dados!$AT$41,0)))))))</f>
        <v>0</v>
      </c>
      <c r="EG33" s="316">
        <f>IF($E$47=2,Dados!$AE$41,IF($E$47=3,Dados!$AG$41,IF($E$47=4,Dados!$AI$41,IF($E$47=5,Dados!$AK$41,IF($E$47=6,Dados!$AM$41,IF($E$47=7,Dados!$AO$41,IF($E$47=8,Dados!$AS$41,0)))))))</f>
        <v>0</v>
      </c>
      <c r="EH33" s="304">
        <f>IF($E$47=2,Dados!$AF$41,IF($E$47=3,Dados!$AH$41,IF($E$47=4,Dados!$AJ$41,IF($E$47=5,Dados!$AL$41,IF($E$47=6,Dados!$AN$41,IF($E$47=7,Dados!$AP$41,IF($E$47=8,Dados!$AT$41,0)))))))</f>
        <v>0</v>
      </c>
      <c r="EJ33" s="316">
        <f>IF($E$52=2,Dados!$AE$41,IF($E$52=3,Dados!$AG$41,IF($E$52=4,Dados!$AI$41,IF($E$52=5,Dados!$AK$41,IF($E$52=6,Dados!$AM$41,IF($E$52=7,Dados!$AO$41,IF($E$52=8,Dados!$AS$41,0)))))))</f>
        <v>0</v>
      </c>
      <c r="EK33" s="304">
        <f>IF($E$52=2,Dados!$AF$41,IF($E$52=3,Dados!$AH$41,IF($E$52=4,Dados!$AJ$41,IF($E$52=5,Dados!$AL$41,IF($E$52=6,Dados!$AN$41,IF($E$52=7,Dados!$AP$41,IF($E$52=8,Dados!$AT$41,0)))))))</f>
        <v>0</v>
      </c>
      <c r="EL33" s="316">
        <f>IF($E$53=2,Dados!$AE$41,IF($E$53=3,Dados!$AG$41,IF($E$53=4,Dados!$AI$41,IF($E$53=5,Dados!$AK$41,IF($E$53=6,Dados!$AM$41,IF($E$53=7,Dados!$AO$41,IF($E$53=8,Dados!$AS$41,0)))))))</f>
        <v>0</v>
      </c>
      <c r="EM33" s="304">
        <f>IF($E$53=2,Dados!$AF$41,IF($E$53=3,Dados!$AH$41,IF($E$53=4,Dados!$AJ$41,IF($E$53=5,Dados!$AL$41,IF($E$53=6,Dados!$AN$41,IF($E$53=7,Dados!$AP$41,IF($E$53=8,Dados!$AT$41,0)))))))</f>
        <v>0</v>
      </c>
      <c r="EN33" s="316">
        <f>IF($E$54=2,Dados!$AE$41,IF($E$54=3,Dados!$AG$41,IF($E$54=4,Dados!$AI$41,IF($E$54=5,Dados!$AK$41,IF($E$54=6,Dados!$AM$41,IF($E$54=7,Dados!$AO$41,IF($E$54=8,Dados!$AS$41,0)))))))</f>
        <v>0</v>
      </c>
      <c r="EO33" s="304">
        <f>IF($E$54=2,Dados!$AF$41,IF($E$54=3,Dados!$AH$41,IF($E$54=4,Dados!$AJ$41,IF($E$54=5,Dados!$AL$41,IF($E$54=6,Dados!$AN$41,IF($E$54=7,Dados!$AP$41,IF($E$54=8,Dados!$AT$41,0)))))))</f>
        <v>0</v>
      </c>
      <c r="EP33" s="316">
        <f>IF($E$55=2,Dados!$AE$41,IF($E$55=3,Dados!$AG$41,IF($E$55=4,Dados!$AI$41,IF($E$55=5,Dados!$AK$41,IF($E$55=6,Dados!$AM$41,IF($E$55=7,Dados!$AO$41,IF($E$55=8,Dados!$AS$41,0)))))))</f>
        <v>0</v>
      </c>
      <c r="EQ33" s="304">
        <f>IF($E$55=2,Dados!$AF$41,IF($E$55=3,Dados!$AH$41,IF($E$55=4,Dados!$AJ$41,IF($E$55=5,Dados!$AL$41,IF($E$55=6,Dados!$AN$41,IF($E$55=7,Dados!$AP$41,IF($E$55=8,Dados!$AT$41,0)))))))</f>
        <v>0</v>
      </c>
      <c r="ER33" s="316">
        <f>IF($E$56=2,Dados!$AE$41,IF($E$56=3,Dados!$AG$41,IF($E$56=4,Dados!$AI$41,IF($E$56=5,Dados!$AK$41,IF($E$56=6,Dados!$AM$41,IF($E$56=7,Dados!$AO$41,IF($E$56=8,Dados!$AS$41,0)))))))</f>
        <v>0</v>
      </c>
      <c r="ES33" s="304">
        <f>IF($E$56=2,Dados!$AF$41,IF($E$56=3,Dados!$AH$41,IF($E$56=4,Dados!$AJ$41,IF($E$56=5,Dados!$AL$41,IF($E$56=6,Dados!$AN$41,IF($E$56=7,Dados!$AP$41,IF($E$56=8,Dados!$AT$41,0)))))))</f>
        <v>0</v>
      </c>
      <c r="EU33" s="316">
        <f>IF($E$61=2,Dados!$AE$41,IF($E$61=3,Dados!$AG$41,IF($E$61=4,Dados!$AI$41,IF($E$61=5,Dados!$AK$41,IF($E$61=6,Dados!$AM$41,IF($E$61=7,Dados!$AO$41,IF($E$61=8,Dados!$AS$41,0)))))))</f>
        <v>0</v>
      </c>
      <c r="EV33" s="304">
        <f>IF($E$61=2,Dados!$AF$41,IF($E$61=3,Dados!$AH$41,IF($E$61=4,Dados!$AJ$41,IF($E$61=5,Dados!$AL$41,IF($E$61=6,Dados!$AN$41,IF($E$61=7,Dados!$AP$41,IF($E$61=8,Dados!$AT$41,0)))))))</f>
        <v>0</v>
      </c>
      <c r="EW33" s="316">
        <f>IF($E$62=2,Dados!$AE$41,IF($E$62=3,Dados!$AG$41,IF($E$62=4,Dados!$AI$41,IF($E$62=5,Dados!$AK$41,IF($E$62=6,Dados!$AM$41,IF($E$62=7,Dados!$AO$41,IF($E$62=8,Dados!$AS$41,0)))))))</f>
        <v>0</v>
      </c>
      <c r="EX33" s="304">
        <f>IF($E$62=2,Dados!$AF$41,IF($E$62=3,Dados!$AH$41,IF($E$62=4,Dados!$AJ$41,IF($E$62=5,Dados!$AL$41,IF($E$62=6,Dados!$AN$41,IF($E$62=7,Dados!$AP$41,IF($E$62=8,Dados!$AT$41,0)))))))</f>
        <v>0</v>
      </c>
      <c r="EY33" s="316">
        <f>IF($E$63=2,Dados!$AE$41,IF($E$63=3,Dados!$AG$41,IF($E$63=4,Dados!$AI$41,IF($E$63=5,Dados!$AK$41,IF($E$63=6,Dados!$AM$41,IF($E$63=7,Dados!$AO$41,IF($E$63=8,Dados!$AS$41,0)))))))</f>
        <v>0</v>
      </c>
      <c r="EZ33" s="304">
        <f>IF($E$63=2,Dados!$AF$41,IF($E$63=3,Dados!$AH$41,IF($E$63=4,Dados!$AJ$41,IF($E$63=5,Dados!$AL$41,IF($E$63=6,Dados!$AN$41,IF($E$63=7,Dados!$AP$41,IF($E$63=8,Dados!$AT$41,0)))))))</f>
        <v>0</v>
      </c>
      <c r="FA33" s="316">
        <f>IF($E$64=2,Dados!$AE$41,IF($E$64=3,Dados!$AG$41,IF($E$64=4,Dados!$AI$41,IF($E$64=5,Dados!$AK$41,IF($E$64=6,Dados!$AM$41,IF($E$64=7,Dados!$AO$41,IF($E$64=8,Dados!$AS$41,0)))))))</f>
        <v>0</v>
      </c>
      <c r="FB33" s="304">
        <f>IF($E$64=2,Dados!$AF$41,IF($E$64=3,Dados!$AH$41,IF($E$64=4,Dados!$AJ$41,IF($E$64=5,Dados!$AL$41,IF($E$64=6,Dados!$AN$41,IF($E$64=7,Dados!$AP$41,IF($E$64=8,Dados!$AT$41,0)))))))</f>
        <v>0</v>
      </c>
      <c r="FC33" s="316">
        <f>IF($E$65=2,Dados!$AE$41,IF($E$65=3,Dados!$AG$41,IF($E$65=4,Dados!$AI$41,IF($E$65=5,Dados!$AK$41,IF($E$65=6,Dados!$AM$41,IF($E$65=7,Dados!$AO$41,IF($E$65=8,Dados!$AS$41,0)))))))</f>
        <v>0</v>
      </c>
      <c r="FD33" s="304">
        <f>IF($E$65=2,Dados!$AF$41,IF($E$65=3,Dados!$AH$41,IF($E$65=4,Dados!$AJ$41,IF($E$65=5,Dados!$AL$41,IF($E$65=6,Dados!$AN$41,IF($E$65=7,Dados!$AP$41,IF($E$65=8,Dados!$AT$41,0)))))))</f>
        <v>0</v>
      </c>
      <c r="FF33" s="316">
        <f>IF($E$70=2,Dados!$AE$41,IF($E$70=3,Dados!$AG$41,IF($E$70=4,Dados!$AI$41,IF($E$70=5,Dados!$AK$41,IF($E$70=6,Dados!$AM$41,IF($E$70=7,Dados!$AO$41,IF($E$70=8,Dados!$AS$41,0)))))))</f>
        <v>0</v>
      </c>
      <c r="FG33" s="304">
        <f>IF($E$70=2,Dados!$AF$41,IF($E$70=3,Dados!$AH$41,IF($E$70=4,Dados!$AJ$41,IF($E$70=5,Dados!$AL$41,IF($E$70=6,Dados!$AN$41,IF($E$70=7,Dados!$AP$41,IF($E$70=8,Dados!$AT$41,0)))))))</f>
        <v>0</v>
      </c>
      <c r="FH33" s="316">
        <f>IF($E$71=2,Dados!$AE$41,IF($E$71=3,Dados!$AG$41,IF($E$71=4,Dados!$AI$41,IF($E$71=5,Dados!$AK$41,IF($E$71=6,Dados!$AM$41,IF($E$71=7,Dados!$AO$41,IF($E$71=8,Dados!$AS$41,0)))))))</f>
        <v>0</v>
      </c>
      <c r="FI33" s="304">
        <f>IF($E$71=2,Dados!$AF$41,IF($E$71=3,Dados!$AH$41,IF($E$71=4,Dados!$AJ$41,IF($E$71=5,Dados!$AL$41,IF($E$71=6,Dados!$AN$41,IF($E$71=7,Dados!$AP$41,IF($E$71=8,Dados!$AT$41,0)))))))</f>
        <v>0</v>
      </c>
      <c r="FJ33" s="316">
        <f>IF($E$72=2,Dados!$AE$41,IF($E$72=3,Dados!$AG$41,IF($E$72=4,Dados!$AI$41,IF($E$72=5,Dados!$AK$41,IF($E$72=6,Dados!$AM$41,IF($E$72=7,Dados!$AO$41,IF($E$72=8,Dados!$AS$41,0)))))))</f>
        <v>0</v>
      </c>
      <c r="FK33" s="304">
        <f>IF($E$72=2,Dados!$AF$41,IF($E$72=3,Dados!$AH$41,IF($E$72=4,Dados!$AJ$41,IF($E$72=5,Dados!$AL$41,IF($E$72=6,Dados!$AN$41,IF($E$72=7,Dados!$AP$41,IF($E$72=8,Dados!$AT$41,0)))))))</f>
        <v>0</v>
      </c>
      <c r="FL33" s="316">
        <f>IF($E$73=2,Dados!$AE$41,IF($E$73=3,Dados!$AG$41,IF($E$73=4,Dados!$AI$41,IF($E$73=5,Dados!$AK$41,IF($E$73=6,Dados!$AM$41,IF($E$73=7,Dados!$AO$41,IF($E$73=8,Dados!$AS$41,0)))))))</f>
        <v>0</v>
      </c>
      <c r="FM33" s="304">
        <f>IF($E$73=2,Dados!$AF$41,IF($E$73=3,Dados!$AH$41,IF($E$73=4,Dados!$AJ$41,IF($E$73=5,Dados!$AL$41,IF($E$73=6,Dados!$AN$41,IF($E$73=7,Dados!$AP$41,IF($E$73=8,Dados!$AT$41,0)))))))</f>
        <v>0</v>
      </c>
      <c r="FN33" s="316">
        <f>IF($E$74=2,Dados!$AE$41,IF($E$74=3,Dados!$AG$41,IF($E$74=4,Dados!$AI$41,IF($E$74=5,Dados!$AK$41,IF($E$74=6,Dados!$AM$41,IF($E$74=7,Dados!$AO$41,IF($E$74=8,Dados!$AS$41,0)))))))</f>
        <v>0</v>
      </c>
      <c r="FO33" s="304">
        <f>IF($E$74=2,Dados!$AF$41,IF($E$74=3,Dados!$AH$41,IF($E$74=4,Dados!$AJ$41,IF($E$74=5,Dados!$AL$41,IF($E$74=6,Dados!$AN$41,IF($E$74=7,Dados!$AP$41,IF($E$74=8,Dados!$AT$41,0)))))))</f>
        <v>0</v>
      </c>
      <c r="FQ33" s="316">
        <f>IF($E$79=2,Dados!$AE$41,IF($E$79=3,Dados!$AG$41,IF($E$79=4,Dados!$AI$41,IF($E$79=5,Dados!$AK$41,IF($E$79=6,Dados!$AM$41,IF($E$79=7,Dados!$AO$41,IF($E$79=8,Dados!$AS$41,0)))))))</f>
        <v>0</v>
      </c>
      <c r="FR33" s="304">
        <f>IF($E$79=2,Dados!$AF$41,IF($E$79=3,Dados!$AH$41,IF($E$79=4,Dados!$AJ$41,IF($E$79=5,Dados!$AL$41,IF($E$79=6,Dados!$AN$41,IF($E$79=7,Dados!$AP$41,IF($E$79=8,Dados!$AT$41,0)))))))</f>
        <v>0</v>
      </c>
      <c r="FS33" s="316">
        <f>IF($E$80=2,Dados!$AE$41,IF($E$80=3,Dados!$AG$41,IF($E$80=4,Dados!$AI$41,IF($E$80=5,Dados!$AK$41,IF($E$80=6,Dados!$AM$41,IF($E$80=7,Dados!$AO$41,IF($E$80=8,Dados!$AS$41,0)))))))</f>
        <v>0</v>
      </c>
      <c r="FT33" s="304">
        <f>IF($E$80=2,Dados!$AF$41,IF($E$80=3,Dados!$AH$41,IF($E$80=4,Dados!$AJ$41,IF($E$80=5,Dados!$AL$41,IF($E$80=6,Dados!$AN$41,IF($E$80=7,Dados!$AP$41,IF($E$80=8,Dados!$AT$41,0)))))))</f>
        <v>0</v>
      </c>
      <c r="FU33" s="316">
        <f>IF($E$81=2,Dados!$AE$41,IF($E$81=3,Dados!$AG$41,IF($E$81=4,Dados!$AI$41,IF($E$81=5,Dados!$AK$41,IF($E$81=6,Dados!$AM$41,IF($E$81=7,Dados!$AO$41,IF($E$81=8,Dados!$AS$41,0)))))))</f>
        <v>0</v>
      </c>
      <c r="FV33" s="304">
        <f>IF($E$81=2,Dados!$AF$41,IF($E$81=3,Dados!$AH$41,IF($E$81=4,Dados!$AJ$41,IF($E$81=5,Dados!$AL$41,IF($E$81=6,Dados!$AN$41,IF($E$81=7,Dados!$AP$41,IF($E$81=8,Dados!$AT$41,0)))))))</f>
        <v>0</v>
      </c>
      <c r="FW33" s="316">
        <f>IF($E$82=2,Dados!$AE$41,IF($E$82=3,Dados!$AG$41,IF($E$82=4,Dados!$AI$41,IF($E$82=5,Dados!$AK$41,IF($E$82=6,Dados!$AM$41,IF($E$82=7,Dados!$AO$41,IF($E$82=8,Dados!$AS$41,0)))))))</f>
        <v>0</v>
      </c>
      <c r="FX33" s="304">
        <f>IF($E$82=2,Dados!$AF$41,IF($E$82=3,Dados!$AH$41,IF($E$82=4,Dados!$AJ$41,IF($E$82=5,Dados!$AL$41,IF($E$82=6,Dados!$AN$41,IF($E$82=7,Dados!$AP$41,IF($E$82=8,Dados!$AT$41,0)))))))</f>
        <v>0</v>
      </c>
      <c r="FY33" s="316">
        <f>IF($E$83=2,Dados!$AE$41,IF($E$83=3,Dados!$AG$41,IF($E$83=4,Dados!$AI$41,IF($E$83=5,Dados!$AK$41,IF($E$83=6,Dados!$AM$41,IF($E$83=7,Dados!$AO$41,IF($E$83=8,Dados!$AS$41,0)))))))</f>
        <v>0</v>
      </c>
      <c r="FZ33" s="304">
        <f>IF($E$83=2,Dados!$AF$41,IF($E$83=3,Dados!$AH$41,IF($E$83=4,Dados!$AJ$41,IF($E$83=5,Dados!$AL$41,IF($E$83=6,Dados!$AN$41,IF($E$83=7,Dados!$AP$41,IF($E$83=8,Dados!$AT$41,0)))))))</f>
        <v>0</v>
      </c>
      <c r="GB33" s="316">
        <f>IF($E$88=2,Dados!$AE$41,IF($E$88=3,Dados!$AG$41,IF($E$88=4,Dados!$AI$41,IF($E$88=5,Dados!$AK$41,IF($E$88=6,Dados!$AM$41,IF($E$88=7,Dados!$AO$41,IF($E$88=8,Dados!$AS$41,0)))))))</f>
        <v>0</v>
      </c>
      <c r="GC33" s="304">
        <f>IF($E$88=2,Dados!$AF$41,IF($E$88=3,Dados!$AH$41,IF($E$88=4,Dados!$AJ$41,IF($E$88=5,Dados!$AL$41,IF($E$88=6,Dados!$AN$41,IF($E$88=7,Dados!$AP$41,IF($E$88=8,Dados!$AT$41,0)))))))</f>
        <v>0</v>
      </c>
      <c r="GD33" s="316">
        <f>IF($E$89=2,Dados!$AE$41,IF($E$89=3,Dados!$AG$41,IF($E$89=4,Dados!$AI$41,IF($E$89=5,Dados!$AK$41,IF($E$89=6,Dados!$AM$41,IF($E$89=7,Dados!$AO$41,IF($E$89=8,Dados!$AS$41,0)))))))</f>
        <v>0</v>
      </c>
      <c r="GE33" s="304">
        <f>IF($E$89=2,Dados!$AF$41,IF($E$89=3,Dados!$AH$41,IF($E$89=4,Dados!$AJ$41,IF($E$89=5,Dados!$AL$41,IF($E$89=6,Dados!$AN$41,IF($E$89=7,Dados!$AP$41,IF($E$89=8,Dados!$AT$41,0)))))))</f>
        <v>0</v>
      </c>
      <c r="GF33" s="316">
        <f>IF($E$90=2,Dados!$AE$41,IF($E$90=3,Dados!$AG$41,IF($E$90=4,Dados!$AI$41,IF($E$90=5,Dados!$AK$41,IF($E$90=6,Dados!$AM$41,IF($E$90=7,Dados!$AO$41,IF($E$90=8,Dados!$AS$41,0)))))))</f>
        <v>0</v>
      </c>
      <c r="GG33" s="304">
        <f>IF($E$90=2,Dados!$AF$41,IF($E$90=3,Dados!$AH$41,IF($E$90=4,Dados!$AJ$41,IF($E$90=5,Dados!$AL$41,IF($E$90=6,Dados!$AN$41,IF($E$90=7,Dados!$AP$41,IF($E$90=8,Dados!$AT$41,0)))))))</f>
        <v>0</v>
      </c>
      <c r="GH33" s="316">
        <f>IF($E$91=2,Dados!$AE$41,IF($E$91=3,Dados!$AG$41,IF($E$91=4,Dados!$AI$41,IF($E$91=5,Dados!$AK$41,IF($E$91=6,Dados!$AM$41,IF($E$91=7,Dados!$AO$41,IF($E$91=8,Dados!$AS$41,0)))))))</f>
        <v>0</v>
      </c>
      <c r="GI33" s="304">
        <f>IF($E$91=2,Dados!$AF$41,IF($E$91=3,Dados!$AH$41,IF($E$91=4,Dados!$AJ$41,IF($E$91=5,Dados!$AL$41,IF($E$91=6,Dados!$AN$41,IF($E$91=7,Dados!$AP$41,IF($E$91=8,Dados!$AT$41,0)))))))</f>
        <v>0</v>
      </c>
      <c r="GJ33" s="316">
        <f>IF($E$92=2,Dados!$AE$41,IF($E$92=3,Dados!$AG$41,IF($E$92=4,Dados!$AI$41,IF($E$92=5,Dados!$AK$41,IF($E$92=6,Dados!$AM$41,IF($E$92=7,Dados!$AO$41,IF($E$92=8,Dados!$AS$41,0)))))))</f>
        <v>0</v>
      </c>
      <c r="GK33" s="304">
        <f>IF($E$92=2,Dados!$AF$41,IF($E$92=3,Dados!$AH$41,IF($E$92=4,Dados!$AJ$41,IF($E$92=5,Dados!$AL$41,IF($E$92=6,Dados!$AN$41,IF($E$92=7,Dados!$AP$41,IF($E$92=8,Dados!$AT$41,0)))))))</f>
        <v>0</v>
      </c>
      <c r="GM33" s="316">
        <f>IF($E$97=2,Dados!$AE$41,IF($E$97=3,Dados!$AG$41,IF($E$97=4,Dados!$AI$41,IF($E$97=5,Dados!$AK$41,IF($E$97=6,Dados!$AM$41,IF($E$97=7,Dados!$AO$41,IF($E$97=8,Dados!$AS$41,0)))))))</f>
        <v>0</v>
      </c>
      <c r="GN33" s="304">
        <f>IF($E$97=2,Dados!$AF$41,IF($E$97=3,Dados!$AH$41,IF($E$97=4,Dados!$AJ$41,IF($E$97=5,Dados!$AL$41,IF($E$97=6,Dados!$AN$41,IF($E$97=7,Dados!$AP$41,IF($E$97=8,Dados!$AT$41,0)))))))</f>
        <v>0</v>
      </c>
      <c r="GO33" s="316">
        <f>IF($E$98=2,Dados!$AE$41,IF($E$98=3,Dados!$AG$41,IF($E$98=4,Dados!$AI$41,IF($E$98=5,Dados!$AK$41,IF($E$98=6,Dados!$AM$41,IF($E$98=7,Dados!$AO$41,IF($E$98=8,Dados!$AS$41,0)))))))</f>
        <v>0</v>
      </c>
      <c r="GP33" s="304">
        <f>IF($E$98=2,Dados!$AF$41,IF($E$98=3,Dados!$AH$41,IF($E$98=4,Dados!$AJ$41,IF($E$98=5,Dados!$AL$41,IF($E$98=6,Dados!$AN$41,IF($E$98=7,Dados!$AP$41,IF($E$98=8,Dados!$AT$41,0)))))))</f>
        <v>0</v>
      </c>
      <c r="GQ33" s="316">
        <f>IF($E$99=2,Dados!$AE$41,IF($E$99=3,Dados!$AG$41,IF($E$99=4,Dados!$AI$41,IF($E$99=5,Dados!$AK$41,IF($E$99=6,Dados!$AM$41,IF($E$99=7,Dados!$AO$41,IF($E$99=8,Dados!$AS$41,0)))))))</f>
        <v>0</v>
      </c>
      <c r="GR33" s="304">
        <f>IF($E$99=2,Dados!$AF$41,IF($E$99=3,Dados!$AH$41,IF($E$99=4,Dados!$AJ$41,IF($E$99=5,Dados!$AL$41,IF($E$99=6,Dados!$AN$41,IF($E$99=7,Dados!$AP$41,IF($E$99=8,Dados!$AT$41,0)))))))</f>
        <v>0</v>
      </c>
      <c r="GS33" s="316">
        <f>IF($E$100=2,Dados!$AE$41,IF($E$100=3,Dados!$AG$41,IF($E$100=4,Dados!$AI$41,IF($E$100=5,Dados!$AK$41,IF($E$100=6,Dados!$AM$41,IF($E$100=7,Dados!$AO$41,IF($E$100=8,Dados!$AS$41,0)))))))</f>
        <v>0</v>
      </c>
      <c r="GT33" s="304">
        <f>IF($E$100=2,Dados!$AF$41,IF($E$100=3,Dados!$AH$41,IF($E$100=4,Dados!$AJ$41,IF($E$100=5,Dados!$AL$41,IF($E$100=6,Dados!$AN$41,IF($E$100=7,Dados!$AP$41,IF($E$100=8,Dados!$AT$41,0)))))))</f>
        <v>0</v>
      </c>
      <c r="GU33" s="316">
        <f>IF($E$101=2,Dados!$AE$41,IF($E$101=3,Dados!$AG$41,IF($E$101=4,Dados!$AI$41,IF($E$101=5,Dados!$AK$41,IF($E$101=6,Dados!$AM$41,IF($E$101=7,Dados!$AO$41,IF($E$101=8,Dados!$AS$41,0)))))))</f>
        <v>0</v>
      </c>
      <c r="GV33" s="304">
        <f>IF($E$101=2,Dados!$AF$41,IF($E$101=3,Dados!$AH$41,IF($E$101=4,Dados!$AJ$41,IF($E$101=5,Dados!$AL$41,IF($E$101=6,Dados!$AN$41,IF($E$101=7,Dados!$AP$41,IF($E$101=8,Dados!$AT$41,0)))))))</f>
        <v>0</v>
      </c>
      <c r="GX33" s="316">
        <f>IF($E$106=2,Dados!$AE$41,IF($E$106=3,Dados!$AG$41,IF($E$106=4,Dados!$AI$41,IF($E$106=5,Dados!$AK$41,IF($E$106=6,Dados!$AM$41,IF($E$106=7,Dados!$AO$41,IF($E$106=8,Dados!$AS$41,0)))))))</f>
        <v>0</v>
      </c>
      <c r="GY33" s="304">
        <f>IF($E$106=2,Dados!$AF$41,IF($E$106=3,Dados!$AH$41,IF($E$106=4,Dados!$AJ$41,IF($E$106=5,Dados!$AL$41,IF($E$106=6,Dados!$AN$41,IF($E$106=7,Dados!$AP$41,IF($E$106=8,Dados!$AT$41,0)))))))</f>
        <v>0</v>
      </c>
      <c r="GZ33" s="316">
        <f>IF($E$107=2,Dados!$AE$41,IF($E$107=3,Dados!$AG$41,IF($E$107=4,Dados!$AI$41,IF($E$107=5,Dados!$AK$41,IF($E$107=6,Dados!$AM$41,IF($E$107=7,Dados!$AO$41,IF($E$107=8,Dados!$AS$41,0)))))))</f>
        <v>0</v>
      </c>
      <c r="HA33" s="304">
        <f>IF($E$107=2,Dados!$AF$41,IF($E$107=3,Dados!$AH$41,IF($E$107=4,Dados!$AJ$41,IF($E$107=5,Dados!$AL$41,IF($E$107=6,Dados!$AN$41,IF($E$107=7,Dados!$AP$41,IF($E$107=8,Dados!$AT$41,0)))))))</f>
        <v>0</v>
      </c>
      <c r="HB33" s="316">
        <f>IF($E$108=2,Dados!$AE$41,IF($E$108=3,Dados!$AG$41,IF($E$108=4,Dados!$AI$41,IF($E$108=5,Dados!$AK$41,IF($E$108=6,Dados!$AM$41,IF($E$108=7,Dados!$AO$41,IF($E$108=8,Dados!$AS$41,0)))))))</f>
        <v>0</v>
      </c>
      <c r="HC33" s="304">
        <f>IF($E$108=2,Dados!$AF$41,IF($E$108=3,Dados!$AH$41,IF($E$108=4,Dados!$AJ$41,IF($E$108=5,Dados!$AL$41,IF($E$108=6,Dados!$AN$41,IF($E$108=7,Dados!$AP$41,IF($E$108=8,Dados!$AT$41,0)))))))</f>
        <v>0</v>
      </c>
      <c r="HD33" s="316">
        <f>IF($E$109=2,Dados!$AE$41,IF($E$109=3,Dados!$AG$41,IF($E$109=4,Dados!$AI$41,IF($E$109=5,Dados!$AK$41,IF($E$109=6,Dados!$AM$41,IF($E$109=7,Dados!$AO$41,IF($E$109=8,Dados!$AS$41,0)))))))</f>
        <v>0</v>
      </c>
      <c r="HE33" s="304">
        <f>IF($E$109=2,Dados!$AF$41,IF($E$109=3,Dados!$AH$41,IF($E$109=4,Dados!$AJ$41,IF($E$109=5,Dados!$AL$41,IF($E$109=6,Dados!$AN$41,IF($E$109=7,Dados!$AP$41,IF($E$109=8,Dados!$AT$41,0)))))))</f>
        <v>0</v>
      </c>
      <c r="HF33" s="316">
        <f>IF($E$110=2,Dados!$AE$41,IF($E$110=3,Dados!$AG$41,IF($E$110=4,Dados!$AI$41,IF($E$110=5,Dados!$AK$41,IF($E$110=6,Dados!$AM$41,IF($E$110=7,Dados!$AO$41,IF($E$110=8,Dados!$AS$41,0)))))))</f>
        <v>0</v>
      </c>
      <c r="HG33" s="304">
        <f>IF($E$110=2,Dados!$AF$41,IF($E$110=3,Dados!$AH$41,IF($E$110=4,Dados!$AJ$41,IF($E$110=5,Dados!$AL$41,IF($E$110=6,Dados!$AN$41,IF($E$110=7,Dados!$AP$41,IF($E$110=8,Dados!$AT$41,0)))))))</f>
        <v>0</v>
      </c>
    </row>
    <row r="34" spans="3:215" ht="15.75" customHeight="1" x14ac:dyDescent="0.2">
      <c r="C34" s="156">
        <f>IF(R34=1,0,S34)</f>
        <v>0</v>
      </c>
      <c r="D34" s="2727"/>
      <c r="E34" s="179">
        <v>3</v>
      </c>
      <c r="F34" s="2719">
        <v>2</v>
      </c>
      <c r="G34" s="2633"/>
      <c r="H34" s="283" t="s">
        <v>1418</v>
      </c>
      <c r="I34" s="229">
        <v>3</v>
      </c>
      <c r="J34" s="314">
        <v>1</v>
      </c>
      <c r="K34" s="157">
        <v>10</v>
      </c>
      <c r="L34" s="305">
        <f>3*Rebanho!E70</f>
        <v>24</v>
      </c>
      <c r="M34" s="127">
        <f>IF(I34=1,K34,IF(I34=2,K34/J34,IF(I34=3,K34*L34,0)))</f>
        <v>240</v>
      </c>
      <c r="N34" s="3">
        <v>23</v>
      </c>
      <c r="O34" s="30">
        <v>1</v>
      </c>
      <c r="P34" s="837">
        <f>IF(N34=1,0,VLOOKUP(N34,Rebanho!$AN$45:$AV$72,4)*O34)</f>
        <v>3116.864924444445</v>
      </c>
      <c r="Q34" s="838">
        <f>VLOOKUP(N34,Rebanho!$AN$45:$AV$72,7)*O34</f>
        <v>1142585.2620207409</v>
      </c>
      <c r="R34" s="93">
        <v>1</v>
      </c>
      <c r="S34" s="29"/>
      <c r="T34" s="102">
        <f>VLOOKUP(R34,'Mão-de-obra'!$CJ$10:$CL$29,3)</f>
        <v>0</v>
      </c>
      <c r="U34" s="102">
        <f>T34*S34</f>
        <v>0</v>
      </c>
      <c r="V34" s="127">
        <f>IF(I34=1,M34*P34,IF(I34=2,M34*Q34*L34,IF(I34=3,M34,0)))</f>
        <v>240</v>
      </c>
      <c r="W34" s="129">
        <f>U34+V34</f>
        <v>240</v>
      </c>
      <c r="X34" s="93">
        <v>1</v>
      </c>
      <c r="Y34" s="93">
        <v>1</v>
      </c>
      <c r="Z34" s="127">
        <f>IF(P34=0,0,((W34/P34+U34/P34)*O34))</f>
        <v>7.7000449431660234E-2</v>
      </c>
      <c r="AW34" s="3" t="s">
        <v>302</v>
      </c>
      <c r="AX34" s="94">
        <f>IF($E34=2,$V34,0)</f>
        <v>0</v>
      </c>
      <c r="AY34" s="94">
        <f>IF($E35=2,$V35,0)</f>
        <v>0</v>
      </c>
      <c r="AZ34" s="94">
        <f>IF($E36=2,$V36,0)</f>
        <v>0</v>
      </c>
      <c r="BA34" s="94">
        <f>IF($E37=2,$V37,0)</f>
        <v>0</v>
      </c>
      <c r="BB34" s="94">
        <f>IF($E38=2,$V38,0)</f>
        <v>0</v>
      </c>
      <c r="BC34" s="200">
        <f t="shared" ref="BC34:BC39" si="9">SUM(AX34:BB34)</f>
        <v>0</v>
      </c>
      <c r="CF34" s="93">
        <v>29</v>
      </c>
      <c r="CG34" s="316">
        <f>IF($E$7=2,Dados!$AE$42,IF($E$7=3,Dados!$AG$42,IF($E$7=4,Dados!$AI$42,IF($E$7=5,Dados!$AK$42,IF($E$7=6,Dados!$AM$42,IF($E$7=7,Dados!$AO$42,IF($E$7=8,Dados!$AS$42,0)))))))</f>
        <v>0</v>
      </c>
      <c r="CH34" s="304">
        <f>IF($E$7=2,Dados!$AF$42,IF($E$7=3,Dados!$AH$42,IF($E$7=4,Dados!$AJ$42,IF($E$7=5,Dados!$AL$42,IF($E$7=6,Dados!$AN$42,IF($E$7=7,Dados!$AP$42,IF($E$7=8,Dados!$AT$42,0)))))))</f>
        <v>0</v>
      </c>
      <c r="CI34" s="316">
        <f>IF($E$8=2,Dados!$AE$42,IF($E$8=3,Dados!$AG$42,IF($E$8=4,Dados!$AI$42,IF($E$8=5,Dados!$AK$42,IF($E$8=6,Dados!$AM$42,IF($E$8=7,Dados!$AO$42,IF($E$8=8,Dados!$AS$42,0)))))))</f>
        <v>0</v>
      </c>
      <c r="CJ34" s="304">
        <f>IF($E$8=2,Dados!$AF$42,IF($E$8=3,Dados!$AH$42,IF($E$8=4,Dados!$AJ$42,IF($E$8=5,Dados!$AL$42,IF($E$8=6,Dados!$AN$42,IF($E$8=7,Dados!$AP$42,IF($E$8=8,Dados!$AT$42,0)))))))</f>
        <v>0</v>
      </c>
      <c r="CK34" s="316">
        <f>IF($E$9=2,Dados!$AE$42,IF($E$9=3,Dados!$AG$42,IF($E$9=4,Dados!$AI$42,IF($E$9=5,Dados!$AK$42,IF($E$9=6,Dados!$AM$42,IF($E$9=7,Dados!$AO$42,IF($E$9=8,Dados!$AS$42,0)))))))</f>
        <v>0</v>
      </c>
      <c r="CL34" s="304">
        <f>IF($E$9=2,Dados!$AF$42,IF($E$9=3,Dados!$AH$42,IF($E$9=4,Dados!$AJ$42,IF($E$9=5,Dados!$AL$42,IF($E$9=6,Dados!$AN$42,IF($E$9=7,Dados!$AP$42,IF($E$9=8,Dados!$AT$42,0)))))))</f>
        <v>0</v>
      </c>
      <c r="CM34" s="316">
        <f>IF($E$10=2,Dados!$AE$42,IF($E$10=3,Dados!$AG$42,IF($E$10=4,Dados!$AI$42,IF($E$10=5,Dados!$AK$42,IF($E$10=6,Dados!$AM$42,IF($E$10=7,Dados!$AO$42,IF($E$10=8,Dados!$AS$42,0)))))))</f>
        <v>0</v>
      </c>
      <c r="CN34" s="304">
        <f>IF($E$10=2,Dados!$AF$42,IF($E$10=3,Dados!$AH$42,IF($E$10=4,Dados!$AJ$42,IF($E$10=5,Dados!$AL$42,IF($E$10=6,Dados!$AN$42,IF($E$10=7,Dados!$AP$42,IF($E$10=8,Dados!$AT$42,0)))))))</f>
        <v>0</v>
      </c>
      <c r="CO34" s="316">
        <f>IF($E$11=2,Dados!$AE$42,IF($E$11=3,Dados!$AG$42,IF($E$11=4,Dados!$AI$42,IF($E$11=5,Dados!$AK$42,IF($E$11=6,Dados!$AM$42,IF($E$11=7,Dados!$AO$42,IF($E$11=8,Dados!$AS$42,0)))))))</f>
        <v>0</v>
      </c>
      <c r="CP34" s="304">
        <f>IF($E$11=2,Dados!$AF$42,IF($E$11=3,Dados!$AH$42,IF($E$11=4,Dados!$AJ$42,IF($E$11=5,Dados!$AL$42,IF($E$11=6,Dados!$AN$42,IF($E$11=7,Dados!$AP$42,IF($E$11=8,Dados!$AT$42,0)))))))</f>
        <v>0</v>
      </c>
      <c r="CR34" s="316">
        <f>IF($E$16=2,Dados!$AE$42,IF($E$16=3,Dados!$AG$42,IF($E$16=4,Dados!$AI$42,IF($E$16=5,Dados!$AK$42,IF($E$16=6,Dados!$AM$42,IF($E$16=7,Dados!$AO$42,IF($E$16=8,Dados!$AS$42,0)))))))</f>
        <v>0</v>
      </c>
      <c r="CS34" s="304">
        <f>IF($E$16=2,Dados!$AF$42,IF($E$16=3,Dados!$AH$42,IF($E$16=4,Dados!$AJ$42,IF($E$16=5,Dados!$AL$42,IF($E$16=6,Dados!$AN$42,IF($E$16=7,Dados!$AP$42,IF($E$16=8,Dados!$AT$42,0)))))))</f>
        <v>0</v>
      </c>
      <c r="CT34" s="316">
        <f>IF($E$17=2,Dados!$AE$42,IF($E$17=3,Dados!$AG$42,IF($E$17=4,Dados!$AI$42,IF($E$17=5,Dados!$AK$42,IF($E$17=6,Dados!$AM$42,IF($E$17=7,Dados!$AO$42,IF($E$17=8,Dados!$AS$42,0)))))))</f>
        <v>0</v>
      </c>
      <c r="CU34" s="304">
        <f>IF($E$17=2,Dados!$AF$42,IF($E$17=3,Dados!$AH$42,IF($E$17=4,Dados!$AJ$42,IF($E$17=5,Dados!$AL$42,IF($E$17=6,Dados!$AN$42,IF($E$17=7,Dados!$AP$42,IF($E$17=8,Dados!$AT$42,0)))))))</f>
        <v>0</v>
      </c>
      <c r="CV34" s="316">
        <f>IF($E$18=2,Dados!$AE$42,IF($E$18=3,Dados!$AG$42,IF($E$18=4,Dados!$AI$42,IF($E$18=5,Dados!$AK$42,IF($E$18=6,Dados!$AM$42,IF($E$18=7,Dados!$AO$42,IF($E$18=8,Dados!$AS$42,0)))))))</f>
        <v>0</v>
      </c>
      <c r="CW34" s="304">
        <f>IF($E$18=2,Dados!$AF$42,IF($E$18=3,Dados!$AH$42,IF($E$18=4,Dados!$AJ$42,IF($E$18=5,Dados!$AL$42,IF($E$18=6,Dados!$AN$42,IF($E$18=7,Dados!$AP$42,IF($E$18=8,Dados!$AT$42,0)))))))</f>
        <v>0</v>
      </c>
      <c r="CX34" s="316">
        <f>IF($E$19=2,Dados!$AE$42,IF($E$19=3,Dados!$AG$42,IF($E$19=4,Dados!$AI$42,IF($E$19=5,Dados!$AK$42,IF($E$19=6,Dados!$AM$42,IF($E$19=7,Dados!$AO$42,IF($E$19=8,Dados!$AS$42,0)))))))</f>
        <v>0</v>
      </c>
      <c r="CY34" s="304">
        <f>IF($E$19=2,Dados!$AF$42,IF($E$19=3,Dados!$AH$42,IF($E$19=4,Dados!$AJ$42,IF($E$19=5,Dados!$AL$42,IF($E$19=6,Dados!$AN$42,IF($E$19=7,Dados!$AP$42,IF($E$19=8,Dados!$AT$42,0)))))))</f>
        <v>0</v>
      </c>
      <c r="CZ34" s="316">
        <f>IF($E$20=2,Dados!$AE$42,IF($E$20=3,Dados!$AG$42,IF($E$20=4,Dados!$AI$42,IF($E$20=5,Dados!$AK$42,IF($E$20=6,Dados!$AM$42,IF($E$20=7,Dados!$AO$42,IF($E$20=8,Dados!$AS$42,0)))))))</f>
        <v>0</v>
      </c>
      <c r="DA34" s="304">
        <f>IF($E$20=2,Dados!$AF$42,IF($E$20=3,Dados!$AH$42,IF($E$20=4,Dados!$AJ$42,IF($E$20=5,Dados!$AL$42,IF($E$20=6,Dados!$AN$42,IF($E$20=7,Dados!$AP$42,IF($E$20=8,Dados!$AT$42,0)))))))</f>
        <v>0</v>
      </c>
      <c r="DC34" s="316">
        <f>IF($E$25=2,Dados!$AE$42,IF($E$25=3,Dados!$AG$42,IF($E$25=4,Dados!$AI$42,IF($E$25=5,Dados!$AK$42,IF($E$25=6,Dados!$AM$42,IF($E$25=7,Dados!$AO$42,IF($E$25=8,Dados!$AS$42,0)))))))</f>
        <v>0</v>
      </c>
      <c r="DD34" s="304">
        <f>IF($E$25=2,Dados!$AF$42,IF($E$25=3,Dados!$AH$42,IF($E$25=4,Dados!$AJ$42,IF($E$25=5,Dados!$AL$42,IF($E$25=6,Dados!$AN$42,IF($E$25=7,Dados!$AP$42,IF($E$25=8,Dados!$AT$42,0)))))))</f>
        <v>0</v>
      </c>
      <c r="DE34" s="316">
        <f>IF($E$26=2,Dados!$AE$42,IF($E$26=3,Dados!$AG$42,IF($E$26=4,Dados!$AI$42,IF($E$26=5,Dados!$AK$42,IF($E$26=6,Dados!$AM$42,IF($E$26=7,Dados!$AO$42,IF($E$26=8,Dados!$AS$42,0)))))))</f>
        <v>0</v>
      </c>
      <c r="DF34" s="304">
        <f>IF($E$26=2,Dados!$AF$42,IF($E$26=3,Dados!$AH$42,IF($E$26=4,Dados!$AJ$42,IF($E$26=5,Dados!$AL$42,IF($E$26=6,Dados!$AN$42,IF($E$26=7,Dados!$AP$42,IF($E$26=8,Dados!$AT$42,0)))))))</f>
        <v>0</v>
      </c>
      <c r="DG34" s="316">
        <f>IF($E$27=2,Dados!$AE$42,IF($E$27=3,Dados!$AG$42,IF($E$27=4,Dados!$AI$42,IF($E$27=5,Dados!$AK$42,IF($E$27=6,Dados!$AM$42,IF($E$27=7,Dados!$AO$42,IF($E$27=8,Dados!$AS$42,0)))))))</f>
        <v>0</v>
      </c>
      <c r="DH34" s="304">
        <f>IF($E$27=2,Dados!$AF$42,IF($E$27=3,Dados!$AH$42,IF($E$27=4,Dados!$AJ$42,IF($E$27=5,Dados!$AL$42,IF($E$27=6,Dados!$AN$42,IF($E$27=7,Dados!$AP$42,IF($E$27=8,Dados!$AT$42,0)))))))</f>
        <v>0</v>
      </c>
      <c r="DI34" s="316">
        <f>IF($E$28=2,Dados!$AE$42,IF($E$28=3,Dados!$AG$42,IF($E$28=4,Dados!$AI$42,IF($E$28=5,Dados!$AK$42,IF($E$28=6,Dados!$AM$42,IF($E$28=7,Dados!$AO$42,IF($E$28=8,Dados!$AS$42,0)))))))</f>
        <v>0</v>
      </c>
      <c r="DJ34" s="304">
        <f>IF($E$28=2,Dados!$AF$42,IF($E$28=3,Dados!$AH$42,IF($E$28=4,Dados!$AJ$42,IF($E$28=5,Dados!$AL$42,IF($E$28=6,Dados!$AN$42,IF($E$28=7,Dados!$AP$42,IF($E$28=8,Dados!$AT$42,0)))))))</f>
        <v>0</v>
      </c>
      <c r="DK34" s="316">
        <f>IF($E$29=2,Dados!$AE$42,IF($E$29=3,Dados!$AG$42,IF($E$29=4,Dados!$AI$42,IF($E$29=5,Dados!$AK$42,IF($E$29=6,Dados!$AM$42,IF($E$29=7,Dados!$AO$42,IF($E$29=8,Dados!$AS$42,0)))))))</f>
        <v>0</v>
      </c>
      <c r="DL34" s="304">
        <f>IF($E$29=2,Dados!$AF$42,IF($E$29=3,Dados!$AH$42,IF($E$29=4,Dados!$AJ$42,IF($E$29=5,Dados!$AL$42,IF($E$29=6,Dados!$AN$42,IF($E$29=7,Dados!$AP$42,IF($E$29=8,Dados!$AT$42,0)))))))</f>
        <v>0</v>
      </c>
      <c r="DN34" s="316">
        <f>IF($E$34=2,Dados!$AE$42,IF($E$34=3,Dados!$AG$42,IF($E$34=4,Dados!$AI$42,IF($E$34=5,Dados!$AK$42,IF($E$34=6,Dados!$AM$42,IF($E$34=7,Dados!$AO$42,IF($E$34=8,Dados!$AS$42,0)))))))</f>
        <v>0</v>
      </c>
      <c r="DO34" s="304">
        <f>IF($E$34=2,Dados!$AF$42,IF($E$34=3,Dados!$AH$42,IF($E$34=4,Dados!$AJ$42,IF($E$34=5,Dados!$AL$42,IF($E$34=6,Dados!$AN$42,IF($E$34=7,Dados!$AP$42,IF($E$34=8,Dados!$AT$42,0)))))))</f>
        <v>0</v>
      </c>
      <c r="DP34" s="316">
        <f>IF($E$35=2,Dados!$AE$42,IF($E$35=3,Dados!$AG$42,IF($E$35=4,Dados!$AI$42,IF($E$35=5,Dados!$AK$42,IF($E$35=6,Dados!$AM$42,IF($E$35=7,Dados!$AO$42,IF($E$35=8,Dados!$AS$42,0)))))))</f>
        <v>0</v>
      </c>
      <c r="DQ34" s="304">
        <f>IF($E$35=2,Dados!$AF$42,IF($E$35=3,Dados!$AH$42,IF($E$35=4,Dados!$AJ$42,IF($E$35=5,Dados!$AL$42,IF($E$35=6,Dados!$AN$42,IF($E$35=7,Dados!$AP$42,IF($E$35=8,Dados!$AT$42,0)))))))</f>
        <v>0</v>
      </c>
      <c r="DR34" s="316">
        <f>IF($E$36=2,Dados!$AE$42,IF($E$36=3,Dados!$AG$42,IF($E$36=4,Dados!$AI$42,IF($E$36=5,Dados!$AK$42,IF($E$36=6,Dados!$AM$42,IF($E$36=7,Dados!$AO$42,IF($E$36=8,Dados!$AS$42,0)))))))</f>
        <v>0</v>
      </c>
      <c r="DS34" s="304">
        <f>IF($E$36=2,Dados!$AF$42,IF($E$36=3,Dados!$AH$42,IF($E$36=4,Dados!$AJ$42,IF($E$36=5,Dados!$AL$42,IF($E$36=6,Dados!$AN$42,IF($E$36=7,Dados!$AP$42,IF($E$36=8,Dados!$AT$42,0)))))))</f>
        <v>0</v>
      </c>
      <c r="DT34" s="316">
        <f>IF($E$37=2,Dados!$AE$42,IF($E$37=3,Dados!$AG$42,IF($E$37=4,Dados!$AI$42,IF($E$37=5,Dados!$AK$42,IF($E$37=6,Dados!$AM$42,IF($E$37=7,Dados!$AO$42,IF($E$37=8,Dados!$AS$42,0)))))))</f>
        <v>0</v>
      </c>
      <c r="DU34" s="304">
        <f>IF($E$37=2,Dados!$AF$42,IF($E$37=3,Dados!$AH$42,IF($E$37=4,Dados!$AJ$42,IF($E$37=5,Dados!$AL$42,IF($E$37=6,Dados!$AN$42,IF($E$37=7,Dados!$AP$42,IF($E$37=8,Dados!$AT$42,0)))))))</f>
        <v>0</v>
      </c>
      <c r="DV34" s="316">
        <f>IF($E$38=2,Dados!$AE$42,IF($E$38=3,Dados!$AG$42,IF($E$38=4,Dados!$AI$42,IF($E$38=5,Dados!$AK$42,IF($E$38=6,Dados!$AM$42,IF($E$38=7,Dados!$AO$42,IF($E$38=8,Dados!$AS$42,0)))))))</f>
        <v>0</v>
      </c>
      <c r="DW34" s="304">
        <f>IF($E$38=2,Dados!$AF$42,IF($E$38=3,Dados!$AH$42,IF($E$38=4,Dados!$AJ$42,IF($E$38=5,Dados!$AL$42,IF($E$38=6,Dados!$AN$42,IF($E$38=7,Dados!$AP$42,IF($E$38=8,Dados!$AT$42,0)))))))</f>
        <v>0</v>
      </c>
      <c r="DY34" s="316">
        <f>IF($E$43=2,Dados!$AE$42,IF($E$43=3,Dados!$AG$42,IF($E$43=4,Dados!$AI$42,IF($E$43=5,Dados!$AK$42,IF($E$43=6,Dados!$AM$42,IF($E$43=7,Dados!$AO$42,IF($E$43=8,Dados!$AS$42,0)))))))</f>
        <v>0</v>
      </c>
      <c r="DZ34" s="304">
        <f>IF($E$43=2,Dados!$AF$42,IF($E$43=3,Dados!$AH$42,IF($E$43=4,Dados!$AJ$42,IF($E$43=5,Dados!$AL$42,IF($E$43=6,Dados!$AN$42,IF($E$43=7,Dados!$AP$42,IF($E$43=8,Dados!$AT$42,0)))))))</f>
        <v>0</v>
      </c>
      <c r="EA34" s="316">
        <f>IF($E$44=2,Dados!$AE$42,IF($E$44=3,Dados!$AG$42,IF($E$44=4,Dados!$AI$42,IF($E$44=5,Dados!$AK$42,IF($E$44=6,Dados!$AM$42,IF($E$44=7,Dados!$AO$42,IF($E$44=8,Dados!$AS$42,0)))))))</f>
        <v>0</v>
      </c>
      <c r="EB34" s="304">
        <f>IF($E$44=2,Dados!$AF$42,IF($E$44=3,Dados!$AH$42,IF($E$44=4,Dados!$AJ$42,IF($E$44=5,Dados!$AL$42,IF($E$44=6,Dados!$AN$42,IF($E$44=7,Dados!$AP$42,IF($E$44=8,Dados!$AT$42,0)))))))</f>
        <v>0</v>
      </c>
      <c r="EC34" s="316">
        <f>IF($E$45=2,Dados!$AE$42,IF($E$45=3,Dados!$AG$42,IF($E$45=4,Dados!$AI$42,IF($E$45=5,Dados!$AK$42,IF($E$45=6,Dados!$AM$42,IF($E$45=7,Dados!$AO$42,IF($E$45=8,Dados!$AS$42,0)))))))</f>
        <v>0</v>
      </c>
      <c r="ED34" s="304">
        <f>IF($E$45=2,Dados!$AF$42,IF($E$45=3,Dados!$AH$42,IF($E$45=4,Dados!$AJ$42,IF($E$45=5,Dados!$AL$42,IF($E$45=6,Dados!$AN$42,IF($E$45=7,Dados!$AP$42,IF($E$45=8,Dados!$AT$42,0)))))))</f>
        <v>0</v>
      </c>
      <c r="EE34" s="316">
        <f>IF($E$46=2,Dados!$AE$42,IF($E$46=3,Dados!$AG$42,IF($E$46=4,Dados!$AI$42,IF($E$46=5,Dados!$AK$42,IF($E$46=6,Dados!$AM$42,IF($E$46=7,Dados!$AO$42,IF($E$46=8,Dados!$AS$42,0)))))))</f>
        <v>0</v>
      </c>
      <c r="EF34" s="304">
        <f>IF($E$46=2,Dados!$AF$42,IF($E$46=3,Dados!$AH$42,IF($E$46=4,Dados!$AJ$42,IF($E$46=5,Dados!$AL$42,IF($E$46=6,Dados!$AN$42,IF($E$46=7,Dados!$AP$42,IF($E$46=8,Dados!$AT$42,0)))))))</f>
        <v>0</v>
      </c>
      <c r="EG34" s="316">
        <f>IF($E$47=2,Dados!$AE$42,IF($E$47=3,Dados!$AG$42,IF($E$47=4,Dados!$AI$42,IF($E$47=5,Dados!$AK$42,IF($E$47=6,Dados!$AM$42,IF($E$47=7,Dados!$AO$42,IF($E$47=8,Dados!$AS$42,0)))))))</f>
        <v>0</v>
      </c>
      <c r="EH34" s="304">
        <f>IF($E$47=2,Dados!$AF$42,IF($E$47=3,Dados!$AH$42,IF($E$47=4,Dados!$AJ$42,IF($E$47=5,Dados!$AL$42,IF($E$47=6,Dados!$AN$42,IF($E$47=7,Dados!$AP$42,IF($E$47=8,Dados!$AT$42,0)))))))</f>
        <v>0</v>
      </c>
      <c r="EJ34" s="316">
        <f>IF($E$52=2,Dados!$AE$42,IF($E$52=3,Dados!$AG$42,IF($E$52=4,Dados!$AI$42,IF($E$52=5,Dados!$AK$42,IF($E$52=6,Dados!$AM$42,IF($E$52=7,Dados!$AO$42,IF($E$52=8,Dados!$AS$42,0)))))))</f>
        <v>0</v>
      </c>
      <c r="EK34" s="304">
        <f>IF($E$52=2,Dados!$AF$42,IF($E$52=3,Dados!$AH$42,IF($E$52=4,Dados!$AJ$42,IF($E$52=5,Dados!$AL$42,IF($E$52=6,Dados!$AN$42,IF($E$52=7,Dados!$AP$42,IF($E$52=8,Dados!$AT$42,0)))))))</f>
        <v>0</v>
      </c>
      <c r="EL34" s="316">
        <f>IF($E$53=2,Dados!$AE$42,IF($E$53=3,Dados!$AG$42,IF($E$53=4,Dados!$AI$42,IF($E$53=5,Dados!$AK$42,IF($E$53=6,Dados!$AM$42,IF($E$53=7,Dados!$AO$42,IF($E$53=8,Dados!$AS$42,0)))))))</f>
        <v>0</v>
      </c>
      <c r="EM34" s="304">
        <f>IF($E$53=2,Dados!$AF$42,IF($E$53=3,Dados!$AH$42,IF($E$53=4,Dados!$AJ$42,IF($E$53=5,Dados!$AL$42,IF($E$53=6,Dados!$AN$42,IF($E$53=7,Dados!$AP$42,IF($E$53=8,Dados!$AT$42,0)))))))</f>
        <v>0</v>
      </c>
      <c r="EN34" s="316">
        <f>IF($E$54=2,Dados!$AE$42,IF($E$54=3,Dados!$AG$42,IF($E$54=4,Dados!$AI$42,IF($E$54=5,Dados!$AK$42,IF($E$54=6,Dados!$AM$42,IF($E$54=7,Dados!$AO$42,IF($E$54=8,Dados!$AS$42,0)))))))</f>
        <v>0</v>
      </c>
      <c r="EO34" s="304">
        <f>IF($E$54=2,Dados!$AF$42,IF($E$54=3,Dados!$AH$42,IF($E$54=4,Dados!$AJ$42,IF($E$54=5,Dados!$AL$42,IF($E$54=6,Dados!$AN$42,IF($E$54=7,Dados!$AP$42,IF($E$54=8,Dados!$AT$42,0)))))))</f>
        <v>0</v>
      </c>
      <c r="EP34" s="316">
        <f>IF($E$55=2,Dados!$AE$42,IF($E$55=3,Dados!$AG$42,IF($E$55=4,Dados!$AI$42,IF($E$55=5,Dados!$AK$42,IF($E$55=6,Dados!$AM$42,IF($E$55=7,Dados!$AO$42,IF($E$55=8,Dados!$AS$42,0)))))))</f>
        <v>0</v>
      </c>
      <c r="EQ34" s="304">
        <f>IF($E$55=2,Dados!$AF$42,IF($E$55=3,Dados!$AH$42,IF($E$55=4,Dados!$AJ$42,IF($E$55=5,Dados!$AL$42,IF($E$55=6,Dados!$AN$42,IF($E$55=7,Dados!$AP$42,IF($E$55=8,Dados!$AT$42,0)))))))</f>
        <v>0</v>
      </c>
      <c r="ER34" s="316">
        <f>IF($E$56=2,Dados!$AE$42,IF($E$56=3,Dados!$AG$42,IF($E$56=4,Dados!$AI$42,IF($E$56=5,Dados!$AK$42,IF($E$56=6,Dados!$AM$42,IF($E$56=7,Dados!$AO$42,IF($E$56=8,Dados!$AS$42,0)))))))</f>
        <v>0</v>
      </c>
      <c r="ES34" s="304">
        <f>IF($E$56=2,Dados!$AF$42,IF($E$56=3,Dados!$AH$42,IF($E$56=4,Dados!$AJ$42,IF($E$56=5,Dados!$AL$42,IF($E$56=6,Dados!$AN$42,IF($E$56=7,Dados!$AP$42,IF($E$56=8,Dados!$AT$42,0)))))))</f>
        <v>0</v>
      </c>
      <c r="EU34" s="316">
        <f>IF($E$61=2,Dados!$AE$42,IF($E$61=3,Dados!$AG$42,IF($E$61=4,Dados!$AI$42,IF($E$61=5,Dados!$AK$42,IF($E$61=6,Dados!$AM$42,IF($E$61=7,Dados!$AO$42,IF($E$61=8,Dados!$AS$42,0)))))))</f>
        <v>0</v>
      </c>
      <c r="EV34" s="304">
        <f>IF($E$61=2,Dados!$AF$42,IF($E$61=3,Dados!$AH$42,IF($E$61=4,Dados!$AJ$42,IF($E$61=5,Dados!$AL$42,IF($E$61=6,Dados!$AN$42,IF($E$61=7,Dados!$AP$42,IF($E$61=8,Dados!$AT$42,0)))))))</f>
        <v>0</v>
      </c>
      <c r="EW34" s="316">
        <f>IF($E$62=2,Dados!$AE$42,IF($E$62=3,Dados!$AG$42,IF($E$62=4,Dados!$AI$42,IF($E$62=5,Dados!$AK$42,IF($E$62=6,Dados!$AM$42,IF($E$62=7,Dados!$AO$42,IF($E$62=8,Dados!$AS$42,0)))))))</f>
        <v>0</v>
      </c>
      <c r="EX34" s="304">
        <f>IF($E$62=2,Dados!$AF$42,IF($E$62=3,Dados!$AH$42,IF($E$62=4,Dados!$AJ$42,IF($E$62=5,Dados!$AL$42,IF($E$62=6,Dados!$AN$42,IF($E$62=7,Dados!$AP$42,IF($E$62=8,Dados!$AT$42,0)))))))</f>
        <v>0</v>
      </c>
      <c r="EY34" s="316">
        <f>IF($E$63=2,Dados!$AE$42,IF($E$63=3,Dados!$AG$42,IF($E$63=4,Dados!$AI$42,IF($E$63=5,Dados!$AK$42,IF($E$63=6,Dados!$AM$42,IF($E$63=7,Dados!$AO$42,IF($E$63=8,Dados!$AS$42,0)))))))</f>
        <v>0</v>
      </c>
      <c r="EZ34" s="304">
        <f>IF($E$63=2,Dados!$AF$42,IF($E$63=3,Dados!$AH$42,IF($E$63=4,Dados!$AJ$42,IF($E$63=5,Dados!$AL$42,IF($E$63=6,Dados!$AN$42,IF($E$63=7,Dados!$AP$42,IF($E$63=8,Dados!$AT$42,0)))))))</f>
        <v>0</v>
      </c>
      <c r="FA34" s="316">
        <f>IF($E$64=2,Dados!$AE$42,IF($E$64=3,Dados!$AG$42,IF($E$64=4,Dados!$AI$42,IF($E$64=5,Dados!$AK$42,IF($E$64=6,Dados!$AM$42,IF($E$64=7,Dados!$AO$42,IF($E$64=8,Dados!$AS$42,0)))))))</f>
        <v>0</v>
      </c>
      <c r="FB34" s="304">
        <f>IF($E$64=2,Dados!$AF$42,IF($E$64=3,Dados!$AH$42,IF($E$64=4,Dados!$AJ$42,IF($E$64=5,Dados!$AL$42,IF($E$64=6,Dados!$AN$42,IF($E$64=7,Dados!$AP$42,IF($E$64=8,Dados!$AT$42,0)))))))</f>
        <v>0</v>
      </c>
      <c r="FC34" s="316">
        <f>IF($E$65=2,Dados!$AE$42,IF($E$65=3,Dados!$AG$42,IF($E$65=4,Dados!$AI$42,IF($E$65=5,Dados!$AK$42,IF($E$65=6,Dados!$AM$42,IF($E$65=7,Dados!$AO$42,IF($E$65=8,Dados!$AS$42,0)))))))</f>
        <v>0</v>
      </c>
      <c r="FD34" s="304">
        <f>IF($E$65=2,Dados!$AF$42,IF($E$65=3,Dados!$AH$42,IF($E$65=4,Dados!$AJ$42,IF($E$65=5,Dados!$AL$42,IF($E$65=6,Dados!$AN$42,IF($E$65=7,Dados!$AP$42,IF($E$65=8,Dados!$AT$42,0)))))))</f>
        <v>0</v>
      </c>
      <c r="FF34" s="316">
        <f>IF($E$70=2,Dados!$AE$42,IF($E$70=3,Dados!$AG$42,IF($E$70=4,Dados!$AI$42,IF($E$70=5,Dados!$AK$42,IF($E$70=6,Dados!$AM$42,IF($E$70=7,Dados!$AO$42,IF($E$70=8,Dados!$AS$42,0)))))))</f>
        <v>0</v>
      </c>
      <c r="FG34" s="304">
        <f>IF($E$70=2,Dados!$AF$42,IF($E$70=3,Dados!$AH$42,IF($E$70=4,Dados!$AJ$42,IF($E$70=5,Dados!$AL$42,IF($E$70=6,Dados!$AN$42,IF($E$70=7,Dados!$AP$42,IF($E$70=8,Dados!$AT$42,0)))))))</f>
        <v>0</v>
      </c>
      <c r="FH34" s="316">
        <f>IF($E$71=2,Dados!$AE$42,IF($E$71=3,Dados!$AG$42,IF($E$71=4,Dados!$AI$42,IF($E$71=5,Dados!$AK$42,IF($E$71=6,Dados!$AM$42,IF($E$71=7,Dados!$AO$42,IF($E$71=8,Dados!$AS$42,0)))))))</f>
        <v>0</v>
      </c>
      <c r="FI34" s="304">
        <f>IF($E$71=2,Dados!$AF$42,IF($E$71=3,Dados!$AH$42,IF($E$71=4,Dados!$AJ$42,IF($E$71=5,Dados!$AL$42,IF($E$71=6,Dados!$AN$42,IF($E$71=7,Dados!$AP$42,IF($E$71=8,Dados!$AT$42,0)))))))</f>
        <v>0</v>
      </c>
      <c r="FJ34" s="316">
        <f>IF($E$72=2,Dados!$AE$42,IF($E$72=3,Dados!$AG$42,IF($E$72=4,Dados!$AI$42,IF($E$72=5,Dados!$AK$42,IF($E$72=6,Dados!$AM$42,IF($E$72=7,Dados!$AO$42,IF($E$72=8,Dados!$AS$42,0)))))))</f>
        <v>0</v>
      </c>
      <c r="FK34" s="304">
        <f>IF($E$72=2,Dados!$AF$42,IF($E$72=3,Dados!$AH$42,IF($E$72=4,Dados!$AJ$42,IF($E$72=5,Dados!$AL$42,IF($E$72=6,Dados!$AN$42,IF($E$72=7,Dados!$AP$42,IF($E$72=8,Dados!$AT$42,0)))))))</f>
        <v>0</v>
      </c>
      <c r="FL34" s="316">
        <f>IF($E$73=2,Dados!$AE$42,IF($E$73=3,Dados!$AG$42,IF($E$73=4,Dados!$AI$42,IF($E$73=5,Dados!$AK$42,IF($E$73=6,Dados!$AM$42,IF($E$73=7,Dados!$AO$42,IF($E$73=8,Dados!$AS$42,0)))))))</f>
        <v>0</v>
      </c>
      <c r="FM34" s="304">
        <f>IF($E$73=2,Dados!$AF$42,IF($E$73=3,Dados!$AH$42,IF($E$73=4,Dados!$AJ$42,IF($E$73=5,Dados!$AL$42,IF($E$73=6,Dados!$AN$42,IF($E$73=7,Dados!$AP$42,IF($E$73=8,Dados!$AT$42,0)))))))</f>
        <v>0</v>
      </c>
      <c r="FN34" s="316">
        <f>IF($E$74=2,Dados!$AE$42,IF($E$74=3,Dados!$AG$42,IF($E$74=4,Dados!$AI$42,IF($E$74=5,Dados!$AK$42,IF($E$74=6,Dados!$AM$42,IF($E$74=7,Dados!$AO$42,IF($E$74=8,Dados!$AS$42,0)))))))</f>
        <v>0</v>
      </c>
      <c r="FO34" s="304">
        <f>IF($E$74=2,Dados!$AF$42,IF($E$74=3,Dados!$AH$42,IF($E$74=4,Dados!$AJ$42,IF($E$74=5,Dados!$AL$42,IF($E$74=6,Dados!$AN$42,IF($E$74=7,Dados!$AP$42,IF($E$74=8,Dados!$AT$42,0)))))))</f>
        <v>0</v>
      </c>
      <c r="FQ34" s="316">
        <f>IF($E$79=2,Dados!$AE$42,IF($E$79=3,Dados!$AG$42,IF($E$79=4,Dados!$AI$42,IF($E$79=5,Dados!$AK$42,IF($E$79=6,Dados!$AM$42,IF($E$79=7,Dados!$AO$42,IF($E$79=8,Dados!$AS$42,0)))))))</f>
        <v>0</v>
      </c>
      <c r="FR34" s="304">
        <f>IF($E$79=2,Dados!$AF$42,IF($E$79=3,Dados!$AH$42,IF($E$79=4,Dados!$AJ$42,IF($E$79=5,Dados!$AL$42,IF($E$79=6,Dados!$AN$42,IF($E$79=7,Dados!$AP$42,IF($E$79=8,Dados!$AT$42,0)))))))</f>
        <v>0</v>
      </c>
      <c r="FS34" s="316">
        <f>IF($E$80=2,Dados!$AE$42,IF($E$80=3,Dados!$AG$42,IF($E$80=4,Dados!$AI$42,IF($E$80=5,Dados!$AK$42,IF($E$80=6,Dados!$AM$42,IF($E$80=7,Dados!$AO$42,IF($E$80=8,Dados!$AS$42,0)))))))</f>
        <v>0</v>
      </c>
      <c r="FT34" s="304">
        <f>IF($E$80=2,Dados!$AF$42,IF($E$80=3,Dados!$AH$42,IF($E$80=4,Dados!$AJ$42,IF($E$80=5,Dados!$AL$42,IF($E$80=6,Dados!$AN$42,IF($E$80=7,Dados!$AP$42,IF($E$80=8,Dados!$AT$42,0)))))))</f>
        <v>0</v>
      </c>
      <c r="FU34" s="316">
        <f>IF($E$81=2,Dados!$AE$42,IF($E$81=3,Dados!$AG$42,IF($E$81=4,Dados!$AI$42,IF($E$81=5,Dados!$AK$42,IF($E$81=6,Dados!$AM$42,IF($E$81=7,Dados!$AO$42,IF($E$81=8,Dados!$AS$42,0)))))))</f>
        <v>0</v>
      </c>
      <c r="FV34" s="304">
        <f>IF($E$81=2,Dados!$AF$42,IF($E$81=3,Dados!$AH$42,IF($E$81=4,Dados!$AJ$42,IF($E$81=5,Dados!$AL$42,IF($E$81=6,Dados!$AN$42,IF($E$81=7,Dados!$AP$42,IF($E$81=8,Dados!$AT$42,0)))))))</f>
        <v>0</v>
      </c>
      <c r="FW34" s="316">
        <f>IF($E$82=2,Dados!$AE$42,IF($E$82=3,Dados!$AG$42,IF($E$82=4,Dados!$AI$42,IF($E$82=5,Dados!$AK$42,IF($E$82=6,Dados!$AM$42,IF($E$82=7,Dados!$AO$42,IF($E$82=8,Dados!$AS$42,0)))))))</f>
        <v>0</v>
      </c>
      <c r="FX34" s="304">
        <f>IF($E$82=2,Dados!$AF$42,IF($E$82=3,Dados!$AH$42,IF($E$82=4,Dados!$AJ$42,IF($E$82=5,Dados!$AL$42,IF($E$82=6,Dados!$AN$42,IF($E$82=7,Dados!$AP$42,IF($E$82=8,Dados!$AT$42,0)))))))</f>
        <v>0</v>
      </c>
      <c r="FY34" s="316">
        <f>IF($E$83=2,Dados!$AE$42,IF($E$83=3,Dados!$AG$42,IF($E$83=4,Dados!$AI$42,IF($E$83=5,Dados!$AK$42,IF($E$83=6,Dados!$AM$42,IF($E$83=7,Dados!$AO$42,IF($E$83=8,Dados!$AS$42,0)))))))</f>
        <v>0</v>
      </c>
      <c r="FZ34" s="304">
        <f>IF($E$83=2,Dados!$AF$42,IF($E$83=3,Dados!$AH$42,IF($E$83=4,Dados!$AJ$42,IF($E$83=5,Dados!$AL$42,IF($E$83=6,Dados!$AN$42,IF($E$83=7,Dados!$AP$42,IF($E$83=8,Dados!$AT$42,0)))))))</f>
        <v>0</v>
      </c>
      <c r="GB34" s="316">
        <f>IF($E$88=2,Dados!$AE$42,IF($E$88=3,Dados!$AG$42,IF($E$88=4,Dados!$AI$42,IF($E$88=5,Dados!$AK$42,IF($E$88=6,Dados!$AM$42,IF($E$88=7,Dados!$AO$42,IF($E$88=8,Dados!$AS$42,0)))))))</f>
        <v>0</v>
      </c>
      <c r="GC34" s="304">
        <f>IF($E$88=2,Dados!$AF$42,IF($E$88=3,Dados!$AH$42,IF($E$88=4,Dados!$AJ$42,IF($E$88=5,Dados!$AL$42,IF($E$88=6,Dados!$AN$42,IF($E$88=7,Dados!$AP$42,IF($E$88=8,Dados!$AT$42,0)))))))</f>
        <v>0</v>
      </c>
      <c r="GD34" s="316">
        <f>IF($E$89=2,Dados!$AE$42,IF($E$89=3,Dados!$AG$42,IF($E$89=4,Dados!$AI$42,IF($E$89=5,Dados!$AK$42,IF($E$89=6,Dados!$AM$42,IF($E$89=7,Dados!$AO$42,IF($E$89=8,Dados!$AS$42,0)))))))</f>
        <v>0</v>
      </c>
      <c r="GE34" s="304">
        <f>IF($E$89=2,Dados!$AF$42,IF($E$89=3,Dados!$AH$42,IF($E$89=4,Dados!$AJ$42,IF($E$89=5,Dados!$AL$42,IF($E$89=6,Dados!$AN$42,IF($E$89=7,Dados!$AP$42,IF($E$89=8,Dados!$AT$42,0)))))))</f>
        <v>0</v>
      </c>
      <c r="GF34" s="316">
        <f>IF($E$90=2,Dados!$AE$42,IF($E$90=3,Dados!$AG$42,IF($E$90=4,Dados!$AI$42,IF($E$90=5,Dados!$AK$42,IF($E$90=6,Dados!$AM$42,IF($E$90=7,Dados!$AO$42,IF($E$90=8,Dados!$AS$42,0)))))))</f>
        <v>0</v>
      </c>
      <c r="GG34" s="304">
        <f>IF($E$90=2,Dados!$AF$42,IF($E$90=3,Dados!$AH$42,IF($E$90=4,Dados!$AJ$42,IF($E$90=5,Dados!$AL$42,IF($E$90=6,Dados!$AN$42,IF($E$90=7,Dados!$AP$42,IF($E$90=8,Dados!$AT$42,0)))))))</f>
        <v>0</v>
      </c>
      <c r="GH34" s="316">
        <f>IF($E$91=2,Dados!$AE$42,IF($E$91=3,Dados!$AG$42,IF($E$91=4,Dados!$AI$42,IF($E$91=5,Dados!$AK$42,IF($E$91=6,Dados!$AM$42,IF($E$91=7,Dados!$AO$42,IF($E$91=8,Dados!$AS$42,0)))))))</f>
        <v>0</v>
      </c>
      <c r="GI34" s="304">
        <f>IF($E$91=2,Dados!$AF$42,IF($E$91=3,Dados!$AH$42,IF($E$91=4,Dados!$AJ$42,IF($E$91=5,Dados!$AL$42,IF($E$91=6,Dados!$AN$42,IF($E$91=7,Dados!$AP$42,IF($E$91=8,Dados!$AT$42,0)))))))</f>
        <v>0</v>
      </c>
      <c r="GJ34" s="316">
        <f>IF($E$92=2,Dados!$AE$42,IF($E$92=3,Dados!$AG$42,IF($E$92=4,Dados!$AI$42,IF($E$92=5,Dados!$AK$42,IF($E$92=6,Dados!$AM$42,IF($E$92=7,Dados!$AO$42,IF($E$92=8,Dados!$AS$42,0)))))))</f>
        <v>0</v>
      </c>
      <c r="GK34" s="304">
        <f>IF($E$92=2,Dados!$AF$42,IF($E$92=3,Dados!$AH$42,IF($E$92=4,Dados!$AJ$42,IF($E$92=5,Dados!$AL$42,IF($E$92=6,Dados!$AN$42,IF($E$92=7,Dados!$AP$42,IF($E$92=8,Dados!$AT$42,0)))))))</f>
        <v>0</v>
      </c>
      <c r="GM34" s="316">
        <f>IF($E$97=2,Dados!$AE$42,IF($E$97=3,Dados!$AG$42,IF($E$97=4,Dados!$AI$42,IF($E$97=5,Dados!$AK$42,IF($E$97=6,Dados!$AM$42,IF($E$97=7,Dados!$AO$42,IF($E$97=8,Dados!$AS$42,0)))))))</f>
        <v>0</v>
      </c>
      <c r="GN34" s="304">
        <f>IF($E$97=2,Dados!$AF$42,IF($E$97=3,Dados!$AH$42,IF($E$97=4,Dados!$AJ$42,IF($E$97=5,Dados!$AL$42,IF($E$97=6,Dados!$AN$42,IF($E$97=7,Dados!$AP$42,IF($E$97=8,Dados!$AT$42,0)))))))</f>
        <v>0</v>
      </c>
      <c r="GO34" s="316">
        <f>IF($E$98=2,Dados!$AE$42,IF($E$98=3,Dados!$AG$42,IF($E$98=4,Dados!$AI$42,IF($E$98=5,Dados!$AK$42,IF($E$98=6,Dados!$AM$42,IF($E$98=7,Dados!$AO$42,IF($E$98=8,Dados!$AS$42,0)))))))</f>
        <v>0</v>
      </c>
      <c r="GP34" s="304">
        <f>IF($E$98=2,Dados!$AF$42,IF($E$98=3,Dados!$AH$42,IF($E$98=4,Dados!$AJ$42,IF($E$98=5,Dados!$AL$42,IF($E$98=6,Dados!$AN$42,IF($E$98=7,Dados!$AP$42,IF($E$98=8,Dados!$AT$42,0)))))))</f>
        <v>0</v>
      </c>
      <c r="GQ34" s="316">
        <f>IF($E$99=2,Dados!$AE$42,IF($E$99=3,Dados!$AG$42,IF($E$99=4,Dados!$AI$42,IF($E$99=5,Dados!$AK$42,IF($E$99=6,Dados!$AM$42,IF($E$99=7,Dados!$AO$42,IF($E$99=8,Dados!$AS$42,0)))))))</f>
        <v>0</v>
      </c>
      <c r="GR34" s="304">
        <f>IF($E$99=2,Dados!$AF$42,IF($E$99=3,Dados!$AH$42,IF($E$99=4,Dados!$AJ$42,IF($E$99=5,Dados!$AL$42,IF($E$99=6,Dados!$AN$42,IF($E$99=7,Dados!$AP$42,IF($E$99=8,Dados!$AT$42,0)))))))</f>
        <v>0</v>
      </c>
      <c r="GS34" s="316">
        <f>IF($E$100=2,Dados!$AE$42,IF($E$100=3,Dados!$AG$42,IF($E$100=4,Dados!$AI$42,IF($E$100=5,Dados!$AK$42,IF($E$100=6,Dados!$AM$42,IF($E$100=7,Dados!$AO$42,IF($E$100=8,Dados!$AS$42,0)))))))</f>
        <v>0</v>
      </c>
      <c r="GT34" s="304">
        <f>IF($E$100=2,Dados!$AF$42,IF($E$100=3,Dados!$AH$42,IF($E$100=4,Dados!$AJ$42,IF($E$100=5,Dados!$AL$42,IF($E$100=6,Dados!$AN$42,IF($E$100=7,Dados!$AP$42,IF($E$100=8,Dados!$AT$42,0)))))))</f>
        <v>0</v>
      </c>
      <c r="GU34" s="316">
        <f>IF($E$101=2,Dados!$AE$42,IF($E$101=3,Dados!$AG$42,IF($E$101=4,Dados!$AI$42,IF($E$101=5,Dados!$AK$42,IF($E$101=6,Dados!$AM$42,IF($E$101=7,Dados!$AO$42,IF($E$101=8,Dados!$AS$42,0)))))))</f>
        <v>0</v>
      </c>
      <c r="GV34" s="304">
        <f>IF($E$101=2,Dados!$AF$42,IF($E$101=3,Dados!$AH$42,IF($E$101=4,Dados!$AJ$42,IF($E$101=5,Dados!$AL$42,IF($E$101=6,Dados!$AN$42,IF($E$101=7,Dados!$AP$42,IF($E$101=8,Dados!$AT$42,0)))))))</f>
        <v>0</v>
      </c>
      <c r="GX34" s="316">
        <f>IF($E$106=2,Dados!$AE$42,IF($E$106=3,Dados!$AG$42,IF($E$106=4,Dados!$AI$42,IF($E$106=5,Dados!$AK$42,IF($E$106=6,Dados!$AM$42,IF($E$106=7,Dados!$AO$42,IF($E$106=8,Dados!$AS$42,0)))))))</f>
        <v>0</v>
      </c>
      <c r="GY34" s="304">
        <f>IF($E$106=2,Dados!$AF$42,IF($E$106=3,Dados!$AH$42,IF($E$106=4,Dados!$AJ$42,IF($E$106=5,Dados!$AL$42,IF($E$106=6,Dados!$AN$42,IF($E$106=7,Dados!$AP$42,IF($E$106=8,Dados!$AT$42,0)))))))</f>
        <v>0</v>
      </c>
      <c r="GZ34" s="316">
        <f>IF($E$107=2,Dados!$AE$42,IF($E$107=3,Dados!$AG$42,IF($E$107=4,Dados!$AI$42,IF($E$107=5,Dados!$AK$42,IF($E$107=6,Dados!$AM$42,IF($E$107=7,Dados!$AO$42,IF($E$107=8,Dados!$AS$42,0)))))))</f>
        <v>0</v>
      </c>
      <c r="HA34" s="304">
        <f>IF($E$107=2,Dados!$AF$42,IF($E$107=3,Dados!$AH$42,IF($E$107=4,Dados!$AJ$42,IF($E$107=5,Dados!$AL$42,IF($E$107=6,Dados!$AN$42,IF($E$107=7,Dados!$AP$42,IF($E$107=8,Dados!$AT$42,0)))))))</f>
        <v>0</v>
      </c>
      <c r="HB34" s="316">
        <f>IF($E$108=2,Dados!$AE$42,IF($E$108=3,Dados!$AG$42,IF($E$108=4,Dados!$AI$42,IF($E$108=5,Dados!$AK$42,IF($E$108=6,Dados!$AM$42,IF($E$108=7,Dados!$AO$42,IF($E$108=8,Dados!$AS$42,0)))))))</f>
        <v>0</v>
      </c>
      <c r="HC34" s="304">
        <f>IF($E$108=2,Dados!$AF$42,IF($E$108=3,Dados!$AH$42,IF($E$108=4,Dados!$AJ$42,IF($E$108=5,Dados!$AL$42,IF($E$108=6,Dados!$AN$42,IF($E$108=7,Dados!$AP$42,IF($E$108=8,Dados!$AT$42,0)))))))</f>
        <v>0</v>
      </c>
      <c r="HD34" s="316">
        <f>IF($E$109=2,Dados!$AE$42,IF($E$109=3,Dados!$AG$42,IF($E$109=4,Dados!$AI$42,IF($E$109=5,Dados!$AK$42,IF($E$109=6,Dados!$AM$42,IF($E$109=7,Dados!$AO$42,IF($E$109=8,Dados!$AS$42,0)))))))</f>
        <v>0</v>
      </c>
      <c r="HE34" s="304">
        <f>IF($E$109=2,Dados!$AF$42,IF($E$109=3,Dados!$AH$42,IF($E$109=4,Dados!$AJ$42,IF($E$109=5,Dados!$AL$42,IF($E$109=6,Dados!$AN$42,IF($E$109=7,Dados!$AP$42,IF($E$109=8,Dados!$AT$42,0)))))))</f>
        <v>0</v>
      </c>
      <c r="HF34" s="316">
        <f>IF($E$110=2,Dados!$AE$42,IF($E$110=3,Dados!$AG$42,IF($E$110=4,Dados!$AI$42,IF($E$110=5,Dados!$AK$42,IF($E$110=6,Dados!$AM$42,IF($E$110=7,Dados!$AO$42,IF($E$110=8,Dados!$AS$42,0)))))))</f>
        <v>0</v>
      </c>
      <c r="HG34" s="304">
        <f>IF($E$110=2,Dados!$AF$42,IF($E$110=3,Dados!$AH$42,IF($E$110=4,Dados!$AJ$42,IF($E$110=5,Dados!$AL$42,IF($E$110=6,Dados!$AN$42,IF($E$110=7,Dados!$AP$42,IF($E$110=8,Dados!$AT$42,0)))))))</f>
        <v>0</v>
      </c>
    </row>
    <row r="35" spans="3:215" ht="15.75" customHeight="1" x14ac:dyDescent="0.2">
      <c r="C35" s="156">
        <f>IF(R35=1,0,S35)</f>
        <v>0</v>
      </c>
      <c r="D35" s="2721"/>
      <c r="E35" s="180">
        <v>1</v>
      </c>
      <c r="F35" s="2718">
        <v>1</v>
      </c>
      <c r="G35" s="2719"/>
      <c r="H35" s="284"/>
      <c r="I35" s="229"/>
      <c r="J35" s="314"/>
      <c r="K35" s="157"/>
      <c r="L35" s="305"/>
      <c r="M35" s="127">
        <f>IF(I35=1,K35,IF(I35=2,K35/J35,IF(I35=3,K35*L35,0)))</f>
        <v>0</v>
      </c>
      <c r="N35" s="3">
        <v>1</v>
      </c>
      <c r="O35" s="30">
        <v>1</v>
      </c>
      <c r="P35" s="837">
        <f>IF(N35=1,0,VLOOKUP(N35,Rebanho!$AN$45:$AV$72,4)*O35)</f>
        <v>0</v>
      </c>
      <c r="Q35" s="838">
        <f>VLOOKUP(N35,Rebanho!$AN$45:$AV$72,7)*O35</f>
        <v>0</v>
      </c>
      <c r="R35" s="3">
        <v>1</v>
      </c>
      <c r="S35" s="29"/>
      <c r="T35" s="102">
        <f>VLOOKUP(R35,'Mão-de-obra'!$CJ$10:$CL$29,3)</f>
        <v>0</v>
      </c>
      <c r="U35" s="102">
        <f>T35*S35</f>
        <v>0</v>
      </c>
      <c r="V35" s="127">
        <f>IF(I35=1,M35*P35,IF(I35=2,M35*Q35*L35,IF(I35=3,M35,0)))</f>
        <v>0</v>
      </c>
      <c r="W35" s="129">
        <f>U35+V35</f>
        <v>0</v>
      </c>
      <c r="X35" s="93">
        <v>1</v>
      </c>
      <c r="Y35" s="93">
        <v>1</v>
      </c>
      <c r="Z35" s="127">
        <f t="shared" ref="Z35:Z38" si="10">IF(P35=0,0,((W35/P35+U35/P35)*O35))</f>
        <v>0</v>
      </c>
      <c r="AW35" s="3" t="s">
        <v>466</v>
      </c>
      <c r="AX35" s="94">
        <f>IF($E34=3,$V34,0)</f>
        <v>240</v>
      </c>
      <c r="AY35" s="94">
        <f>IF($E35=3,$V35,0)</f>
        <v>0</v>
      </c>
      <c r="AZ35" s="94">
        <f>IF($E36=3,$V36,0)</f>
        <v>0</v>
      </c>
      <c r="BA35" s="94">
        <f>IF($E37=3,$V37,0)</f>
        <v>0</v>
      </c>
      <c r="BB35" s="94">
        <f>IF($E38=3,$V38,0)</f>
        <v>0</v>
      </c>
      <c r="BC35" s="200">
        <f t="shared" si="9"/>
        <v>240</v>
      </c>
      <c r="CF35" s="93">
        <v>30</v>
      </c>
      <c r="CG35" s="316">
        <f>IF($E$7=2,Dados!$AE$43,IF($E$7=3,Dados!$AG$43,IF($E$7=4,Dados!$AI$43,IF($E$7=5,Dados!$AK$43,IF($E$7=6,Dados!$AM$43,IF($E$7=7,Dados!$AO$43,IF($E$7=8,Dados!$AS$43,0)))))))</f>
        <v>0</v>
      </c>
      <c r="CH35" s="304">
        <f>IF($E$7=2,Dados!$AF$43,IF($E$7=3,Dados!$AH$43,IF($E$7=4,Dados!$AJ$43,IF($E$7=5,Dados!$AL$43,IF($E$7=6,Dados!$AN$43,IF($E$7=7,Dados!$AP$43,IF($E$7=8,Dados!$AT$43,0)))))))</f>
        <v>0</v>
      </c>
      <c r="CI35" s="316">
        <f>IF($E$8=2,Dados!$AE$43,IF($E$8=3,Dados!$AG$43,IF($E$8=4,Dados!$AI$43,IF($E$8=5,Dados!$AK$43,IF($E$8=6,Dados!$AM$43,IF($E$8=7,Dados!$AO$43,IF($E$8=8,Dados!$AS$43,0)))))))</f>
        <v>0</v>
      </c>
      <c r="CJ35" s="304">
        <f>IF($E$8=2,Dados!$AF$43,IF($E$8=3,Dados!$AH$43,IF($E$8=4,Dados!$AJ$43,IF($E$8=5,Dados!$AL$43,IF($E$8=6,Dados!$AN$43,IF($E$8=7,Dados!$AP$43,IF($E$8=8,Dados!$AT$43,0)))))))</f>
        <v>0</v>
      </c>
      <c r="CK35" s="316">
        <f>IF($E$9=2,Dados!$AE$43,IF($E$9=3,Dados!$AG$43,IF($E$9=4,Dados!$AI$43,IF($E$9=5,Dados!$AK$43,IF($E$9=6,Dados!$AM$43,IF($E$9=7,Dados!$AO$43,IF($E$9=8,Dados!$AS$43,0)))))))</f>
        <v>0</v>
      </c>
      <c r="CL35" s="304">
        <f>IF($E$9=2,Dados!$AF$43,IF($E$9=3,Dados!$AH$43,IF($E$9=4,Dados!$AJ$43,IF($E$9=5,Dados!$AL$43,IF($E$9=6,Dados!$AN$43,IF($E$9=7,Dados!$AP$43,IF($E$9=8,Dados!$AT$43,0)))))))</f>
        <v>0</v>
      </c>
      <c r="CM35" s="316">
        <f>IF($E$10=2,Dados!$AE$43,IF($E$10=3,Dados!$AG$43,IF($E$10=4,Dados!$AI$43,IF($E$10=5,Dados!$AK$43,IF($E$10=6,Dados!$AM$43,IF($E$10=7,Dados!$AO$43,IF($E$10=8,Dados!$AS$43,0)))))))</f>
        <v>0</v>
      </c>
      <c r="CN35" s="304">
        <f>IF($E$10=2,Dados!$AF$43,IF($E$10=3,Dados!$AH$43,IF($E$10=4,Dados!$AJ$43,IF($E$10=5,Dados!$AL$43,IF($E$10=6,Dados!$AN$43,IF($E$10=7,Dados!$AP$43,IF($E$10=8,Dados!$AT$43,0)))))))</f>
        <v>0</v>
      </c>
      <c r="CO35" s="316">
        <f>IF($E$11=2,Dados!$AE$43,IF($E$11=3,Dados!$AG$43,IF($E$11=4,Dados!$AI$43,IF($E$11=5,Dados!$AK$43,IF($E$11=6,Dados!$AM$43,IF($E$11=7,Dados!$AO$43,IF($E$11=8,Dados!$AS$43,0)))))))</f>
        <v>0</v>
      </c>
      <c r="CP35" s="304">
        <f>IF($E$11=2,Dados!$AF$43,IF($E$11=3,Dados!$AH$43,IF($E$11=4,Dados!$AJ$43,IF($E$11=5,Dados!$AL$43,IF($E$11=6,Dados!$AN$43,IF($E$11=7,Dados!$AP$43,IF($E$11=8,Dados!$AT$43,0)))))))</f>
        <v>0</v>
      </c>
      <c r="CR35" s="316">
        <f>IF($E$16=2,Dados!$AE$43,IF($E$16=3,Dados!$AG$43,IF($E$16=4,Dados!$AI$43,IF($E$16=5,Dados!$AK$43,IF($E$16=6,Dados!$AM$43,IF($E$16=7,Dados!$AO$43,IF($E$16=8,Dados!$AS$43,0)))))))</f>
        <v>0</v>
      </c>
      <c r="CS35" s="304">
        <f>IF($E$16=2,Dados!$AF$43,IF($E$16=3,Dados!$AH$43,IF($E$16=4,Dados!$AJ$43,IF($E$16=5,Dados!$AL$43,IF($E$16=6,Dados!$AN$43,IF($E$16=7,Dados!$AP$43,IF($E$16=8,Dados!$AT$43,0)))))))</f>
        <v>0</v>
      </c>
      <c r="CT35" s="316">
        <f>IF($E$17=2,Dados!$AE$43,IF($E$17=3,Dados!$AG$43,IF($E$17=4,Dados!$AI$43,IF($E$17=5,Dados!$AK$43,IF($E$17=6,Dados!$AM$43,IF($E$17=7,Dados!$AO$43,IF($E$17=8,Dados!$AS$43,0)))))))</f>
        <v>0</v>
      </c>
      <c r="CU35" s="304">
        <f>IF($E$17=2,Dados!$AF$43,IF($E$17=3,Dados!$AH$43,IF($E$17=4,Dados!$AJ$43,IF($E$17=5,Dados!$AL$43,IF($E$17=6,Dados!$AN$43,IF($E$17=7,Dados!$AP$43,IF($E$17=8,Dados!$AT$43,0)))))))</f>
        <v>0</v>
      </c>
      <c r="CV35" s="316">
        <f>IF($E$18=2,Dados!$AE$43,IF($E$18=3,Dados!$AG$43,IF($E$18=4,Dados!$AI$43,IF($E$18=5,Dados!$AK$43,IF($E$18=6,Dados!$AM$43,IF($E$18=7,Dados!$AO$43,IF($E$18=8,Dados!$AS$43,0)))))))</f>
        <v>0</v>
      </c>
      <c r="CW35" s="304">
        <f>IF($E$18=2,Dados!$AF$43,IF($E$18=3,Dados!$AH$43,IF($E$18=4,Dados!$AJ$43,IF($E$18=5,Dados!$AL$43,IF($E$18=6,Dados!$AN$43,IF($E$18=7,Dados!$AP$43,IF($E$18=8,Dados!$AT$43,0)))))))</f>
        <v>0</v>
      </c>
      <c r="CX35" s="316">
        <f>IF($E$19=2,Dados!$AE$43,IF($E$19=3,Dados!$AG$43,IF($E$19=4,Dados!$AI$43,IF($E$19=5,Dados!$AK$43,IF($E$19=6,Dados!$AM$43,IF($E$19=7,Dados!$AO$43,IF($E$19=8,Dados!$AS$43,0)))))))</f>
        <v>0</v>
      </c>
      <c r="CY35" s="304">
        <f>IF($E$19=2,Dados!$AF$43,IF($E$19=3,Dados!$AH$43,IF($E$19=4,Dados!$AJ$43,IF($E$19=5,Dados!$AL$43,IF($E$19=6,Dados!$AN$43,IF($E$19=7,Dados!$AP$43,IF($E$19=8,Dados!$AT$43,0)))))))</f>
        <v>0</v>
      </c>
      <c r="CZ35" s="316">
        <f>IF($E$20=2,Dados!$AE$43,IF($E$20=3,Dados!$AG$43,IF($E$20=4,Dados!$AI$43,IF($E$20=5,Dados!$AK$43,IF($E$20=6,Dados!$AM$43,IF($E$20=7,Dados!$AO$43,IF($E$20=8,Dados!$AS$43,0)))))))</f>
        <v>0</v>
      </c>
      <c r="DA35" s="304">
        <f>IF($E$20=2,Dados!$AF$43,IF($E$20=3,Dados!$AH$43,IF($E$20=4,Dados!$AJ$43,IF($E$20=5,Dados!$AL$43,IF($E$20=6,Dados!$AN$43,IF($E$20=7,Dados!$AP$43,IF($E$20=8,Dados!$AT$43,0)))))))</f>
        <v>0</v>
      </c>
      <c r="DC35" s="316">
        <f>IF($E$25=2,Dados!$AE$43,IF($E$25=3,Dados!$AG$43,IF($E$25=4,Dados!$AI$43,IF($E$25=5,Dados!$AK$43,IF($E$25=6,Dados!$AM$43,IF($E$25=7,Dados!$AO$43,IF($E$25=8,Dados!$AS$43,0)))))))</f>
        <v>0</v>
      </c>
      <c r="DD35" s="304">
        <f>IF($E$25=2,Dados!$AF$43,IF($E$25=3,Dados!$AH$43,IF($E$25=4,Dados!$AJ$43,IF($E$25=5,Dados!$AL$43,IF($E$25=6,Dados!$AN$43,IF($E$25=7,Dados!$AP$43,IF($E$25=8,Dados!$AT$43,0)))))))</f>
        <v>0</v>
      </c>
      <c r="DE35" s="316">
        <f>IF($E$26=2,Dados!$AE$43,IF($E$26=3,Dados!$AG$43,IF($E$26=4,Dados!$AI$43,IF($E$26=5,Dados!$AK$43,IF($E$26=6,Dados!$AM$43,IF($E$26=7,Dados!$AO$43,IF($E$26=8,Dados!$AS$43,0)))))))</f>
        <v>0</v>
      </c>
      <c r="DF35" s="304">
        <f>IF($E$26=2,Dados!$AF$43,IF($E$26=3,Dados!$AH$43,IF($E$26=4,Dados!$AJ$43,IF($E$26=5,Dados!$AL$43,IF($E$26=6,Dados!$AN$43,IF($E$26=7,Dados!$AP$43,IF($E$26=8,Dados!$AT$43,0)))))))</f>
        <v>0</v>
      </c>
      <c r="DG35" s="316">
        <f>IF($E$27=2,Dados!$AE$43,IF($E$27=3,Dados!$AG$43,IF($E$27=4,Dados!$AI$43,IF($E$27=5,Dados!$AK$43,IF($E$27=6,Dados!$AM$43,IF($E$27=7,Dados!$AO$43,IF($E$27=8,Dados!$AS$43,0)))))))</f>
        <v>0</v>
      </c>
      <c r="DH35" s="304">
        <f>IF($E$27=2,Dados!$AF$43,IF($E$27=3,Dados!$AH$43,IF($E$27=4,Dados!$AJ$43,IF($E$27=5,Dados!$AL$43,IF($E$27=6,Dados!$AN$43,IF($E$27=7,Dados!$AP$43,IF($E$27=8,Dados!$AT$43,0)))))))</f>
        <v>0</v>
      </c>
      <c r="DI35" s="316">
        <f>IF($E$28=2,Dados!$AE$43,IF($E$28=3,Dados!$AG$43,IF($E$28=4,Dados!$AI$43,IF($E$28=5,Dados!$AK$43,IF($E$28=6,Dados!$AM$43,IF($E$28=7,Dados!$AO$43,IF($E$28=8,Dados!$AS$43,0)))))))</f>
        <v>0</v>
      </c>
      <c r="DJ35" s="304">
        <f>IF($E$28=2,Dados!$AF$43,IF($E$28=3,Dados!$AH$43,IF($E$28=4,Dados!$AJ$43,IF($E$28=5,Dados!$AL$43,IF($E$28=6,Dados!$AN$43,IF($E$28=7,Dados!$AP$43,IF($E$28=8,Dados!$AT$43,0)))))))</f>
        <v>0</v>
      </c>
      <c r="DK35" s="316">
        <f>IF($E$29=2,Dados!$AE$43,IF($E$29=3,Dados!$AG$43,IF($E$29=4,Dados!$AI$43,IF($E$29=5,Dados!$AK$43,IF($E$29=6,Dados!$AM$43,IF($E$29=7,Dados!$AO$43,IF($E$29=8,Dados!$AS$43,0)))))))</f>
        <v>0</v>
      </c>
      <c r="DL35" s="304">
        <f>IF($E$29=2,Dados!$AF$43,IF($E$29=3,Dados!$AH$43,IF($E$29=4,Dados!$AJ$43,IF($E$29=5,Dados!$AL$43,IF($E$29=6,Dados!$AN$43,IF($E$29=7,Dados!$AP$43,IF($E$29=8,Dados!$AT$43,0)))))))</f>
        <v>0</v>
      </c>
      <c r="DN35" s="316">
        <f>IF($E$34=2,Dados!$AE$43,IF($E$34=3,Dados!$AG$43,IF($E$34=4,Dados!$AI$43,IF($E$34=5,Dados!$AK$43,IF($E$34=6,Dados!$AM$43,IF($E$34=7,Dados!$AO$43,IF($E$34=8,Dados!$AS$43,0)))))))</f>
        <v>0</v>
      </c>
      <c r="DO35" s="304">
        <f>IF($E$34=2,Dados!$AF$43,IF($E$34=3,Dados!$AH$43,IF($E$34=4,Dados!$AJ$43,IF($E$34=5,Dados!$AL$43,IF($E$34=6,Dados!$AN$43,IF($E$34=7,Dados!$AP$43,IF($E$34=8,Dados!$AT$43,0)))))))</f>
        <v>0</v>
      </c>
      <c r="DP35" s="316">
        <f>IF($E$35=2,Dados!$AE$43,IF($E$35=3,Dados!$AG$43,IF($E$35=4,Dados!$AI$43,IF($E$35=5,Dados!$AK$43,IF($E$35=6,Dados!$AM$43,IF($E$35=7,Dados!$AO$43,IF($E$35=8,Dados!$AS$43,0)))))))</f>
        <v>0</v>
      </c>
      <c r="DQ35" s="304">
        <f>IF($E$35=2,Dados!$AF$43,IF($E$35=3,Dados!$AH$43,IF($E$35=4,Dados!$AJ$43,IF($E$35=5,Dados!$AL$43,IF($E$35=6,Dados!$AN$43,IF($E$35=7,Dados!$AP$43,IF($E$35=8,Dados!$AT$43,0)))))))</f>
        <v>0</v>
      </c>
      <c r="DR35" s="316">
        <f>IF($E$36=2,Dados!$AE$43,IF($E$36=3,Dados!$AG$43,IF($E$36=4,Dados!$AI$43,IF($E$36=5,Dados!$AK$43,IF($E$36=6,Dados!$AM$43,IF($E$36=7,Dados!$AO$43,IF($E$36=8,Dados!$AS$43,0)))))))</f>
        <v>0</v>
      </c>
      <c r="DS35" s="304">
        <f>IF($E$36=2,Dados!$AF$43,IF($E$36=3,Dados!$AH$43,IF($E$36=4,Dados!$AJ$43,IF($E$36=5,Dados!$AL$43,IF($E$36=6,Dados!$AN$43,IF($E$36=7,Dados!$AP$43,IF($E$36=8,Dados!$AT$43,0)))))))</f>
        <v>0</v>
      </c>
      <c r="DT35" s="316">
        <f>IF($E$37=2,Dados!$AE$43,IF($E$37=3,Dados!$AG$43,IF($E$37=4,Dados!$AI$43,IF($E$37=5,Dados!$AK$43,IF($E$37=6,Dados!$AM$43,IF($E$37=7,Dados!$AO$43,IF($E$37=8,Dados!$AS$43,0)))))))</f>
        <v>0</v>
      </c>
      <c r="DU35" s="304">
        <f>IF($E$37=2,Dados!$AF$43,IF($E$37=3,Dados!$AH$43,IF($E$37=4,Dados!$AJ$43,IF($E$37=5,Dados!$AL$43,IF($E$37=6,Dados!$AN$43,IF($E$37=7,Dados!$AP$43,IF($E$37=8,Dados!$AT$43,0)))))))</f>
        <v>0</v>
      </c>
      <c r="DV35" s="316">
        <f>IF($E$38=2,Dados!$AE$43,IF($E$38=3,Dados!$AG$43,IF($E$38=4,Dados!$AI$43,IF($E$38=5,Dados!$AK$43,IF($E$38=6,Dados!$AM$43,IF($E$38=7,Dados!$AO$43,IF($E$38=8,Dados!$AS$43,0)))))))</f>
        <v>0</v>
      </c>
      <c r="DW35" s="304">
        <f>IF($E$38=2,Dados!$AF$43,IF($E$38=3,Dados!$AH$43,IF($E$38=4,Dados!$AJ$43,IF($E$38=5,Dados!$AL$43,IF($E$38=6,Dados!$AN$43,IF($E$38=7,Dados!$AP$43,IF($E$38=8,Dados!$AT$43,0)))))))</f>
        <v>0</v>
      </c>
      <c r="DY35" s="316">
        <f>IF($E$43=2,Dados!$AE$43,IF($E$43=3,Dados!$AG$43,IF($E$43=4,Dados!$AI$43,IF($E$43=5,Dados!$AK$43,IF($E$43=6,Dados!$AM$43,IF($E$43=7,Dados!$AO$43,IF($E$43=8,Dados!$AS$43,0)))))))</f>
        <v>0</v>
      </c>
      <c r="DZ35" s="304">
        <f>IF($E$43=2,Dados!$AF$43,IF($E$43=3,Dados!$AH$43,IF($E$43=4,Dados!$AJ$43,IF($E$43=5,Dados!$AL$43,IF($E$43=6,Dados!$AN$43,IF($E$43=7,Dados!$AP$43,IF($E$43=8,Dados!$AT$43,0)))))))</f>
        <v>0</v>
      </c>
      <c r="EA35" s="316">
        <f>IF($E$44=2,Dados!$AE$43,IF($E$44=3,Dados!$AG$43,IF($E$44=4,Dados!$AI$43,IF($E$44=5,Dados!$AK$43,IF($E$44=6,Dados!$AM$43,IF($E$44=7,Dados!$AO$43,IF($E$44=8,Dados!$AS$43,0)))))))</f>
        <v>0</v>
      </c>
      <c r="EB35" s="304">
        <f>IF($E$44=2,Dados!$AF$43,IF($E$44=3,Dados!$AH$43,IF($E$44=4,Dados!$AJ$43,IF($E$44=5,Dados!$AL$43,IF($E$44=6,Dados!$AN$43,IF($E$44=7,Dados!$AP$43,IF($E$44=8,Dados!$AT$43,0)))))))</f>
        <v>0</v>
      </c>
      <c r="EC35" s="316">
        <f>IF($E$45=2,Dados!$AE$43,IF($E$45=3,Dados!$AG$43,IF($E$45=4,Dados!$AI$43,IF($E$45=5,Dados!$AK$43,IF($E$45=6,Dados!$AM$43,IF($E$45=7,Dados!$AO$43,IF($E$45=8,Dados!$AS$43,0)))))))</f>
        <v>0</v>
      </c>
      <c r="ED35" s="304">
        <f>IF($E$45=2,Dados!$AF$43,IF($E$45=3,Dados!$AH$43,IF($E$45=4,Dados!$AJ$43,IF($E$45=5,Dados!$AL$43,IF($E$45=6,Dados!$AN$43,IF($E$45=7,Dados!$AP$43,IF($E$45=8,Dados!$AT$43,0)))))))</f>
        <v>0</v>
      </c>
      <c r="EE35" s="316">
        <f>IF($E$46=2,Dados!$AE$43,IF($E$46=3,Dados!$AG$43,IF($E$46=4,Dados!$AI$43,IF($E$46=5,Dados!$AK$43,IF($E$46=6,Dados!$AM$43,IF($E$46=7,Dados!$AO$43,IF($E$46=8,Dados!$AS$43,0)))))))</f>
        <v>0</v>
      </c>
      <c r="EF35" s="304">
        <f>IF($E$46=2,Dados!$AF$43,IF($E$46=3,Dados!$AH$43,IF($E$46=4,Dados!$AJ$43,IF($E$46=5,Dados!$AL$43,IF($E$46=6,Dados!$AN$43,IF($E$46=7,Dados!$AP$43,IF($E$46=8,Dados!$AT$43,0)))))))</f>
        <v>0</v>
      </c>
      <c r="EG35" s="316">
        <f>IF($E$47=2,Dados!$AE$43,IF($E$47=3,Dados!$AG$43,IF($E$47=4,Dados!$AI$43,IF($E$47=5,Dados!$AK$43,IF($E$47=6,Dados!$AM$43,IF($E$47=7,Dados!$AO$43,IF($E$47=8,Dados!$AS$43,0)))))))</f>
        <v>0</v>
      </c>
      <c r="EH35" s="304">
        <f>IF($E$47=2,Dados!$AF$43,IF($E$47=3,Dados!$AH$43,IF($E$47=4,Dados!$AJ$43,IF($E$47=5,Dados!$AL$43,IF($E$47=6,Dados!$AN$43,IF($E$47=7,Dados!$AP$43,IF($E$47=8,Dados!$AT$43,0)))))))</f>
        <v>0</v>
      </c>
      <c r="EJ35" s="316">
        <f>IF($E$52=2,Dados!$AE$43,IF($E$52=3,Dados!$AG$43,IF($E$52=4,Dados!$AI$43,IF($E$52=5,Dados!$AK$43,IF($E$52=6,Dados!$AM$43,IF($E$52=7,Dados!$AO$43,IF($E$52=8,Dados!$AS$43,0)))))))</f>
        <v>0</v>
      </c>
      <c r="EK35" s="304">
        <f>IF($E$52=2,Dados!$AF$43,IF($E$52=3,Dados!$AH$43,IF($E$52=4,Dados!$AJ$43,IF($E$52=5,Dados!$AL$43,IF($E$52=6,Dados!$AN$43,IF($E$52=7,Dados!$AP$43,IF($E$52=8,Dados!$AT$43,0)))))))</f>
        <v>0</v>
      </c>
      <c r="EL35" s="316">
        <f>IF($E$53=2,Dados!$AE$43,IF($E$53=3,Dados!$AG$43,IF($E$53=4,Dados!$AI$43,IF($E$53=5,Dados!$AK$43,IF($E$53=6,Dados!$AM$43,IF($E$53=7,Dados!$AO$43,IF($E$53=8,Dados!$AS$43,0)))))))</f>
        <v>0</v>
      </c>
      <c r="EM35" s="304">
        <f>IF($E$53=2,Dados!$AF$43,IF($E$53=3,Dados!$AH$43,IF($E$53=4,Dados!$AJ$43,IF($E$53=5,Dados!$AL$43,IF($E$53=6,Dados!$AN$43,IF($E$53=7,Dados!$AP$43,IF($E$53=8,Dados!$AT$43,0)))))))</f>
        <v>0</v>
      </c>
      <c r="EN35" s="316">
        <f>IF($E$54=2,Dados!$AE$43,IF($E$54=3,Dados!$AG$43,IF($E$54=4,Dados!$AI$43,IF($E$54=5,Dados!$AK$43,IF($E$54=6,Dados!$AM$43,IF($E$54=7,Dados!$AO$43,IF($E$54=8,Dados!$AS$43,0)))))))</f>
        <v>0</v>
      </c>
      <c r="EO35" s="304">
        <f>IF($E$54=2,Dados!$AF$43,IF($E$54=3,Dados!$AH$43,IF($E$54=4,Dados!$AJ$43,IF($E$54=5,Dados!$AL$43,IF($E$54=6,Dados!$AN$43,IF($E$54=7,Dados!$AP$43,IF($E$54=8,Dados!$AT$43,0)))))))</f>
        <v>0</v>
      </c>
      <c r="EP35" s="316">
        <f>IF($E$55=2,Dados!$AE$43,IF($E$55=3,Dados!$AG$43,IF($E$55=4,Dados!$AI$43,IF($E$55=5,Dados!$AK$43,IF($E$55=6,Dados!$AM$43,IF($E$55=7,Dados!$AO$43,IF($E$55=8,Dados!$AS$43,0)))))))</f>
        <v>0</v>
      </c>
      <c r="EQ35" s="304">
        <f>IF($E$55=2,Dados!$AF$43,IF($E$55=3,Dados!$AH$43,IF($E$55=4,Dados!$AJ$43,IF($E$55=5,Dados!$AL$43,IF($E$55=6,Dados!$AN$43,IF($E$55=7,Dados!$AP$43,IF($E$55=8,Dados!$AT$43,0)))))))</f>
        <v>0</v>
      </c>
      <c r="ER35" s="316">
        <f>IF($E$56=2,Dados!$AE$43,IF($E$56=3,Dados!$AG$43,IF($E$56=4,Dados!$AI$43,IF($E$56=5,Dados!$AK$43,IF($E$56=6,Dados!$AM$43,IF($E$56=7,Dados!$AO$43,IF($E$56=8,Dados!$AS$43,0)))))))</f>
        <v>0</v>
      </c>
      <c r="ES35" s="304">
        <f>IF($E$56=2,Dados!$AF$43,IF($E$56=3,Dados!$AH$43,IF($E$56=4,Dados!$AJ$43,IF($E$56=5,Dados!$AL$43,IF($E$56=6,Dados!$AN$43,IF($E$56=7,Dados!$AP$43,IF($E$56=8,Dados!$AT$43,0)))))))</f>
        <v>0</v>
      </c>
      <c r="EU35" s="316">
        <f>IF($E$61=2,Dados!$AE$43,IF($E$61=3,Dados!$AG$43,IF($E$61=4,Dados!$AI$43,IF($E$61=5,Dados!$AK$43,IF($E$61=6,Dados!$AM$43,IF($E$61=7,Dados!$AO$43,IF($E$61=8,Dados!$AS$43,0)))))))</f>
        <v>0</v>
      </c>
      <c r="EV35" s="304">
        <f>IF($E$61=2,Dados!$AF$43,IF($E$61=3,Dados!$AH$43,IF($E$61=4,Dados!$AJ$43,IF($E$61=5,Dados!$AL$43,IF($E$61=6,Dados!$AN$43,IF($E$61=7,Dados!$AP$43,IF($E$61=8,Dados!$AT$43,0)))))))</f>
        <v>0</v>
      </c>
      <c r="EW35" s="316">
        <f>IF($E$62=2,Dados!$AE$43,IF($E$62=3,Dados!$AG$43,IF($E$62=4,Dados!$AI$43,IF($E$62=5,Dados!$AK$43,IF($E$62=6,Dados!$AM$43,IF($E$62=7,Dados!$AO$43,IF($E$62=8,Dados!$AS$43,0)))))))</f>
        <v>0</v>
      </c>
      <c r="EX35" s="304">
        <f>IF($E$62=2,Dados!$AF$43,IF($E$62=3,Dados!$AH$43,IF($E$62=4,Dados!$AJ$43,IF($E$62=5,Dados!$AL$43,IF($E$62=6,Dados!$AN$43,IF($E$62=7,Dados!$AP$43,IF($E$62=8,Dados!$AT$43,0)))))))</f>
        <v>0</v>
      </c>
      <c r="EY35" s="316">
        <f>IF($E$63=2,Dados!$AE$43,IF($E$63=3,Dados!$AG$43,IF($E$63=4,Dados!$AI$43,IF($E$63=5,Dados!$AK$43,IF($E$63=6,Dados!$AM$43,IF($E$63=7,Dados!$AO$43,IF($E$63=8,Dados!$AS$43,0)))))))</f>
        <v>0</v>
      </c>
      <c r="EZ35" s="304">
        <f>IF($E$63=2,Dados!$AF$43,IF($E$63=3,Dados!$AH$43,IF($E$63=4,Dados!$AJ$43,IF($E$63=5,Dados!$AL$43,IF($E$63=6,Dados!$AN$43,IF($E$63=7,Dados!$AP$43,IF($E$63=8,Dados!$AT$43,0)))))))</f>
        <v>0</v>
      </c>
      <c r="FA35" s="316">
        <f>IF($E$64=2,Dados!$AE$43,IF($E$64=3,Dados!$AG$43,IF($E$64=4,Dados!$AI$43,IF($E$64=5,Dados!$AK$43,IF($E$64=6,Dados!$AM$43,IF($E$64=7,Dados!$AO$43,IF($E$64=8,Dados!$AS$43,0)))))))</f>
        <v>0</v>
      </c>
      <c r="FB35" s="304">
        <f>IF($E$64=2,Dados!$AF$43,IF($E$64=3,Dados!$AH$43,IF($E$64=4,Dados!$AJ$43,IF($E$64=5,Dados!$AL$43,IF($E$64=6,Dados!$AN$43,IF($E$64=7,Dados!$AP$43,IF($E$64=8,Dados!$AT$43,0)))))))</f>
        <v>0</v>
      </c>
      <c r="FC35" s="316">
        <f>IF($E$65=2,Dados!$AE$43,IF($E$65=3,Dados!$AG$43,IF($E$65=4,Dados!$AI$43,IF($E$65=5,Dados!$AK$43,IF($E$65=6,Dados!$AM$43,IF($E$65=7,Dados!$AO$43,IF($E$65=8,Dados!$AS$43,0)))))))</f>
        <v>0</v>
      </c>
      <c r="FD35" s="304">
        <f>IF($E$65=2,Dados!$AF$43,IF($E$65=3,Dados!$AH$43,IF($E$65=4,Dados!$AJ$43,IF($E$65=5,Dados!$AL$43,IF($E$65=6,Dados!$AN$43,IF($E$65=7,Dados!$AP$43,IF($E$65=8,Dados!$AT$43,0)))))))</f>
        <v>0</v>
      </c>
      <c r="FF35" s="316">
        <f>IF($E$70=2,Dados!$AE$43,IF($E$70=3,Dados!$AG$43,IF($E$70=4,Dados!$AI$43,IF($E$70=5,Dados!$AK$43,IF($E$70=6,Dados!$AM$43,IF($E$70=7,Dados!$AO$43,IF($E$70=8,Dados!$AS$43,0)))))))</f>
        <v>0</v>
      </c>
      <c r="FG35" s="304">
        <f>IF($E$70=2,Dados!$AF$43,IF($E$70=3,Dados!$AH$43,IF($E$70=4,Dados!$AJ$43,IF($E$70=5,Dados!$AL$43,IF($E$70=6,Dados!$AN$43,IF($E$70=7,Dados!$AP$43,IF($E$70=8,Dados!$AT$43,0)))))))</f>
        <v>0</v>
      </c>
      <c r="FH35" s="316">
        <f>IF($E$71=2,Dados!$AE$43,IF($E$71=3,Dados!$AG$43,IF($E$71=4,Dados!$AI$43,IF($E$71=5,Dados!$AK$43,IF($E$71=6,Dados!$AM$43,IF($E$71=7,Dados!$AO$43,IF($E$71=8,Dados!$AS$43,0)))))))</f>
        <v>0</v>
      </c>
      <c r="FI35" s="304">
        <f>IF($E$71=2,Dados!$AF$43,IF($E$71=3,Dados!$AH$43,IF($E$71=4,Dados!$AJ$43,IF($E$71=5,Dados!$AL$43,IF($E$71=6,Dados!$AN$43,IF($E$71=7,Dados!$AP$43,IF($E$71=8,Dados!$AT$43,0)))))))</f>
        <v>0</v>
      </c>
      <c r="FJ35" s="316">
        <f>IF($E$72=2,Dados!$AE$43,IF($E$72=3,Dados!$AG$43,IF($E$72=4,Dados!$AI$43,IF($E$72=5,Dados!$AK$43,IF($E$72=6,Dados!$AM$43,IF($E$72=7,Dados!$AO$43,IF($E$72=8,Dados!$AS$43,0)))))))</f>
        <v>0</v>
      </c>
      <c r="FK35" s="304">
        <f>IF($E$72=2,Dados!$AF$43,IF($E$72=3,Dados!$AH$43,IF($E$72=4,Dados!$AJ$43,IF($E$72=5,Dados!$AL$43,IF($E$72=6,Dados!$AN$43,IF($E$72=7,Dados!$AP$43,IF($E$72=8,Dados!$AT$43,0)))))))</f>
        <v>0</v>
      </c>
      <c r="FL35" s="316">
        <f>IF($E$73=2,Dados!$AE$43,IF($E$73=3,Dados!$AG$43,IF($E$73=4,Dados!$AI$43,IF($E$73=5,Dados!$AK$43,IF($E$73=6,Dados!$AM$43,IF($E$73=7,Dados!$AO$43,IF($E$73=8,Dados!$AS$43,0)))))))</f>
        <v>0</v>
      </c>
      <c r="FM35" s="304">
        <f>IF($E$73=2,Dados!$AF$43,IF($E$73=3,Dados!$AH$43,IF($E$73=4,Dados!$AJ$43,IF($E$73=5,Dados!$AL$43,IF($E$73=6,Dados!$AN$43,IF($E$73=7,Dados!$AP$43,IF($E$73=8,Dados!$AT$43,0)))))))</f>
        <v>0</v>
      </c>
      <c r="FN35" s="316">
        <f>IF($E$74=2,Dados!$AE$43,IF($E$74=3,Dados!$AG$43,IF($E$74=4,Dados!$AI$43,IF($E$74=5,Dados!$AK$43,IF($E$74=6,Dados!$AM$43,IF($E$74=7,Dados!$AO$43,IF($E$74=8,Dados!$AS$43,0)))))))</f>
        <v>0</v>
      </c>
      <c r="FO35" s="304">
        <f>IF($E$74=2,Dados!$AF$43,IF($E$74=3,Dados!$AH$43,IF($E$74=4,Dados!$AJ$43,IF($E$74=5,Dados!$AL$43,IF($E$74=6,Dados!$AN$43,IF($E$74=7,Dados!$AP$43,IF($E$74=8,Dados!$AT$43,0)))))))</f>
        <v>0</v>
      </c>
      <c r="FQ35" s="316">
        <f>IF($E$79=2,Dados!$AE$43,IF($E$79=3,Dados!$AG$43,IF($E$79=4,Dados!$AI$43,IF($E$79=5,Dados!$AK$43,IF($E$79=6,Dados!$AM$43,IF($E$79=7,Dados!$AO$43,IF($E$79=8,Dados!$AS$43,0)))))))</f>
        <v>0</v>
      </c>
      <c r="FR35" s="304">
        <f>IF($E$79=2,Dados!$AF$43,IF($E$79=3,Dados!$AH$43,IF($E$79=4,Dados!$AJ$43,IF($E$79=5,Dados!$AL$43,IF($E$79=6,Dados!$AN$43,IF($E$79=7,Dados!$AP$43,IF($E$79=8,Dados!$AT$43,0)))))))</f>
        <v>0</v>
      </c>
      <c r="FS35" s="316">
        <f>IF($E$80=2,Dados!$AE$43,IF($E$80=3,Dados!$AG$43,IF($E$80=4,Dados!$AI$43,IF($E$80=5,Dados!$AK$43,IF($E$80=6,Dados!$AM$43,IF($E$80=7,Dados!$AO$43,IF($E$80=8,Dados!$AS$43,0)))))))</f>
        <v>0</v>
      </c>
      <c r="FT35" s="304">
        <f>IF($E$80=2,Dados!$AF$43,IF($E$80=3,Dados!$AH$43,IF($E$80=4,Dados!$AJ$43,IF($E$80=5,Dados!$AL$43,IF($E$80=6,Dados!$AN$43,IF($E$80=7,Dados!$AP$43,IF($E$80=8,Dados!$AT$43,0)))))))</f>
        <v>0</v>
      </c>
      <c r="FU35" s="316">
        <f>IF($E$81=2,Dados!$AE$43,IF($E$81=3,Dados!$AG$43,IF($E$81=4,Dados!$AI$43,IF($E$81=5,Dados!$AK$43,IF($E$81=6,Dados!$AM$43,IF($E$81=7,Dados!$AO$43,IF($E$81=8,Dados!$AS$43,0)))))))</f>
        <v>0</v>
      </c>
      <c r="FV35" s="304">
        <f>IF($E$81=2,Dados!$AF$43,IF($E$81=3,Dados!$AH$43,IF($E$81=4,Dados!$AJ$43,IF($E$81=5,Dados!$AL$43,IF($E$81=6,Dados!$AN$43,IF($E$81=7,Dados!$AP$43,IF($E$81=8,Dados!$AT$43,0)))))))</f>
        <v>0</v>
      </c>
      <c r="FW35" s="316">
        <f>IF($E$82=2,Dados!$AE$43,IF($E$82=3,Dados!$AG$43,IF($E$82=4,Dados!$AI$43,IF($E$82=5,Dados!$AK$43,IF($E$82=6,Dados!$AM$43,IF($E$82=7,Dados!$AO$43,IF($E$82=8,Dados!$AS$43,0)))))))</f>
        <v>0</v>
      </c>
      <c r="FX35" s="304">
        <f>IF($E$82=2,Dados!$AF$43,IF($E$82=3,Dados!$AH$43,IF($E$82=4,Dados!$AJ$43,IF($E$82=5,Dados!$AL$43,IF($E$82=6,Dados!$AN$43,IF($E$82=7,Dados!$AP$43,IF($E$82=8,Dados!$AT$43,0)))))))</f>
        <v>0</v>
      </c>
      <c r="FY35" s="316">
        <f>IF($E$83=2,Dados!$AE$43,IF($E$83=3,Dados!$AG$43,IF($E$83=4,Dados!$AI$43,IF($E$83=5,Dados!$AK$43,IF($E$83=6,Dados!$AM$43,IF($E$83=7,Dados!$AO$43,IF($E$83=8,Dados!$AS$43,0)))))))</f>
        <v>0</v>
      </c>
      <c r="FZ35" s="304">
        <f>IF($E$83=2,Dados!$AF$43,IF($E$83=3,Dados!$AH$43,IF($E$83=4,Dados!$AJ$43,IF($E$83=5,Dados!$AL$43,IF($E$83=6,Dados!$AN$43,IF($E$83=7,Dados!$AP$43,IF($E$83=8,Dados!$AT$43,0)))))))</f>
        <v>0</v>
      </c>
      <c r="GB35" s="316">
        <f>IF($E$88=2,Dados!$AE$43,IF($E$88=3,Dados!$AG$43,IF($E$88=4,Dados!$AI$43,IF($E$88=5,Dados!$AK$43,IF($E$88=6,Dados!$AM$43,IF($E$88=7,Dados!$AO$43,IF($E$88=8,Dados!$AS$43,0)))))))</f>
        <v>0</v>
      </c>
      <c r="GC35" s="304">
        <f>IF($E$88=2,Dados!$AF$43,IF($E$88=3,Dados!$AH$43,IF($E$88=4,Dados!$AJ$43,IF($E$88=5,Dados!$AL$43,IF($E$88=6,Dados!$AN$43,IF($E$88=7,Dados!$AP$43,IF($E$88=8,Dados!$AT$43,0)))))))</f>
        <v>0</v>
      </c>
      <c r="GD35" s="316">
        <f>IF($E$89=2,Dados!$AE$43,IF($E$89=3,Dados!$AG$43,IF($E$89=4,Dados!$AI$43,IF($E$89=5,Dados!$AK$43,IF($E$89=6,Dados!$AM$43,IF($E$89=7,Dados!$AO$43,IF($E$89=8,Dados!$AS$43,0)))))))</f>
        <v>0</v>
      </c>
      <c r="GE35" s="304">
        <f>IF($E$89=2,Dados!$AF$43,IF($E$89=3,Dados!$AH$43,IF($E$89=4,Dados!$AJ$43,IF($E$89=5,Dados!$AL$43,IF($E$89=6,Dados!$AN$43,IF($E$89=7,Dados!$AP$43,IF($E$89=8,Dados!$AT$43,0)))))))</f>
        <v>0</v>
      </c>
      <c r="GF35" s="316">
        <f>IF($E$90=2,Dados!$AE$43,IF($E$90=3,Dados!$AG$43,IF($E$90=4,Dados!$AI$43,IF($E$90=5,Dados!$AK$43,IF($E$90=6,Dados!$AM$43,IF($E$90=7,Dados!$AO$43,IF($E$90=8,Dados!$AS$43,0)))))))</f>
        <v>0</v>
      </c>
      <c r="GG35" s="304">
        <f>IF($E$90=2,Dados!$AF$43,IF($E$90=3,Dados!$AH$43,IF($E$90=4,Dados!$AJ$43,IF($E$90=5,Dados!$AL$43,IF($E$90=6,Dados!$AN$43,IF($E$90=7,Dados!$AP$43,IF($E$90=8,Dados!$AT$43,0)))))))</f>
        <v>0</v>
      </c>
      <c r="GH35" s="316">
        <f>IF($E$91=2,Dados!$AE$43,IF($E$91=3,Dados!$AG$43,IF($E$91=4,Dados!$AI$43,IF($E$91=5,Dados!$AK$43,IF($E$91=6,Dados!$AM$43,IF($E$91=7,Dados!$AO$43,IF($E$91=8,Dados!$AS$43,0)))))))</f>
        <v>0</v>
      </c>
      <c r="GI35" s="304">
        <f>IF($E$91=2,Dados!$AF$43,IF($E$91=3,Dados!$AH$43,IF($E$91=4,Dados!$AJ$43,IF($E$91=5,Dados!$AL$43,IF($E$91=6,Dados!$AN$43,IF($E$91=7,Dados!$AP$43,IF($E$91=8,Dados!$AT$43,0)))))))</f>
        <v>0</v>
      </c>
      <c r="GJ35" s="316">
        <f>IF($E$92=2,Dados!$AE$43,IF($E$92=3,Dados!$AG$43,IF($E$92=4,Dados!$AI$43,IF($E$92=5,Dados!$AK$43,IF($E$92=6,Dados!$AM$43,IF($E$92=7,Dados!$AO$43,IF($E$92=8,Dados!$AS$43,0)))))))</f>
        <v>0</v>
      </c>
      <c r="GK35" s="304">
        <f>IF($E$92=2,Dados!$AF$43,IF($E$92=3,Dados!$AH$43,IF($E$92=4,Dados!$AJ$43,IF($E$92=5,Dados!$AL$43,IF($E$92=6,Dados!$AN$43,IF($E$92=7,Dados!$AP$43,IF($E$92=8,Dados!$AT$43,0)))))))</f>
        <v>0</v>
      </c>
      <c r="GM35" s="316">
        <f>IF($E$97=2,Dados!$AE$43,IF($E$97=3,Dados!$AG$43,IF($E$97=4,Dados!$AI$43,IF($E$97=5,Dados!$AK$43,IF($E$97=6,Dados!$AM$43,IF($E$97=7,Dados!$AO$43,IF($E$97=8,Dados!$AS$43,0)))))))</f>
        <v>0</v>
      </c>
      <c r="GN35" s="304">
        <f>IF($E$97=2,Dados!$AF$43,IF($E$97=3,Dados!$AH$43,IF($E$97=4,Dados!$AJ$43,IF($E$97=5,Dados!$AL$43,IF($E$97=6,Dados!$AN$43,IF($E$97=7,Dados!$AP$43,IF($E$97=8,Dados!$AT$43,0)))))))</f>
        <v>0</v>
      </c>
      <c r="GO35" s="316">
        <f>IF($E$98=2,Dados!$AE$43,IF($E$98=3,Dados!$AG$43,IF($E$98=4,Dados!$AI$43,IF($E$98=5,Dados!$AK$43,IF($E$98=6,Dados!$AM$43,IF($E$98=7,Dados!$AO$43,IF($E$98=8,Dados!$AS$43,0)))))))</f>
        <v>0</v>
      </c>
      <c r="GP35" s="304">
        <f>IF($E$98=2,Dados!$AF$43,IF($E$98=3,Dados!$AH$43,IF($E$98=4,Dados!$AJ$43,IF($E$98=5,Dados!$AL$43,IF($E$98=6,Dados!$AN$43,IF($E$98=7,Dados!$AP$43,IF($E$98=8,Dados!$AT$43,0)))))))</f>
        <v>0</v>
      </c>
      <c r="GQ35" s="316">
        <f>IF($E$99=2,Dados!$AE$43,IF($E$99=3,Dados!$AG$43,IF($E$99=4,Dados!$AI$43,IF($E$99=5,Dados!$AK$43,IF($E$99=6,Dados!$AM$43,IF($E$99=7,Dados!$AO$43,IF($E$99=8,Dados!$AS$43,0)))))))</f>
        <v>0</v>
      </c>
      <c r="GR35" s="304">
        <f>IF($E$99=2,Dados!$AF$43,IF($E$99=3,Dados!$AH$43,IF($E$99=4,Dados!$AJ$43,IF($E$99=5,Dados!$AL$43,IF($E$99=6,Dados!$AN$43,IF($E$99=7,Dados!$AP$43,IF($E$99=8,Dados!$AT$43,0)))))))</f>
        <v>0</v>
      </c>
      <c r="GS35" s="316">
        <f>IF($E$100=2,Dados!$AE$43,IF($E$100=3,Dados!$AG$43,IF($E$100=4,Dados!$AI$43,IF($E$100=5,Dados!$AK$43,IF($E$100=6,Dados!$AM$43,IF($E$100=7,Dados!$AO$43,IF($E$100=8,Dados!$AS$43,0)))))))</f>
        <v>0</v>
      </c>
      <c r="GT35" s="304">
        <f>IF($E$100=2,Dados!$AF$43,IF($E$100=3,Dados!$AH$43,IF($E$100=4,Dados!$AJ$43,IF($E$100=5,Dados!$AL$43,IF($E$100=6,Dados!$AN$43,IF($E$100=7,Dados!$AP$43,IF($E$100=8,Dados!$AT$43,0)))))))</f>
        <v>0</v>
      </c>
      <c r="GU35" s="316">
        <f>IF($E$101=2,Dados!$AE$43,IF($E$101=3,Dados!$AG$43,IF($E$101=4,Dados!$AI$43,IF($E$101=5,Dados!$AK$43,IF($E$101=6,Dados!$AM$43,IF($E$101=7,Dados!$AO$43,IF($E$101=8,Dados!$AS$43,0)))))))</f>
        <v>0</v>
      </c>
      <c r="GV35" s="304">
        <f>IF($E$101=2,Dados!$AF$43,IF($E$101=3,Dados!$AH$43,IF($E$101=4,Dados!$AJ$43,IF($E$101=5,Dados!$AL$43,IF($E$101=6,Dados!$AN$43,IF($E$101=7,Dados!$AP$43,IF($E$101=8,Dados!$AT$43,0)))))))</f>
        <v>0</v>
      </c>
      <c r="GX35" s="316">
        <f>IF($E$106=2,Dados!$AE$43,IF($E$106=3,Dados!$AG$43,IF($E$106=4,Dados!$AI$43,IF($E$106=5,Dados!$AK$43,IF($E$106=6,Dados!$AM$43,IF($E$106=7,Dados!$AO$43,IF($E$106=8,Dados!$AS$43,0)))))))</f>
        <v>0</v>
      </c>
      <c r="GY35" s="304">
        <f>IF($E$106=2,Dados!$AF$43,IF($E$106=3,Dados!$AH$43,IF($E$106=4,Dados!$AJ$43,IF($E$106=5,Dados!$AL$43,IF($E$106=6,Dados!$AN$43,IF($E$106=7,Dados!$AP$43,IF($E$106=8,Dados!$AT$43,0)))))))</f>
        <v>0</v>
      </c>
      <c r="GZ35" s="316">
        <f>IF($E$107=2,Dados!$AE$43,IF($E$107=3,Dados!$AG$43,IF($E$107=4,Dados!$AI$43,IF($E$107=5,Dados!$AK$43,IF($E$107=6,Dados!$AM$43,IF($E$107=7,Dados!$AO$43,IF($E$107=8,Dados!$AS$43,0)))))))</f>
        <v>0</v>
      </c>
      <c r="HA35" s="304">
        <f>IF($E$107=2,Dados!$AF$43,IF($E$107=3,Dados!$AH$43,IF($E$107=4,Dados!$AJ$43,IF($E$107=5,Dados!$AL$43,IF($E$107=6,Dados!$AN$43,IF($E$107=7,Dados!$AP$43,IF($E$107=8,Dados!$AT$43,0)))))))</f>
        <v>0</v>
      </c>
      <c r="HB35" s="316">
        <f>IF($E$108=2,Dados!$AE$43,IF($E$108=3,Dados!$AG$43,IF($E$108=4,Dados!$AI$43,IF($E$108=5,Dados!$AK$43,IF($E$108=6,Dados!$AM$43,IF($E$108=7,Dados!$AO$43,IF($E$108=8,Dados!$AS$43,0)))))))</f>
        <v>0</v>
      </c>
      <c r="HC35" s="304">
        <f>IF($E$108=2,Dados!$AF$43,IF($E$108=3,Dados!$AH$43,IF($E$108=4,Dados!$AJ$43,IF($E$108=5,Dados!$AL$43,IF($E$108=6,Dados!$AN$43,IF($E$108=7,Dados!$AP$43,IF($E$108=8,Dados!$AT$43,0)))))))</f>
        <v>0</v>
      </c>
      <c r="HD35" s="316">
        <f>IF($E$109=2,Dados!$AE$43,IF($E$109=3,Dados!$AG$43,IF($E$109=4,Dados!$AI$43,IF($E$109=5,Dados!$AK$43,IF($E$109=6,Dados!$AM$43,IF($E$109=7,Dados!$AO$43,IF($E$109=8,Dados!$AS$43,0)))))))</f>
        <v>0</v>
      </c>
      <c r="HE35" s="304">
        <f>IF($E$109=2,Dados!$AF$43,IF($E$109=3,Dados!$AH$43,IF($E$109=4,Dados!$AJ$43,IF($E$109=5,Dados!$AL$43,IF($E$109=6,Dados!$AN$43,IF($E$109=7,Dados!$AP$43,IF($E$109=8,Dados!$AT$43,0)))))))</f>
        <v>0</v>
      </c>
      <c r="HF35" s="316">
        <f>IF($E$110=2,Dados!$AE$43,IF($E$110=3,Dados!$AG$43,IF($E$110=4,Dados!$AI$43,IF($E$110=5,Dados!$AK$43,IF($E$110=6,Dados!$AM$43,IF($E$110=7,Dados!$AO$43,IF($E$110=8,Dados!$AS$43,0)))))))</f>
        <v>0</v>
      </c>
      <c r="HG35" s="304">
        <f>IF($E$110=2,Dados!$AF$43,IF($E$110=3,Dados!$AH$43,IF($E$110=4,Dados!$AJ$43,IF($E$110=5,Dados!$AL$43,IF($E$110=6,Dados!$AN$43,IF($E$110=7,Dados!$AP$43,IF($E$110=8,Dados!$AT$43,0)))))))</f>
        <v>0</v>
      </c>
    </row>
    <row r="36" spans="3:215" ht="15.75" customHeight="1" x14ac:dyDescent="0.2">
      <c r="C36" s="156">
        <f>IF(R36=1,0,S36)</f>
        <v>0</v>
      </c>
      <c r="D36" s="2721"/>
      <c r="E36" s="180">
        <v>1</v>
      </c>
      <c r="F36" s="2718">
        <v>1</v>
      </c>
      <c r="G36" s="2719"/>
      <c r="H36" s="284"/>
      <c r="I36" s="229"/>
      <c r="J36" s="314"/>
      <c r="K36" s="157"/>
      <c r="L36" s="305"/>
      <c r="M36" s="127">
        <f>IF(I36=1,K36,IF(I36=2,K36/J36,IF(I36=3,K36*L36,0)))</f>
        <v>0</v>
      </c>
      <c r="N36" s="3">
        <v>1</v>
      </c>
      <c r="O36" s="30">
        <v>1</v>
      </c>
      <c r="P36" s="837">
        <f>IF(N36=1,0,VLOOKUP(N36,Rebanho!$AN$45:$AV$72,4)*O36)</f>
        <v>0</v>
      </c>
      <c r="Q36" s="838">
        <f>VLOOKUP(N36,Rebanho!$AN$45:$AV$72,7)*O36</f>
        <v>0</v>
      </c>
      <c r="R36" s="3">
        <v>1</v>
      </c>
      <c r="S36" s="29"/>
      <c r="T36" s="102">
        <f>VLOOKUP(R36,'Mão-de-obra'!$CJ$10:$CL$29,3)</f>
        <v>0</v>
      </c>
      <c r="U36" s="102">
        <f>T36*S36</f>
        <v>0</v>
      </c>
      <c r="V36" s="127">
        <f>IF(I36=1,M36*P36,IF(I36=2,M36*Q36*L36,IF(I36=3,M36,0)))</f>
        <v>0</v>
      </c>
      <c r="W36" s="129">
        <f>U36+V36</f>
        <v>0</v>
      </c>
      <c r="X36" s="93">
        <v>1</v>
      </c>
      <c r="Y36" s="93">
        <v>1</v>
      </c>
      <c r="Z36" s="127">
        <f t="shared" si="10"/>
        <v>0</v>
      </c>
      <c r="AU36" s="93">
        <v>4</v>
      </c>
      <c r="AW36" s="3" t="s">
        <v>76</v>
      </c>
      <c r="AX36" s="94">
        <f>IF($E34=4,$V34,0)</f>
        <v>0</v>
      </c>
      <c r="AY36" s="94">
        <f>IF($E35=4,$V35,0)</f>
        <v>0</v>
      </c>
      <c r="AZ36" s="94">
        <f>IF($E36=4,$V36,0)</f>
        <v>0</v>
      </c>
      <c r="BA36" s="94">
        <f>IF($E37=4,$V37,0)</f>
        <v>0</v>
      </c>
      <c r="BB36" s="94">
        <f>IF($E38=4,$V38,0)</f>
        <v>0</v>
      </c>
      <c r="BC36" s="200">
        <f t="shared" si="9"/>
        <v>0</v>
      </c>
      <c r="CF36" s="93">
        <v>31</v>
      </c>
      <c r="CG36" s="316">
        <f>IF($E$7=2,Dados!$AE$44,IF($E$7=3,Dados!$AG$44,IF($E$7=4,Dados!$AI$44,IF($E$7=5,Dados!$AK$44,IF($E$7=6,Dados!$AM$44,IF($E$7=7,Dados!$AO$44,IF($E$7=8,Dados!$AS$44,0)))))))</f>
        <v>0</v>
      </c>
      <c r="CH36" s="304">
        <f>IF($E$7=2,Dados!$AF$44,IF($E$7=3,Dados!$AH$44,IF($E$7=4,Dados!$AJ$44,IF($E$7=5,Dados!$AL$44,IF($E$7=6,Dados!$AN$44,IF($E$7=7,Dados!$AP$44,IF($E$7=8,Dados!$AT$44,0)))))))</f>
        <v>0</v>
      </c>
      <c r="CI36" s="316">
        <f>IF($E$8=2,Dados!$AE$44,IF($E$8=3,Dados!$AG$44,IF($E$8=4,Dados!$AI$44,IF($E$8=5,Dados!$AK$44,IF($E$8=6,Dados!$AM$44,IF($E$8=7,Dados!$AO$44,IF($E$8=8,Dados!$AS$44,0)))))))</f>
        <v>0</v>
      </c>
      <c r="CJ36" s="304">
        <f>IF($E$8=2,Dados!$AF$44,IF($E$8=3,Dados!$AH$44,IF($E$8=4,Dados!$AJ$44,IF($E$8=5,Dados!$AL$44,IF($E$8=6,Dados!$AN$44,IF($E$8=7,Dados!$AP$44,IF($E$8=8,Dados!$AT$44,0)))))))</f>
        <v>0</v>
      </c>
      <c r="CK36" s="316">
        <f>IF($E$9=2,Dados!$AE$44,IF($E$9=3,Dados!$AG$44,IF($E$9=4,Dados!$AI$44,IF($E$9=5,Dados!$AK$44,IF($E$9=6,Dados!$AM$44,IF($E$9=7,Dados!$AO$44,IF($E$9=8,Dados!$AS$44,0)))))))</f>
        <v>0</v>
      </c>
      <c r="CL36" s="304">
        <f>IF($E$9=2,Dados!$AF$44,IF($E$9=3,Dados!$AH$44,IF($E$9=4,Dados!$AJ$44,IF($E$9=5,Dados!$AL$44,IF($E$9=6,Dados!$AN$44,IF($E$9=7,Dados!$AP$44,IF($E$9=8,Dados!$AT$44,0)))))))</f>
        <v>0</v>
      </c>
      <c r="CM36" s="316">
        <f>IF($E$10=2,Dados!$AE$44,IF($E$10=3,Dados!$AG$44,IF($E$10=4,Dados!$AI$44,IF($E$10=5,Dados!$AK$44,IF($E$10=6,Dados!$AM$44,IF($E$10=7,Dados!$AO$44,IF($E$10=8,Dados!$AS$44,0)))))))</f>
        <v>0</v>
      </c>
      <c r="CN36" s="304">
        <f>IF($E$10=2,Dados!$AF$44,IF($E$10=3,Dados!$AH$44,IF($E$10=4,Dados!$AJ$44,IF($E$10=5,Dados!$AL$44,IF($E$10=6,Dados!$AN$44,IF($E$10=7,Dados!$AP$44,IF($E$10=8,Dados!$AT$44,0)))))))</f>
        <v>0</v>
      </c>
      <c r="CO36" s="316">
        <f>IF($E$11=2,Dados!$AE$44,IF($E$11=3,Dados!$AG$44,IF($E$11=4,Dados!$AI$44,IF($E$11=5,Dados!$AK$44,IF($E$11=6,Dados!$AM$44,IF($E$11=7,Dados!$AO$44,IF($E$11=8,Dados!$AS$44,0)))))))</f>
        <v>0</v>
      </c>
      <c r="CP36" s="304">
        <f>IF($E$11=2,Dados!$AF$44,IF($E$11=3,Dados!$AH$44,IF($E$11=4,Dados!$AJ$44,IF($E$11=5,Dados!$AL$44,IF($E$11=6,Dados!$AN$44,IF($E$11=7,Dados!$AP$44,IF($E$11=8,Dados!$AT$44,0)))))))</f>
        <v>0</v>
      </c>
      <c r="CR36" s="316">
        <f>IF($E$16=2,Dados!$AE$44,IF($E$16=3,Dados!$AG$44,IF($E$16=4,Dados!$AI$44,IF($E$16=5,Dados!$AK$44,IF($E$16=6,Dados!$AM$44,IF($E$16=7,Dados!$AO$44,IF($E$16=8,Dados!$AS$44,0)))))))</f>
        <v>0</v>
      </c>
      <c r="CS36" s="304">
        <f>IF($E$16=2,Dados!$AF$44,IF($E$16=3,Dados!$AH$44,IF($E$16=4,Dados!$AJ$44,IF($E$16=5,Dados!$AL$44,IF($E$16=6,Dados!$AN$44,IF($E$16=7,Dados!$AP$44,IF($E$16=8,Dados!$AT$44,0)))))))</f>
        <v>0</v>
      </c>
      <c r="CT36" s="316">
        <f>IF($E$17=2,Dados!$AE$44,IF($E$17=3,Dados!$AG$44,IF($E$17=4,Dados!$AI$44,IF($E$17=5,Dados!$AK$44,IF($E$17=6,Dados!$AM$44,IF($E$17=7,Dados!$AO$44,IF($E$17=8,Dados!$AS$44,0)))))))</f>
        <v>0</v>
      </c>
      <c r="CU36" s="304">
        <f>IF($E$17=2,Dados!$AF$44,IF($E$17=3,Dados!$AH$44,IF($E$17=4,Dados!$AJ$44,IF($E$17=5,Dados!$AL$44,IF($E$17=6,Dados!$AN$44,IF($E$17=7,Dados!$AP$44,IF($E$17=8,Dados!$AT$44,0)))))))</f>
        <v>0</v>
      </c>
      <c r="CV36" s="316">
        <f>IF($E$18=2,Dados!$AE$44,IF($E$18=3,Dados!$AG$44,IF($E$18=4,Dados!$AI$44,IF($E$18=5,Dados!$AK$44,IF($E$18=6,Dados!$AM$44,IF($E$18=7,Dados!$AO$44,IF($E$18=8,Dados!$AS$44,0)))))))</f>
        <v>0</v>
      </c>
      <c r="CW36" s="304">
        <f>IF($E$18=2,Dados!$AF$44,IF($E$18=3,Dados!$AH$44,IF($E$18=4,Dados!$AJ$44,IF($E$18=5,Dados!$AL$44,IF($E$18=6,Dados!$AN$44,IF($E$18=7,Dados!$AP$44,IF($E$18=8,Dados!$AT$44,0)))))))</f>
        <v>0</v>
      </c>
      <c r="CX36" s="316">
        <f>IF($E$19=2,Dados!$AE$44,IF($E$19=3,Dados!$AG$44,IF($E$19=4,Dados!$AI$44,IF($E$19=5,Dados!$AK$44,IF($E$19=6,Dados!$AM$44,IF($E$19=7,Dados!$AO$44,IF($E$19=8,Dados!$AS$44,0)))))))</f>
        <v>0</v>
      </c>
      <c r="CY36" s="304">
        <f>IF($E$19=2,Dados!$AF$44,IF($E$19=3,Dados!$AH$44,IF($E$19=4,Dados!$AJ$44,IF($E$19=5,Dados!$AL$44,IF($E$19=6,Dados!$AN$44,IF($E$19=7,Dados!$AP$44,IF($E$19=8,Dados!$AT$44,0)))))))</f>
        <v>0</v>
      </c>
      <c r="CZ36" s="316">
        <f>IF($E$20=2,Dados!$AE$44,IF($E$20=3,Dados!$AG$44,IF($E$20=4,Dados!$AI$44,IF($E$20=5,Dados!$AK$44,IF($E$20=6,Dados!$AM$44,IF($E$20=7,Dados!$AO$44,IF($E$20=8,Dados!$AS$44,0)))))))</f>
        <v>0</v>
      </c>
      <c r="DA36" s="304">
        <f>IF($E$20=2,Dados!$AF$44,IF($E$20=3,Dados!$AH$44,IF($E$20=4,Dados!$AJ$44,IF($E$20=5,Dados!$AL$44,IF($E$20=6,Dados!$AN$44,IF($E$20=7,Dados!$AP$44,IF($E$20=8,Dados!$AT$44,0)))))))</f>
        <v>0</v>
      </c>
      <c r="DC36" s="316">
        <f>IF($E$25=2,Dados!$AE$44,IF($E$25=3,Dados!$AG$44,IF($E$25=4,Dados!$AI$44,IF($E$25=5,Dados!$AK$44,IF($E$25=6,Dados!$AM$44,IF($E$25=7,Dados!$AO$44,IF($E$25=8,Dados!$AS$44,0)))))))</f>
        <v>0</v>
      </c>
      <c r="DD36" s="304">
        <f>IF($E$25=2,Dados!$AF$44,IF($E$25=3,Dados!$AH$44,IF($E$25=4,Dados!$AJ$44,IF($E$25=5,Dados!$AL$44,IF($E$25=6,Dados!$AN$44,IF($E$25=7,Dados!$AP$44,IF($E$25=8,Dados!$AT$44,0)))))))</f>
        <v>0</v>
      </c>
      <c r="DE36" s="316">
        <f>IF($E$26=2,Dados!$AE$44,IF($E$26=3,Dados!$AG$44,IF($E$26=4,Dados!$AI$44,IF($E$26=5,Dados!$AK$44,IF($E$26=6,Dados!$AM$44,IF($E$26=7,Dados!$AO$44,IF($E$26=8,Dados!$AS$44,0)))))))</f>
        <v>0</v>
      </c>
      <c r="DF36" s="304">
        <f>IF($E$26=2,Dados!$AF$44,IF($E$26=3,Dados!$AH$44,IF($E$26=4,Dados!$AJ$44,IF($E$26=5,Dados!$AL$44,IF($E$26=6,Dados!$AN$44,IF($E$26=7,Dados!$AP$44,IF($E$26=8,Dados!$AT$44,0)))))))</f>
        <v>0</v>
      </c>
      <c r="DG36" s="316">
        <f>IF($E$27=2,Dados!$AE$44,IF($E$27=3,Dados!$AG$44,IF($E$27=4,Dados!$AI$44,IF($E$27=5,Dados!$AK$44,IF($E$27=6,Dados!$AM$44,IF($E$27=7,Dados!$AO$44,IF($E$27=8,Dados!$AS$44,0)))))))</f>
        <v>0</v>
      </c>
      <c r="DH36" s="304">
        <f>IF($E$27=2,Dados!$AF$44,IF($E$27=3,Dados!$AH$44,IF($E$27=4,Dados!$AJ$44,IF($E$27=5,Dados!$AL$44,IF($E$27=6,Dados!$AN$44,IF($E$27=7,Dados!$AP$44,IF($E$27=8,Dados!$AT$44,0)))))))</f>
        <v>0</v>
      </c>
      <c r="DI36" s="316">
        <f>IF($E$28=2,Dados!$AE$44,IF($E$28=3,Dados!$AG$44,IF($E$28=4,Dados!$AI$44,IF($E$28=5,Dados!$AK$44,IF($E$28=6,Dados!$AM$44,IF($E$28=7,Dados!$AO$44,IF($E$28=8,Dados!$AS$44,0)))))))</f>
        <v>0</v>
      </c>
      <c r="DJ36" s="304">
        <f>IF($E$28=2,Dados!$AF$44,IF($E$28=3,Dados!$AH$44,IF($E$28=4,Dados!$AJ$44,IF($E$28=5,Dados!$AL$44,IF($E$28=6,Dados!$AN$44,IF($E$28=7,Dados!$AP$44,IF($E$28=8,Dados!$AT$44,0)))))))</f>
        <v>0</v>
      </c>
      <c r="DK36" s="316">
        <f>IF($E$29=2,Dados!$AE$44,IF($E$29=3,Dados!$AG$44,IF($E$29=4,Dados!$AI$44,IF($E$29=5,Dados!$AK$44,IF($E$29=6,Dados!$AM$44,IF($E$29=7,Dados!$AO$44,IF($E$29=8,Dados!$AS$44,0)))))))</f>
        <v>0</v>
      </c>
      <c r="DL36" s="304">
        <f>IF($E$29=2,Dados!$AF$44,IF($E$29=3,Dados!$AH$44,IF($E$29=4,Dados!$AJ$44,IF($E$29=5,Dados!$AL$44,IF($E$29=6,Dados!$AN$44,IF($E$29=7,Dados!$AP$44,IF($E$29=8,Dados!$AT$44,0)))))))</f>
        <v>0</v>
      </c>
      <c r="DN36" s="316">
        <f>IF($E$34=2,Dados!$AE$44,IF($E$34=3,Dados!$AG$44,IF($E$34=4,Dados!$AI$44,IF($E$34=5,Dados!$AK$44,IF($E$34=6,Dados!$AM$44,IF($E$34=7,Dados!$AO$44,IF($E$34=8,Dados!$AS$44,0)))))))</f>
        <v>0</v>
      </c>
      <c r="DO36" s="304">
        <f>IF($E$34=2,Dados!$AF$44,IF($E$34=3,Dados!$AH$44,IF($E$34=4,Dados!$AJ$44,IF($E$34=5,Dados!$AL$44,IF($E$34=6,Dados!$AN$44,IF($E$34=7,Dados!$AP$44,IF($E$34=8,Dados!$AT$44,0)))))))</f>
        <v>0</v>
      </c>
      <c r="DP36" s="316">
        <f>IF($E$35=2,Dados!$AE$44,IF($E$35=3,Dados!$AG$44,IF($E$35=4,Dados!$AI$44,IF($E$35=5,Dados!$AK$44,IF($E$35=6,Dados!$AM$44,IF($E$35=7,Dados!$AO$44,IF($E$35=8,Dados!$AS$44,0)))))))</f>
        <v>0</v>
      </c>
      <c r="DQ36" s="304">
        <f>IF($E$35=2,Dados!$AF$44,IF($E$35=3,Dados!$AH$44,IF($E$35=4,Dados!$AJ$44,IF($E$35=5,Dados!$AL$44,IF($E$35=6,Dados!$AN$44,IF($E$35=7,Dados!$AP$44,IF($E$35=8,Dados!$AT$44,0)))))))</f>
        <v>0</v>
      </c>
      <c r="DR36" s="316">
        <f>IF($E$36=2,Dados!$AE$44,IF($E$36=3,Dados!$AG$44,IF($E$36=4,Dados!$AI$44,IF($E$36=5,Dados!$AK$44,IF($E$36=6,Dados!$AM$44,IF($E$36=7,Dados!$AO$44,IF($E$36=8,Dados!$AS$44,0)))))))</f>
        <v>0</v>
      </c>
      <c r="DS36" s="304">
        <f>IF($E$36=2,Dados!$AF$44,IF($E$36=3,Dados!$AH$44,IF($E$36=4,Dados!$AJ$44,IF($E$36=5,Dados!$AL$44,IF($E$36=6,Dados!$AN$44,IF($E$36=7,Dados!$AP$44,IF($E$36=8,Dados!$AT$44,0)))))))</f>
        <v>0</v>
      </c>
      <c r="DT36" s="316">
        <f>IF($E$37=2,Dados!$AE$44,IF($E$37=3,Dados!$AG$44,IF($E$37=4,Dados!$AI$44,IF($E$37=5,Dados!$AK$44,IF($E$37=6,Dados!$AM$44,IF($E$37=7,Dados!$AO$44,IF($E$37=8,Dados!$AS$44,0)))))))</f>
        <v>0</v>
      </c>
      <c r="DU36" s="304">
        <f>IF($E$37=2,Dados!$AF$44,IF($E$37=3,Dados!$AH$44,IF($E$37=4,Dados!$AJ$44,IF($E$37=5,Dados!$AL$44,IF($E$37=6,Dados!$AN$44,IF($E$37=7,Dados!$AP$44,IF($E$37=8,Dados!$AT$44,0)))))))</f>
        <v>0</v>
      </c>
      <c r="DV36" s="316">
        <f>IF($E$38=2,Dados!$AE$44,IF($E$38=3,Dados!$AG$44,IF($E$38=4,Dados!$AI$44,IF($E$38=5,Dados!$AK$44,IF($E$38=6,Dados!$AM$44,IF($E$38=7,Dados!$AO$44,IF($E$38=8,Dados!$AS$44,0)))))))</f>
        <v>0</v>
      </c>
      <c r="DW36" s="304">
        <f>IF($E$38=2,Dados!$AF$44,IF($E$38=3,Dados!$AH$44,IF($E$38=4,Dados!$AJ$44,IF($E$38=5,Dados!$AL$44,IF($E$38=6,Dados!$AN$44,IF($E$38=7,Dados!$AP$44,IF($E$38=8,Dados!$AT$44,0)))))))</f>
        <v>0</v>
      </c>
      <c r="DY36" s="316">
        <f>IF($E$43=2,Dados!$AE$44,IF($E$43=3,Dados!$AG$44,IF($E$43=4,Dados!$AI$44,IF($E$43=5,Dados!$AK$44,IF($E$43=6,Dados!$AM$44,IF($E$43=7,Dados!$AO$44,IF($E$43=8,Dados!$AS$44,0)))))))</f>
        <v>0</v>
      </c>
      <c r="DZ36" s="304">
        <f>IF($E$43=2,Dados!$AF$44,IF($E$43=3,Dados!$AH$44,IF($E$43=4,Dados!$AJ$44,IF($E$43=5,Dados!$AL$44,IF($E$43=6,Dados!$AN$44,IF($E$43=7,Dados!$AP$44,IF($E$43=8,Dados!$AT$44,0)))))))</f>
        <v>0</v>
      </c>
      <c r="EA36" s="316">
        <f>IF($E$44=2,Dados!$AE$44,IF($E$44=3,Dados!$AG$44,IF($E$44=4,Dados!$AI$44,IF($E$44=5,Dados!$AK$44,IF($E$44=6,Dados!$AM$44,IF($E$44=7,Dados!$AO$44,IF($E$44=8,Dados!$AS$44,0)))))))</f>
        <v>0</v>
      </c>
      <c r="EB36" s="304">
        <f>IF($E$44=2,Dados!$AF$44,IF($E$44=3,Dados!$AH$44,IF($E$44=4,Dados!$AJ$44,IF($E$44=5,Dados!$AL$44,IF($E$44=6,Dados!$AN$44,IF($E$44=7,Dados!$AP$44,IF($E$44=8,Dados!$AT$44,0)))))))</f>
        <v>0</v>
      </c>
      <c r="EC36" s="316">
        <f>IF($E$45=2,Dados!$AE$44,IF($E$45=3,Dados!$AG$44,IF($E$45=4,Dados!$AI$44,IF($E$45=5,Dados!$AK$44,IF($E$45=6,Dados!$AM$44,IF($E$45=7,Dados!$AO$44,IF($E$45=8,Dados!$AS$44,0)))))))</f>
        <v>0</v>
      </c>
      <c r="ED36" s="304">
        <f>IF($E$45=2,Dados!$AF$44,IF($E$45=3,Dados!$AH$44,IF($E$45=4,Dados!$AJ$44,IF($E$45=5,Dados!$AL$44,IF($E$45=6,Dados!$AN$44,IF($E$45=7,Dados!$AP$44,IF($E$45=8,Dados!$AT$44,0)))))))</f>
        <v>0</v>
      </c>
      <c r="EE36" s="316">
        <f>IF($E$46=2,Dados!$AE$44,IF($E$46=3,Dados!$AG$44,IF($E$46=4,Dados!$AI$44,IF($E$46=5,Dados!$AK$44,IF($E$46=6,Dados!$AM$44,IF($E$46=7,Dados!$AO$44,IF($E$46=8,Dados!$AS$44,0)))))))</f>
        <v>0</v>
      </c>
      <c r="EF36" s="304">
        <f>IF($E$46=2,Dados!$AF$44,IF($E$46=3,Dados!$AH$44,IF($E$46=4,Dados!$AJ$44,IF($E$46=5,Dados!$AL$44,IF($E$46=6,Dados!$AN$44,IF($E$46=7,Dados!$AP$44,IF($E$46=8,Dados!$AT$44,0)))))))</f>
        <v>0</v>
      </c>
      <c r="EG36" s="316">
        <f>IF($E$47=2,Dados!$AE$44,IF($E$47=3,Dados!$AG$44,IF($E$47=4,Dados!$AI$44,IF($E$47=5,Dados!$AK$44,IF($E$47=6,Dados!$AM$44,IF($E$47=7,Dados!$AO$44,IF($E$47=8,Dados!$AS$44,0)))))))</f>
        <v>0</v>
      </c>
      <c r="EH36" s="304">
        <f>IF($E$47=2,Dados!$AF$44,IF($E$47=3,Dados!$AH$44,IF($E$47=4,Dados!$AJ$44,IF($E$47=5,Dados!$AL$44,IF($E$47=6,Dados!$AN$44,IF($E$47=7,Dados!$AP$44,IF($E$47=8,Dados!$AT$44,0)))))))</f>
        <v>0</v>
      </c>
      <c r="EJ36" s="316">
        <f>IF($E$52=2,Dados!$AE$44,IF($E$52=3,Dados!$AG$44,IF($E$52=4,Dados!$AI$44,IF($E$52=5,Dados!$AK$44,IF($E$52=6,Dados!$AM$44,IF($E$52=7,Dados!$AO$44,IF($E$52=8,Dados!$AS$44,0)))))))</f>
        <v>0</v>
      </c>
      <c r="EK36" s="304">
        <f>IF($E$52=2,Dados!$AF$44,IF($E$52=3,Dados!$AH$44,IF($E$52=4,Dados!$AJ$44,IF($E$52=5,Dados!$AL$44,IF($E$52=6,Dados!$AN$44,IF($E$52=7,Dados!$AP$44,IF($E$52=8,Dados!$AT$44,0)))))))</f>
        <v>0</v>
      </c>
      <c r="EL36" s="316">
        <f>IF($E$53=2,Dados!$AE$44,IF($E$53=3,Dados!$AG$44,IF($E$53=4,Dados!$AI$44,IF($E$53=5,Dados!$AK$44,IF($E$53=6,Dados!$AM$44,IF($E$53=7,Dados!$AO$44,IF($E$53=8,Dados!$AS$44,0)))))))</f>
        <v>0</v>
      </c>
      <c r="EM36" s="304">
        <f>IF($E$53=2,Dados!$AF$44,IF($E$53=3,Dados!$AH$44,IF($E$53=4,Dados!$AJ$44,IF($E$53=5,Dados!$AL$44,IF($E$53=6,Dados!$AN$44,IF($E$53=7,Dados!$AP$44,IF($E$53=8,Dados!$AT$44,0)))))))</f>
        <v>0</v>
      </c>
      <c r="EN36" s="316">
        <f>IF($E$54=2,Dados!$AE$44,IF($E$54=3,Dados!$AG$44,IF($E$54=4,Dados!$AI$44,IF($E$54=5,Dados!$AK$44,IF($E$54=6,Dados!$AM$44,IF($E$54=7,Dados!$AO$44,IF($E$54=8,Dados!$AS$44,0)))))))</f>
        <v>0</v>
      </c>
      <c r="EO36" s="304">
        <f>IF($E$54=2,Dados!$AF$44,IF($E$54=3,Dados!$AH$44,IF($E$54=4,Dados!$AJ$44,IF($E$54=5,Dados!$AL$44,IF($E$54=6,Dados!$AN$44,IF($E$54=7,Dados!$AP$44,IF($E$54=8,Dados!$AT$44,0)))))))</f>
        <v>0</v>
      </c>
      <c r="EP36" s="316">
        <f>IF($E$55=2,Dados!$AE$44,IF($E$55=3,Dados!$AG$44,IF($E$55=4,Dados!$AI$44,IF($E$55=5,Dados!$AK$44,IF($E$55=6,Dados!$AM$44,IF($E$55=7,Dados!$AO$44,IF($E$55=8,Dados!$AS$44,0)))))))</f>
        <v>0</v>
      </c>
      <c r="EQ36" s="304">
        <f>IF($E$55=2,Dados!$AF$44,IF($E$55=3,Dados!$AH$44,IF($E$55=4,Dados!$AJ$44,IF($E$55=5,Dados!$AL$44,IF($E$55=6,Dados!$AN$44,IF($E$55=7,Dados!$AP$44,IF($E$55=8,Dados!$AT$44,0)))))))</f>
        <v>0</v>
      </c>
      <c r="ER36" s="316">
        <f>IF($E$56=2,Dados!$AE$44,IF($E$56=3,Dados!$AG$44,IF($E$56=4,Dados!$AI$44,IF($E$56=5,Dados!$AK$44,IF($E$56=6,Dados!$AM$44,IF($E$56=7,Dados!$AO$44,IF($E$56=8,Dados!$AS$44,0)))))))</f>
        <v>0</v>
      </c>
      <c r="ES36" s="304">
        <f>IF($E$56=2,Dados!$AF$44,IF($E$56=3,Dados!$AH$44,IF($E$56=4,Dados!$AJ$44,IF($E$56=5,Dados!$AL$44,IF($E$56=6,Dados!$AN$44,IF($E$56=7,Dados!$AP$44,IF($E$56=8,Dados!$AT$44,0)))))))</f>
        <v>0</v>
      </c>
      <c r="EU36" s="316">
        <f>IF($E$61=2,Dados!$AE$44,IF($E$61=3,Dados!$AG$44,IF($E$61=4,Dados!$AI$44,IF($E$61=5,Dados!$AK$44,IF($E$61=6,Dados!$AM$44,IF($E$61=7,Dados!$AO$44,IF($E$61=8,Dados!$AS$44,0)))))))</f>
        <v>0</v>
      </c>
      <c r="EV36" s="304">
        <f>IF($E$61=2,Dados!$AF$44,IF($E$61=3,Dados!$AH$44,IF($E$61=4,Dados!$AJ$44,IF($E$61=5,Dados!$AL$44,IF($E$61=6,Dados!$AN$44,IF($E$61=7,Dados!$AP$44,IF($E$61=8,Dados!$AT$44,0)))))))</f>
        <v>0</v>
      </c>
      <c r="EW36" s="316">
        <f>IF($E$62=2,Dados!$AE$44,IF($E$62=3,Dados!$AG$44,IF($E$62=4,Dados!$AI$44,IF($E$62=5,Dados!$AK$44,IF($E$62=6,Dados!$AM$44,IF($E$62=7,Dados!$AO$44,IF($E$62=8,Dados!$AS$44,0)))))))</f>
        <v>0</v>
      </c>
      <c r="EX36" s="304">
        <f>IF($E$62=2,Dados!$AF$44,IF($E$62=3,Dados!$AH$44,IF($E$62=4,Dados!$AJ$44,IF($E$62=5,Dados!$AL$44,IF($E$62=6,Dados!$AN$44,IF($E$62=7,Dados!$AP$44,IF($E$62=8,Dados!$AT$44,0)))))))</f>
        <v>0</v>
      </c>
      <c r="EY36" s="316">
        <f>IF($E$63=2,Dados!$AE$44,IF($E$63=3,Dados!$AG$44,IF($E$63=4,Dados!$AI$44,IF($E$63=5,Dados!$AK$44,IF($E$63=6,Dados!$AM$44,IF($E$63=7,Dados!$AO$44,IF($E$63=8,Dados!$AS$44,0)))))))</f>
        <v>0</v>
      </c>
      <c r="EZ36" s="304">
        <f>IF($E$63=2,Dados!$AF$44,IF($E$63=3,Dados!$AH$44,IF($E$63=4,Dados!$AJ$44,IF($E$63=5,Dados!$AL$44,IF($E$63=6,Dados!$AN$44,IF($E$63=7,Dados!$AP$44,IF($E$63=8,Dados!$AT$44,0)))))))</f>
        <v>0</v>
      </c>
      <c r="FA36" s="316">
        <f>IF($E$64=2,Dados!$AE$44,IF($E$64=3,Dados!$AG$44,IF($E$64=4,Dados!$AI$44,IF($E$64=5,Dados!$AK$44,IF($E$64=6,Dados!$AM$44,IF($E$64=7,Dados!$AO$44,IF($E$64=8,Dados!$AS$44,0)))))))</f>
        <v>0</v>
      </c>
      <c r="FB36" s="304">
        <f>IF($E$64=2,Dados!$AF$44,IF($E$64=3,Dados!$AH$44,IF($E$64=4,Dados!$AJ$44,IF($E$64=5,Dados!$AL$44,IF($E$64=6,Dados!$AN$44,IF($E$64=7,Dados!$AP$44,IF($E$64=8,Dados!$AT$44,0)))))))</f>
        <v>0</v>
      </c>
      <c r="FC36" s="316">
        <f>IF($E$65=2,Dados!$AE$44,IF($E$65=3,Dados!$AG$44,IF($E$65=4,Dados!$AI$44,IF($E$65=5,Dados!$AK$44,IF($E$65=6,Dados!$AM$44,IF($E$65=7,Dados!$AO$44,IF($E$65=8,Dados!$AS$44,0)))))))</f>
        <v>0</v>
      </c>
      <c r="FD36" s="304">
        <f>IF($E$65=2,Dados!$AF$44,IF($E$65=3,Dados!$AH$44,IF($E$65=4,Dados!$AJ$44,IF($E$65=5,Dados!$AL$44,IF($E$65=6,Dados!$AN$44,IF($E$65=7,Dados!$AP$44,IF($E$65=8,Dados!$AT$44,0)))))))</f>
        <v>0</v>
      </c>
      <c r="FF36" s="316">
        <f>IF($E$70=2,Dados!$AE$44,IF($E$70=3,Dados!$AG$44,IF($E$70=4,Dados!$AI$44,IF($E$70=5,Dados!$AK$44,IF($E$70=6,Dados!$AM$44,IF($E$70=7,Dados!$AO$44,IF($E$70=8,Dados!$AS$44,0)))))))</f>
        <v>0</v>
      </c>
      <c r="FG36" s="304">
        <f>IF($E$70=2,Dados!$AF$44,IF($E$70=3,Dados!$AH$44,IF($E$70=4,Dados!$AJ$44,IF($E$70=5,Dados!$AL$44,IF($E$70=6,Dados!$AN$44,IF($E$70=7,Dados!$AP$44,IF($E$70=8,Dados!$AT$44,0)))))))</f>
        <v>0</v>
      </c>
      <c r="FH36" s="316">
        <f>IF($E$71=2,Dados!$AE$44,IF($E$71=3,Dados!$AG$44,IF($E$71=4,Dados!$AI$44,IF($E$71=5,Dados!$AK$44,IF($E$71=6,Dados!$AM$44,IF($E$71=7,Dados!$AO$44,IF($E$71=8,Dados!$AS$44,0)))))))</f>
        <v>0</v>
      </c>
      <c r="FI36" s="304">
        <f>IF($E$71=2,Dados!$AF$44,IF($E$71=3,Dados!$AH$44,IF($E$71=4,Dados!$AJ$44,IF($E$71=5,Dados!$AL$44,IF($E$71=6,Dados!$AN$44,IF($E$71=7,Dados!$AP$44,IF($E$71=8,Dados!$AT$44,0)))))))</f>
        <v>0</v>
      </c>
      <c r="FJ36" s="316">
        <f>IF($E$72=2,Dados!$AE$44,IF($E$72=3,Dados!$AG$44,IF($E$72=4,Dados!$AI$44,IF($E$72=5,Dados!$AK$44,IF($E$72=6,Dados!$AM$44,IF($E$72=7,Dados!$AO$44,IF($E$72=8,Dados!$AS$44,0)))))))</f>
        <v>0</v>
      </c>
      <c r="FK36" s="304">
        <f>IF($E$72=2,Dados!$AF$44,IF($E$72=3,Dados!$AH$44,IF($E$72=4,Dados!$AJ$44,IF($E$72=5,Dados!$AL$44,IF($E$72=6,Dados!$AN$44,IF($E$72=7,Dados!$AP$44,IF($E$72=8,Dados!$AT$44,0)))))))</f>
        <v>0</v>
      </c>
      <c r="FL36" s="316">
        <f>IF($E$73=2,Dados!$AE$44,IF($E$73=3,Dados!$AG$44,IF($E$73=4,Dados!$AI$44,IF($E$73=5,Dados!$AK$44,IF($E$73=6,Dados!$AM$44,IF($E$73=7,Dados!$AO$44,IF($E$73=8,Dados!$AS$44,0)))))))</f>
        <v>0</v>
      </c>
      <c r="FM36" s="304">
        <f>IF($E$73=2,Dados!$AF$44,IF($E$73=3,Dados!$AH$44,IF($E$73=4,Dados!$AJ$44,IF($E$73=5,Dados!$AL$44,IF($E$73=6,Dados!$AN$44,IF($E$73=7,Dados!$AP$44,IF($E$73=8,Dados!$AT$44,0)))))))</f>
        <v>0</v>
      </c>
      <c r="FN36" s="316">
        <f>IF($E$74=2,Dados!$AE$44,IF($E$74=3,Dados!$AG$44,IF($E$74=4,Dados!$AI$44,IF($E$74=5,Dados!$AK$44,IF($E$74=6,Dados!$AM$44,IF($E$74=7,Dados!$AO$44,IF($E$74=8,Dados!$AS$44,0)))))))</f>
        <v>0</v>
      </c>
      <c r="FO36" s="304">
        <f>IF($E$74=2,Dados!$AF$44,IF($E$74=3,Dados!$AH$44,IF($E$74=4,Dados!$AJ$44,IF($E$74=5,Dados!$AL$44,IF($E$74=6,Dados!$AN$44,IF($E$74=7,Dados!$AP$44,IF($E$74=8,Dados!$AT$44,0)))))))</f>
        <v>0</v>
      </c>
      <c r="FQ36" s="316">
        <f>IF($E$79=2,Dados!$AE$44,IF($E$79=3,Dados!$AG$44,IF($E$79=4,Dados!$AI$44,IF($E$79=5,Dados!$AK$44,IF($E$79=6,Dados!$AM$44,IF($E$79=7,Dados!$AO$44,IF($E$79=8,Dados!$AS$44,0)))))))</f>
        <v>0</v>
      </c>
      <c r="FR36" s="304">
        <f>IF($E$79=2,Dados!$AF$44,IF($E$79=3,Dados!$AH$44,IF($E$79=4,Dados!$AJ$44,IF($E$79=5,Dados!$AL$44,IF($E$79=6,Dados!$AN$44,IF($E$79=7,Dados!$AP$44,IF($E$79=8,Dados!$AT$44,0)))))))</f>
        <v>0</v>
      </c>
      <c r="FS36" s="316">
        <f>IF($E$80=2,Dados!$AE$44,IF($E$80=3,Dados!$AG$44,IF($E$80=4,Dados!$AI$44,IF($E$80=5,Dados!$AK$44,IF($E$80=6,Dados!$AM$44,IF($E$80=7,Dados!$AO$44,IF($E$80=8,Dados!$AS$44,0)))))))</f>
        <v>0</v>
      </c>
      <c r="FT36" s="304">
        <f>IF($E$80=2,Dados!$AF$44,IF($E$80=3,Dados!$AH$44,IF($E$80=4,Dados!$AJ$44,IF($E$80=5,Dados!$AL$44,IF($E$80=6,Dados!$AN$44,IF($E$80=7,Dados!$AP$44,IF($E$80=8,Dados!$AT$44,0)))))))</f>
        <v>0</v>
      </c>
      <c r="FU36" s="316">
        <f>IF($E$81=2,Dados!$AE$44,IF($E$81=3,Dados!$AG$44,IF($E$81=4,Dados!$AI$44,IF($E$81=5,Dados!$AK$44,IF($E$81=6,Dados!$AM$44,IF($E$81=7,Dados!$AO$44,IF($E$81=8,Dados!$AS$44,0)))))))</f>
        <v>0</v>
      </c>
      <c r="FV36" s="304">
        <f>IF($E$81=2,Dados!$AF$44,IF($E$81=3,Dados!$AH$44,IF($E$81=4,Dados!$AJ$44,IF($E$81=5,Dados!$AL$44,IF($E$81=6,Dados!$AN$44,IF($E$81=7,Dados!$AP$44,IF($E$81=8,Dados!$AT$44,0)))))))</f>
        <v>0</v>
      </c>
      <c r="FW36" s="316">
        <f>IF($E$82=2,Dados!$AE$44,IF($E$82=3,Dados!$AG$44,IF($E$82=4,Dados!$AI$44,IF($E$82=5,Dados!$AK$44,IF($E$82=6,Dados!$AM$44,IF($E$82=7,Dados!$AO$44,IF($E$82=8,Dados!$AS$44,0)))))))</f>
        <v>0</v>
      </c>
      <c r="FX36" s="304">
        <f>IF($E$82=2,Dados!$AF$44,IF($E$82=3,Dados!$AH$44,IF($E$82=4,Dados!$AJ$44,IF($E$82=5,Dados!$AL$44,IF($E$82=6,Dados!$AN$44,IF($E$82=7,Dados!$AP$44,IF($E$82=8,Dados!$AT$44,0)))))))</f>
        <v>0</v>
      </c>
      <c r="FY36" s="316">
        <f>IF($E$83=2,Dados!$AE$44,IF($E$83=3,Dados!$AG$44,IF($E$83=4,Dados!$AI$44,IF($E$83=5,Dados!$AK$44,IF($E$83=6,Dados!$AM$44,IF($E$83=7,Dados!$AO$44,IF($E$83=8,Dados!$AS$44,0)))))))</f>
        <v>0</v>
      </c>
      <c r="FZ36" s="304">
        <f>IF($E$83=2,Dados!$AF$44,IF($E$83=3,Dados!$AH$44,IF($E$83=4,Dados!$AJ$44,IF($E$83=5,Dados!$AL$44,IF($E$83=6,Dados!$AN$44,IF($E$83=7,Dados!$AP$44,IF($E$83=8,Dados!$AT$44,0)))))))</f>
        <v>0</v>
      </c>
      <c r="GB36" s="316">
        <f>IF($E$88=2,Dados!$AE$44,IF($E$88=3,Dados!$AG$44,IF($E$88=4,Dados!$AI$44,IF($E$88=5,Dados!$AK$44,IF($E$88=6,Dados!$AM$44,IF($E$88=7,Dados!$AO$44,IF($E$88=8,Dados!$AS$44,0)))))))</f>
        <v>0</v>
      </c>
      <c r="GC36" s="304">
        <f>IF($E$88=2,Dados!$AF$44,IF($E$88=3,Dados!$AH$44,IF($E$88=4,Dados!$AJ$44,IF($E$88=5,Dados!$AL$44,IF($E$88=6,Dados!$AN$44,IF($E$88=7,Dados!$AP$44,IF($E$88=8,Dados!$AT$44,0)))))))</f>
        <v>0</v>
      </c>
      <c r="GD36" s="316">
        <f>IF($E$89=2,Dados!$AE$44,IF($E$89=3,Dados!$AG$44,IF($E$89=4,Dados!$AI$44,IF($E$89=5,Dados!$AK$44,IF($E$89=6,Dados!$AM$44,IF($E$89=7,Dados!$AO$44,IF($E$89=8,Dados!$AS$44,0)))))))</f>
        <v>0</v>
      </c>
      <c r="GE36" s="304">
        <f>IF($E$89=2,Dados!$AF$44,IF($E$89=3,Dados!$AH$44,IF($E$89=4,Dados!$AJ$44,IF($E$89=5,Dados!$AL$44,IF($E$89=6,Dados!$AN$44,IF($E$89=7,Dados!$AP$44,IF($E$89=8,Dados!$AT$44,0)))))))</f>
        <v>0</v>
      </c>
      <c r="GF36" s="316">
        <f>IF($E$90=2,Dados!$AE$44,IF($E$90=3,Dados!$AG$44,IF($E$90=4,Dados!$AI$44,IF($E$90=5,Dados!$AK$44,IF($E$90=6,Dados!$AM$44,IF($E$90=7,Dados!$AO$44,IF($E$90=8,Dados!$AS$44,0)))))))</f>
        <v>0</v>
      </c>
      <c r="GG36" s="304">
        <f>IF($E$90=2,Dados!$AF$44,IF($E$90=3,Dados!$AH$44,IF($E$90=4,Dados!$AJ$44,IF($E$90=5,Dados!$AL$44,IF($E$90=6,Dados!$AN$44,IF($E$90=7,Dados!$AP$44,IF($E$90=8,Dados!$AT$44,0)))))))</f>
        <v>0</v>
      </c>
      <c r="GH36" s="316">
        <f>IF($E$91=2,Dados!$AE$44,IF($E$91=3,Dados!$AG$44,IF($E$91=4,Dados!$AI$44,IF($E$91=5,Dados!$AK$44,IF($E$91=6,Dados!$AM$44,IF($E$91=7,Dados!$AO$44,IF($E$91=8,Dados!$AS$44,0)))))))</f>
        <v>0</v>
      </c>
      <c r="GI36" s="304">
        <f>IF($E$91=2,Dados!$AF$44,IF($E$91=3,Dados!$AH$44,IF($E$91=4,Dados!$AJ$44,IF($E$91=5,Dados!$AL$44,IF($E$91=6,Dados!$AN$44,IF($E$91=7,Dados!$AP$44,IF($E$91=8,Dados!$AT$44,0)))))))</f>
        <v>0</v>
      </c>
      <c r="GJ36" s="316">
        <f>IF($E$92=2,Dados!$AE$44,IF($E$92=3,Dados!$AG$44,IF($E$92=4,Dados!$AI$44,IF($E$92=5,Dados!$AK$44,IF($E$92=6,Dados!$AM$44,IF($E$92=7,Dados!$AO$44,IF($E$92=8,Dados!$AS$44,0)))))))</f>
        <v>0</v>
      </c>
      <c r="GK36" s="304">
        <f>IF($E$92=2,Dados!$AF$44,IF($E$92=3,Dados!$AH$44,IF($E$92=4,Dados!$AJ$44,IF($E$92=5,Dados!$AL$44,IF($E$92=6,Dados!$AN$44,IF($E$92=7,Dados!$AP$44,IF($E$92=8,Dados!$AT$44,0)))))))</f>
        <v>0</v>
      </c>
      <c r="GM36" s="316">
        <f>IF($E$97=2,Dados!$AE$44,IF($E$97=3,Dados!$AG$44,IF($E$97=4,Dados!$AI$44,IF($E$97=5,Dados!$AK$44,IF($E$97=6,Dados!$AM$44,IF($E$97=7,Dados!$AO$44,IF($E$97=8,Dados!$AS$44,0)))))))</f>
        <v>0</v>
      </c>
      <c r="GN36" s="304">
        <f>IF($E$97=2,Dados!$AF$44,IF($E$97=3,Dados!$AH$44,IF($E$97=4,Dados!$AJ$44,IF($E$97=5,Dados!$AL$44,IF($E$97=6,Dados!$AN$44,IF($E$97=7,Dados!$AP$44,IF($E$97=8,Dados!$AT$44,0)))))))</f>
        <v>0</v>
      </c>
      <c r="GO36" s="316">
        <f>IF($E$98=2,Dados!$AE$44,IF($E$98=3,Dados!$AG$44,IF($E$98=4,Dados!$AI$44,IF($E$98=5,Dados!$AK$44,IF($E$98=6,Dados!$AM$44,IF($E$98=7,Dados!$AO$44,IF($E$98=8,Dados!$AS$44,0)))))))</f>
        <v>0</v>
      </c>
      <c r="GP36" s="304">
        <f>IF($E$98=2,Dados!$AF$44,IF($E$98=3,Dados!$AH$44,IF($E$98=4,Dados!$AJ$44,IF($E$98=5,Dados!$AL$44,IF($E$98=6,Dados!$AN$44,IF($E$98=7,Dados!$AP$44,IF($E$98=8,Dados!$AT$44,0)))))))</f>
        <v>0</v>
      </c>
      <c r="GQ36" s="316">
        <f>IF($E$99=2,Dados!$AE$44,IF($E$99=3,Dados!$AG$44,IF($E$99=4,Dados!$AI$44,IF($E$99=5,Dados!$AK$44,IF($E$99=6,Dados!$AM$44,IF($E$99=7,Dados!$AO$44,IF($E$99=8,Dados!$AS$44,0)))))))</f>
        <v>0</v>
      </c>
      <c r="GR36" s="304">
        <f>IF($E$99=2,Dados!$AF$44,IF($E$99=3,Dados!$AH$44,IF($E$99=4,Dados!$AJ$44,IF($E$99=5,Dados!$AL$44,IF($E$99=6,Dados!$AN$44,IF($E$99=7,Dados!$AP$44,IF($E$99=8,Dados!$AT$44,0)))))))</f>
        <v>0</v>
      </c>
      <c r="GS36" s="316">
        <f>IF($E$100=2,Dados!$AE$44,IF($E$100=3,Dados!$AG$44,IF($E$100=4,Dados!$AI$44,IF($E$100=5,Dados!$AK$44,IF($E$100=6,Dados!$AM$44,IF($E$100=7,Dados!$AO$44,IF($E$100=8,Dados!$AS$44,0)))))))</f>
        <v>0</v>
      </c>
      <c r="GT36" s="304">
        <f>IF($E$100=2,Dados!$AF$44,IF($E$100=3,Dados!$AH$44,IF($E$100=4,Dados!$AJ$44,IF($E$100=5,Dados!$AL$44,IF($E$100=6,Dados!$AN$44,IF($E$100=7,Dados!$AP$44,IF($E$100=8,Dados!$AT$44,0)))))))</f>
        <v>0</v>
      </c>
      <c r="GU36" s="316">
        <f>IF($E$101=2,Dados!$AE$44,IF($E$101=3,Dados!$AG$44,IF($E$101=4,Dados!$AI$44,IF($E$101=5,Dados!$AK$44,IF($E$101=6,Dados!$AM$44,IF($E$101=7,Dados!$AO$44,IF($E$101=8,Dados!$AS$44,0)))))))</f>
        <v>0</v>
      </c>
      <c r="GV36" s="304">
        <f>IF($E$101=2,Dados!$AF$44,IF($E$101=3,Dados!$AH$44,IF($E$101=4,Dados!$AJ$44,IF($E$101=5,Dados!$AL$44,IF($E$101=6,Dados!$AN$44,IF($E$101=7,Dados!$AP$44,IF($E$101=8,Dados!$AT$44,0)))))))</f>
        <v>0</v>
      </c>
      <c r="GX36" s="316">
        <f>IF($E$106=2,Dados!$AE$44,IF($E$106=3,Dados!$AG$44,IF($E$106=4,Dados!$AI$44,IF($E$106=5,Dados!$AK$44,IF($E$106=6,Dados!$AM$44,IF($E$106=7,Dados!$AO$44,IF($E$106=8,Dados!$AS$44,0)))))))</f>
        <v>0</v>
      </c>
      <c r="GY36" s="304">
        <f>IF($E$106=2,Dados!$AF$44,IF($E$106=3,Dados!$AH$44,IF($E$106=4,Dados!$AJ$44,IF($E$106=5,Dados!$AL$44,IF($E$106=6,Dados!$AN$44,IF($E$106=7,Dados!$AP$44,IF($E$106=8,Dados!$AT$44,0)))))))</f>
        <v>0</v>
      </c>
      <c r="GZ36" s="316">
        <f>IF($E$107=2,Dados!$AE$44,IF($E$107=3,Dados!$AG$44,IF($E$107=4,Dados!$AI$44,IF($E$107=5,Dados!$AK$44,IF($E$107=6,Dados!$AM$44,IF($E$107=7,Dados!$AO$44,IF($E$107=8,Dados!$AS$44,0)))))))</f>
        <v>0</v>
      </c>
      <c r="HA36" s="304">
        <f>IF($E$107=2,Dados!$AF$44,IF($E$107=3,Dados!$AH$44,IF($E$107=4,Dados!$AJ$44,IF($E$107=5,Dados!$AL$44,IF($E$107=6,Dados!$AN$44,IF($E$107=7,Dados!$AP$44,IF($E$107=8,Dados!$AT$44,0)))))))</f>
        <v>0</v>
      </c>
      <c r="HB36" s="316">
        <f>IF($E$108=2,Dados!$AE$44,IF($E$108=3,Dados!$AG$44,IF($E$108=4,Dados!$AI$44,IF($E$108=5,Dados!$AK$44,IF($E$108=6,Dados!$AM$44,IF($E$108=7,Dados!$AO$44,IF($E$108=8,Dados!$AS$44,0)))))))</f>
        <v>0</v>
      </c>
      <c r="HC36" s="304">
        <f>IF($E$108=2,Dados!$AF$44,IF($E$108=3,Dados!$AH$44,IF($E$108=4,Dados!$AJ$44,IF($E$108=5,Dados!$AL$44,IF($E$108=6,Dados!$AN$44,IF($E$108=7,Dados!$AP$44,IF($E$108=8,Dados!$AT$44,0)))))))</f>
        <v>0</v>
      </c>
      <c r="HD36" s="316">
        <f>IF($E$109=2,Dados!$AE$44,IF($E$109=3,Dados!$AG$44,IF($E$109=4,Dados!$AI$44,IF($E$109=5,Dados!$AK$44,IF($E$109=6,Dados!$AM$44,IF($E$109=7,Dados!$AO$44,IF($E$109=8,Dados!$AS$44,0)))))))</f>
        <v>0</v>
      </c>
      <c r="HE36" s="304">
        <f>IF($E$109=2,Dados!$AF$44,IF($E$109=3,Dados!$AH$44,IF($E$109=4,Dados!$AJ$44,IF($E$109=5,Dados!$AL$44,IF($E$109=6,Dados!$AN$44,IF($E$109=7,Dados!$AP$44,IF($E$109=8,Dados!$AT$44,0)))))))</f>
        <v>0</v>
      </c>
      <c r="HF36" s="316">
        <f>IF($E$110=2,Dados!$AE$44,IF($E$110=3,Dados!$AG$44,IF($E$110=4,Dados!$AI$44,IF($E$110=5,Dados!$AK$44,IF($E$110=6,Dados!$AM$44,IF($E$110=7,Dados!$AO$44,IF($E$110=8,Dados!$AS$44,0)))))))</f>
        <v>0</v>
      </c>
      <c r="HG36" s="304">
        <f>IF($E$110=2,Dados!$AF$44,IF($E$110=3,Dados!$AH$44,IF($E$110=4,Dados!$AJ$44,IF($E$110=5,Dados!$AL$44,IF($E$110=6,Dados!$AN$44,IF($E$110=7,Dados!$AP$44,IF($E$110=8,Dados!$AT$44,0)))))))</f>
        <v>0</v>
      </c>
    </row>
    <row r="37" spans="3:215" ht="15.75" customHeight="1" x14ac:dyDescent="0.2">
      <c r="C37" s="156">
        <f>IF(R37=1,0,S37)</f>
        <v>0</v>
      </c>
      <c r="D37" s="2721"/>
      <c r="E37" s="180">
        <v>1</v>
      </c>
      <c r="F37" s="2718">
        <v>1</v>
      </c>
      <c r="G37" s="2719"/>
      <c r="H37" s="309"/>
      <c r="I37" s="229"/>
      <c r="J37" s="314"/>
      <c r="K37" s="157"/>
      <c r="L37" s="305"/>
      <c r="M37" s="127">
        <f>IF(I37=1,K37,IF(I37=2,K37/J37,IF(I37=3,K37*L37,0)))</f>
        <v>0</v>
      </c>
      <c r="N37" s="128">
        <v>1</v>
      </c>
      <c r="O37" s="30">
        <v>1</v>
      </c>
      <c r="P37" s="837">
        <f>IF(N37=1,0,VLOOKUP(N37,Rebanho!$AN$45:$AV$72,4)*O37)</f>
        <v>0</v>
      </c>
      <c r="Q37" s="838">
        <f>VLOOKUP(N37,Rebanho!$AN$45:$AV$72,7)*O37</f>
        <v>0</v>
      </c>
      <c r="R37" s="3">
        <v>1</v>
      </c>
      <c r="S37" s="29"/>
      <c r="T37" s="102">
        <f>VLOOKUP(R37,'Mão-de-obra'!$CJ$10:$CL$29,3)</f>
        <v>0</v>
      </c>
      <c r="U37" s="102">
        <f>T37*S37</f>
        <v>0</v>
      </c>
      <c r="V37" s="127">
        <f>IF(I37=1,M37*P37,IF(I37=2,M37*Q37*L37,IF(I37=3,M37,0)))</f>
        <v>0</v>
      </c>
      <c r="W37" s="129">
        <f>U37+V37</f>
        <v>0</v>
      </c>
      <c r="X37" s="93">
        <v>1</v>
      </c>
      <c r="Y37" s="93">
        <v>1</v>
      </c>
      <c r="Z37" s="127">
        <f t="shared" si="10"/>
        <v>0</v>
      </c>
      <c r="AW37" s="3" t="s">
        <v>528</v>
      </c>
      <c r="AX37" s="94">
        <f>IF($E34=5,$V34,0)</f>
        <v>0</v>
      </c>
      <c r="AY37" s="94">
        <f>IF($E35=5,$V35,0)</f>
        <v>0</v>
      </c>
      <c r="AZ37" s="94">
        <f>IF($E36=5,$V36,0)</f>
        <v>0</v>
      </c>
      <c r="BA37" s="94">
        <f>IF($E37=5,$V37,0)</f>
        <v>0</v>
      </c>
      <c r="BB37" s="94">
        <f>IF($E38=5,$V38,0)</f>
        <v>0</v>
      </c>
      <c r="BC37" s="200">
        <f t="shared" si="9"/>
        <v>0</v>
      </c>
      <c r="CF37" s="93">
        <v>32</v>
      </c>
      <c r="CG37" s="316">
        <f>IF($E$7=2,Dados!$AE$45,IF($E$7=3,Dados!$AG$45,IF($E$7=4,Dados!$AI$45,IF($E$7=5,Dados!$AK$45,IF($E$7=6,Dados!$AM$45,IF($E$7=7,Dados!$AO$45,IF($E$7=8,Dados!$AS$45,0)))))))</f>
        <v>0</v>
      </c>
      <c r="CH37" s="304">
        <f>IF($E$7=2,Dados!$AF$45,IF($E$7=3,Dados!$AH$45,IF($E$7=4,Dados!$AJ$45,IF($E$7=5,Dados!$AL$45,IF($E$7=6,Dados!$AN$45,IF($E$7=7,Dados!$AP$45,IF($E$7=8,Dados!$AT$45,0)))))))</f>
        <v>0</v>
      </c>
      <c r="CI37" s="316">
        <f>IF($E$8=2,Dados!$AE$45,IF($E$8=3,Dados!$AG$45,IF($E$8=4,Dados!$AI$45,IF($E$8=5,Dados!$AK$45,IF($E$8=6,Dados!$AM$45,IF($E$8=7,Dados!$AO$45,IF($E$8=8,Dados!$AS$45,0)))))))</f>
        <v>0</v>
      </c>
      <c r="CJ37" s="304">
        <f>IF($E$8=2,Dados!$AF$45,IF($E$8=3,Dados!$AH$45,IF($E$8=4,Dados!$AJ$45,IF($E$8=5,Dados!$AL$45,IF($E$8=6,Dados!$AN$45,IF($E$8=7,Dados!$AP$45,IF($E$8=8,Dados!$AT$45,0)))))))</f>
        <v>0</v>
      </c>
      <c r="CK37" s="316">
        <f>IF($E$9=2,Dados!$AE$45,IF($E$9=3,Dados!$AG$45,IF($E$9=4,Dados!$AI$45,IF($E$9=5,Dados!$AK$45,IF($E$9=6,Dados!$AM$45,IF($E$9=7,Dados!$AO$45,IF($E$9=8,Dados!$AS$45,0)))))))</f>
        <v>0</v>
      </c>
      <c r="CL37" s="304">
        <f>IF($E$9=2,Dados!$AF$45,IF($E$9=3,Dados!$AH$45,IF($E$9=4,Dados!$AJ$45,IF($E$9=5,Dados!$AL$45,IF($E$9=6,Dados!$AN$45,IF($E$9=7,Dados!$AP$45,IF($E$9=8,Dados!$AT$45,0)))))))</f>
        <v>0</v>
      </c>
      <c r="CM37" s="316">
        <f>IF($E$10=2,Dados!$AE$45,IF($E$10=3,Dados!$AG$45,IF($E$10=4,Dados!$AI$45,IF($E$10=5,Dados!$AK$45,IF($E$10=6,Dados!$AM$45,IF($E$10=7,Dados!$AO$45,IF($E$10=8,Dados!$AS$45,0)))))))</f>
        <v>0</v>
      </c>
      <c r="CN37" s="304">
        <f>IF($E$10=2,Dados!$AF$45,IF($E$10=3,Dados!$AH$45,IF($E$10=4,Dados!$AJ$45,IF($E$10=5,Dados!$AL$45,IF($E$10=6,Dados!$AN$45,IF($E$10=7,Dados!$AP$45,IF($E$10=8,Dados!$AT$45,0)))))))</f>
        <v>0</v>
      </c>
      <c r="CO37" s="316">
        <f>IF($E$11=2,Dados!$AE$45,IF($E$11=3,Dados!$AG$45,IF($E$11=4,Dados!$AI$45,IF($E$11=5,Dados!$AK$45,IF($E$11=6,Dados!$AM$45,IF($E$11=7,Dados!$AO$45,IF($E$11=8,Dados!$AS$45,0)))))))</f>
        <v>0</v>
      </c>
      <c r="CP37" s="304">
        <f>IF($E$11=2,Dados!$AF$45,IF($E$11=3,Dados!$AH$45,IF($E$11=4,Dados!$AJ$45,IF($E$11=5,Dados!$AL$45,IF($E$11=6,Dados!$AN$45,IF($E$11=7,Dados!$AP$45,IF($E$11=8,Dados!$AT$45,0)))))))</f>
        <v>0</v>
      </c>
      <c r="CR37" s="316">
        <f>IF($E$16=2,Dados!$AE$45,IF($E$16=3,Dados!$AG$45,IF($E$16=4,Dados!$AI$45,IF($E$16=5,Dados!$AK$45,IF($E$16=6,Dados!$AM$45,IF($E$16=7,Dados!$AO$45,IF($E$16=8,Dados!$AS$45,0)))))))</f>
        <v>0</v>
      </c>
      <c r="CS37" s="304">
        <f>IF($E$16=2,Dados!$AF$45,IF($E$16=3,Dados!$AH$45,IF($E$16=4,Dados!$AJ$45,IF($E$16=5,Dados!$AL$45,IF($E$16=6,Dados!$AN$45,IF($E$16=7,Dados!$AP$45,IF($E$16=8,Dados!$AT$45,0)))))))</f>
        <v>0</v>
      </c>
      <c r="CT37" s="316">
        <f>IF($E$17=2,Dados!$AE$45,IF($E$17=3,Dados!$AG$45,IF($E$17=4,Dados!$AI$45,IF($E$17=5,Dados!$AK$45,IF($E$17=6,Dados!$AM$45,IF($E$17=7,Dados!$AO$45,IF($E$17=8,Dados!$AS$45,0)))))))</f>
        <v>0</v>
      </c>
      <c r="CU37" s="304">
        <f>IF($E$17=2,Dados!$AF$45,IF($E$17=3,Dados!$AH$45,IF($E$17=4,Dados!$AJ$45,IF($E$17=5,Dados!$AL$45,IF($E$17=6,Dados!$AN$45,IF($E$17=7,Dados!$AP$45,IF($E$17=8,Dados!$AT$45,0)))))))</f>
        <v>0</v>
      </c>
      <c r="CV37" s="316">
        <f>IF($E$18=2,Dados!$AE$45,IF($E$18=3,Dados!$AG$45,IF($E$18=4,Dados!$AI$45,IF($E$18=5,Dados!$AK$45,IF($E$18=6,Dados!$AM$45,IF($E$18=7,Dados!$AO$45,IF($E$18=8,Dados!$AS$45,0)))))))</f>
        <v>0</v>
      </c>
      <c r="CW37" s="304">
        <f>IF($E$18=2,Dados!$AF$45,IF($E$18=3,Dados!$AH$45,IF($E$18=4,Dados!$AJ$45,IF($E$18=5,Dados!$AL$45,IF($E$18=6,Dados!$AN$45,IF($E$18=7,Dados!$AP$45,IF($E$18=8,Dados!$AT$45,0)))))))</f>
        <v>0</v>
      </c>
      <c r="CX37" s="316">
        <f>IF($E$19=2,Dados!$AE$45,IF($E$19=3,Dados!$AG$45,IF($E$19=4,Dados!$AI$45,IF($E$19=5,Dados!$AK$45,IF($E$19=6,Dados!$AM$45,IF($E$19=7,Dados!$AO$45,IF($E$19=8,Dados!$AS$45,0)))))))</f>
        <v>0</v>
      </c>
      <c r="CY37" s="304">
        <f>IF($E$19=2,Dados!$AF$45,IF($E$19=3,Dados!$AH$45,IF($E$19=4,Dados!$AJ$45,IF($E$19=5,Dados!$AL$45,IF($E$19=6,Dados!$AN$45,IF($E$19=7,Dados!$AP$45,IF($E$19=8,Dados!$AT$45,0)))))))</f>
        <v>0</v>
      </c>
      <c r="CZ37" s="316">
        <f>IF($E$20=2,Dados!$AE$45,IF($E$20=3,Dados!$AG$45,IF($E$20=4,Dados!$AI$45,IF($E$20=5,Dados!$AK$45,IF($E$20=6,Dados!$AM$45,IF($E$20=7,Dados!$AO$45,IF($E$20=8,Dados!$AS$45,0)))))))</f>
        <v>0</v>
      </c>
      <c r="DA37" s="304">
        <f>IF($E$20=2,Dados!$AF$45,IF($E$20=3,Dados!$AH$45,IF($E$20=4,Dados!$AJ$45,IF($E$20=5,Dados!$AL$45,IF($E$20=6,Dados!$AN$45,IF($E$20=7,Dados!$AP$45,IF($E$20=8,Dados!$AT$45,0)))))))</f>
        <v>0</v>
      </c>
      <c r="DC37" s="316">
        <f>IF($E$25=2,Dados!$AE$45,IF($E$25=3,Dados!$AG$45,IF($E$25=4,Dados!$AI$45,IF($E$25=5,Dados!$AK$45,IF($E$25=6,Dados!$AM$45,IF($E$25=7,Dados!$AO$45,IF($E$25=8,Dados!$AS$45,0)))))))</f>
        <v>0</v>
      </c>
      <c r="DD37" s="304">
        <f>IF($E$25=2,Dados!$AF$45,IF($E$25=3,Dados!$AH$45,IF($E$25=4,Dados!$AJ$45,IF($E$25=5,Dados!$AL$45,IF($E$25=6,Dados!$AN$45,IF($E$25=7,Dados!$AP$45,IF($E$25=8,Dados!$AT$45,0)))))))</f>
        <v>0</v>
      </c>
      <c r="DE37" s="316">
        <f>IF($E$26=2,Dados!$AE$45,IF($E$26=3,Dados!$AG$45,IF($E$26=4,Dados!$AI$45,IF($E$26=5,Dados!$AK$45,IF($E$26=6,Dados!$AM$45,IF($E$26=7,Dados!$AO$45,IF($E$26=8,Dados!$AS$45,0)))))))</f>
        <v>0</v>
      </c>
      <c r="DF37" s="304">
        <f>IF($E$26=2,Dados!$AF$45,IF($E$26=3,Dados!$AH$45,IF($E$26=4,Dados!$AJ$45,IF($E$26=5,Dados!$AL$45,IF($E$26=6,Dados!$AN$45,IF($E$26=7,Dados!$AP$45,IF($E$26=8,Dados!$AT$45,0)))))))</f>
        <v>0</v>
      </c>
      <c r="DG37" s="316">
        <f>IF($E$27=2,Dados!$AE$45,IF($E$27=3,Dados!$AG$45,IF($E$27=4,Dados!$AI$45,IF($E$27=5,Dados!$AK$45,IF($E$27=6,Dados!$AM$45,IF($E$27=7,Dados!$AO$45,IF($E$27=8,Dados!$AS$45,0)))))))</f>
        <v>0</v>
      </c>
      <c r="DH37" s="304">
        <f>IF($E$27=2,Dados!$AF$45,IF($E$27=3,Dados!$AH$45,IF($E$27=4,Dados!$AJ$45,IF($E$27=5,Dados!$AL$45,IF($E$27=6,Dados!$AN$45,IF($E$27=7,Dados!$AP$45,IF($E$27=8,Dados!$AT$45,0)))))))</f>
        <v>0</v>
      </c>
      <c r="DI37" s="316">
        <f>IF($E$28=2,Dados!$AE$45,IF($E$28=3,Dados!$AG$45,IF($E$28=4,Dados!$AI$45,IF($E$28=5,Dados!$AK$45,IF($E$28=6,Dados!$AM$45,IF($E$28=7,Dados!$AO$45,IF($E$28=8,Dados!$AS$45,0)))))))</f>
        <v>0</v>
      </c>
      <c r="DJ37" s="304">
        <f>IF($E$28=2,Dados!$AF$45,IF($E$28=3,Dados!$AH$45,IF($E$28=4,Dados!$AJ$45,IF($E$28=5,Dados!$AL$45,IF($E$28=6,Dados!$AN$45,IF($E$28=7,Dados!$AP$45,IF($E$28=8,Dados!$AT$45,0)))))))</f>
        <v>0</v>
      </c>
      <c r="DK37" s="316">
        <f>IF($E$29=2,Dados!$AE$45,IF($E$29=3,Dados!$AG$45,IF($E$29=4,Dados!$AI$45,IF($E$29=5,Dados!$AK$45,IF($E$29=6,Dados!$AM$45,IF($E$29=7,Dados!$AO$45,IF($E$29=8,Dados!$AS$45,0)))))))</f>
        <v>0</v>
      </c>
      <c r="DL37" s="304">
        <f>IF($E$29=2,Dados!$AF$45,IF($E$29=3,Dados!$AH$45,IF($E$29=4,Dados!$AJ$45,IF($E$29=5,Dados!$AL$45,IF($E$29=6,Dados!$AN$45,IF($E$29=7,Dados!$AP$45,IF($E$29=8,Dados!$AT$45,0)))))))</f>
        <v>0</v>
      </c>
      <c r="DN37" s="316">
        <f>IF($E$34=2,Dados!$AE$45,IF($E$34=3,Dados!$AG$45,IF($E$34=4,Dados!$AI$45,IF($E$34=5,Dados!$AK$45,IF($E$34=6,Dados!$AM$45,IF($E$34=7,Dados!$AO$45,IF($E$34=8,Dados!$AS$45,0)))))))</f>
        <v>0</v>
      </c>
      <c r="DO37" s="304">
        <f>IF($E$34=2,Dados!$AF$45,IF($E$34=3,Dados!$AH$45,IF($E$34=4,Dados!$AJ$45,IF($E$34=5,Dados!$AL$45,IF($E$34=6,Dados!$AN$45,IF($E$34=7,Dados!$AP$45,IF($E$34=8,Dados!$AT$45,0)))))))</f>
        <v>0</v>
      </c>
      <c r="DP37" s="316">
        <f>IF($E$35=2,Dados!$AE$45,IF($E$35=3,Dados!$AG$45,IF($E$35=4,Dados!$AI$45,IF($E$35=5,Dados!$AK$45,IF($E$35=6,Dados!$AM$45,IF($E$35=7,Dados!$AO$45,IF($E$35=8,Dados!$AS$45,0)))))))</f>
        <v>0</v>
      </c>
      <c r="DQ37" s="304">
        <f>IF($E$35=2,Dados!$AF$45,IF($E$35=3,Dados!$AH$45,IF($E$35=4,Dados!$AJ$45,IF($E$35=5,Dados!$AL$45,IF($E$35=6,Dados!$AN$45,IF($E$35=7,Dados!$AP$45,IF($E$35=8,Dados!$AT$45,0)))))))</f>
        <v>0</v>
      </c>
      <c r="DR37" s="316">
        <f>IF($E$36=2,Dados!$AE$45,IF($E$36=3,Dados!$AG$45,IF($E$36=4,Dados!$AI$45,IF($E$36=5,Dados!$AK$45,IF($E$36=6,Dados!$AM$45,IF($E$36=7,Dados!$AO$45,IF($E$36=8,Dados!$AS$45,0)))))))</f>
        <v>0</v>
      </c>
      <c r="DS37" s="304">
        <f>IF($E$36=2,Dados!$AF$45,IF($E$36=3,Dados!$AH$45,IF($E$36=4,Dados!$AJ$45,IF($E$36=5,Dados!$AL$45,IF($E$36=6,Dados!$AN$45,IF($E$36=7,Dados!$AP$45,IF($E$36=8,Dados!$AT$45,0)))))))</f>
        <v>0</v>
      </c>
      <c r="DT37" s="316">
        <f>IF($E$37=2,Dados!$AE$45,IF($E$37=3,Dados!$AG$45,IF($E$37=4,Dados!$AI$45,IF($E$37=5,Dados!$AK$45,IF($E$37=6,Dados!$AM$45,IF($E$37=7,Dados!$AO$45,IF($E$37=8,Dados!$AS$45,0)))))))</f>
        <v>0</v>
      </c>
      <c r="DU37" s="304">
        <f>IF($E$37=2,Dados!$AF$45,IF($E$37=3,Dados!$AH$45,IF($E$37=4,Dados!$AJ$45,IF($E$37=5,Dados!$AL$45,IF($E$37=6,Dados!$AN$45,IF($E$37=7,Dados!$AP$45,IF($E$37=8,Dados!$AT$45,0)))))))</f>
        <v>0</v>
      </c>
      <c r="DV37" s="316">
        <f>IF($E$38=2,Dados!$AE$45,IF($E$38=3,Dados!$AG$45,IF($E$38=4,Dados!$AI$45,IF($E$38=5,Dados!$AK$45,IF($E$38=6,Dados!$AM$45,IF($E$38=7,Dados!$AO$45,IF($E$38=8,Dados!$AS$45,0)))))))</f>
        <v>0</v>
      </c>
      <c r="DW37" s="304">
        <f>IF($E$38=2,Dados!$AF$45,IF($E$38=3,Dados!$AH$45,IF($E$38=4,Dados!$AJ$45,IF($E$38=5,Dados!$AL$45,IF($E$38=6,Dados!$AN$45,IF($E$38=7,Dados!$AP$45,IF($E$38=8,Dados!$AT$45,0)))))))</f>
        <v>0</v>
      </c>
      <c r="DY37" s="316">
        <f>IF($E$43=2,Dados!$AE$45,IF($E$43=3,Dados!$AG$45,IF($E$43=4,Dados!$AI$45,IF($E$43=5,Dados!$AK$45,IF($E$43=6,Dados!$AM$45,IF($E$43=7,Dados!$AO$45,IF($E$43=8,Dados!$AS$45,0)))))))</f>
        <v>0</v>
      </c>
      <c r="DZ37" s="304">
        <f>IF($E$43=2,Dados!$AF$45,IF($E$43=3,Dados!$AH$45,IF($E$43=4,Dados!$AJ$45,IF($E$43=5,Dados!$AL$45,IF($E$43=6,Dados!$AN$45,IF($E$43=7,Dados!$AP$45,IF($E$43=8,Dados!$AT$45,0)))))))</f>
        <v>0</v>
      </c>
      <c r="EA37" s="316">
        <f>IF($E$44=2,Dados!$AE$45,IF($E$44=3,Dados!$AG$45,IF($E$44=4,Dados!$AI$45,IF($E$44=5,Dados!$AK$45,IF($E$44=6,Dados!$AM$45,IF($E$44=7,Dados!$AO$45,IF($E$44=8,Dados!$AS$45,0)))))))</f>
        <v>0</v>
      </c>
      <c r="EB37" s="304">
        <f>IF($E$44=2,Dados!$AF$45,IF($E$44=3,Dados!$AH$45,IF($E$44=4,Dados!$AJ$45,IF($E$44=5,Dados!$AL$45,IF($E$44=6,Dados!$AN$45,IF($E$44=7,Dados!$AP$45,IF($E$44=8,Dados!$AT$45,0)))))))</f>
        <v>0</v>
      </c>
      <c r="EC37" s="316">
        <f>IF($E$45=2,Dados!$AE$45,IF($E$45=3,Dados!$AG$45,IF($E$45=4,Dados!$AI$45,IF($E$45=5,Dados!$AK$45,IF($E$45=6,Dados!$AM$45,IF($E$45=7,Dados!$AO$45,IF($E$45=8,Dados!$AS$45,0)))))))</f>
        <v>0</v>
      </c>
      <c r="ED37" s="304">
        <f>IF($E$45=2,Dados!$AF$45,IF($E$45=3,Dados!$AH$45,IF($E$45=4,Dados!$AJ$45,IF($E$45=5,Dados!$AL$45,IF($E$45=6,Dados!$AN$45,IF($E$45=7,Dados!$AP$45,IF($E$45=8,Dados!$AT$45,0)))))))</f>
        <v>0</v>
      </c>
      <c r="EE37" s="316">
        <f>IF($E$46=2,Dados!$AE$45,IF($E$46=3,Dados!$AG$45,IF($E$46=4,Dados!$AI$45,IF($E$46=5,Dados!$AK$45,IF($E$46=6,Dados!$AM$45,IF($E$46=7,Dados!$AO$45,IF($E$46=8,Dados!$AS$45,0)))))))</f>
        <v>0</v>
      </c>
      <c r="EF37" s="304">
        <f>IF($E$46=2,Dados!$AF$45,IF($E$46=3,Dados!$AH$45,IF($E$46=4,Dados!$AJ$45,IF($E$46=5,Dados!$AL$45,IF($E$46=6,Dados!$AN$45,IF($E$46=7,Dados!$AP$45,IF($E$46=8,Dados!$AT$45,0)))))))</f>
        <v>0</v>
      </c>
      <c r="EG37" s="316">
        <f>IF($E$47=2,Dados!$AE$45,IF($E$47=3,Dados!$AG$45,IF($E$47=4,Dados!$AI$45,IF($E$47=5,Dados!$AK$45,IF($E$47=6,Dados!$AM$45,IF($E$47=7,Dados!$AO$45,IF($E$47=8,Dados!$AS$45,0)))))))</f>
        <v>0</v>
      </c>
      <c r="EH37" s="304">
        <f>IF($E$47=2,Dados!$AF$45,IF($E$47=3,Dados!$AH$45,IF($E$47=4,Dados!$AJ$45,IF($E$47=5,Dados!$AL$45,IF($E$47=6,Dados!$AN$45,IF($E$47=7,Dados!$AP$45,IF($E$47=8,Dados!$AT$45,0)))))))</f>
        <v>0</v>
      </c>
      <c r="EJ37" s="316">
        <f>IF($E$52=2,Dados!$AE$45,IF($E$52=3,Dados!$AG$45,IF($E$52=4,Dados!$AI$45,IF($E$52=5,Dados!$AK$45,IF($E$52=6,Dados!$AM$45,IF($E$52=7,Dados!$AO$45,IF($E$52=8,Dados!$AS$45,0)))))))</f>
        <v>0</v>
      </c>
      <c r="EK37" s="304">
        <f>IF($E$52=2,Dados!$AF$45,IF($E$52=3,Dados!$AH$45,IF($E$52=4,Dados!$AJ$45,IF($E$52=5,Dados!$AL$45,IF($E$52=6,Dados!$AN$45,IF($E$52=7,Dados!$AP$45,IF($E$52=8,Dados!$AT$45,0)))))))</f>
        <v>0</v>
      </c>
      <c r="EL37" s="316">
        <f>IF($E$53=2,Dados!$AE$45,IF($E$53=3,Dados!$AG$45,IF($E$53=4,Dados!$AI$45,IF($E$53=5,Dados!$AK$45,IF($E$53=6,Dados!$AM$45,IF($E$53=7,Dados!$AO$45,IF($E$53=8,Dados!$AS$45,0)))))))</f>
        <v>0</v>
      </c>
      <c r="EM37" s="304">
        <f>IF($E$53=2,Dados!$AF$45,IF($E$53=3,Dados!$AH$45,IF($E$53=4,Dados!$AJ$45,IF($E$53=5,Dados!$AL$45,IF($E$53=6,Dados!$AN$45,IF($E$53=7,Dados!$AP$45,IF($E$53=8,Dados!$AT$45,0)))))))</f>
        <v>0</v>
      </c>
      <c r="EN37" s="316">
        <f>IF($E$54=2,Dados!$AE$45,IF($E$54=3,Dados!$AG$45,IF($E$54=4,Dados!$AI$45,IF($E$54=5,Dados!$AK$45,IF($E$54=6,Dados!$AM$45,IF($E$54=7,Dados!$AO$45,IF($E$54=8,Dados!$AS$45,0)))))))</f>
        <v>0</v>
      </c>
      <c r="EO37" s="304">
        <f>IF($E$54=2,Dados!$AF$45,IF($E$54=3,Dados!$AH$45,IF($E$54=4,Dados!$AJ$45,IF($E$54=5,Dados!$AL$45,IF($E$54=6,Dados!$AN$45,IF($E$54=7,Dados!$AP$45,IF($E$54=8,Dados!$AT$45,0)))))))</f>
        <v>0</v>
      </c>
      <c r="EP37" s="316">
        <f>IF($E$55=2,Dados!$AE$45,IF($E$55=3,Dados!$AG$45,IF($E$55=4,Dados!$AI$45,IF($E$55=5,Dados!$AK$45,IF($E$55=6,Dados!$AM$45,IF($E$55=7,Dados!$AO$45,IF($E$55=8,Dados!$AS$45,0)))))))</f>
        <v>0</v>
      </c>
      <c r="EQ37" s="304">
        <f>IF($E$55=2,Dados!$AF$45,IF($E$55=3,Dados!$AH$45,IF($E$55=4,Dados!$AJ$45,IF($E$55=5,Dados!$AL$45,IF($E$55=6,Dados!$AN$45,IF($E$55=7,Dados!$AP$45,IF($E$55=8,Dados!$AT$45,0)))))))</f>
        <v>0</v>
      </c>
      <c r="ER37" s="316">
        <f>IF($E$56=2,Dados!$AE$45,IF($E$56=3,Dados!$AG$45,IF($E$56=4,Dados!$AI$45,IF($E$56=5,Dados!$AK$45,IF($E$56=6,Dados!$AM$45,IF($E$56=7,Dados!$AO$45,IF($E$56=8,Dados!$AS$45,0)))))))</f>
        <v>0</v>
      </c>
      <c r="ES37" s="304">
        <f>IF($E$56=2,Dados!$AF$45,IF($E$56=3,Dados!$AH$45,IF($E$56=4,Dados!$AJ$45,IF($E$56=5,Dados!$AL$45,IF($E$56=6,Dados!$AN$45,IF($E$56=7,Dados!$AP$45,IF($E$56=8,Dados!$AT$45,0)))))))</f>
        <v>0</v>
      </c>
      <c r="EU37" s="316">
        <f>IF($E$61=2,Dados!$AE$45,IF($E$61=3,Dados!$AG$45,IF($E$61=4,Dados!$AI$45,IF($E$61=5,Dados!$AK$45,IF($E$61=6,Dados!$AM$45,IF($E$61=7,Dados!$AO$45,IF($E$61=8,Dados!$AS$45,0)))))))</f>
        <v>0</v>
      </c>
      <c r="EV37" s="304">
        <f>IF($E$61=2,Dados!$AF$45,IF($E$61=3,Dados!$AH$45,IF($E$61=4,Dados!$AJ$45,IF($E$61=5,Dados!$AL$45,IF($E$61=6,Dados!$AN$45,IF($E$61=7,Dados!$AP$45,IF($E$61=8,Dados!$AT$45,0)))))))</f>
        <v>0</v>
      </c>
      <c r="EW37" s="316">
        <f>IF($E$62=2,Dados!$AE$45,IF($E$62=3,Dados!$AG$45,IF($E$62=4,Dados!$AI$45,IF($E$62=5,Dados!$AK$45,IF($E$62=6,Dados!$AM$45,IF($E$62=7,Dados!$AO$45,IF($E$62=8,Dados!$AS$45,0)))))))</f>
        <v>0</v>
      </c>
      <c r="EX37" s="304">
        <f>IF($E$62=2,Dados!$AF$45,IF($E$62=3,Dados!$AH$45,IF($E$62=4,Dados!$AJ$45,IF($E$62=5,Dados!$AL$45,IF($E$62=6,Dados!$AN$45,IF($E$62=7,Dados!$AP$45,IF($E$62=8,Dados!$AT$45,0)))))))</f>
        <v>0</v>
      </c>
      <c r="EY37" s="316">
        <f>IF($E$63=2,Dados!$AE$45,IF($E$63=3,Dados!$AG$45,IF($E$63=4,Dados!$AI$45,IF($E$63=5,Dados!$AK$45,IF($E$63=6,Dados!$AM$45,IF($E$63=7,Dados!$AO$45,IF($E$63=8,Dados!$AS$45,0)))))))</f>
        <v>0</v>
      </c>
      <c r="EZ37" s="304">
        <f>IF($E$63=2,Dados!$AF$45,IF($E$63=3,Dados!$AH$45,IF($E$63=4,Dados!$AJ$45,IF($E$63=5,Dados!$AL$45,IF($E$63=6,Dados!$AN$45,IF($E$63=7,Dados!$AP$45,IF($E$63=8,Dados!$AT$45,0)))))))</f>
        <v>0</v>
      </c>
      <c r="FA37" s="316">
        <f>IF($E$64=2,Dados!$AE$45,IF($E$64=3,Dados!$AG$45,IF($E$64=4,Dados!$AI$45,IF($E$64=5,Dados!$AK$45,IF($E$64=6,Dados!$AM$45,IF($E$64=7,Dados!$AO$45,IF($E$64=8,Dados!$AS$45,0)))))))</f>
        <v>0</v>
      </c>
      <c r="FB37" s="304">
        <f>IF($E$64=2,Dados!$AF$45,IF($E$64=3,Dados!$AH$45,IF($E$64=4,Dados!$AJ$45,IF($E$64=5,Dados!$AL$45,IF($E$64=6,Dados!$AN$45,IF($E$64=7,Dados!$AP$45,IF($E$64=8,Dados!$AT$45,0)))))))</f>
        <v>0</v>
      </c>
      <c r="FC37" s="316">
        <f>IF($E$65=2,Dados!$AE$45,IF($E$65=3,Dados!$AG$45,IF($E$65=4,Dados!$AI$45,IF($E$65=5,Dados!$AK$45,IF($E$65=6,Dados!$AM$45,IF($E$65=7,Dados!$AO$45,IF($E$65=8,Dados!$AS$45,0)))))))</f>
        <v>0</v>
      </c>
      <c r="FD37" s="304">
        <f>IF($E$65=2,Dados!$AF$45,IF($E$65=3,Dados!$AH$45,IF($E$65=4,Dados!$AJ$45,IF($E$65=5,Dados!$AL$45,IF($E$65=6,Dados!$AN$45,IF($E$65=7,Dados!$AP$45,IF($E$65=8,Dados!$AT$45,0)))))))</f>
        <v>0</v>
      </c>
      <c r="FF37" s="316">
        <f>IF($E$70=2,Dados!$AE$45,IF($E$70=3,Dados!$AG$45,IF($E$70=4,Dados!$AI$45,IF($E$70=5,Dados!$AK$45,IF($E$70=6,Dados!$AM$45,IF($E$70=7,Dados!$AO$45,IF($E$70=8,Dados!$AS$45,0)))))))</f>
        <v>0</v>
      </c>
      <c r="FG37" s="304">
        <f>IF($E$70=2,Dados!$AF$45,IF($E$70=3,Dados!$AH$45,IF($E$70=4,Dados!$AJ$45,IF($E$70=5,Dados!$AL$45,IF($E$70=6,Dados!$AN$45,IF($E$70=7,Dados!$AP$45,IF($E$70=8,Dados!$AT$45,0)))))))</f>
        <v>0</v>
      </c>
      <c r="FH37" s="316">
        <f>IF($E$71=2,Dados!$AE$45,IF($E$71=3,Dados!$AG$45,IF($E$71=4,Dados!$AI$45,IF($E$71=5,Dados!$AK$45,IF($E$71=6,Dados!$AM$45,IF($E$71=7,Dados!$AO$45,IF($E$71=8,Dados!$AS$45,0)))))))</f>
        <v>0</v>
      </c>
      <c r="FI37" s="304">
        <f>IF($E$71=2,Dados!$AF$45,IF($E$71=3,Dados!$AH$45,IF($E$71=4,Dados!$AJ$45,IF($E$71=5,Dados!$AL$45,IF($E$71=6,Dados!$AN$45,IF($E$71=7,Dados!$AP$45,IF($E$71=8,Dados!$AT$45,0)))))))</f>
        <v>0</v>
      </c>
      <c r="FJ37" s="316">
        <f>IF($E$72=2,Dados!$AE$45,IF($E$72=3,Dados!$AG$45,IF($E$72=4,Dados!$AI$45,IF($E$72=5,Dados!$AK$45,IF($E$72=6,Dados!$AM$45,IF($E$72=7,Dados!$AO$45,IF($E$72=8,Dados!$AS$45,0)))))))</f>
        <v>0</v>
      </c>
      <c r="FK37" s="304">
        <f>IF($E$72=2,Dados!$AF$45,IF($E$72=3,Dados!$AH$45,IF($E$72=4,Dados!$AJ$45,IF($E$72=5,Dados!$AL$45,IF($E$72=6,Dados!$AN$45,IF($E$72=7,Dados!$AP$45,IF($E$72=8,Dados!$AT$45,0)))))))</f>
        <v>0</v>
      </c>
      <c r="FL37" s="316">
        <f>IF($E$73=2,Dados!$AE$45,IF($E$73=3,Dados!$AG$45,IF($E$73=4,Dados!$AI$45,IF($E$73=5,Dados!$AK$45,IF($E$73=6,Dados!$AM$45,IF($E$73=7,Dados!$AO$45,IF($E$73=8,Dados!$AS$45,0)))))))</f>
        <v>0</v>
      </c>
      <c r="FM37" s="304">
        <f>IF($E$73=2,Dados!$AF$45,IF($E$73=3,Dados!$AH$45,IF($E$73=4,Dados!$AJ$45,IF($E$73=5,Dados!$AL$45,IF($E$73=6,Dados!$AN$45,IF($E$73=7,Dados!$AP$45,IF($E$73=8,Dados!$AT$45,0)))))))</f>
        <v>0</v>
      </c>
      <c r="FN37" s="316">
        <f>IF($E$74=2,Dados!$AE$45,IF($E$74=3,Dados!$AG$45,IF($E$74=4,Dados!$AI$45,IF($E$74=5,Dados!$AK$45,IF($E$74=6,Dados!$AM$45,IF($E$74=7,Dados!$AO$45,IF($E$74=8,Dados!$AS$45,0)))))))</f>
        <v>0</v>
      </c>
      <c r="FO37" s="304">
        <f>IF($E$74=2,Dados!$AF$45,IF($E$74=3,Dados!$AH$45,IF($E$74=4,Dados!$AJ$45,IF($E$74=5,Dados!$AL$45,IF($E$74=6,Dados!$AN$45,IF($E$74=7,Dados!$AP$45,IF($E$74=8,Dados!$AT$45,0)))))))</f>
        <v>0</v>
      </c>
      <c r="FQ37" s="316">
        <f>IF($E$79=2,Dados!$AE$45,IF($E$79=3,Dados!$AG$45,IF($E$79=4,Dados!$AI$45,IF($E$79=5,Dados!$AK$45,IF($E$79=6,Dados!$AM$45,IF($E$79=7,Dados!$AO$45,IF($E$79=8,Dados!$AS$45,0)))))))</f>
        <v>0</v>
      </c>
      <c r="FR37" s="304">
        <f>IF($E$79=2,Dados!$AF$45,IF($E$79=3,Dados!$AH$45,IF($E$79=4,Dados!$AJ$45,IF($E$79=5,Dados!$AL$45,IF($E$79=6,Dados!$AN$45,IF($E$79=7,Dados!$AP$45,IF($E$79=8,Dados!$AT$45,0)))))))</f>
        <v>0</v>
      </c>
      <c r="FS37" s="316">
        <f>IF($E$80=2,Dados!$AE$45,IF($E$80=3,Dados!$AG$45,IF($E$80=4,Dados!$AI$45,IF($E$80=5,Dados!$AK$45,IF($E$80=6,Dados!$AM$45,IF($E$80=7,Dados!$AO$45,IF($E$80=8,Dados!$AS$45,0)))))))</f>
        <v>0</v>
      </c>
      <c r="FT37" s="304">
        <f>IF($E$80=2,Dados!$AF$45,IF($E$80=3,Dados!$AH$45,IF($E$80=4,Dados!$AJ$45,IF($E$80=5,Dados!$AL$45,IF($E$80=6,Dados!$AN$45,IF($E$80=7,Dados!$AP$45,IF($E$80=8,Dados!$AT$45,0)))))))</f>
        <v>0</v>
      </c>
      <c r="FU37" s="316">
        <f>IF($E$81=2,Dados!$AE$45,IF($E$81=3,Dados!$AG$45,IF($E$81=4,Dados!$AI$45,IF($E$81=5,Dados!$AK$45,IF($E$81=6,Dados!$AM$45,IF($E$81=7,Dados!$AO$45,IF($E$81=8,Dados!$AS$45,0)))))))</f>
        <v>0</v>
      </c>
      <c r="FV37" s="304">
        <f>IF($E$81=2,Dados!$AF$45,IF($E$81=3,Dados!$AH$45,IF($E$81=4,Dados!$AJ$45,IF($E$81=5,Dados!$AL$45,IF($E$81=6,Dados!$AN$45,IF($E$81=7,Dados!$AP$45,IF($E$81=8,Dados!$AT$45,0)))))))</f>
        <v>0</v>
      </c>
      <c r="FW37" s="316">
        <f>IF($E$82=2,Dados!$AE$45,IF($E$82=3,Dados!$AG$45,IF($E$82=4,Dados!$AI$45,IF($E$82=5,Dados!$AK$45,IF($E$82=6,Dados!$AM$45,IF($E$82=7,Dados!$AO$45,IF($E$82=8,Dados!$AS$45,0)))))))</f>
        <v>0</v>
      </c>
      <c r="FX37" s="304">
        <f>IF($E$82=2,Dados!$AF$45,IF($E$82=3,Dados!$AH$45,IF($E$82=4,Dados!$AJ$45,IF($E$82=5,Dados!$AL$45,IF($E$82=6,Dados!$AN$45,IF($E$82=7,Dados!$AP$45,IF($E$82=8,Dados!$AT$45,0)))))))</f>
        <v>0</v>
      </c>
      <c r="FY37" s="316">
        <f>IF($E$83=2,Dados!$AE$45,IF($E$83=3,Dados!$AG$45,IF($E$83=4,Dados!$AI$45,IF($E$83=5,Dados!$AK$45,IF($E$83=6,Dados!$AM$45,IF($E$83=7,Dados!$AO$45,IF($E$83=8,Dados!$AS$45,0)))))))</f>
        <v>0</v>
      </c>
      <c r="FZ37" s="304">
        <f>IF($E$83=2,Dados!$AF$45,IF($E$83=3,Dados!$AH$45,IF($E$83=4,Dados!$AJ$45,IF($E$83=5,Dados!$AL$45,IF($E$83=6,Dados!$AN$45,IF($E$83=7,Dados!$AP$45,IF($E$83=8,Dados!$AT$45,0)))))))</f>
        <v>0</v>
      </c>
      <c r="GB37" s="316">
        <f>IF($E$88=2,Dados!$AE$45,IF($E$88=3,Dados!$AG$45,IF($E$88=4,Dados!$AI$45,IF($E$88=5,Dados!$AK$45,IF($E$88=6,Dados!$AM$45,IF($E$88=7,Dados!$AO$45,IF($E$88=8,Dados!$AS$45,0)))))))</f>
        <v>0</v>
      </c>
      <c r="GC37" s="304">
        <f>IF($E$88=2,Dados!$AF$45,IF($E$88=3,Dados!$AH$45,IF($E$88=4,Dados!$AJ$45,IF($E$88=5,Dados!$AL$45,IF($E$88=6,Dados!$AN$45,IF($E$88=7,Dados!$AP$45,IF($E$88=8,Dados!$AT$45,0)))))))</f>
        <v>0</v>
      </c>
      <c r="GD37" s="316">
        <f>IF($E$89=2,Dados!$AE$45,IF($E$89=3,Dados!$AG$45,IF($E$89=4,Dados!$AI$45,IF($E$89=5,Dados!$AK$45,IF($E$89=6,Dados!$AM$45,IF($E$89=7,Dados!$AO$45,IF($E$89=8,Dados!$AS$45,0)))))))</f>
        <v>0</v>
      </c>
      <c r="GE37" s="304">
        <f>IF($E$89=2,Dados!$AF$45,IF($E$89=3,Dados!$AH$45,IF($E$89=4,Dados!$AJ$45,IF($E$89=5,Dados!$AL$45,IF($E$89=6,Dados!$AN$45,IF($E$89=7,Dados!$AP$45,IF($E$89=8,Dados!$AT$45,0)))))))</f>
        <v>0</v>
      </c>
      <c r="GF37" s="316">
        <f>IF($E$90=2,Dados!$AE$45,IF($E$90=3,Dados!$AG$45,IF($E$90=4,Dados!$AI$45,IF($E$90=5,Dados!$AK$45,IF($E$90=6,Dados!$AM$45,IF($E$90=7,Dados!$AO$45,IF($E$90=8,Dados!$AS$45,0)))))))</f>
        <v>0</v>
      </c>
      <c r="GG37" s="304">
        <f>IF($E$90=2,Dados!$AF$45,IF($E$90=3,Dados!$AH$45,IF($E$90=4,Dados!$AJ$45,IF($E$90=5,Dados!$AL$45,IF($E$90=6,Dados!$AN$45,IF($E$90=7,Dados!$AP$45,IF($E$90=8,Dados!$AT$45,0)))))))</f>
        <v>0</v>
      </c>
      <c r="GH37" s="316">
        <f>IF($E$91=2,Dados!$AE$45,IF($E$91=3,Dados!$AG$45,IF($E$91=4,Dados!$AI$45,IF($E$91=5,Dados!$AK$45,IF($E$91=6,Dados!$AM$45,IF($E$91=7,Dados!$AO$45,IF($E$91=8,Dados!$AS$45,0)))))))</f>
        <v>0</v>
      </c>
      <c r="GI37" s="304">
        <f>IF($E$91=2,Dados!$AF$45,IF($E$91=3,Dados!$AH$45,IF($E$91=4,Dados!$AJ$45,IF($E$91=5,Dados!$AL$45,IF($E$91=6,Dados!$AN$45,IF($E$91=7,Dados!$AP$45,IF($E$91=8,Dados!$AT$45,0)))))))</f>
        <v>0</v>
      </c>
      <c r="GJ37" s="316">
        <f>IF($E$92=2,Dados!$AE$45,IF($E$92=3,Dados!$AG$45,IF($E$92=4,Dados!$AI$45,IF($E$92=5,Dados!$AK$45,IF($E$92=6,Dados!$AM$45,IF($E$92=7,Dados!$AO$45,IF($E$92=8,Dados!$AS$45,0)))))))</f>
        <v>0</v>
      </c>
      <c r="GK37" s="304">
        <f>IF($E$92=2,Dados!$AF$45,IF($E$92=3,Dados!$AH$45,IF($E$92=4,Dados!$AJ$45,IF($E$92=5,Dados!$AL$45,IF($E$92=6,Dados!$AN$45,IF($E$92=7,Dados!$AP$45,IF($E$92=8,Dados!$AT$45,0)))))))</f>
        <v>0</v>
      </c>
      <c r="GM37" s="316">
        <f>IF($E$97=2,Dados!$AE$45,IF($E$97=3,Dados!$AG$45,IF($E$97=4,Dados!$AI$45,IF($E$97=5,Dados!$AK$45,IF($E$97=6,Dados!$AM$45,IF($E$97=7,Dados!$AO$45,IF($E$97=8,Dados!$AS$45,0)))))))</f>
        <v>0</v>
      </c>
      <c r="GN37" s="304">
        <f>IF($E$97=2,Dados!$AF$45,IF($E$97=3,Dados!$AH$45,IF($E$97=4,Dados!$AJ$45,IF($E$97=5,Dados!$AL$45,IF($E$97=6,Dados!$AN$45,IF($E$97=7,Dados!$AP$45,IF($E$97=8,Dados!$AT$45,0)))))))</f>
        <v>0</v>
      </c>
      <c r="GO37" s="316">
        <f>IF($E$98=2,Dados!$AE$45,IF($E$98=3,Dados!$AG$45,IF($E$98=4,Dados!$AI$45,IF($E$98=5,Dados!$AK$45,IF($E$98=6,Dados!$AM$45,IF($E$98=7,Dados!$AO$45,IF($E$98=8,Dados!$AS$45,0)))))))</f>
        <v>0</v>
      </c>
      <c r="GP37" s="304">
        <f>IF($E$98=2,Dados!$AF$45,IF($E$98=3,Dados!$AH$45,IF($E$98=4,Dados!$AJ$45,IF($E$98=5,Dados!$AL$45,IF($E$98=6,Dados!$AN$45,IF($E$98=7,Dados!$AP$45,IF($E$98=8,Dados!$AT$45,0)))))))</f>
        <v>0</v>
      </c>
      <c r="GQ37" s="316">
        <f>IF($E$99=2,Dados!$AE$45,IF($E$99=3,Dados!$AG$45,IF($E$99=4,Dados!$AI$45,IF($E$99=5,Dados!$AK$45,IF($E$99=6,Dados!$AM$45,IF($E$99=7,Dados!$AO$45,IF($E$99=8,Dados!$AS$45,0)))))))</f>
        <v>0</v>
      </c>
      <c r="GR37" s="304">
        <f>IF($E$99=2,Dados!$AF$45,IF($E$99=3,Dados!$AH$45,IF($E$99=4,Dados!$AJ$45,IF($E$99=5,Dados!$AL$45,IF($E$99=6,Dados!$AN$45,IF($E$99=7,Dados!$AP$45,IF($E$99=8,Dados!$AT$45,0)))))))</f>
        <v>0</v>
      </c>
      <c r="GS37" s="316">
        <f>IF($E$100=2,Dados!$AE$45,IF($E$100=3,Dados!$AG$45,IF($E$100=4,Dados!$AI$45,IF($E$100=5,Dados!$AK$45,IF($E$100=6,Dados!$AM$45,IF($E$100=7,Dados!$AO$45,IF($E$100=8,Dados!$AS$45,0)))))))</f>
        <v>0</v>
      </c>
      <c r="GT37" s="304">
        <f>IF($E$100=2,Dados!$AF$45,IF($E$100=3,Dados!$AH$45,IF($E$100=4,Dados!$AJ$45,IF($E$100=5,Dados!$AL$45,IF($E$100=6,Dados!$AN$45,IF($E$100=7,Dados!$AP$45,IF($E$100=8,Dados!$AT$45,0)))))))</f>
        <v>0</v>
      </c>
      <c r="GU37" s="316">
        <f>IF($E$101=2,Dados!$AE$45,IF($E$101=3,Dados!$AG$45,IF($E$101=4,Dados!$AI$45,IF($E$101=5,Dados!$AK$45,IF($E$101=6,Dados!$AM$45,IF($E$101=7,Dados!$AO$45,IF($E$101=8,Dados!$AS$45,0)))))))</f>
        <v>0</v>
      </c>
      <c r="GV37" s="304">
        <f>IF($E$101=2,Dados!$AF$45,IF($E$101=3,Dados!$AH$45,IF($E$101=4,Dados!$AJ$45,IF($E$101=5,Dados!$AL$45,IF($E$101=6,Dados!$AN$45,IF($E$101=7,Dados!$AP$45,IF($E$101=8,Dados!$AT$45,0)))))))</f>
        <v>0</v>
      </c>
      <c r="GX37" s="316">
        <f>IF($E$106=2,Dados!$AE$45,IF($E$106=3,Dados!$AG$45,IF($E$106=4,Dados!$AI$45,IF($E$106=5,Dados!$AK$45,IF($E$106=6,Dados!$AM$45,IF($E$106=7,Dados!$AO$45,IF($E$106=8,Dados!$AS$45,0)))))))</f>
        <v>0</v>
      </c>
      <c r="GY37" s="304">
        <f>IF($E$106=2,Dados!$AF$45,IF($E$106=3,Dados!$AH$45,IF($E$106=4,Dados!$AJ$45,IF($E$106=5,Dados!$AL$45,IF($E$106=6,Dados!$AN$45,IF($E$106=7,Dados!$AP$45,IF($E$106=8,Dados!$AT$45,0)))))))</f>
        <v>0</v>
      </c>
      <c r="GZ37" s="316">
        <f>IF($E$107=2,Dados!$AE$45,IF($E$107=3,Dados!$AG$45,IF($E$107=4,Dados!$AI$45,IF($E$107=5,Dados!$AK$45,IF($E$107=6,Dados!$AM$45,IF($E$107=7,Dados!$AO$45,IF($E$107=8,Dados!$AS$45,0)))))))</f>
        <v>0</v>
      </c>
      <c r="HA37" s="304">
        <f>IF($E$107=2,Dados!$AF$45,IF($E$107=3,Dados!$AH$45,IF($E$107=4,Dados!$AJ$45,IF($E$107=5,Dados!$AL$45,IF($E$107=6,Dados!$AN$45,IF($E$107=7,Dados!$AP$45,IF($E$107=8,Dados!$AT$45,0)))))))</f>
        <v>0</v>
      </c>
      <c r="HB37" s="316">
        <f>IF($E$108=2,Dados!$AE$45,IF($E$108=3,Dados!$AG$45,IF($E$108=4,Dados!$AI$45,IF($E$108=5,Dados!$AK$45,IF($E$108=6,Dados!$AM$45,IF($E$108=7,Dados!$AO$45,IF($E$108=8,Dados!$AS$45,0)))))))</f>
        <v>0</v>
      </c>
      <c r="HC37" s="304">
        <f>IF($E$108=2,Dados!$AF$45,IF($E$108=3,Dados!$AH$45,IF($E$108=4,Dados!$AJ$45,IF($E$108=5,Dados!$AL$45,IF($E$108=6,Dados!$AN$45,IF($E$108=7,Dados!$AP$45,IF($E$108=8,Dados!$AT$45,0)))))))</f>
        <v>0</v>
      </c>
      <c r="HD37" s="316">
        <f>IF($E$109=2,Dados!$AE$45,IF($E$109=3,Dados!$AG$45,IF($E$109=4,Dados!$AI$45,IF($E$109=5,Dados!$AK$45,IF($E$109=6,Dados!$AM$45,IF($E$109=7,Dados!$AO$45,IF($E$109=8,Dados!$AS$45,0)))))))</f>
        <v>0</v>
      </c>
      <c r="HE37" s="304">
        <f>IF($E$109=2,Dados!$AF$45,IF($E$109=3,Dados!$AH$45,IF($E$109=4,Dados!$AJ$45,IF($E$109=5,Dados!$AL$45,IF($E$109=6,Dados!$AN$45,IF($E$109=7,Dados!$AP$45,IF($E$109=8,Dados!$AT$45,0)))))))</f>
        <v>0</v>
      </c>
      <c r="HF37" s="316">
        <f>IF($E$110=2,Dados!$AE$45,IF($E$110=3,Dados!$AG$45,IF($E$110=4,Dados!$AI$45,IF($E$110=5,Dados!$AK$45,IF($E$110=6,Dados!$AM$45,IF($E$110=7,Dados!$AO$45,IF($E$110=8,Dados!$AS$45,0)))))))</f>
        <v>0</v>
      </c>
      <c r="HG37" s="304">
        <f>IF($E$110=2,Dados!$AF$45,IF($E$110=3,Dados!$AH$45,IF($E$110=4,Dados!$AJ$45,IF($E$110=5,Dados!$AL$45,IF($E$110=6,Dados!$AN$45,IF($E$110=7,Dados!$AP$45,IF($E$110=8,Dados!$AT$45,0)))))))</f>
        <v>0</v>
      </c>
    </row>
    <row r="38" spans="3:215" ht="15.75" customHeight="1" x14ac:dyDescent="0.2">
      <c r="C38" s="156">
        <f>IF(R38=1,0,S38)</f>
        <v>0</v>
      </c>
      <c r="D38" s="2722"/>
      <c r="E38" s="180">
        <v>1</v>
      </c>
      <c r="F38" s="2633">
        <v>1</v>
      </c>
      <c r="G38" s="2633"/>
      <c r="H38" s="295"/>
      <c r="I38" s="229"/>
      <c r="J38" s="314"/>
      <c r="K38" s="157"/>
      <c r="L38" s="305"/>
      <c r="M38" s="127">
        <f>IF(I38=1,K38,IF(I38=2,K38/J38,IF(I38=3,K38*L38,0)))</f>
        <v>0</v>
      </c>
      <c r="N38" s="3">
        <v>1</v>
      </c>
      <c r="O38" s="30">
        <v>1</v>
      </c>
      <c r="P38" s="837">
        <f>IF(N38=1,0,VLOOKUP(N38,Rebanho!$AN$45:$AV$72,4)*O38)</f>
        <v>0</v>
      </c>
      <c r="Q38" s="838">
        <f>VLOOKUP(N38,Rebanho!$AN$45:$AV$72,7)*O38</f>
        <v>0</v>
      </c>
      <c r="R38" s="3">
        <v>1</v>
      </c>
      <c r="S38" s="20"/>
      <c r="T38" s="94">
        <f>VLOOKUP(R38,'Mão-de-obra'!$CJ$10:$CL$29,3)</f>
        <v>0</v>
      </c>
      <c r="U38" s="94">
        <f>T38*S38</f>
        <v>0</v>
      </c>
      <c r="V38" s="127">
        <f>IF(I38=1,M38*P38,IF(I38=2,M38*Q38*L38,IF(I38=3,M38,0)))</f>
        <v>0</v>
      </c>
      <c r="W38" s="106">
        <f>U38+V38</f>
        <v>0</v>
      </c>
      <c r="X38" s="93">
        <v>1</v>
      </c>
      <c r="Y38" s="93">
        <v>1</v>
      </c>
      <c r="Z38" s="127">
        <f t="shared" si="10"/>
        <v>0</v>
      </c>
      <c r="AW38" s="3" t="s">
        <v>498</v>
      </c>
      <c r="AX38" s="94">
        <f>IF($E34=6,$V34,0)</f>
        <v>0</v>
      </c>
      <c r="AY38" s="94">
        <f>IF($E35=6,$V35,0)</f>
        <v>0</v>
      </c>
      <c r="AZ38" s="94">
        <f>IF($E36=6,$V36,0)</f>
        <v>0</v>
      </c>
      <c r="BA38" s="94">
        <f>IF($E37=6,$V37,0)</f>
        <v>0</v>
      </c>
      <c r="BB38" s="94">
        <f>IF($E38=6,$V38,0)</f>
        <v>0</v>
      </c>
      <c r="BC38" s="200">
        <f t="shared" si="9"/>
        <v>0</v>
      </c>
      <c r="CF38" s="93">
        <v>33</v>
      </c>
      <c r="CG38" s="316">
        <f>IF($E$7=2,Dados!$AE$46,IF($E$7=3,Dados!$AG$46,IF($E$7=4,Dados!$AI$46,IF($E$7=5,Dados!$AK$46,IF($E$7=6,Dados!$AM$46,IF($E$7=7,Dados!$AO$46,IF($E$7=8,Dados!$AS$46,0)))))))</f>
        <v>0</v>
      </c>
      <c r="CH38" s="304">
        <f>IF($E$7=2,Dados!$AF$46,IF($E$7=3,Dados!$AH$46,IF($E$7=4,Dados!$AJ$46,IF($E$7=5,Dados!$AL$46,IF($E$7=6,Dados!$AN$46,IF($E$7=7,Dados!$AP$46,IF($E$7=8,Dados!$AT$46,0)))))))</f>
        <v>0</v>
      </c>
      <c r="CI38" s="316">
        <f>IF($E$8=2,Dados!$AE$46,IF($E$8=3,Dados!$AG$46,IF($E$8=4,Dados!$AI$46,IF($E$8=5,Dados!$AK$46,IF($E$8=6,Dados!$AM$46,IF($E$8=7,Dados!$AO$46,IF($E$8=8,Dados!$AS$46,0)))))))</f>
        <v>0</v>
      </c>
      <c r="CJ38" s="304">
        <f>IF($E$8=2,Dados!$AF$46,IF($E$8=3,Dados!$AH$46,IF($E$8=4,Dados!$AJ$46,IF($E$8=5,Dados!$AL$46,IF($E$8=6,Dados!$AN$46,IF($E$8=7,Dados!$AP$46,IF($E$8=8,Dados!$AT$46,0)))))))</f>
        <v>0</v>
      </c>
      <c r="CK38" s="316">
        <f>IF($E$9=2,Dados!$AE$46,IF($E$9=3,Dados!$AG$46,IF($E$9=4,Dados!$AI$46,IF($E$9=5,Dados!$AK$46,IF($E$9=6,Dados!$AM$46,IF($E$9=7,Dados!$AO$46,IF($E$9=8,Dados!$AS$46,0)))))))</f>
        <v>0</v>
      </c>
      <c r="CL38" s="304">
        <f>IF($E$9=2,Dados!$AF$46,IF($E$9=3,Dados!$AH$46,IF($E$9=4,Dados!$AJ$46,IF($E$9=5,Dados!$AL$46,IF($E$9=6,Dados!$AN$46,IF($E$9=7,Dados!$AP$46,IF($E$9=8,Dados!$AT$46,0)))))))</f>
        <v>0</v>
      </c>
      <c r="CM38" s="316">
        <f>IF($E$10=2,Dados!$AE$46,IF($E$10=3,Dados!$AG$46,IF($E$10=4,Dados!$AI$46,IF($E$10=5,Dados!$AK$46,IF($E$10=6,Dados!$AM$46,IF($E$10=7,Dados!$AO$46,IF($E$10=8,Dados!$AS$46,0)))))))</f>
        <v>0</v>
      </c>
      <c r="CN38" s="304">
        <f>IF($E$10=2,Dados!$AF$46,IF($E$10=3,Dados!$AH$46,IF($E$10=4,Dados!$AJ$46,IF($E$10=5,Dados!$AL$46,IF($E$10=6,Dados!$AN$46,IF($E$10=7,Dados!$AP$46,IF($E$10=8,Dados!$AT$46,0)))))))</f>
        <v>0</v>
      </c>
      <c r="CO38" s="316">
        <f>IF($E$11=2,Dados!$AE$46,IF($E$11=3,Dados!$AG$46,IF($E$11=4,Dados!$AI$46,IF($E$11=5,Dados!$AK$46,IF($E$11=6,Dados!$AM$46,IF($E$11=7,Dados!$AO$46,IF($E$11=8,Dados!$AS$46,0)))))))</f>
        <v>0</v>
      </c>
      <c r="CP38" s="304">
        <f>IF($E$11=2,Dados!$AF$46,IF($E$11=3,Dados!$AH$46,IF($E$11=4,Dados!$AJ$46,IF($E$11=5,Dados!$AL$46,IF($E$11=6,Dados!$AN$46,IF($E$11=7,Dados!$AP$46,IF($E$11=8,Dados!$AT$46,0)))))))</f>
        <v>0</v>
      </c>
      <c r="CR38" s="316">
        <f>IF($E$16=2,Dados!$AE$46,IF($E$16=3,Dados!$AG$46,IF($E$16=4,Dados!$AI$46,IF($E$16=5,Dados!$AK$46,IF($E$16=6,Dados!$AM$46,IF($E$16=7,Dados!$AO$46,IF($E$16=8,Dados!$AS$46,0)))))))</f>
        <v>0</v>
      </c>
      <c r="CS38" s="304">
        <f>IF($E$16=2,Dados!$AF$46,IF($E$16=3,Dados!$AH$46,IF($E$16=4,Dados!$AJ$46,IF($E$16=5,Dados!$AL$46,IF($E$16=6,Dados!$AN$46,IF($E$16=7,Dados!$AP$46,IF($E$16=8,Dados!$AT$46,0)))))))</f>
        <v>0</v>
      </c>
      <c r="CT38" s="316">
        <f>IF($E$17=2,Dados!$AE$46,IF($E$17=3,Dados!$AG$46,IF($E$17=4,Dados!$AI$46,IF($E$17=5,Dados!$AK$46,IF($E$17=6,Dados!$AM$46,IF($E$17=7,Dados!$AO$46,IF($E$17=8,Dados!$AS$46,0)))))))</f>
        <v>0</v>
      </c>
      <c r="CU38" s="304">
        <f>IF($E$17=2,Dados!$AF$46,IF($E$17=3,Dados!$AH$46,IF($E$17=4,Dados!$AJ$46,IF($E$17=5,Dados!$AL$46,IF($E$17=6,Dados!$AN$46,IF($E$17=7,Dados!$AP$46,IF($E$17=8,Dados!$AT$46,0)))))))</f>
        <v>0</v>
      </c>
      <c r="CV38" s="316">
        <f>IF($E$18=2,Dados!$AE$46,IF($E$18=3,Dados!$AG$46,IF($E$18=4,Dados!$AI$46,IF($E$18=5,Dados!$AK$46,IF($E$18=6,Dados!$AM$46,IF($E$18=7,Dados!$AO$46,IF($E$18=8,Dados!$AS$46,0)))))))</f>
        <v>0</v>
      </c>
      <c r="CW38" s="304">
        <f>IF($E$18=2,Dados!$AF$46,IF($E$18=3,Dados!$AH$46,IF($E$18=4,Dados!$AJ$46,IF($E$18=5,Dados!$AL$46,IF($E$18=6,Dados!$AN$46,IF($E$18=7,Dados!$AP$46,IF($E$18=8,Dados!$AT$46,0)))))))</f>
        <v>0</v>
      </c>
      <c r="CX38" s="316">
        <f>IF($E$19=2,Dados!$AE$46,IF($E$19=3,Dados!$AG$46,IF($E$19=4,Dados!$AI$46,IF($E$19=5,Dados!$AK$46,IF($E$19=6,Dados!$AM$46,IF($E$19=7,Dados!$AO$46,IF($E$19=8,Dados!$AS$46,0)))))))</f>
        <v>0</v>
      </c>
      <c r="CY38" s="304">
        <f>IF($E$19=2,Dados!$AF$46,IF($E$19=3,Dados!$AH$46,IF($E$19=4,Dados!$AJ$46,IF($E$19=5,Dados!$AL$46,IF($E$19=6,Dados!$AN$46,IF($E$19=7,Dados!$AP$46,IF($E$19=8,Dados!$AT$46,0)))))))</f>
        <v>0</v>
      </c>
      <c r="CZ38" s="316">
        <f>IF($E$20=2,Dados!$AE$46,IF($E$20=3,Dados!$AG$46,IF($E$20=4,Dados!$AI$46,IF($E$20=5,Dados!$AK$46,IF($E$20=6,Dados!$AM$46,IF($E$20=7,Dados!$AO$46,IF($E$20=8,Dados!$AS$46,0)))))))</f>
        <v>0</v>
      </c>
      <c r="DA38" s="304">
        <f>IF($E$20=2,Dados!$AF$46,IF($E$20=3,Dados!$AH$46,IF($E$20=4,Dados!$AJ$46,IF($E$20=5,Dados!$AL$46,IF($E$20=6,Dados!$AN$46,IF($E$20=7,Dados!$AP$46,IF($E$20=8,Dados!$AT$46,0)))))))</f>
        <v>0</v>
      </c>
      <c r="DC38" s="316">
        <f>IF($E$25=2,Dados!$AE$46,IF($E$25=3,Dados!$AG$46,IF($E$25=4,Dados!$AI$46,IF($E$25=5,Dados!$AK$46,IF($E$25=6,Dados!$AM$46,IF($E$25=7,Dados!$AO$46,IF($E$25=8,Dados!$AS$46,0)))))))</f>
        <v>0</v>
      </c>
      <c r="DD38" s="304">
        <f>IF($E$25=2,Dados!$AF$46,IF($E$25=3,Dados!$AH$46,IF($E$25=4,Dados!$AJ$46,IF($E$25=5,Dados!$AL$46,IF($E$25=6,Dados!$AN$46,IF($E$25=7,Dados!$AP$46,IF($E$25=8,Dados!$AT$46,0)))))))</f>
        <v>0</v>
      </c>
      <c r="DE38" s="316">
        <f>IF($E$26=2,Dados!$AE$46,IF($E$26=3,Dados!$AG$46,IF($E$26=4,Dados!$AI$46,IF($E$26=5,Dados!$AK$46,IF($E$26=6,Dados!$AM$46,IF($E$26=7,Dados!$AO$46,IF($E$26=8,Dados!$AS$46,0)))))))</f>
        <v>0</v>
      </c>
      <c r="DF38" s="304">
        <f>IF($E$26=2,Dados!$AF$46,IF($E$26=3,Dados!$AH$46,IF($E$26=4,Dados!$AJ$46,IF($E$26=5,Dados!$AL$46,IF($E$26=6,Dados!$AN$46,IF($E$26=7,Dados!$AP$46,IF($E$26=8,Dados!$AT$46,0)))))))</f>
        <v>0</v>
      </c>
      <c r="DG38" s="316">
        <f>IF($E$27=2,Dados!$AE$46,IF($E$27=3,Dados!$AG$46,IF($E$27=4,Dados!$AI$46,IF($E$27=5,Dados!$AK$46,IF($E$27=6,Dados!$AM$46,IF($E$27=7,Dados!$AO$46,IF($E$27=8,Dados!$AS$46,0)))))))</f>
        <v>0</v>
      </c>
      <c r="DH38" s="304">
        <f>IF($E$27=2,Dados!$AF$46,IF($E$27=3,Dados!$AH$46,IF($E$27=4,Dados!$AJ$46,IF($E$27=5,Dados!$AL$46,IF($E$27=6,Dados!$AN$46,IF($E$27=7,Dados!$AP$46,IF($E$27=8,Dados!$AT$46,0)))))))</f>
        <v>0</v>
      </c>
      <c r="DI38" s="316">
        <f>IF($E$28=2,Dados!$AE$46,IF($E$28=3,Dados!$AG$46,IF($E$28=4,Dados!$AI$46,IF($E$28=5,Dados!$AK$46,IF($E$28=6,Dados!$AM$46,IF($E$28=7,Dados!$AO$46,IF($E$28=8,Dados!$AS$46,0)))))))</f>
        <v>0</v>
      </c>
      <c r="DJ38" s="304">
        <f>IF($E$28=2,Dados!$AF$46,IF($E$28=3,Dados!$AH$46,IF($E$28=4,Dados!$AJ$46,IF($E$28=5,Dados!$AL$46,IF($E$28=6,Dados!$AN$46,IF($E$28=7,Dados!$AP$46,IF($E$28=8,Dados!$AT$46,0)))))))</f>
        <v>0</v>
      </c>
      <c r="DK38" s="316">
        <f>IF($E$29=2,Dados!$AE$46,IF($E$29=3,Dados!$AG$46,IF($E$29=4,Dados!$AI$46,IF($E$29=5,Dados!$AK$46,IF($E$29=6,Dados!$AM$46,IF($E$29=7,Dados!$AO$46,IF($E$29=8,Dados!$AS$46,0)))))))</f>
        <v>0</v>
      </c>
      <c r="DL38" s="304">
        <f>IF($E$29=2,Dados!$AF$46,IF($E$29=3,Dados!$AH$46,IF($E$29=4,Dados!$AJ$46,IF($E$29=5,Dados!$AL$46,IF($E$29=6,Dados!$AN$46,IF($E$29=7,Dados!$AP$46,IF($E$29=8,Dados!$AT$46,0)))))))</f>
        <v>0</v>
      </c>
      <c r="DN38" s="316">
        <f>IF($E$34=2,Dados!$AE$46,IF($E$34=3,Dados!$AG$46,IF($E$34=4,Dados!$AI$46,IF($E$34=5,Dados!$AK$46,IF($E$34=6,Dados!$AM$46,IF($E$34=7,Dados!$AO$46,IF($E$34=8,Dados!$AS$46,0)))))))</f>
        <v>0</v>
      </c>
      <c r="DO38" s="304">
        <f>IF($E$34=2,Dados!$AF$46,IF($E$34=3,Dados!$AH$46,IF($E$34=4,Dados!$AJ$46,IF($E$34=5,Dados!$AL$46,IF($E$34=6,Dados!$AN$46,IF($E$34=7,Dados!$AP$46,IF($E$34=8,Dados!$AT$46,0)))))))</f>
        <v>0</v>
      </c>
      <c r="DP38" s="316">
        <f>IF($E$35=2,Dados!$AE$46,IF($E$35=3,Dados!$AG$46,IF($E$35=4,Dados!$AI$46,IF($E$35=5,Dados!$AK$46,IF($E$35=6,Dados!$AM$46,IF($E$35=7,Dados!$AO$46,IF($E$35=8,Dados!$AS$46,0)))))))</f>
        <v>0</v>
      </c>
      <c r="DQ38" s="304">
        <f>IF($E$35=2,Dados!$AF$46,IF($E$35=3,Dados!$AH$46,IF($E$35=4,Dados!$AJ$46,IF($E$35=5,Dados!$AL$46,IF($E$35=6,Dados!$AN$46,IF($E$35=7,Dados!$AP$46,IF($E$35=8,Dados!$AT$46,0)))))))</f>
        <v>0</v>
      </c>
      <c r="DR38" s="316">
        <f>IF($E$36=2,Dados!$AE$46,IF($E$36=3,Dados!$AG$46,IF($E$36=4,Dados!$AI$46,IF($E$36=5,Dados!$AK$46,IF($E$36=6,Dados!$AM$46,IF($E$36=7,Dados!$AO$46,IF($E$36=8,Dados!$AS$46,0)))))))</f>
        <v>0</v>
      </c>
      <c r="DS38" s="304">
        <f>IF($E$36=2,Dados!$AF$46,IF($E$36=3,Dados!$AH$46,IF($E$36=4,Dados!$AJ$46,IF($E$36=5,Dados!$AL$46,IF($E$36=6,Dados!$AN$46,IF($E$36=7,Dados!$AP$46,IF($E$36=8,Dados!$AT$46,0)))))))</f>
        <v>0</v>
      </c>
      <c r="DT38" s="316">
        <f>IF($E$37=2,Dados!$AE$46,IF($E$37=3,Dados!$AG$46,IF($E$37=4,Dados!$AI$46,IF($E$37=5,Dados!$AK$46,IF($E$37=6,Dados!$AM$46,IF($E$37=7,Dados!$AO$46,IF($E$37=8,Dados!$AS$46,0)))))))</f>
        <v>0</v>
      </c>
      <c r="DU38" s="304">
        <f>IF($E$37=2,Dados!$AF$46,IF($E$37=3,Dados!$AH$46,IF($E$37=4,Dados!$AJ$46,IF($E$37=5,Dados!$AL$46,IF($E$37=6,Dados!$AN$46,IF($E$37=7,Dados!$AP$46,IF($E$37=8,Dados!$AT$46,0)))))))</f>
        <v>0</v>
      </c>
      <c r="DV38" s="316">
        <f>IF($E$38=2,Dados!$AE$46,IF($E$38=3,Dados!$AG$46,IF($E$38=4,Dados!$AI$46,IF($E$38=5,Dados!$AK$46,IF($E$38=6,Dados!$AM$46,IF($E$38=7,Dados!$AO$46,IF($E$38=8,Dados!$AS$46,0)))))))</f>
        <v>0</v>
      </c>
      <c r="DW38" s="304">
        <f>IF($E$38=2,Dados!$AF$46,IF($E$38=3,Dados!$AH$46,IF($E$38=4,Dados!$AJ$46,IF($E$38=5,Dados!$AL$46,IF($E$38=6,Dados!$AN$46,IF($E$38=7,Dados!$AP$46,IF($E$38=8,Dados!$AT$46,0)))))))</f>
        <v>0</v>
      </c>
      <c r="DY38" s="316">
        <f>IF($E$43=2,Dados!$AE$46,IF($E$43=3,Dados!$AG$46,IF($E$43=4,Dados!$AI$46,IF($E$43=5,Dados!$AK$46,IF($E$43=6,Dados!$AM$46,IF($E$43=7,Dados!$AO$46,IF($E$43=8,Dados!$AS$46,0)))))))</f>
        <v>0</v>
      </c>
      <c r="DZ38" s="304">
        <f>IF($E$43=2,Dados!$AF$46,IF($E$43=3,Dados!$AH$46,IF($E$43=4,Dados!$AJ$46,IF($E$43=5,Dados!$AL$46,IF($E$43=6,Dados!$AN$46,IF($E$43=7,Dados!$AP$46,IF($E$43=8,Dados!$AT$46,0)))))))</f>
        <v>0</v>
      </c>
      <c r="EA38" s="316">
        <f>IF($E$44=2,Dados!$AE$46,IF($E$44=3,Dados!$AG$46,IF($E$44=4,Dados!$AI$46,IF($E$44=5,Dados!$AK$46,IF($E$44=6,Dados!$AM$46,IF($E$44=7,Dados!$AO$46,IF($E$44=8,Dados!$AS$46,0)))))))</f>
        <v>0</v>
      </c>
      <c r="EB38" s="304">
        <f>IF($E$44=2,Dados!$AF$46,IF($E$44=3,Dados!$AH$46,IF($E$44=4,Dados!$AJ$46,IF($E$44=5,Dados!$AL$46,IF($E$44=6,Dados!$AN$46,IF($E$44=7,Dados!$AP$46,IF($E$44=8,Dados!$AT$46,0)))))))</f>
        <v>0</v>
      </c>
      <c r="EC38" s="316">
        <f>IF($E$45=2,Dados!$AE$46,IF($E$45=3,Dados!$AG$46,IF($E$45=4,Dados!$AI$46,IF($E$45=5,Dados!$AK$46,IF($E$45=6,Dados!$AM$46,IF($E$45=7,Dados!$AO$46,IF($E$45=8,Dados!$AS$46,0)))))))</f>
        <v>0</v>
      </c>
      <c r="ED38" s="304">
        <f>IF($E$45=2,Dados!$AF$46,IF($E$45=3,Dados!$AH$46,IF($E$45=4,Dados!$AJ$46,IF($E$45=5,Dados!$AL$46,IF($E$45=6,Dados!$AN$46,IF($E$45=7,Dados!$AP$46,IF($E$45=8,Dados!$AT$46,0)))))))</f>
        <v>0</v>
      </c>
      <c r="EE38" s="316">
        <f>IF($E$46=2,Dados!$AE$46,IF($E$46=3,Dados!$AG$46,IF($E$46=4,Dados!$AI$46,IF($E$46=5,Dados!$AK$46,IF($E$46=6,Dados!$AM$46,IF($E$46=7,Dados!$AO$46,IF($E$46=8,Dados!$AS$46,0)))))))</f>
        <v>0</v>
      </c>
      <c r="EF38" s="304">
        <f>IF($E$46=2,Dados!$AF$46,IF($E$46=3,Dados!$AH$46,IF($E$46=4,Dados!$AJ$46,IF($E$46=5,Dados!$AL$46,IF($E$46=6,Dados!$AN$46,IF($E$46=7,Dados!$AP$46,IF($E$46=8,Dados!$AT$46,0)))))))</f>
        <v>0</v>
      </c>
      <c r="EG38" s="316">
        <f>IF($E$47=2,Dados!$AE$46,IF($E$47=3,Dados!$AG$46,IF($E$47=4,Dados!$AI$46,IF($E$47=5,Dados!$AK$46,IF($E$47=6,Dados!$AM$46,IF($E$47=7,Dados!$AO$46,IF($E$47=8,Dados!$AS$46,0)))))))</f>
        <v>0</v>
      </c>
      <c r="EH38" s="304">
        <f>IF($E$47=2,Dados!$AF$46,IF($E$47=3,Dados!$AH$46,IF($E$47=4,Dados!$AJ$46,IF($E$47=5,Dados!$AL$46,IF($E$47=6,Dados!$AN$46,IF($E$47=7,Dados!$AP$46,IF($E$47=8,Dados!$AT$46,0)))))))</f>
        <v>0</v>
      </c>
      <c r="EJ38" s="316">
        <f>IF($E$52=2,Dados!$AE$46,IF($E$52=3,Dados!$AG$46,IF($E$52=4,Dados!$AI$46,IF($E$52=5,Dados!$AK$46,IF($E$52=6,Dados!$AM$46,IF($E$52=7,Dados!$AO$46,IF($E$52=8,Dados!$AS$46,0)))))))</f>
        <v>0</v>
      </c>
      <c r="EK38" s="304">
        <f>IF($E$52=2,Dados!$AF$46,IF($E$52=3,Dados!$AH$46,IF($E$52=4,Dados!$AJ$46,IF($E$52=5,Dados!$AL$46,IF($E$52=6,Dados!$AN$46,IF($E$52=7,Dados!$AP$46,IF($E$52=8,Dados!$AT$46,0)))))))</f>
        <v>0</v>
      </c>
      <c r="EL38" s="316">
        <f>IF($E$53=2,Dados!$AE$46,IF($E$53=3,Dados!$AG$46,IF($E$53=4,Dados!$AI$46,IF($E$53=5,Dados!$AK$46,IF($E$53=6,Dados!$AM$46,IF($E$53=7,Dados!$AO$46,IF($E$53=8,Dados!$AS$46,0)))))))</f>
        <v>0</v>
      </c>
      <c r="EM38" s="304">
        <f>IF($E$53=2,Dados!$AF$46,IF($E$53=3,Dados!$AH$46,IF($E$53=4,Dados!$AJ$46,IF($E$53=5,Dados!$AL$46,IF($E$53=6,Dados!$AN$46,IF($E$53=7,Dados!$AP$46,IF($E$53=8,Dados!$AT$46,0)))))))</f>
        <v>0</v>
      </c>
      <c r="EN38" s="316">
        <f>IF($E$54=2,Dados!$AE$46,IF($E$54=3,Dados!$AG$46,IF($E$54=4,Dados!$AI$46,IF($E$54=5,Dados!$AK$46,IF($E$54=6,Dados!$AM$46,IF($E$54=7,Dados!$AO$46,IF($E$54=8,Dados!$AS$46,0)))))))</f>
        <v>0</v>
      </c>
      <c r="EO38" s="304">
        <f>IF($E$54=2,Dados!$AF$46,IF($E$54=3,Dados!$AH$46,IF($E$54=4,Dados!$AJ$46,IF($E$54=5,Dados!$AL$46,IF($E$54=6,Dados!$AN$46,IF($E$54=7,Dados!$AP$46,IF($E$54=8,Dados!$AT$46,0)))))))</f>
        <v>0</v>
      </c>
      <c r="EP38" s="316">
        <f>IF($E$55=2,Dados!$AE$46,IF($E$55=3,Dados!$AG$46,IF($E$55=4,Dados!$AI$46,IF($E$55=5,Dados!$AK$46,IF($E$55=6,Dados!$AM$46,IF($E$55=7,Dados!$AO$46,IF($E$55=8,Dados!$AS$46,0)))))))</f>
        <v>0</v>
      </c>
      <c r="EQ38" s="304">
        <f>IF($E$55=2,Dados!$AF$46,IF($E$55=3,Dados!$AH$46,IF($E$55=4,Dados!$AJ$46,IF($E$55=5,Dados!$AL$46,IF($E$55=6,Dados!$AN$46,IF($E$55=7,Dados!$AP$46,IF($E$55=8,Dados!$AT$46,0)))))))</f>
        <v>0</v>
      </c>
      <c r="ER38" s="316">
        <f>IF($E$56=2,Dados!$AE$46,IF($E$56=3,Dados!$AG$46,IF($E$56=4,Dados!$AI$46,IF($E$56=5,Dados!$AK$46,IF($E$56=6,Dados!$AM$46,IF($E$56=7,Dados!$AO$46,IF($E$56=8,Dados!$AS$46,0)))))))</f>
        <v>0</v>
      </c>
      <c r="ES38" s="304">
        <f>IF($E$56=2,Dados!$AF$46,IF($E$56=3,Dados!$AH$46,IF($E$56=4,Dados!$AJ$46,IF($E$56=5,Dados!$AL$46,IF($E$56=6,Dados!$AN$46,IF($E$56=7,Dados!$AP$46,IF($E$56=8,Dados!$AT$46,0)))))))</f>
        <v>0</v>
      </c>
      <c r="EU38" s="316">
        <f>IF($E$61=2,Dados!$AE$46,IF($E$61=3,Dados!$AG$46,IF($E$61=4,Dados!$AI$46,IF($E$61=5,Dados!$AK$46,IF($E$61=6,Dados!$AM$46,IF($E$61=7,Dados!$AO$46,IF($E$61=8,Dados!$AS$46,0)))))))</f>
        <v>0</v>
      </c>
      <c r="EV38" s="304">
        <f>IF($E$61=2,Dados!$AF$46,IF($E$61=3,Dados!$AH$46,IF($E$61=4,Dados!$AJ$46,IF($E$61=5,Dados!$AL$46,IF($E$61=6,Dados!$AN$46,IF($E$61=7,Dados!$AP$46,IF($E$61=8,Dados!$AT$46,0)))))))</f>
        <v>0</v>
      </c>
      <c r="EW38" s="316">
        <f>IF($E$62=2,Dados!$AE$46,IF($E$62=3,Dados!$AG$46,IF($E$62=4,Dados!$AI$46,IF($E$62=5,Dados!$AK$46,IF($E$62=6,Dados!$AM$46,IF($E$62=7,Dados!$AO$46,IF($E$62=8,Dados!$AS$46,0)))))))</f>
        <v>0</v>
      </c>
      <c r="EX38" s="304">
        <f>IF($E$62=2,Dados!$AF$46,IF($E$62=3,Dados!$AH$46,IF($E$62=4,Dados!$AJ$46,IF($E$62=5,Dados!$AL$46,IF($E$62=6,Dados!$AN$46,IF($E$62=7,Dados!$AP$46,IF($E$62=8,Dados!$AT$46,0)))))))</f>
        <v>0</v>
      </c>
      <c r="EY38" s="316">
        <f>IF($E$63=2,Dados!$AE$46,IF($E$63=3,Dados!$AG$46,IF($E$63=4,Dados!$AI$46,IF($E$63=5,Dados!$AK$46,IF($E$63=6,Dados!$AM$46,IF($E$63=7,Dados!$AO$46,IF($E$63=8,Dados!$AS$46,0)))))))</f>
        <v>0</v>
      </c>
      <c r="EZ38" s="304">
        <f>IF($E$63=2,Dados!$AF$46,IF($E$63=3,Dados!$AH$46,IF($E$63=4,Dados!$AJ$46,IF($E$63=5,Dados!$AL$46,IF($E$63=6,Dados!$AN$46,IF($E$63=7,Dados!$AP$46,IF($E$63=8,Dados!$AT$46,0)))))))</f>
        <v>0</v>
      </c>
      <c r="FA38" s="316">
        <f>IF($E$64=2,Dados!$AE$46,IF($E$64=3,Dados!$AG$46,IF($E$64=4,Dados!$AI$46,IF($E$64=5,Dados!$AK$46,IF($E$64=6,Dados!$AM$46,IF($E$64=7,Dados!$AO$46,IF($E$64=8,Dados!$AS$46,0)))))))</f>
        <v>0</v>
      </c>
      <c r="FB38" s="304">
        <f>IF($E$64=2,Dados!$AF$46,IF($E$64=3,Dados!$AH$46,IF($E$64=4,Dados!$AJ$46,IF($E$64=5,Dados!$AL$46,IF($E$64=6,Dados!$AN$46,IF($E$64=7,Dados!$AP$46,IF($E$64=8,Dados!$AT$46,0)))))))</f>
        <v>0</v>
      </c>
      <c r="FC38" s="316">
        <f>IF($E$65=2,Dados!$AE$46,IF($E$65=3,Dados!$AG$46,IF($E$65=4,Dados!$AI$46,IF($E$65=5,Dados!$AK$46,IF($E$65=6,Dados!$AM$46,IF($E$65=7,Dados!$AO$46,IF($E$65=8,Dados!$AS$46,0)))))))</f>
        <v>0</v>
      </c>
      <c r="FD38" s="304">
        <f>IF($E$65=2,Dados!$AF$46,IF($E$65=3,Dados!$AH$46,IF($E$65=4,Dados!$AJ$46,IF($E$65=5,Dados!$AL$46,IF($E$65=6,Dados!$AN$46,IF($E$65=7,Dados!$AP$46,IF($E$65=8,Dados!$AT$46,0)))))))</f>
        <v>0</v>
      </c>
      <c r="FF38" s="316">
        <f>IF($E$70=2,Dados!$AE$46,IF($E$70=3,Dados!$AG$46,IF($E$70=4,Dados!$AI$46,IF($E$70=5,Dados!$AK$46,IF($E$70=6,Dados!$AM$46,IF($E$70=7,Dados!$AO$46,IF($E$70=8,Dados!$AS$46,0)))))))</f>
        <v>0</v>
      </c>
      <c r="FG38" s="304">
        <f>IF($E$70=2,Dados!$AF$46,IF($E$70=3,Dados!$AH$46,IF($E$70=4,Dados!$AJ$46,IF($E$70=5,Dados!$AL$46,IF($E$70=6,Dados!$AN$46,IF($E$70=7,Dados!$AP$46,IF($E$70=8,Dados!$AT$46,0)))))))</f>
        <v>0</v>
      </c>
      <c r="FH38" s="316">
        <f>IF($E$71=2,Dados!$AE$46,IF($E$71=3,Dados!$AG$46,IF($E$71=4,Dados!$AI$46,IF($E$71=5,Dados!$AK$46,IF($E$71=6,Dados!$AM$46,IF($E$71=7,Dados!$AO$46,IF($E$71=8,Dados!$AS$46,0)))))))</f>
        <v>0</v>
      </c>
      <c r="FI38" s="304">
        <f>IF($E$71=2,Dados!$AF$46,IF($E$71=3,Dados!$AH$46,IF($E$71=4,Dados!$AJ$46,IF($E$71=5,Dados!$AL$46,IF($E$71=6,Dados!$AN$46,IF($E$71=7,Dados!$AP$46,IF($E$71=8,Dados!$AT$46,0)))))))</f>
        <v>0</v>
      </c>
      <c r="FJ38" s="316">
        <f>IF($E$72=2,Dados!$AE$46,IF($E$72=3,Dados!$AG$46,IF($E$72=4,Dados!$AI$46,IF($E$72=5,Dados!$AK$46,IF($E$72=6,Dados!$AM$46,IF($E$72=7,Dados!$AO$46,IF($E$72=8,Dados!$AS$46,0)))))))</f>
        <v>0</v>
      </c>
      <c r="FK38" s="304">
        <f>IF($E$72=2,Dados!$AF$46,IF($E$72=3,Dados!$AH$46,IF($E$72=4,Dados!$AJ$46,IF($E$72=5,Dados!$AL$46,IF($E$72=6,Dados!$AN$46,IF($E$72=7,Dados!$AP$46,IF($E$72=8,Dados!$AT$46,0)))))))</f>
        <v>0</v>
      </c>
      <c r="FL38" s="316">
        <f>IF($E$73=2,Dados!$AE$46,IF($E$73=3,Dados!$AG$46,IF($E$73=4,Dados!$AI$46,IF($E$73=5,Dados!$AK$46,IF($E$73=6,Dados!$AM$46,IF($E$73=7,Dados!$AO$46,IF($E$73=8,Dados!$AS$46,0)))))))</f>
        <v>0</v>
      </c>
      <c r="FM38" s="304">
        <f>IF($E$73=2,Dados!$AF$46,IF($E$73=3,Dados!$AH$46,IF($E$73=4,Dados!$AJ$46,IF($E$73=5,Dados!$AL$46,IF($E$73=6,Dados!$AN$46,IF($E$73=7,Dados!$AP$46,IF($E$73=8,Dados!$AT$46,0)))))))</f>
        <v>0</v>
      </c>
      <c r="FN38" s="316">
        <f>IF($E$74=2,Dados!$AE$46,IF($E$74=3,Dados!$AG$46,IF($E$74=4,Dados!$AI$46,IF($E$74=5,Dados!$AK$46,IF($E$74=6,Dados!$AM$46,IF($E$74=7,Dados!$AO$46,IF($E$74=8,Dados!$AS$46,0)))))))</f>
        <v>0</v>
      </c>
      <c r="FO38" s="304">
        <f>IF($E$74=2,Dados!$AF$46,IF($E$74=3,Dados!$AH$46,IF($E$74=4,Dados!$AJ$46,IF($E$74=5,Dados!$AL$46,IF($E$74=6,Dados!$AN$46,IF($E$74=7,Dados!$AP$46,IF($E$74=8,Dados!$AT$46,0)))))))</f>
        <v>0</v>
      </c>
      <c r="FQ38" s="316">
        <f>IF($E$79=2,Dados!$AE$46,IF($E$79=3,Dados!$AG$46,IF($E$79=4,Dados!$AI$46,IF($E$79=5,Dados!$AK$46,IF($E$79=6,Dados!$AM$46,IF($E$79=7,Dados!$AO$46,IF($E$79=8,Dados!$AS$46,0)))))))</f>
        <v>0</v>
      </c>
      <c r="FR38" s="304">
        <f>IF($E$79=2,Dados!$AF$46,IF($E$79=3,Dados!$AH$46,IF($E$79=4,Dados!$AJ$46,IF($E$79=5,Dados!$AL$46,IF($E$79=6,Dados!$AN$46,IF($E$79=7,Dados!$AP$46,IF($E$79=8,Dados!$AT$46,0)))))))</f>
        <v>0</v>
      </c>
      <c r="FS38" s="316">
        <f>IF($E$80=2,Dados!$AE$46,IF($E$80=3,Dados!$AG$46,IF($E$80=4,Dados!$AI$46,IF($E$80=5,Dados!$AK$46,IF($E$80=6,Dados!$AM$46,IF($E$80=7,Dados!$AO$46,IF($E$80=8,Dados!$AS$46,0)))))))</f>
        <v>0</v>
      </c>
      <c r="FT38" s="304">
        <f>IF($E$80=2,Dados!$AF$46,IF($E$80=3,Dados!$AH$46,IF($E$80=4,Dados!$AJ$46,IF($E$80=5,Dados!$AL$46,IF($E$80=6,Dados!$AN$46,IF($E$80=7,Dados!$AP$46,IF($E$80=8,Dados!$AT$46,0)))))))</f>
        <v>0</v>
      </c>
      <c r="FU38" s="316">
        <f>IF($E$81=2,Dados!$AE$46,IF($E$81=3,Dados!$AG$46,IF($E$81=4,Dados!$AI$46,IF($E$81=5,Dados!$AK$46,IF($E$81=6,Dados!$AM$46,IF($E$81=7,Dados!$AO$46,IF($E$81=8,Dados!$AS$46,0)))))))</f>
        <v>0</v>
      </c>
      <c r="FV38" s="304">
        <f>IF($E$81=2,Dados!$AF$46,IF($E$81=3,Dados!$AH$46,IF($E$81=4,Dados!$AJ$46,IF($E$81=5,Dados!$AL$46,IF($E$81=6,Dados!$AN$46,IF($E$81=7,Dados!$AP$46,IF($E$81=8,Dados!$AT$46,0)))))))</f>
        <v>0</v>
      </c>
      <c r="FW38" s="316">
        <f>IF($E$82=2,Dados!$AE$46,IF($E$82=3,Dados!$AG$46,IF($E$82=4,Dados!$AI$46,IF($E$82=5,Dados!$AK$46,IF($E$82=6,Dados!$AM$46,IF($E$82=7,Dados!$AO$46,IF($E$82=8,Dados!$AS$46,0)))))))</f>
        <v>0</v>
      </c>
      <c r="FX38" s="304">
        <f>IF($E$82=2,Dados!$AF$46,IF($E$82=3,Dados!$AH$46,IF($E$82=4,Dados!$AJ$46,IF($E$82=5,Dados!$AL$46,IF($E$82=6,Dados!$AN$46,IF($E$82=7,Dados!$AP$46,IF($E$82=8,Dados!$AT$46,0)))))))</f>
        <v>0</v>
      </c>
      <c r="FY38" s="316">
        <f>IF($E$83=2,Dados!$AE$46,IF($E$83=3,Dados!$AG$46,IF($E$83=4,Dados!$AI$46,IF($E$83=5,Dados!$AK$46,IF($E$83=6,Dados!$AM$46,IF($E$83=7,Dados!$AO$46,IF($E$83=8,Dados!$AS$46,0)))))))</f>
        <v>0</v>
      </c>
      <c r="FZ38" s="304">
        <f>IF($E$83=2,Dados!$AF$46,IF($E$83=3,Dados!$AH$46,IF($E$83=4,Dados!$AJ$46,IF($E$83=5,Dados!$AL$46,IF($E$83=6,Dados!$AN$46,IF($E$83=7,Dados!$AP$46,IF($E$83=8,Dados!$AT$46,0)))))))</f>
        <v>0</v>
      </c>
      <c r="GB38" s="316">
        <f>IF($E$88=2,Dados!$AE$46,IF($E$88=3,Dados!$AG$46,IF($E$88=4,Dados!$AI$46,IF($E$88=5,Dados!$AK$46,IF($E$88=6,Dados!$AM$46,IF($E$88=7,Dados!$AO$46,IF($E$88=8,Dados!$AS$46,0)))))))</f>
        <v>0</v>
      </c>
      <c r="GC38" s="304">
        <f>IF($E$88=2,Dados!$AF$46,IF($E$88=3,Dados!$AH$46,IF($E$88=4,Dados!$AJ$46,IF($E$88=5,Dados!$AL$46,IF($E$88=6,Dados!$AN$46,IF($E$88=7,Dados!$AP$46,IF($E$88=8,Dados!$AT$46,0)))))))</f>
        <v>0</v>
      </c>
      <c r="GD38" s="316">
        <f>IF($E$89=2,Dados!$AE$46,IF($E$89=3,Dados!$AG$46,IF($E$89=4,Dados!$AI$46,IF($E$89=5,Dados!$AK$46,IF($E$89=6,Dados!$AM$46,IF($E$89=7,Dados!$AO$46,IF($E$89=8,Dados!$AS$46,0)))))))</f>
        <v>0</v>
      </c>
      <c r="GE38" s="304">
        <f>IF($E$89=2,Dados!$AF$46,IF($E$89=3,Dados!$AH$46,IF($E$89=4,Dados!$AJ$46,IF($E$89=5,Dados!$AL$46,IF($E$89=6,Dados!$AN$46,IF($E$89=7,Dados!$AP$46,IF($E$89=8,Dados!$AT$46,0)))))))</f>
        <v>0</v>
      </c>
      <c r="GF38" s="316">
        <f>IF($E$90=2,Dados!$AE$46,IF($E$90=3,Dados!$AG$46,IF($E$90=4,Dados!$AI$46,IF($E$90=5,Dados!$AK$46,IF($E$90=6,Dados!$AM$46,IF($E$90=7,Dados!$AO$46,IF($E$90=8,Dados!$AS$46,0)))))))</f>
        <v>0</v>
      </c>
      <c r="GG38" s="304">
        <f>IF($E$90=2,Dados!$AF$46,IF($E$90=3,Dados!$AH$46,IF($E$90=4,Dados!$AJ$46,IF($E$90=5,Dados!$AL$46,IF($E$90=6,Dados!$AN$46,IF($E$90=7,Dados!$AP$46,IF($E$90=8,Dados!$AT$46,0)))))))</f>
        <v>0</v>
      </c>
      <c r="GH38" s="316">
        <f>IF($E$91=2,Dados!$AE$46,IF($E$91=3,Dados!$AG$46,IF($E$91=4,Dados!$AI$46,IF($E$91=5,Dados!$AK$46,IF($E$91=6,Dados!$AM$46,IF($E$91=7,Dados!$AO$46,IF($E$91=8,Dados!$AS$46,0)))))))</f>
        <v>0</v>
      </c>
      <c r="GI38" s="304">
        <f>IF($E$91=2,Dados!$AF$46,IF($E$91=3,Dados!$AH$46,IF($E$91=4,Dados!$AJ$46,IF($E$91=5,Dados!$AL$46,IF($E$91=6,Dados!$AN$46,IF($E$91=7,Dados!$AP$46,IF($E$91=8,Dados!$AT$46,0)))))))</f>
        <v>0</v>
      </c>
      <c r="GJ38" s="316">
        <f>IF($E$92=2,Dados!$AE$46,IF($E$92=3,Dados!$AG$46,IF($E$92=4,Dados!$AI$46,IF($E$92=5,Dados!$AK$46,IF($E$92=6,Dados!$AM$46,IF($E$92=7,Dados!$AO$46,IF($E$92=8,Dados!$AS$46,0)))))))</f>
        <v>0</v>
      </c>
      <c r="GK38" s="304">
        <f>IF($E$92=2,Dados!$AF$46,IF($E$92=3,Dados!$AH$46,IF($E$92=4,Dados!$AJ$46,IF($E$92=5,Dados!$AL$46,IF($E$92=6,Dados!$AN$46,IF($E$92=7,Dados!$AP$46,IF($E$92=8,Dados!$AT$46,0)))))))</f>
        <v>0</v>
      </c>
      <c r="GM38" s="316">
        <f>IF($E$97=2,Dados!$AE$46,IF($E$97=3,Dados!$AG$46,IF($E$97=4,Dados!$AI$46,IF($E$97=5,Dados!$AK$46,IF($E$97=6,Dados!$AM$46,IF($E$97=7,Dados!$AO$46,IF($E$97=8,Dados!$AS$46,0)))))))</f>
        <v>0</v>
      </c>
      <c r="GN38" s="304">
        <f>IF($E$97=2,Dados!$AF$46,IF($E$97=3,Dados!$AH$46,IF($E$97=4,Dados!$AJ$46,IF($E$97=5,Dados!$AL$46,IF($E$97=6,Dados!$AN$46,IF($E$97=7,Dados!$AP$46,IF($E$97=8,Dados!$AT$46,0)))))))</f>
        <v>0</v>
      </c>
      <c r="GO38" s="316">
        <f>IF($E$98=2,Dados!$AE$46,IF($E$98=3,Dados!$AG$46,IF($E$98=4,Dados!$AI$46,IF($E$98=5,Dados!$AK$46,IF($E$98=6,Dados!$AM$46,IF($E$98=7,Dados!$AO$46,IF($E$98=8,Dados!$AS$46,0)))))))</f>
        <v>0</v>
      </c>
      <c r="GP38" s="304">
        <f>IF($E$98=2,Dados!$AF$46,IF($E$98=3,Dados!$AH$46,IF($E$98=4,Dados!$AJ$46,IF($E$98=5,Dados!$AL$46,IF($E$98=6,Dados!$AN$46,IF($E$98=7,Dados!$AP$46,IF($E$98=8,Dados!$AT$46,0)))))))</f>
        <v>0</v>
      </c>
      <c r="GQ38" s="316">
        <f>IF($E$99=2,Dados!$AE$46,IF($E$99=3,Dados!$AG$46,IF($E$99=4,Dados!$AI$46,IF($E$99=5,Dados!$AK$46,IF($E$99=6,Dados!$AM$46,IF($E$99=7,Dados!$AO$46,IF($E$99=8,Dados!$AS$46,0)))))))</f>
        <v>0</v>
      </c>
      <c r="GR38" s="304">
        <f>IF($E$99=2,Dados!$AF$46,IF($E$99=3,Dados!$AH$46,IF($E$99=4,Dados!$AJ$46,IF($E$99=5,Dados!$AL$46,IF($E$99=6,Dados!$AN$46,IF($E$99=7,Dados!$AP$46,IF($E$99=8,Dados!$AT$46,0)))))))</f>
        <v>0</v>
      </c>
      <c r="GS38" s="316">
        <f>IF($E$100=2,Dados!$AE$46,IF($E$100=3,Dados!$AG$46,IF($E$100=4,Dados!$AI$46,IF($E$100=5,Dados!$AK$46,IF($E$100=6,Dados!$AM$46,IF($E$100=7,Dados!$AO$46,IF($E$100=8,Dados!$AS$46,0)))))))</f>
        <v>0</v>
      </c>
      <c r="GT38" s="304">
        <f>IF($E$100=2,Dados!$AF$46,IF($E$100=3,Dados!$AH$46,IF($E$100=4,Dados!$AJ$46,IF($E$100=5,Dados!$AL$46,IF($E$100=6,Dados!$AN$46,IF($E$100=7,Dados!$AP$46,IF($E$100=8,Dados!$AT$46,0)))))))</f>
        <v>0</v>
      </c>
      <c r="GU38" s="316">
        <f>IF($E$101=2,Dados!$AE$46,IF($E$101=3,Dados!$AG$46,IF($E$101=4,Dados!$AI$46,IF($E$101=5,Dados!$AK$46,IF($E$101=6,Dados!$AM$46,IF($E$101=7,Dados!$AO$46,IF($E$101=8,Dados!$AS$46,0)))))))</f>
        <v>0</v>
      </c>
      <c r="GV38" s="304">
        <f>IF($E$101=2,Dados!$AF$46,IF($E$101=3,Dados!$AH$46,IF($E$101=4,Dados!$AJ$46,IF($E$101=5,Dados!$AL$46,IF($E$101=6,Dados!$AN$46,IF($E$101=7,Dados!$AP$46,IF($E$101=8,Dados!$AT$46,0)))))))</f>
        <v>0</v>
      </c>
      <c r="GX38" s="316">
        <f>IF($E$106=2,Dados!$AE$46,IF($E$106=3,Dados!$AG$46,IF($E$106=4,Dados!$AI$46,IF($E$106=5,Dados!$AK$46,IF($E$106=6,Dados!$AM$46,IF($E$106=7,Dados!$AO$46,IF($E$106=8,Dados!$AS$46,0)))))))</f>
        <v>0</v>
      </c>
      <c r="GY38" s="304">
        <f>IF($E$106=2,Dados!$AF$46,IF($E$106=3,Dados!$AH$46,IF($E$106=4,Dados!$AJ$46,IF($E$106=5,Dados!$AL$46,IF($E$106=6,Dados!$AN$46,IF($E$106=7,Dados!$AP$46,IF($E$106=8,Dados!$AT$46,0)))))))</f>
        <v>0</v>
      </c>
      <c r="GZ38" s="316">
        <f>IF($E$107=2,Dados!$AE$46,IF($E$107=3,Dados!$AG$46,IF($E$107=4,Dados!$AI$46,IF($E$107=5,Dados!$AK$46,IF($E$107=6,Dados!$AM$46,IF($E$107=7,Dados!$AO$46,IF($E$107=8,Dados!$AS$46,0)))))))</f>
        <v>0</v>
      </c>
      <c r="HA38" s="304">
        <f>IF($E$107=2,Dados!$AF$46,IF($E$107=3,Dados!$AH$46,IF($E$107=4,Dados!$AJ$46,IF($E$107=5,Dados!$AL$46,IF($E$107=6,Dados!$AN$46,IF($E$107=7,Dados!$AP$46,IF($E$107=8,Dados!$AT$46,0)))))))</f>
        <v>0</v>
      </c>
      <c r="HB38" s="316">
        <f>IF($E$108=2,Dados!$AE$46,IF($E$108=3,Dados!$AG$46,IF($E$108=4,Dados!$AI$46,IF($E$108=5,Dados!$AK$46,IF($E$108=6,Dados!$AM$46,IF($E$108=7,Dados!$AO$46,IF($E$108=8,Dados!$AS$46,0)))))))</f>
        <v>0</v>
      </c>
      <c r="HC38" s="304">
        <f>IF($E$108=2,Dados!$AF$46,IF($E$108=3,Dados!$AH$46,IF($E$108=4,Dados!$AJ$46,IF($E$108=5,Dados!$AL$46,IF($E$108=6,Dados!$AN$46,IF($E$108=7,Dados!$AP$46,IF($E$108=8,Dados!$AT$46,0)))))))</f>
        <v>0</v>
      </c>
      <c r="HD38" s="316">
        <f>IF($E$109=2,Dados!$AE$46,IF($E$109=3,Dados!$AG$46,IF($E$109=4,Dados!$AI$46,IF($E$109=5,Dados!$AK$46,IF($E$109=6,Dados!$AM$46,IF($E$109=7,Dados!$AO$46,IF($E$109=8,Dados!$AS$46,0)))))))</f>
        <v>0</v>
      </c>
      <c r="HE38" s="304">
        <f>IF($E$109=2,Dados!$AF$46,IF($E$109=3,Dados!$AH$46,IF($E$109=4,Dados!$AJ$46,IF($E$109=5,Dados!$AL$46,IF($E$109=6,Dados!$AN$46,IF($E$109=7,Dados!$AP$46,IF($E$109=8,Dados!$AT$46,0)))))))</f>
        <v>0</v>
      </c>
      <c r="HF38" s="316">
        <f>IF($E$110=2,Dados!$AE$46,IF($E$110=3,Dados!$AG$46,IF($E$110=4,Dados!$AI$46,IF($E$110=5,Dados!$AK$46,IF($E$110=6,Dados!$AM$46,IF($E$110=7,Dados!$AO$46,IF($E$110=8,Dados!$AS$46,0)))))))</f>
        <v>0</v>
      </c>
      <c r="HG38" s="304">
        <f>IF($E$110=2,Dados!$AF$46,IF($E$110=3,Dados!$AH$46,IF($E$110=4,Dados!$AJ$46,IF($E$110=5,Dados!$AL$46,IF($E$110=6,Dados!$AN$46,IF($E$110=7,Dados!$AP$46,IF($E$110=8,Dados!$AT$46,0)))))))</f>
        <v>0</v>
      </c>
    </row>
    <row r="39" spans="3:215" x14ac:dyDescent="0.2">
      <c r="C39" s="156">
        <f>SUM(C34:C38)</f>
        <v>0</v>
      </c>
      <c r="AW39" s="4" t="s">
        <v>634</v>
      </c>
      <c r="AX39" s="94">
        <f>IF($E34=7,$V34,0)</f>
        <v>0</v>
      </c>
      <c r="AY39" s="94">
        <f>IF($E35=7,$V35,0)</f>
        <v>0</v>
      </c>
      <c r="AZ39" s="94">
        <f>IF($E36=7,$V36,0)</f>
        <v>0</v>
      </c>
      <c r="BA39" s="94">
        <f>IF($E37=7,$V37,0)</f>
        <v>0</v>
      </c>
      <c r="BB39" s="94">
        <f>IF($E38=7,$V38,0)</f>
        <v>0</v>
      </c>
      <c r="BC39" s="200">
        <f t="shared" si="9"/>
        <v>0</v>
      </c>
      <c r="CF39" s="93">
        <v>34</v>
      </c>
      <c r="CG39" s="316">
        <f>IF($E$7=2,Dados!$AE$47,IF($E$7=3,Dados!$AG$47,IF($E$7=4,Dados!$AI$47,IF($E$7=5,Dados!$AK$47,IF($E$7=6,Dados!$AM$47,IF($E$7=7,Dados!$AO$47,IF($E$7=8,Dados!$AS$47,0)))))))</f>
        <v>0</v>
      </c>
      <c r="CH39" s="304">
        <f>IF($E$7=2,Dados!$AF$47,IF($E$7=3,Dados!$AH$47,IF($E$7=4,Dados!$AJ$47,IF($E$7=5,Dados!$AL$47,IF($E$7=6,Dados!$AN$47,IF($E$7=7,Dados!$AP$47,IF($E$7=8,Dados!$AT$47,0)))))))</f>
        <v>0</v>
      </c>
      <c r="CI39" s="316">
        <f>IF($E$8=2,Dados!$AE$47,IF($E$8=3,Dados!$AG$47,IF($E$8=4,Dados!$AI$47,IF($E$8=5,Dados!$AK$47,IF($E$8=6,Dados!$AM$47,IF($E$8=7,Dados!$AO$47,IF($E$8=8,Dados!$AS$47,0)))))))</f>
        <v>0</v>
      </c>
      <c r="CJ39" s="304">
        <f>IF($E$8=2,Dados!$AF$47,IF($E$8=3,Dados!$AH$47,IF($E$8=4,Dados!$AJ$47,IF($E$8=5,Dados!$AL$47,IF($E$8=6,Dados!$AN$47,IF($E$8=7,Dados!$AP$47,IF($E$8=8,Dados!$AT$47,0)))))))</f>
        <v>0</v>
      </c>
      <c r="CK39" s="316">
        <f>IF($E$9=2,Dados!$AE$47,IF($E$9=3,Dados!$AG$47,IF($E$9=4,Dados!$AI$47,IF($E$9=5,Dados!$AK$47,IF($E$9=6,Dados!$AM$47,IF($E$9=7,Dados!$AO$47,IF($E$9=8,Dados!$AS$47,0)))))))</f>
        <v>0</v>
      </c>
      <c r="CL39" s="304">
        <f>IF($E$9=2,Dados!$AF$47,IF($E$9=3,Dados!$AH$47,IF($E$9=4,Dados!$AJ$47,IF($E$9=5,Dados!$AL$47,IF($E$9=6,Dados!$AN$47,IF($E$9=7,Dados!$AP$47,IF($E$9=8,Dados!$AT$47,0)))))))</f>
        <v>0</v>
      </c>
      <c r="CM39" s="316">
        <f>IF($E$10=2,Dados!$AE$47,IF($E$10=3,Dados!$AG$47,IF($E$10=4,Dados!$AI$47,IF($E$10=5,Dados!$AK$47,IF($E$10=6,Dados!$AM$47,IF($E$10=7,Dados!$AO$47,IF($E$10=8,Dados!$AS$47,0)))))))</f>
        <v>0</v>
      </c>
      <c r="CN39" s="304">
        <f>IF($E$10=2,Dados!$AF$47,IF($E$10=3,Dados!$AH$47,IF($E$10=4,Dados!$AJ$47,IF($E$10=5,Dados!$AL$47,IF($E$10=6,Dados!$AN$47,IF($E$10=7,Dados!$AP$47,IF($E$10=8,Dados!$AT$47,0)))))))</f>
        <v>0</v>
      </c>
      <c r="CO39" s="316">
        <f>IF($E$11=2,Dados!$AE$47,IF($E$11=3,Dados!$AG$47,IF($E$11=4,Dados!$AI$47,IF($E$11=5,Dados!$AK$47,IF($E$11=6,Dados!$AM$47,IF($E$11=7,Dados!$AO$47,IF($E$11=8,Dados!$AS$47,0)))))))</f>
        <v>0</v>
      </c>
      <c r="CP39" s="304">
        <f>IF($E$11=2,Dados!$AF$47,IF($E$11=3,Dados!$AH$47,IF($E$11=4,Dados!$AJ$47,IF($E$11=5,Dados!$AL$47,IF($E$11=6,Dados!$AN$47,IF($E$11=7,Dados!$AP$47,IF($E$11=8,Dados!$AT$47,0)))))))</f>
        <v>0</v>
      </c>
      <c r="CR39" s="316">
        <f>IF($E$16=2,Dados!$AE$47,IF($E$16=3,Dados!$AG$47,IF($E$16=4,Dados!$AI$47,IF($E$16=5,Dados!$AK$47,IF($E$16=6,Dados!$AM$47,IF($E$16=7,Dados!$AO$47,IF($E$16=8,Dados!$AS$47,0)))))))</f>
        <v>0</v>
      </c>
      <c r="CS39" s="304">
        <f>IF($E$16=2,Dados!$AF$47,IF($E$16=3,Dados!$AH$47,IF($E$16=4,Dados!$AJ$47,IF($E$16=5,Dados!$AL$47,IF($E$16=6,Dados!$AN$47,IF($E$16=7,Dados!$AP$47,IF($E$16=8,Dados!$AT$47,0)))))))</f>
        <v>0</v>
      </c>
      <c r="CT39" s="316">
        <f>IF($E$17=2,Dados!$AE$47,IF($E$17=3,Dados!$AG$47,IF($E$17=4,Dados!$AI$47,IF($E$17=5,Dados!$AK$47,IF($E$17=6,Dados!$AM$47,IF($E$17=7,Dados!$AO$47,IF($E$17=8,Dados!$AS$47,0)))))))</f>
        <v>0</v>
      </c>
      <c r="CU39" s="304">
        <f>IF($E$17=2,Dados!$AF$47,IF($E$17=3,Dados!$AH$47,IF($E$17=4,Dados!$AJ$47,IF($E$17=5,Dados!$AL$47,IF($E$17=6,Dados!$AN$47,IF($E$17=7,Dados!$AP$47,IF($E$17=8,Dados!$AT$47,0)))))))</f>
        <v>0</v>
      </c>
      <c r="CV39" s="316">
        <f>IF($E$18=2,Dados!$AE$47,IF($E$18=3,Dados!$AG$47,IF($E$18=4,Dados!$AI$47,IF($E$18=5,Dados!$AK$47,IF($E$18=6,Dados!$AM$47,IF($E$18=7,Dados!$AO$47,IF($E$18=8,Dados!$AS$47,0)))))))</f>
        <v>0</v>
      </c>
      <c r="CW39" s="304">
        <f>IF($E$18=2,Dados!$AF$47,IF($E$18=3,Dados!$AH$47,IF($E$18=4,Dados!$AJ$47,IF($E$18=5,Dados!$AL$47,IF($E$18=6,Dados!$AN$47,IF($E$18=7,Dados!$AP$47,IF($E$18=8,Dados!$AT$47,0)))))))</f>
        <v>0</v>
      </c>
      <c r="CX39" s="316">
        <f>IF($E$19=2,Dados!$AE$47,IF($E$19=3,Dados!$AG$47,IF($E$19=4,Dados!$AI$47,IF($E$19=5,Dados!$AK$47,IF($E$19=6,Dados!$AM$47,IF($E$19=7,Dados!$AO$47,IF($E$19=8,Dados!$AS$47,0)))))))</f>
        <v>0</v>
      </c>
      <c r="CY39" s="304">
        <f>IF($E$19=2,Dados!$AF$47,IF($E$19=3,Dados!$AH$47,IF($E$19=4,Dados!$AJ$47,IF($E$19=5,Dados!$AL$47,IF($E$19=6,Dados!$AN$47,IF($E$19=7,Dados!$AP$47,IF($E$19=8,Dados!$AT$47,0)))))))</f>
        <v>0</v>
      </c>
      <c r="CZ39" s="316">
        <f>IF($E$20=2,Dados!$AE$47,IF($E$20=3,Dados!$AG$47,IF($E$20=4,Dados!$AI$47,IF($E$20=5,Dados!$AK$47,IF($E$20=6,Dados!$AM$47,IF($E$20=7,Dados!$AO$47,IF($E$20=8,Dados!$AS$47,0)))))))</f>
        <v>0</v>
      </c>
      <c r="DA39" s="304">
        <f>IF($E$20=2,Dados!$AF$47,IF($E$20=3,Dados!$AH$47,IF($E$20=4,Dados!$AJ$47,IF($E$20=5,Dados!$AL$47,IF($E$20=6,Dados!$AN$47,IF($E$20=7,Dados!$AP$47,IF($E$20=8,Dados!$AT$47,0)))))))</f>
        <v>0</v>
      </c>
      <c r="DC39" s="316">
        <f>IF($E$25=2,Dados!$AE$47,IF($E$25=3,Dados!$AG$47,IF($E$25=4,Dados!$AI$47,IF($E$25=5,Dados!$AK$47,IF($E$25=6,Dados!$AM$47,IF($E$25=7,Dados!$AO$47,IF($E$25=8,Dados!$AS$47,0)))))))</f>
        <v>0</v>
      </c>
      <c r="DD39" s="304">
        <f>IF($E$25=2,Dados!$AF$47,IF($E$25=3,Dados!$AH$47,IF($E$25=4,Dados!$AJ$47,IF($E$25=5,Dados!$AL$47,IF($E$25=6,Dados!$AN$47,IF($E$25=7,Dados!$AP$47,IF($E$25=8,Dados!$AT$47,0)))))))</f>
        <v>0</v>
      </c>
      <c r="DE39" s="316">
        <f>IF($E$26=2,Dados!$AE$47,IF($E$26=3,Dados!$AG$47,IF($E$26=4,Dados!$AI$47,IF($E$26=5,Dados!$AK$47,IF($E$26=6,Dados!$AM$47,IF($E$26=7,Dados!$AO$47,IF($E$26=8,Dados!$AS$47,0)))))))</f>
        <v>0</v>
      </c>
      <c r="DF39" s="304">
        <f>IF($E$26=2,Dados!$AF$47,IF($E$26=3,Dados!$AH$47,IF($E$26=4,Dados!$AJ$47,IF($E$26=5,Dados!$AL$47,IF($E$26=6,Dados!$AN$47,IF($E$26=7,Dados!$AP$47,IF($E$26=8,Dados!$AT$47,0)))))))</f>
        <v>0</v>
      </c>
      <c r="DG39" s="316">
        <f>IF($E$27=2,Dados!$AE$47,IF($E$27=3,Dados!$AG$47,IF($E$27=4,Dados!$AI$47,IF($E$27=5,Dados!$AK$47,IF($E$27=6,Dados!$AM$47,IF($E$27=7,Dados!$AO$47,IF($E$27=8,Dados!$AS$47,0)))))))</f>
        <v>0</v>
      </c>
      <c r="DH39" s="304">
        <f>IF($E$27=2,Dados!$AF$47,IF($E$27=3,Dados!$AH$47,IF($E$27=4,Dados!$AJ$47,IF($E$27=5,Dados!$AL$47,IF($E$27=6,Dados!$AN$47,IF($E$27=7,Dados!$AP$47,IF($E$27=8,Dados!$AT$47,0)))))))</f>
        <v>0</v>
      </c>
      <c r="DI39" s="316">
        <f>IF($E$28=2,Dados!$AE$47,IF($E$28=3,Dados!$AG$47,IF($E$28=4,Dados!$AI$47,IF($E$28=5,Dados!$AK$47,IF($E$28=6,Dados!$AM$47,IF($E$28=7,Dados!$AO$47,IF($E$28=8,Dados!$AS$47,0)))))))</f>
        <v>0</v>
      </c>
      <c r="DJ39" s="304">
        <f>IF($E$28=2,Dados!$AF$47,IF($E$28=3,Dados!$AH$47,IF($E$28=4,Dados!$AJ$47,IF($E$28=5,Dados!$AL$47,IF($E$28=6,Dados!$AN$47,IF($E$28=7,Dados!$AP$47,IF($E$28=8,Dados!$AT$47,0)))))))</f>
        <v>0</v>
      </c>
      <c r="DK39" s="316">
        <f>IF($E$29=2,Dados!$AE$47,IF($E$29=3,Dados!$AG$47,IF($E$29=4,Dados!$AI$47,IF($E$29=5,Dados!$AK$47,IF($E$29=6,Dados!$AM$47,IF($E$29=7,Dados!$AO$47,IF($E$29=8,Dados!$AS$47,0)))))))</f>
        <v>0</v>
      </c>
      <c r="DL39" s="304">
        <f>IF($E$29=2,Dados!$AF$47,IF($E$29=3,Dados!$AH$47,IF($E$29=4,Dados!$AJ$47,IF($E$29=5,Dados!$AL$47,IF($E$29=6,Dados!$AN$47,IF($E$29=7,Dados!$AP$47,IF($E$29=8,Dados!$AT$47,0)))))))</f>
        <v>0</v>
      </c>
      <c r="DN39" s="316">
        <f>IF($E$34=2,Dados!$AE$47,IF($E$34=3,Dados!$AG$47,IF($E$34=4,Dados!$AI$47,IF($E$34=5,Dados!$AK$47,IF($E$34=6,Dados!$AM$47,IF($E$34=7,Dados!$AO$47,IF($E$34=8,Dados!$AS$47,0)))))))</f>
        <v>0</v>
      </c>
      <c r="DO39" s="304">
        <f>IF($E$34=2,Dados!$AF$47,IF($E$34=3,Dados!$AH$47,IF($E$34=4,Dados!$AJ$47,IF($E$34=5,Dados!$AL$47,IF($E$34=6,Dados!$AN$47,IF($E$34=7,Dados!$AP$47,IF($E$34=8,Dados!$AT$47,0)))))))</f>
        <v>0</v>
      </c>
      <c r="DP39" s="316">
        <f>IF($E$35=2,Dados!$AE$47,IF($E$35=3,Dados!$AG$47,IF($E$35=4,Dados!$AI$47,IF($E$35=5,Dados!$AK$47,IF($E$35=6,Dados!$AM$47,IF($E$35=7,Dados!$AO$47,IF($E$35=8,Dados!$AS$47,0)))))))</f>
        <v>0</v>
      </c>
      <c r="DQ39" s="304">
        <f>IF($E$35=2,Dados!$AF$47,IF($E$35=3,Dados!$AH$47,IF($E$35=4,Dados!$AJ$47,IF($E$35=5,Dados!$AL$47,IF($E$35=6,Dados!$AN$47,IF($E$35=7,Dados!$AP$47,IF($E$35=8,Dados!$AT$47,0)))))))</f>
        <v>0</v>
      </c>
      <c r="DR39" s="316">
        <f>IF($E$36=2,Dados!$AE$47,IF($E$36=3,Dados!$AG$47,IF($E$36=4,Dados!$AI$47,IF($E$36=5,Dados!$AK$47,IF($E$36=6,Dados!$AM$47,IF($E$36=7,Dados!$AO$47,IF($E$36=8,Dados!$AS$47,0)))))))</f>
        <v>0</v>
      </c>
      <c r="DS39" s="304">
        <f>IF($E$36=2,Dados!$AF$47,IF($E$36=3,Dados!$AH$47,IF($E$36=4,Dados!$AJ$47,IF($E$36=5,Dados!$AL$47,IF($E$36=6,Dados!$AN$47,IF($E$36=7,Dados!$AP$47,IF($E$36=8,Dados!$AT$47,0)))))))</f>
        <v>0</v>
      </c>
      <c r="DT39" s="316">
        <f>IF($E$37=2,Dados!$AE$47,IF($E$37=3,Dados!$AG$47,IF($E$37=4,Dados!$AI$47,IF($E$37=5,Dados!$AK$47,IF($E$37=6,Dados!$AM$47,IF($E$37=7,Dados!$AO$47,IF($E$37=8,Dados!$AS$47,0)))))))</f>
        <v>0</v>
      </c>
      <c r="DU39" s="304">
        <f>IF($E$37=2,Dados!$AF$47,IF($E$37=3,Dados!$AH$47,IF($E$37=4,Dados!$AJ$47,IF($E$37=5,Dados!$AL$47,IF($E$37=6,Dados!$AN$47,IF($E$37=7,Dados!$AP$47,IF($E$37=8,Dados!$AT$47,0)))))))</f>
        <v>0</v>
      </c>
      <c r="DV39" s="316">
        <f>IF($E$38=2,Dados!$AE$47,IF($E$38=3,Dados!$AG$47,IF($E$38=4,Dados!$AI$47,IF($E$38=5,Dados!$AK$47,IF($E$38=6,Dados!$AM$47,IF($E$38=7,Dados!$AO$47,IF($E$38=8,Dados!$AS$47,0)))))))</f>
        <v>0</v>
      </c>
      <c r="DW39" s="304">
        <f>IF($E$38=2,Dados!$AF$47,IF($E$38=3,Dados!$AH$47,IF($E$38=4,Dados!$AJ$47,IF($E$38=5,Dados!$AL$47,IF($E$38=6,Dados!$AN$47,IF($E$38=7,Dados!$AP$47,IF($E$38=8,Dados!$AT$47,0)))))))</f>
        <v>0</v>
      </c>
      <c r="DY39" s="316">
        <f>IF($E$43=2,Dados!$AE$47,IF($E$43=3,Dados!$AG$47,IF($E$43=4,Dados!$AI$47,IF($E$43=5,Dados!$AK$47,IF($E$43=6,Dados!$AM$47,IF($E$43=7,Dados!$AO$47,IF($E$43=8,Dados!$AS$47,0)))))))</f>
        <v>0</v>
      </c>
      <c r="DZ39" s="304">
        <f>IF($E$43=2,Dados!$AF$47,IF($E$43=3,Dados!$AH$47,IF($E$43=4,Dados!$AJ$47,IF($E$43=5,Dados!$AL$47,IF($E$43=6,Dados!$AN$47,IF($E$43=7,Dados!$AP$47,IF($E$43=8,Dados!$AT$47,0)))))))</f>
        <v>0</v>
      </c>
      <c r="EA39" s="316">
        <f>IF($E$44=2,Dados!$AE$47,IF($E$44=3,Dados!$AG$47,IF($E$44=4,Dados!$AI$47,IF($E$44=5,Dados!$AK$47,IF($E$44=6,Dados!$AM$47,IF($E$44=7,Dados!$AO$47,IF($E$44=8,Dados!$AS$47,0)))))))</f>
        <v>0</v>
      </c>
      <c r="EB39" s="304">
        <f>IF($E$44=2,Dados!$AF$47,IF($E$44=3,Dados!$AH$47,IF($E$44=4,Dados!$AJ$47,IF($E$44=5,Dados!$AL$47,IF($E$44=6,Dados!$AN$47,IF($E$44=7,Dados!$AP$47,IF($E$44=8,Dados!$AT$47,0)))))))</f>
        <v>0</v>
      </c>
      <c r="EC39" s="316">
        <f>IF($E$45=2,Dados!$AE$47,IF($E$45=3,Dados!$AG$47,IF($E$45=4,Dados!$AI$47,IF($E$45=5,Dados!$AK$47,IF($E$45=6,Dados!$AM$47,IF($E$45=7,Dados!$AO$47,IF($E$45=8,Dados!$AS$47,0)))))))</f>
        <v>0</v>
      </c>
      <c r="ED39" s="304">
        <f>IF($E$45=2,Dados!$AF$47,IF($E$45=3,Dados!$AH$47,IF($E$45=4,Dados!$AJ$47,IF($E$45=5,Dados!$AL$47,IF($E$45=6,Dados!$AN$47,IF($E$45=7,Dados!$AP$47,IF($E$45=8,Dados!$AT$47,0)))))))</f>
        <v>0</v>
      </c>
      <c r="EE39" s="316">
        <f>IF($E$46=2,Dados!$AE$47,IF($E$46=3,Dados!$AG$47,IF($E$46=4,Dados!$AI$47,IF($E$46=5,Dados!$AK$47,IF($E$46=6,Dados!$AM$47,IF($E$46=7,Dados!$AO$47,IF($E$46=8,Dados!$AS$47,0)))))))</f>
        <v>0</v>
      </c>
      <c r="EF39" s="304">
        <f>IF($E$46=2,Dados!$AF$47,IF($E$46=3,Dados!$AH$47,IF($E$46=4,Dados!$AJ$47,IF($E$46=5,Dados!$AL$47,IF($E$46=6,Dados!$AN$47,IF($E$46=7,Dados!$AP$47,IF($E$46=8,Dados!$AT$47,0)))))))</f>
        <v>0</v>
      </c>
      <c r="EG39" s="316">
        <f>IF($E$47=2,Dados!$AE$47,IF($E$47=3,Dados!$AG$47,IF($E$47=4,Dados!$AI$47,IF($E$47=5,Dados!$AK$47,IF($E$47=6,Dados!$AM$47,IF($E$47=7,Dados!$AO$47,IF($E$47=8,Dados!$AS$47,0)))))))</f>
        <v>0</v>
      </c>
      <c r="EH39" s="304">
        <f>IF($E$47=2,Dados!$AF$47,IF($E$47=3,Dados!$AH$47,IF($E$47=4,Dados!$AJ$47,IF($E$47=5,Dados!$AL$47,IF($E$47=6,Dados!$AN$47,IF($E$47=7,Dados!$AP$47,IF($E$47=8,Dados!$AT$47,0)))))))</f>
        <v>0</v>
      </c>
      <c r="EJ39" s="316">
        <f>IF($E$52=2,Dados!$AE$47,IF($E$52=3,Dados!$AG$47,IF($E$52=4,Dados!$AI$47,IF($E$52=5,Dados!$AK$47,IF($E$52=6,Dados!$AM$47,IF($E$52=7,Dados!$AO$47,IF($E$52=8,Dados!$AS$47,0)))))))</f>
        <v>0</v>
      </c>
      <c r="EK39" s="304">
        <f>IF($E$52=2,Dados!$AF$47,IF($E$52=3,Dados!$AH$47,IF($E$52=4,Dados!$AJ$47,IF($E$52=5,Dados!$AL$47,IF($E$52=6,Dados!$AN$47,IF($E$52=7,Dados!$AP$47,IF($E$52=8,Dados!$AT$47,0)))))))</f>
        <v>0</v>
      </c>
      <c r="EL39" s="316">
        <f>IF($E$53=2,Dados!$AE$47,IF($E$53=3,Dados!$AG$47,IF($E$53=4,Dados!$AI$47,IF($E$53=5,Dados!$AK$47,IF($E$53=6,Dados!$AM$47,IF($E$53=7,Dados!$AO$47,IF($E$53=8,Dados!$AS$47,0)))))))</f>
        <v>0</v>
      </c>
      <c r="EM39" s="304">
        <f>IF($E$53=2,Dados!$AF$47,IF($E$53=3,Dados!$AH$47,IF($E$53=4,Dados!$AJ$47,IF($E$53=5,Dados!$AL$47,IF($E$53=6,Dados!$AN$47,IF($E$53=7,Dados!$AP$47,IF($E$53=8,Dados!$AT$47,0)))))))</f>
        <v>0</v>
      </c>
      <c r="EN39" s="316">
        <f>IF($E$54=2,Dados!$AE$47,IF($E$54=3,Dados!$AG$47,IF($E$54=4,Dados!$AI$47,IF($E$54=5,Dados!$AK$47,IF($E$54=6,Dados!$AM$47,IF($E$54=7,Dados!$AO$47,IF($E$54=8,Dados!$AS$47,0)))))))</f>
        <v>0</v>
      </c>
      <c r="EO39" s="304">
        <f>IF($E$54=2,Dados!$AF$47,IF($E$54=3,Dados!$AH$47,IF($E$54=4,Dados!$AJ$47,IF($E$54=5,Dados!$AL$47,IF($E$54=6,Dados!$AN$47,IF($E$54=7,Dados!$AP$47,IF($E$54=8,Dados!$AT$47,0)))))))</f>
        <v>0</v>
      </c>
      <c r="EP39" s="316">
        <f>IF($E$55=2,Dados!$AE$47,IF($E$55=3,Dados!$AG$47,IF($E$55=4,Dados!$AI$47,IF($E$55=5,Dados!$AK$47,IF($E$55=6,Dados!$AM$47,IF($E$55=7,Dados!$AO$47,IF($E$55=8,Dados!$AS$47,0)))))))</f>
        <v>0</v>
      </c>
      <c r="EQ39" s="304">
        <f>IF($E$55=2,Dados!$AF$47,IF($E$55=3,Dados!$AH$47,IF($E$55=4,Dados!$AJ$47,IF($E$55=5,Dados!$AL$47,IF($E$55=6,Dados!$AN$47,IF($E$55=7,Dados!$AP$47,IF($E$55=8,Dados!$AT$47,0)))))))</f>
        <v>0</v>
      </c>
      <c r="ER39" s="316">
        <f>IF($E$56=2,Dados!$AE$47,IF($E$56=3,Dados!$AG$47,IF($E$56=4,Dados!$AI$47,IF($E$56=5,Dados!$AK$47,IF($E$56=6,Dados!$AM$47,IF($E$56=7,Dados!$AO$47,IF($E$56=8,Dados!$AS$47,0)))))))</f>
        <v>0</v>
      </c>
      <c r="ES39" s="304">
        <f>IF($E$56=2,Dados!$AF$47,IF($E$56=3,Dados!$AH$47,IF($E$56=4,Dados!$AJ$47,IF($E$56=5,Dados!$AL$47,IF($E$56=6,Dados!$AN$47,IF($E$56=7,Dados!$AP$47,IF($E$56=8,Dados!$AT$47,0)))))))</f>
        <v>0</v>
      </c>
      <c r="EU39" s="316">
        <f>IF($E$61=2,Dados!$AE$47,IF($E$61=3,Dados!$AG$47,IF($E$61=4,Dados!$AI$47,IF($E$61=5,Dados!$AK$47,IF($E$61=6,Dados!$AM$47,IF($E$61=7,Dados!$AO$47,IF($E$61=8,Dados!$AS$47,0)))))))</f>
        <v>0</v>
      </c>
      <c r="EV39" s="304">
        <f>IF($E$61=2,Dados!$AF$47,IF($E$61=3,Dados!$AH$47,IF($E$61=4,Dados!$AJ$47,IF($E$61=5,Dados!$AL$47,IF($E$61=6,Dados!$AN$47,IF($E$61=7,Dados!$AP$47,IF($E$61=8,Dados!$AT$47,0)))))))</f>
        <v>0</v>
      </c>
      <c r="EW39" s="316">
        <f>IF($E$62=2,Dados!$AE$47,IF($E$62=3,Dados!$AG$47,IF($E$62=4,Dados!$AI$47,IF($E$62=5,Dados!$AK$47,IF($E$62=6,Dados!$AM$47,IF($E$62=7,Dados!$AO$47,IF($E$62=8,Dados!$AS$47,0)))))))</f>
        <v>0</v>
      </c>
      <c r="EX39" s="304">
        <f>IF($E$62=2,Dados!$AF$47,IF($E$62=3,Dados!$AH$47,IF($E$62=4,Dados!$AJ$47,IF($E$62=5,Dados!$AL$47,IF($E$62=6,Dados!$AN$47,IF($E$62=7,Dados!$AP$47,IF($E$62=8,Dados!$AT$47,0)))))))</f>
        <v>0</v>
      </c>
      <c r="EY39" s="316">
        <f>IF($E$63=2,Dados!$AE$47,IF($E$63=3,Dados!$AG$47,IF($E$63=4,Dados!$AI$47,IF($E$63=5,Dados!$AK$47,IF($E$63=6,Dados!$AM$47,IF($E$63=7,Dados!$AO$47,IF($E$63=8,Dados!$AS$47,0)))))))</f>
        <v>0</v>
      </c>
      <c r="EZ39" s="304">
        <f>IF($E$63=2,Dados!$AF$47,IF($E$63=3,Dados!$AH$47,IF($E$63=4,Dados!$AJ$47,IF($E$63=5,Dados!$AL$47,IF($E$63=6,Dados!$AN$47,IF($E$63=7,Dados!$AP$47,IF($E$63=8,Dados!$AT$47,0)))))))</f>
        <v>0</v>
      </c>
      <c r="FA39" s="316">
        <f>IF($E$64=2,Dados!$AE$47,IF($E$64=3,Dados!$AG$47,IF($E$64=4,Dados!$AI$47,IF($E$64=5,Dados!$AK$47,IF($E$64=6,Dados!$AM$47,IF($E$64=7,Dados!$AO$47,IF($E$64=8,Dados!$AS$47,0)))))))</f>
        <v>0</v>
      </c>
      <c r="FB39" s="304">
        <f>IF($E$64=2,Dados!$AF$47,IF($E$64=3,Dados!$AH$47,IF($E$64=4,Dados!$AJ$47,IF($E$64=5,Dados!$AL$47,IF($E$64=6,Dados!$AN$47,IF($E$64=7,Dados!$AP$47,IF($E$64=8,Dados!$AT$47,0)))))))</f>
        <v>0</v>
      </c>
      <c r="FC39" s="316">
        <f>IF($E$65=2,Dados!$AE$47,IF($E$65=3,Dados!$AG$47,IF($E$65=4,Dados!$AI$47,IF($E$65=5,Dados!$AK$47,IF($E$65=6,Dados!$AM$47,IF($E$65=7,Dados!$AO$47,IF($E$65=8,Dados!$AS$47,0)))))))</f>
        <v>0</v>
      </c>
      <c r="FD39" s="304">
        <f>IF($E$65=2,Dados!$AF$47,IF($E$65=3,Dados!$AH$47,IF($E$65=4,Dados!$AJ$47,IF($E$65=5,Dados!$AL$47,IF($E$65=6,Dados!$AN$47,IF($E$65=7,Dados!$AP$47,IF($E$65=8,Dados!$AT$47,0)))))))</f>
        <v>0</v>
      </c>
      <c r="FF39" s="316">
        <f>IF($E$70=2,Dados!$AE$47,IF($E$70=3,Dados!$AG$47,IF($E$70=4,Dados!$AI$47,IF($E$70=5,Dados!$AK$47,IF($E$70=6,Dados!$AM$47,IF($E$70=7,Dados!$AO$47,IF($E$70=8,Dados!$AS$47,0)))))))</f>
        <v>0</v>
      </c>
      <c r="FG39" s="304">
        <f>IF($E$70=2,Dados!$AF$47,IF($E$70=3,Dados!$AH$47,IF($E$70=4,Dados!$AJ$47,IF($E$70=5,Dados!$AL$47,IF($E$70=6,Dados!$AN$47,IF($E$70=7,Dados!$AP$47,IF($E$70=8,Dados!$AT$47,0)))))))</f>
        <v>0</v>
      </c>
      <c r="FH39" s="316">
        <f>IF($E$71=2,Dados!$AE$47,IF($E$71=3,Dados!$AG$47,IF($E$71=4,Dados!$AI$47,IF($E$71=5,Dados!$AK$47,IF($E$71=6,Dados!$AM$47,IF($E$71=7,Dados!$AO$47,IF($E$71=8,Dados!$AS$47,0)))))))</f>
        <v>0</v>
      </c>
      <c r="FI39" s="304">
        <f>IF($E$71=2,Dados!$AF$47,IF($E$71=3,Dados!$AH$47,IF($E$71=4,Dados!$AJ$47,IF($E$71=5,Dados!$AL$47,IF($E$71=6,Dados!$AN$47,IF($E$71=7,Dados!$AP$47,IF($E$71=8,Dados!$AT$47,0)))))))</f>
        <v>0</v>
      </c>
      <c r="FJ39" s="316">
        <f>IF($E$72=2,Dados!$AE$47,IF($E$72=3,Dados!$AG$47,IF($E$72=4,Dados!$AI$47,IF($E$72=5,Dados!$AK$47,IF($E$72=6,Dados!$AM$47,IF($E$72=7,Dados!$AO$47,IF($E$72=8,Dados!$AS$47,0)))))))</f>
        <v>0</v>
      </c>
      <c r="FK39" s="304">
        <f>IF($E$72=2,Dados!$AF$47,IF($E$72=3,Dados!$AH$47,IF($E$72=4,Dados!$AJ$47,IF($E$72=5,Dados!$AL$47,IF($E$72=6,Dados!$AN$47,IF($E$72=7,Dados!$AP$47,IF($E$72=8,Dados!$AT$47,0)))))))</f>
        <v>0</v>
      </c>
      <c r="FL39" s="316">
        <f>IF($E$73=2,Dados!$AE$47,IF($E$73=3,Dados!$AG$47,IF($E$73=4,Dados!$AI$47,IF($E$73=5,Dados!$AK$47,IF($E$73=6,Dados!$AM$47,IF($E$73=7,Dados!$AO$47,IF($E$73=8,Dados!$AS$47,0)))))))</f>
        <v>0</v>
      </c>
      <c r="FM39" s="304">
        <f>IF($E$73=2,Dados!$AF$47,IF($E$73=3,Dados!$AH$47,IF($E$73=4,Dados!$AJ$47,IF($E$73=5,Dados!$AL$47,IF($E$73=6,Dados!$AN$47,IF($E$73=7,Dados!$AP$47,IF($E$73=8,Dados!$AT$47,0)))))))</f>
        <v>0</v>
      </c>
      <c r="FN39" s="316">
        <f>IF($E$74=2,Dados!$AE$47,IF($E$74=3,Dados!$AG$47,IF($E$74=4,Dados!$AI$47,IF($E$74=5,Dados!$AK$47,IF($E$74=6,Dados!$AM$47,IF($E$74=7,Dados!$AO$47,IF($E$74=8,Dados!$AS$47,0)))))))</f>
        <v>0</v>
      </c>
      <c r="FO39" s="304">
        <f>IF($E$74=2,Dados!$AF$47,IF($E$74=3,Dados!$AH$47,IF($E$74=4,Dados!$AJ$47,IF($E$74=5,Dados!$AL$47,IF($E$74=6,Dados!$AN$47,IF($E$74=7,Dados!$AP$47,IF($E$74=8,Dados!$AT$47,0)))))))</f>
        <v>0</v>
      </c>
      <c r="FQ39" s="316">
        <f>IF($E$79=2,Dados!$AE$47,IF($E$79=3,Dados!$AG$47,IF($E$79=4,Dados!$AI$47,IF($E$79=5,Dados!$AK$47,IF($E$79=6,Dados!$AM$47,IF($E$79=7,Dados!$AO$47,IF($E$79=8,Dados!$AS$47,0)))))))</f>
        <v>0</v>
      </c>
      <c r="FR39" s="304">
        <f>IF($E$79=2,Dados!$AF$47,IF($E$79=3,Dados!$AH$47,IF($E$79=4,Dados!$AJ$47,IF($E$79=5,Dados!$AL$47,IF($E$79=6,Dados!$AN$47,IF($E$79=7,Dados!$AP$47,IF($E$79=8,Dados!$AT$47,0)))))))</f>
        <v>0</v>
      </c>
      <c r="FS39" s="316">
        <f>IF($E$80=2,Dados!$AE$47,IF($E$80=3,Dados!$AG$47,IF($E$80=4,Dados!$AI$47,IF($E$80=5,Dados!$AK$47,IF($E$80=6,Dados!$AM$47,IF($E$80=7,Dados!$AO$47,IF($E$80=8,Dados!$AS$47,0)))))))</f>
        <v>0</v>
      </c>
      <c r="FT39" s="304">
        <f>IF($E$80=2,Dados!$AF$47,IF($E$80=3,Dados!$AH$47,IF($E$80=4,Dados!$AJ$47,IF($E$80=5,Dados!$AL$47,IF($E$80=6,Dados!$AN$47,IF($E$80=7,Dados!$AP$47,IF($E$80=8,Dados!$AT$47,0)))))))</f>
        <v>0</v>
      </c>
      <c r="FU39" s="316">
        <f>IF($E$81=2,Dados!$AE$47,IF($E$81=3,Dados!$AG$47,IF($E$81=4,Dados!$AI$47,IF($E$81=5,Dados!$AK$47,IF($E$81=6,Dados!$AM$47,IF($E$81=7,Dados!$AO$47,IF($E$81=8,Dados!$AS$47,0)))))))</f>
        <v>0</v>
      </c>
      <c r="FV39" s="304">
        <f>IF($E$81=2,Dados!$AF$47,IF($E$81=3,Dados!$AH$47,IF($E$81=4,Dados!$AJ$47,IF($E$81=5,Dados!$AL$47,IF($E$81=6,Dados!$AN$47,IF($E$81=7,Dados!$AP$47,IF($E$81=8,Dados!$AT$47,0)))))))</f>
        <v>0</v>
      </c>
      <c r="FW39" s="316">
        <f>IF($E$82=2,Dados!$AE$47,IF($E$82=3,Dados!$AG$47,IF($E$82=4,Dados!$AI$47,IF($E$82=5,Dados!$AK$47,IF($E$82=6,Dados!$AM$47,IF($E$82=7,Dados!$AO$47,IF($E$82=8,Dados!$AS$47,0)))))))</f>
        <v>0</v>
      </c>
      <c r="FX39" s="304">
        <f>IF($E$82=2,Dados!$AF$47,IF($E$82=3,Dados!$AH$47,IF($E$82=4,Dados!$AJ$47,IF($E$82=5,Dados!$AL$47,IF($E$82=6,Dados!$AN$47,IF($E$82=7,Dados!$AP$47,IF($E$82=8,Dados!$AT$47,0)))))))</f>
        <v>0</v>
      </c>
      <c r="FY39" s="316">
        <f>IF($E$83=2,Dados!$AE$47,IF($E$83=3,Dados!$AG$47,IF($E$83=4,Dados!$AI$47,IF($E$83=5,Dados!$AK$47,IF($E$83=6,Dados!$AM$47,IF($E$83=7,Dados!$AO$47,IF($E$83=8,Dados!$AS$47,0)))))))</f>
        <v>0</v>
      </c>
      <c r="FZ39" s="304">
        <f>IF($E$83=2,Dados!$AF$47,IF($E$83=3,Dados!$AH$47,IF($E$83=4,Dados!$AJ$47,IF($E$83=5,Dados!$AL$47,IF($E$83=6,Dados!$AN$47,IF($E$83=7,Dados!$AP$47,IF($E$83=8,Dados!$AT$47,0)))))))</f>
        <v>0</v>
      </c>
      <c r="GB39" s="316">
        <f>IF($E$88=2,Dados!$AE$47,IF($E$88=3,Dados!$AG$47,IF($E$88=4,Dados!$AI$47,IF($E$88=5,Dados!$AK$47,IF($E$88=6,Dados!$AM$47,IF($E$88=7,Dados!$AO$47,IF($E$88=8,Dados!$AS$47,0)))))))</f>
        <v>0</v>
      </c>
      <c r="GC39" s="304">
        <f>IF($E$88=2,Dados!$AF$47,IF($E$88=3,Dados!$AH$47,IF($E$88=4,Dados!$AJ$47,IF($E$88=5,Dados!$AL$47,IF($E$88=6,Dados!$AN$47,IF($E$88=7,Dados!$AP$47,IF($E$88=8,Dados!$AT$47,0)))))))</f>
        <v>0</v>
      </c>
      <c r="GD39" s="316">
        <f>IF($E$89=2,Dados!$AE$47,IF($E$89=3,Dados!$AG$47,IF($E$89=4,Dados!$AI$47,IF($E$89=5,Dados!$AK$47,IF($E$89=6,Dados!$AM$47,IF($E$89=7,Dados!$AO$47,IF($E$89=8,Dados!$AS$47,0)))))))</f>
        <v>0</v>
      </c>
      <c r="GE39" s="304">
        <f>IF($E$89=2,Dados!$AF$47,IF($E$89=3,Dados!$AH$47,IF($E$89=4,Dados!$AJ$47,IF($E$89=5,Dados!$AL$47,IF($E$89=6,Dados!$AN$47,IF($E$89=7,Dados!$AP$47,IF($E$89=8,Dados!$AT$47,0)))))))</f>
        <v>0</v>
      </c>
      <c r="GF39" s="316">
        <f>IF($E$90=2,Dados!$AE$47,IF($E$90=3,Dados!$AG$47,IF($E$90=4,Dados!$AI$47,IF($E$90=5,Dados!$AK$47,IF($E$90=6,Dados!$AM$47,IF($E$90=7,Dados!$AO$47,IF($E$90=8,Dados!$AS$47,0)))))))</f>
        <v>0</v>
      </c>
      <c r="GG39" s="304">
        <f>IF($E$90=2,Dados!$AF$47,IF($E$90=3,Dados!$AH$47,IF($E$90=4,Dados!$AJ$47,IF($E$90=5,Dados!$AL$47,IF($E$90=6,Dados!$AN$47,IF($E$90=7,Dados!$AP$47,IF($E$90=8,Dados!$AT$47,0)))))))</f>
        <v>0</v>
      </c>
      <c r="GH39" s="316">
        <f>IF($E$91=2,Dados!$AE$47,IF($E$91=3,Dados!$AG$47,IF($E$91=4,Dados!$AI$47,IF($E$91=5,Dados!$AK$47,IF($E$91=6,Dados!$AM$47,IF($E$91=7,Dados!$AO$47,IF($E$91=8,Dados!$AS$47,0)))))))</f>
        <v>0</v>
      </c>
      <c r="GI39" s="304">
        <f>IF($E$91=2,Dados!$AF$47,IF($E$91=3,Dados!$AH$47,IF($E$91=4,Dados!$AJ$47,IF($E$91=5,Dados!$AL$47,IF($E$91=6,Dados!$AN$47,IF($E$91=7,Dados!$AP$47,IF($E$91=8,Dados!$AT$47,0)))))))</f>
        <v>0</v>
      </c>
      <c r="GJ39" s="316">
        <f>IF($E$92=2,Dados!$AE$47,IF($E$92=3,Dados!$AG$47,IF($E$92=4,Dados!$AI$47,IF($E$92=5,Dados!$AK$47,IF($E$92=6,Dados!$AM$47,IF($E$92=7,Dados!$AO$47,IF($E$92=8,Dados!$AS$47,0)))))))</f>
        <v>0</v>
      </c>
      <c r="GK39" s="304">
        <f>IF($E$92=2,Dados!$AF$47,IF($E$92=3,Dados!$AH$47,IF($E$92=4,Dados!$AJ$47,IF($E$92=5,Dados!$AL$47,IF($E$92=6,Dados!$AN$47,IF($E$92=7,Dados!$AP$47,IF($E$92=8,Dados!$AT$47,0)))))))</f>
        <v>0</v>
      </c>
      <c r="GM39" s="316">
        <f>IF($E$97=2,Dados!$AE$47,IF($E$97=3,Dados!$AG$47,IF($E$97=4,Dados!$AI$47,IF($E$97=5,Dados!$AK$47,IF($E$97=6,Dados!$AM$47,IF($E$97=7,Dados!$AO$47,IF($E$97=8,Dados!$AS$47,0)))))))</f>
        <v>0</v>
      </c>
      <c r="GN39" s="304">
        <f>IF($E$97=2,Dados!$AF$47,IF($E$97=3,Dados!$AH$47,IF($E$97=4,Dados!$AJ$47,IF($E$97=5,Dados!$AL$47,IF($E$97=6,Dados!$AN$47,IF($E$97=7,Dados!$AP$47,IF($E$97=8,Dados!$AT$47,0)))))))</f>
        <v>0</v>
      </c>
      <c r="GO39" s="316">
        <f>IF($E$98=2,Dados!$AE$47,IF($E$98=3,Dados!$AG$47,IF($E$98=4,Dados!$AI$47,IF($E$98=5,Dados!$AK$47,IF($E$98=6,Dados!$AM$47,IF($E$98=7,Dados!$AO$47,IF($E$98=8,Dados!$AS$47,0)))))))</f>
        <v>0</v>
      </c>
      <c r="GP39" s="304">
        <f>IF($E$98=2,Dados!$AF$47,IF($E$98=3,Dados!$AH$47,IF($E$98=4,Dados!$AJ$47,IF($E$98=5,Dados!$AL$47,IF($E$98=6,Dados!$AN$47,IF($E$98=7,Dados!$AP$47,IF($E$98=8,Dados!$AT$47,0)))))))</f>
        <v>0</v>
      </c>
      <c r="GQ39" s="316">
        <f>IF($E$99=2,Dados!$AE$47,IF($E$99=3,Dados!$AG$47,IF($E$99=4,Dados!$AI$47,IF($E$99=5,Dados!$AK$47,IF($E$99=6,Dados!$AM$47,IF($E$99=7,Dados!$AO$47,IF($E$99=8,Dados!$AS$47,0)))))))</f>
        <v>0</v>
      </c>
      <c r="GR39" s="304">
        <f>IF($E$99=2,Dados!$AF$47,IF($E$99=3,Dados!$AH$47,IF($E$99=4,Dados!$AJ$47,IF($E$99=5,Dados!$AL$47,IF($E$99=6,Dados!$AN$47,IF($E$99=7,Dados!$AP$47,IF($E$99=8,Dados!$AT$47,0)))))))</f>
        <v>0</v>
      </c>
      <c r="GS39" s="316">
        <f>IF($E$100=2,Dados!$AE$47,IF($E$100=3,Dados!$AG$47,IF($E$100=4,Dados!$AI$47,IF($E$100=5,Dados!$AK$47,IF($E$100=6,Dados!$AM$47,IF($E$100=7,Dados!$AO$47,IF($E$100=8,Dados!$AS$47,0)))))))</f>
        <v>0</v>
      </c>
      <c r="GT39" s="304">
        <f>IF($E$100=2,Dados!$AF$47,IF($E$100=3,Dados!$AH$47,IF($E$100=4,Dados!$AJ$47,IF($E$100=5,Dados!$AL$47,IF($E$100=6,Dados!$AN$47,IF($E$100=7,Dados!$AP$47,IF($E$100=8,Dados!$AT$47,0)))))))</f>
        <v>0</v>
      </c>
      <c r="GU39" s="316">
        <f>IF($E$101=2,Dados!$AE$47,IF($E$101=3,Dados!$AG$47,IF($E$101=4,Dados!$AI$47,IF($E$101=5,Dados!$AK$47,IF($E$101=6,Dados!$AM$47,IF($E$101=7,Dados!$AO$47,IF($E$101=8,Dados!$AS$47,0)))))))</f>
        <v>0</v>
      </c>
      <c r="GV39" s="304">
        <f>IF($E$101=2,Dados!$AF$47,IF($E$101=3,Dados!$AH$47,IF($E$101=4,Dados!$AJ$47,IF($E$101=5,Dados!$AL$47,IF($E$101=6,Dados!$AN$47,IF($E$101=7,Dados!$AP$47,IF($E$101=8,Dados!$AT$47,0)))))))</f>
        <v>0</v>
      </c>
      <c r="GX39" s="316">
        <f>IF($E$106=2,Dados!$AE$47,IF($E$106=3,Dados!$AG$47,IF($E$106=4,Dados!$AI$47,IF($E$106=5,Dados!$AK$47,IF($E$106=6,Dados!$AM$47,IF($E$106=7,Dados!$AO$47,IF($E$106=8,Dados!$AS$47,0)))))))</f>
        <v>0</v>
      </c>
      <c r="GY39" s="304">
        <f>IF($E$106=2,Dados!$AF$47,IF($E$106=3,Dados!$AH$47,IF($E$106=4,Dados!$AJ$47,IF($E$106=5,Dados!$AL$47,IF($E$106=6,Dados!$AN$47,IF($E$106=7,Dados!$AP$47,IF($E$106=8,Dados!$AT$47,0)))))))</f>
        <v>0</v>
      </c>
      <c r="GZ39" s="316">
        <f>IF($E$107=2,Dados!$AE$47,IF($E$107=3,Dados!$AG$47,IF($E$107=4,Dados!$AI$47,IF($E$107=5,Dados!$AK$47,IF($E$107=6,Dados!$AM$47,IF($E$107=7,Dados!$AO$47,IF($E$107=8,Dados!$AS$47,0)))))))</f>
        <v>0</v>
      </c>
      <c r="HA39" s="304">
        <f>IF($E$107=2,Dados!$AF$47,IF($E$107=3,Dados!$AH$47,IF($E$107=4,Dados!$AJ$47,IF($E$107=5,Dados!$AL$47,IF($E$107=6,Dados!$AN$47,IF($E$107=7,Dados!$AP$47,IF($E$107=8,Dados!$AT$47,0)))))))</f>
        <v>0</v>
      </c>
      <c r="HB39" s="316">
        <f>IF($E$108=2,Dados!$AE$47,IF($E$108=3,Dados!$AG$47,IF($E$108=4,Dados!$AI$47,IF($E$108=5,Dados!$AK$47,IF($E$108=6,Dados!$AM$47,IF($E$108=7,Dados!$AO$47,IF($E$108=8,Dados!$AS$47,0)))))))</f>
        <v>0</v>
      </c>
      <c r="HC39" s="304">
        <f>IF($E$108=2,Dados!$AF$47,IF($E$108=3,Dados!$AH$47,IF($E$108=4,Dados!$AJ$47,IF($E$108=5,Dados!$AL$47,IF($E$108=6,Dados!$AN$47,IF($E$108=7,Dados!$AP$47,IF($E$108=8,Dados!$AT$47,0)))))))</f>
        <v>0</v>
      </c>
      <c r="HD39" s="316">
        <f>IF($E$109=2,Dados!$AE$47,IF($E$109=3,Dados!$AG$47,IF($E$109=4,Dados!$AI$47,IF($E$109=5,Dados!$AK$47,IF($E$109=6,Dados!$AM$47,IF($E$109=7,Dados!$AO$47,IF($E$109=8,Dados!$AS$47,0)))))))</f>
        <v>0</v>
      </c>
      <c r="HE39" s="304">
        <f>IF($E$109=2,Dados!$AF$47,IF($E$109=3,Dados!$AH$47,IF($E$109=4,Dados!$AJ$47,IF($E$109=5,Dados!$AL$47,IF($E$109=6,Dados!$AN$47,IF($E$109=7,Dados!$AP$47,IF($E$109=8,Dados!$AT$47,0)))))))</f>
        <v>0</v>
      </c>
      <c r="HF39" s="316">
        <f>IF($E$110=2,Dados!$AE$47,IF($E$110=3,Dados!$AG$47,IF($E$110=4,Dados!$AI$47,IF($E$110=5,Dados!$AK$47,IF($E$110=6,Dados!$AM$47,IF($E$110=7,Dados!$AO$47,IF($E$110=8,Dados!$AS$47,0)))))))</f>
        <v>0</v>
      </c>
      <c r="HG39" s="304">
        <f>IF($E$110=2,Dados!$AF$47,IF($E$110=3,Dados!$AH$47,IF($E$110=4,Dados!$AJ$47,IF($E$110=5,Dados!$AL$47,IF($E$110=6,Dados!$AN$47,IF($E$110=7,Dados!$AP$47,IF($E$110=8,Dados!$AT$47,0)))))))</f>
        <v>0</v>
      </c>
    </row>
    <row r="40" spans="3:215" x14ac:dyDescent="0.2">
      <c r="AW40" s="4" t="s">
        <v>787</v>
      </c>
      <c r="AX40" s="94">
        <f>IF($E34=8,$V34,0)</f>
        <v>0</v>
      </c>
      <c r="AY40" s="94">
        <f>IF($E35=8,$V35,0)</f>
        <v>0</v>
      </c>
      <c r="AZ40" s="94">
        <f>IF($E36=8,$V36,0)</f>
        <v>0</v>
      </c>
      <c r="BA40" s="94">
        <f>IF($E37=8,$V37,0)</f>
        <v>0</v>
      </c>
      <c r="BB40" s="94">
        <f>IF($E38=8,$V38,0)</f>
        <v>0</v>
      </c>
      <c r="BC40" s="200">
        <f>SUM(AX40:BB40)</f>
        <v>0</v>
      </c>
      <c r="CF40" s="93">
        <v>35</v>
      </c>
      <c r="CG40" s="316">
        <f>IF($E$7=2,Dados!$AE$48,IF($E$7=3,Dados!$AG$48,IF($E$7=4,Dados!$AI$48,IF($E$7=5,Dados!$AK$48,IF($E$7=6,Dados!$AM$48,IF($E$7=7,Dados!$AO$48,IF($E$7=8,Dados!$AS$48,0)))))))</f>
        <v>0</v>
      </c>
      <c r="CH40" s="304">
        <f>IF($E$7=2,Dados!$AF$48,IF($E$7=3,Dados!$AH$48,IF($E$7=4,Dados!$AJ$48,IF($E$7=5,Dados!$AL$48,IF($E$7=6,Dados!$AN$48,IF($E$7=7,Dados!$AP$48,IF($E$7=8,Dados!$AT$48,0)))))))</f>
        <v>0</v>
      </c>
      <c r="CI40" s="316">
        <f>IF($E$8=2,Dados!$AE$48,IF($E$8=3,Dados!$AG$48,IF($E$8=4,Dados!$AI$48,IF($E$8=5,Dados!$AK$48,IF($E$8=6,Dados!$AM$48,IF($E$8=7,Dados!$AO$48,IF($E$8=8,Dados!$AS$48,0)))))))</f>
        <v>0</v>
      </c>
      <c r="CJ40" s="304">
        <f>IF($E$8=2,Dados!$AF$48,IF($E$8=3,Dados!$AH$48,IF($E$8=4,Dados!$AJ$48,IF($E$8=5,Dados!$AL$48,IF($E$8=6,Dados!$AN$48,IF($E$8=7,Dados!$AP$48,IF($E$8=8,Dados!$AT$48,0)))))))</f>
        <v>0</v>
      </c>
      <c r="CK40" s="316">
        <f>IF($E$9=2,Dados!$AE$48,IF($E$9=3,Dados!$AG$48,IF($E$9=4,Dados!$AI$48,IF($E$9=5,Dados!$AK$48,IF($E$9=6,Dados!$AM$48,IF($E$9=7,Dados!$AO$48,IF($E$9=8,Dados!$AS$48,0)))))))</f>
        <v>0</v>
      </c>
      <c r="CL40" s="304">
        <f>IF($E$9=2,Dados!$AF$48,IF($E$9=3,Dados!$AH$48,IF($E$9=4,Dados!$AJ$48,IF($E$9=5,Dados!$AL$48,IF($E$9=6,Dados!$AN$48,IF($E$9=7,Dados!$AP$48,IF($E$9=8,Dados!$AT$48,0)))))))</f>
        <v>0</v>
      </c>
      <c r="CM40" s="316">
        <f>IF($E$10=2,Dados!$AE$48,IF($E$10=3,Dados!$AG$48,IF($E$10=4,Dados!$AI$48,IF($E$10=5,Dados!$AK$48,IF($E$10=6,Dados!$AM$48,IF($E$10=7,Dados!$AO$48,IF($E$10=8,Dados!$AS$48,0)))))))</f>
        <v>0</v>
      </c>
      <c r="CN40" s="304">
        <f>IF($E$10=2,Dados!$AF$48,IF($E$10=3,Dados!$AH$48,IF($E$10=4,Dados!$AJ$48,IF($E$10=5,Dados!$AL$48,IF($E$10=6,Dados!$AN$48,IF($E$10=7,Dados!$AP$48,IF($E$10=8,Dados!$AT$48,0)))))))</f>
        <v>0</v>
      </c>
      <c r="CO40" s="316">
        <f>IF($E$11=2,Dados!$AE$48,IF($E$11=3,Dados!$AG$48,IF($E$11=4,Dados!$AI$48,IF($E$11=5,Dados!$AK$48,IF($E$11=6,Dados!$AM$48,IF($E$11=7,Dados!$AO$48,IF($E$11=8,Dados!$AS$48,0)))))))</f>
        <v>0</v>
      </c>
      <c r="CP40" s="304">
        <f>IF($E$11=2,Dados!$AF$48,IF($E$11=3,Dados!$AH$48,IF($E$11=4,Dados!$AJ$48,IF($E$11=5,Dados!$AL$48,IF($E$11=6,Dados!$AN$48,IF($E$11=7,Dados!$AP$48,IF($E$11=8,Dados!$AT$48,0)))))))</f>
        <v>0</v>
      </c>
      <c r="CR40" s="316">
        <f>IF($E$16=2,Dados!$AE$48,IF($E$16=3,Dados!$AG$48,IF($E$16=4,Dados!$AI$48,IF($E$16=5,Dados!$AK$48,IF($E$16=6,Dados!$AM$48,IF($E$16=7,Dados!$AO$48,IF($E$16=8,Dados!$AS$48,0)))))))</f>
        <v>0</v>
      </c>
      <c r="CS40" s="304">
        <f>IF($E$16=2,Dados!$AF$48,IF($E$16=3,Dados!$AH$48,IF($E$16=4,Dados!$AJ$48,IF($E$16=5,Dados!$AL$48,IF($E$16=6,Dados!$AN$48,IF($E$16=7,Dados!$AP$48,IF($E$16=8,Dados!$AT$48,0)))))))</f>
        <v>0</v>
      </c>
      <c r="CT40" s="316">
        <f>IF($E$17=2,Dados!$AE$48,IF($E$17=3,Dados!$AG$48,IF($E$17=4,Dados!$AI$48,IF($E$17=5,Dados!$AK$48,IF($E$17=6,Dados!$AM$48,IF($E$17=7,Dados!$AO$48,IF($E$17=8,Dados!$AS$48,0)))))))</f>
        <v>0</v>
      </c>
      <c r="CU40" s="304">
        <f>IF($E$17=2,Dados!$AF$48,IF($E$17=3,Dados!$AH$48,IF($E$17=4,Dados!$AJ$48,IF($E$17=5,Dados!$AL$48,IF($E$17=6,Dados!$AN$48,IF($E$17=7,Dados!$AP$48,IF($E$17=8,Dados!$AT$48,0)))))))</f>
        <v>0</v>
      </c>
      <c r="CV40" s="316">
        <f>IF($E$18=2,Dados!$AE$48,IF($E$18=3,Dados!$AG$48,IF($E$18=4,Dados!$AI$48,IF($E$18=5,Dados!$AK$48,IF($E$18=6,Dados!$AM$48,IF($E$18=7,Dados!$AO$48,IF($E$18=8,Dados!$AS$48,0)))))))</f>
        <v>0</v>
      </c>
      <c r="CW40" s="304">
        <f>IF($E$18=2,Dados!$AF$48,IF($E$18=3,Dados!$AH$48,IF($E$18=4,Dados!$AJ$48,IF($E$18=5,Dados!$AL$48,IF($E$18=6,Dados!$AN$48,IF($E$18=7,Dados!$AP$48,IF($E$18=8,Dados!$AT$48,0)))))))</f>
        <v>0</v>
      </c>
      <c r="CX40" s="316">
        <f>IF($E$19=2,Dados!$AE$48,IF($E$19=3,Dados!$AG$48,IF($E$19=4,Dados!$AI$48,IF($E$19=5,Dados!$AK$48,IF($E$19=6,Dados!$AM$48,IF($E$19=7,Dados!$AO$48,IF($E$19=8,Dados!$AS$48,0)))))))</f>
        <v>0</v>
      </c>
      <c r="CY40" s="304">
        <f>IF($E$19=2,Dados!$AF$48,IF($E$19=3,Dados!$AH$48,IF($E$19=4,Dados!$AJ$48,IF($E$19=5,Dados!$AL$48,IF($E$19=6,Dados!$AN$48,IF($E$19=7,Dados!$AP$48,IF($E$19=8,Dados!$AT$48,0)))))))</f>
        <v>0</v>
      </c>
      <c r="CZ40" s="316">
        <f>IF($E$20=2,Dados!$AE$48,IF($E$20=3,Dados!$AG$48,IF($E$20=4,Dados!$AI$48,IF($E$20=5,Dados!$AK$48,IF($E$20=6,Dados!$AM$48,IF($E$20=7,Dados!$AO$48,IF($E$20=8,Dados!$AS$48,0)))))))</f>
        <v>0</v>
      </c>
      <c r="DA40" s="304">
        <f>IF($E$20=2,Dados!$AF$48,IF($E$20=3,Dados!$AH$48,IF($E$20=4,Dados!$AJ$48,IF($E$20=5,Dados!$AL$48,IF($E$20=6,Dados!$AN$48,IF($E$20=7,Dados!$AP$48,IF($E$20=8,Dados!$AT$48,0)))))))</f>
        <v>0</v>
      </c>
      <c r="DC40" s="316">
        <f>IF($E$25=2,Dados!$AE$48,IF($E$25=3,Dados!$AG$48,IF($E$25=4,Dados!$AI$48,IF($E$25=5,Dados!$AK$48,IF($E$25=6,Dados!$AM$48,IF($E$25=7,Dados!$AO$48,IF($E$25=8,Dados!$AS$48,0)))))))</f>
        <v>0</v>
      </c>
      <c r="DD40" s="304">
        <f>IF($E$25=2,Dados!$AF$48,IF($E$25=3,Dados!$AH$48,IF($E$25=4,Dados!$AJ$48,IF($E$25=5,Dados!$AL$48,IF($E$25=6,Dados!$AN$48,IF($E$25=7,Dados!$AP$48,IF($E$25=8,Dados!$AT$48,0)))))))</f>
        <v>0</v>
      </c>
      <c r="DE40" s="316">
        <f>IF($E$26=2,Dados!$AE$48,IF($E$26=3,Dados!$AG$48,IF($E$26=4,Dados!$AI$48,IF($E$26=5,Dados!$AK$48,IF($E$26=6,Dados!$AM$48,IF($E$26=7,Dados!$AO$48,IF($E$26=8,Dados!$AS$48,0)))))))</f>
        <v>0</v>
      </c>
      <c r="DF40" s="304">
        <f>IF($E$26=2,Dados!$AF$48,IF($E$26=3,Dados!$AH$48,IF($E$26=4,Dados!$AJ$48,IF($E$26=5,Dados!$AL$48,IF($E$26=6,Dados!$AN$48,IF($E$26=7,Dados!$AP$48,IF($E$26=8,Dados!$AT$48,0)))))))</f>
        <v>0</v>
      </c>
      <c r="DG40" s="316">
        <f>IF($E$27=2,Dados!$AE$48,IF($E$27=3,Dados!$AG$48,IF($E$27=4,Dados!$AI$48,IF($E$27=5,Dados!$AK$48,IF($E$27=6,Dados!$AM$48,IF($E$27=7,Dados!$AO$48,IF($E$27=8,Dados!$AS$48,0)))))))</f>
        <v>0</v>
      </c>
      <c r="DH40" s="304">
        <f>IF($E$27=2,Dados!$AF$48,IF($E$27=3,Dados!$AH$48,IF($E$27=4,Dados!$AJ$48,IF($E$27=5,Dados!$AL$48,IF($E$27=6,Dados!$AN$48,IF($E$27=7,Dados!$AP$48,IF($E$27=8,Dados!$AT$48,0)))))))</f>
        <v>0</v>
      </c>
      <c r="DI40" s="316">
        <f>IF($E$28=2,Dados!$AE$48,IF($E$28=3,Dados!$AG$48,IF($E$28=4,Dados!$AI$48,IF($E$28=5,Dados!$AK$48,IF($E$28=6,Dados!$AM$48,IF($E$28=7,Dados!$AO$48,IF($E$28=8,Dados!$AS$48,0)))))))</f>
        <v>0</v>
      </c>
      <c r="DJ40" s="304">
        <f>IF($E$28=2,Dados!$AF$48,IF($E$28=3,Dados!$AH$48,IF($E$28=4,Dados!$AJ$48,IF($E$28=5,Dados!$AL$48,IF($E$28=6,Dados!$AN$48,IF($E$28=7,Dados!$AP$48,IF($E$28=8,Dados!$AT$48,0)))))))</f>
        <v>0</v>
      </c>
      <c r="DK40" s="316">
        <f>IF($E$29=2,Dados!$AE$48,IF($E$29=3,Dados!$AG$48,IF($E$29=4,Dados!$AI$48,IF($E$29=5,Dados!$AK$48,IF($E$29=6,Dados!$AM$48,IF($E$29=7,Dados!$AO$48,IF($E$29=8,Dados!$AS$48,0)))))))</f>
        <v>0</v>
      </c>
      <c r="DL40" s="304">
        <f>IF($E$29=2,Dados!$AF$48,IF($E$29=3,Dados!$AH$48,IF($E$29=4,Dados!$AJ$48,IF($E$29=5,Dados!$AL$48,IF($E$29=6,Dados!$AN$48,IF($E$29=7,Dados!$AP$48,IF($E$29=8,Dados!$AT$48,0)))))))</f>
        <v>0</v>
      </c>
      <c r="DN40" s="316">
        <f>IF($E$34=2,Dados!$AE$48,IF($E$34=3,Dados!$AG$48,IF($E$34=4,Dados!$AI$48,IF($E$34=5,Dados!$AK$48,IF($E$34=6,Dados!$AM$48,IF($E$34=7,Dados!$AO$48,IF($E$34=8,Dados!$AS$48,0)))))))</f>
        <v>0</v>
      </c>
      <c r="DO40" s="304">
        <f>IF($E$34=2,Dados!$AF$48,IF($E$34=3,Dados!$AH$48,IF($E$34=4,Dados!$AJ$48,IF($E$34=5,Dados!$AL$48,IF($E$34=6,Dados!$AN$48,IF($E$34=7,Dados!$AP$48,IF($E$34=8,Dados!$AT$48,0)))))))</f>
        <v>0</v>
      </c>
      <c r="DP40" s="316">
        <f>IF($E$35=2,Dados!$AE$48,IF($E$35=3,Dados!$AG$48,IF($E$35=4,Dados!$AI$48,IF($E$35=5,Dados!$AK$48,IF($E$35=6,Dados!$AM$48,IF($E$35=7,Dados!$AO$48,IF($E$35=8,Dados!$AS$48,0)))))))</f>
        <v>0</v>
      </c>
      <c r="DQ40" s="304">
        <f>IF($E$35=2,Dados!$AF$48,IF($E$35=3,Dados!$AH$48,IF($E$35=4,Dados!$AJ$48,IF($E$35=5,Dados!$AL$48,IF($E$35=6,Dados!$AN$48,IF($E$35=7,Dados!$AP$48,IF($E$35=8,Dados!$AT$48,0)))))))</f>
        <v>0</v>
      </c>
      <c r="DR40" s="316">
        <f>IF($E$36=2,Dados!$AE$48,IF($E$36=3,Dados!$AG$48,IF($E$36=4,Dados!$AI$48,IF($E$36=5,Dados!$AK$48,IF($E$36=6,Dados!$AM$48,IF($E$36=7,Dados!$AO$48,IF($E$36=8,Dados!$AS$48,0)))))))</f>
        <v>0</v>
      </c>
      <c r="DS40" s="304">
        <f>IF($E$36=2,Dados!$AF$48,IF($E$36=3,Dados!$AH$48,IF($E$36=4,Dados!$AJ$48,IF($E$36=5,Dados!$AL$48,IF($E$36=6,Dados!$AN$48,IF($E$36=7,Dados!$AP$48,IF($E$36=8,Dados!$AT$48,0)))))))</f>
        <v>0</v>
      </c>
      <c r="DT40" s="316">
        <f>IF($E$37=2,Dados!$AE$48,IF($E$37=3,Dados!$AG$48,IF($E$37=4,Dados!$AI$48,IF($E$37=5,Dados!$AK$48,IF($E$37=6,Dados!$AM$48,IF($E$37=7,Dados!$AO$48,IF($E$37=8,Dados!$AS$48,0)))))))</f>
        <v>0</v>
      </c>
      <c r="DU40" s="304">
        <f>IF($E$37=2,Dados!$AF$48,IF($E$37=3,Dados!$AH$48,IF($E$37=4,Dados!$AJ$48,IF($E$37=5,Dados!$AL$48,IF($E$37=6,Dados!$AN$48,IF($E$37=7,Dados!$AP$48,IF($E$37=8,Dados!$AT$48,0)))))))</f>
        <v>0</v>
      </c>
      <c r="DV40" s="316">
        <f>IF($E$38=2,Dados!$AE$48,IF($E$38=3,Dados!$AG$48,IF($E$38=4,Dados!$AI$48,IF($E$38=5,Dados!$AK$48,IF($E$38=6,Dados!$AM$48,IF($E$38=7,Dados!$AO$48,IF($E$38=8,Dados!$AS$48,0)))))))</f>
        <v>0</v>
      </c>
      <c r="DW40" s="304">
        <f>IF($E$38=2,Dados!$AF$48,IF($E$38=3,Dados!$AH$48,IF($E$38=4,Dados!$AJ$48,IF($E$38=5,Dados!$AL$48,IF($E$38=6,Dados!$AN$48,IF($E$38=7,Dados!$AP$48,IF($E$38=8,Dados!$AT$48,0)))))))</f>
        <v>0</v>
      </c>
      <c r="DY40" s="316">
        <f>IF($E$43=2,Dados!$AE$48,IF($E$43=3,Dados!$AG$48,IF($E$43=4,Dados!$AI$48,IF($E$43=5,Dados!$AK$48,IF($E$43=6,Dados!$AM$48,IF($E$43=7,Dados!$AO$48,IF($E$43=8,Dados!$AS$48,0)))))))</f>
        <v>0</v>
      </c>
      <c r="DZ40" s="304">
        <f>IF($E$43=2,Dados!$AF$48,IF($E$43=3,Dados!$AH$48,IF($E$43=4,Dados!$AJ$48,IF($E$43=5,Dados!$AL$48,IF($E$43=6,Dados!$AN$48,IF($E$43=7,Dados!$AP$48,IF($E$43=8,Dados!$AT$48,0)))))))</f>
        <v>0</v>
      </c>
      <c r="EA40" s="316">
        <f>IF($E$44=2,Dados!$AE$48,IF($E$44=3,Dados!$AG$48,IF($E$44=4,Dados!$AI$48,IF($E$44=5,Dados!$AK$48,IF($E$44=6,Dados!$AM$48,IF($E$44=7,Dados!$AO$48,IF($E$44=8,Dados!$AS$48,0)))))))</f>
        <v>0</v>
      </c>
      <c r="EB40" s="304">
        <f>IF($E$44=2,Dados!$AF$48,IF($E$44=3,Dados!$AH$48,IF($E$44=4,Dados!$AJ$48,IF($E$44=5,Dados!$AL$48,IF($E$44=6,Dados!$AN$48,IF($E$44=7,Dados!$AP$48,IF($E$44=8,Dados!$AT$48,0)))))))</f>
        <v>0</v>
      </c>
      <c r="EC40" s="316">
        <f>IF($E$45=2,Dados!$AE$48,IF($E$45=3,Dados!$AG$48,IF($E$45=4,Dados!$AI$48,IF($E$45=5,Dados!$AK$48,IF($E$45=6,Dados!$AM$48,IF($E$45=7,Dados!$AO$48,IF($E$45=8,Dados!$AS$48,0)))))))</f>
        <v>0</v>
      </c>
      <c r="ED40" s="304">
        <f>IF($E$45=2,Dados!$AF$48,IF($E$45=3,Dados!$AH$48,IF($E$45=4,Dados!$AJ$48,IF($E$45=5,Dados!$AL$48,IF($E$45=6,Dados!$AN$48,IF($E$45=7,Dados!$AP$48,IF($E$45=8,Dados!$AT$48,0)))))))</f>
        <v>0</v>
      </c>
      <c r="EE40" s="316">
        <f>IF($E$46=2,Dados!$AE$48,IF($E$46=3,Dados!$AG$48,IF($E$46=4,Dados!$AI$48,IF($E$46=5,Dados!$AK$48,IF($E$46=6,Dados!$AM$48,IF($E$46=7,Dados!$AO$48,IF($E$46=8,Dados!$AS$48,0)))))))</f>
        <v>0</v>
      </c>
      <c r="EF40" s="304">
        <f>IF($E$46=2,Dados!$AF$48,IF($E$46=3,Dados!$AH$48,IF($E$46=4,Dados!$AJ$48,IF($E$46=5,Dados!$AL$48,IF($E$46=6,Dados!$AN$48,IF($E$46=7,Dados!$AP$48,IF($E$46=8,Dados!$AT$48,0)))))))</f>
        <v>0</v>
      </c>
      <c r="EG40" s="316">
        <f>IF($E$47=2,Dados!$AE$48,IF($E$47=3,Dados!$AG$48,IF($E$47=4,Dados!$AI$48,IF($E$47=5,Dados!$AK$48,IF($E$47=6,Dados!$AM$48,IF($E$47=7,Dados!$AO$48,IF($E$47=8,Dados!$AS$48,0)))))))</f>
        <v>0</v>
      </c>
      <c r="EH40" s="304">
        <f>IF($E$47=2,Dados!$AF$48,IF($E$47=3,Dados!$AH$48,IF($E$47=4,Dados!$AJ$48,IF($E$47=5,Dados!$AL$48,IF($E$47=6,Dados!$AN$48,IF($E$47=7,Dados!$AP$48,IF($E$47=8,Dados!$AT$48,0)))))))</f>
        <v>0</v>
      </c>
      <c r="EJ40" s="316">
        <f>IF($E$52=2,Dados!$AE$48,IF($E$52=3,Dados!$AG$48,IF($E$52=4,Dados!$AI$48,IF($E$52=5,Dados!$AK$48,IF($E$52=6,Dados!$AM$48,IF($E$52=7,Dados!$AO$48,IF($E$52=8,Dados!$AS$48,0)))))))</f>
        <v>0</v>
      </c>
      <c r="EK40" s="304">
        <f>IF($E$52=2,Dados!$AF$48,IF($E$52=3,Dados!$AH$48,IF($E$52=4,Dados!$AJ$48,IF($E$52=5,Dados!$AL$48,IF($E$52=6,Dados!$AN$48,IF($E$52=7,Dados!$AP$48,IF($E$52=8,Dados!$AT$48,0)))))))</f>
        <v>0</v>
      </c>
      <c r="EL40" s="316">
        <f>IF($E$53=2,Dados!$AE$48,IF($E$53=3,Dados!$AG$48,IF($E$53=4,Dados!$AI$48,IF($E$53=5,Dados!$AK$48,IF($E$53=6,Dados!$AM$48,IF($E$53=7,Dados!$AO$48,IF($E$53=8,Dados!$AS$48,0)))))))</f>
        <v>0</v>
      </c>
      <c r="EM40" s="304">
        <f>IF($E$53=2,Dados!$AF$48,IF($E$53=3,Dados!$AH$48,IF($E$53=4,Dados!$AJ$48,IF($E$53=5,Dados!$AL$48,IF($E$53=6,Dados!$AN$48,IF($E$53=7,Dados!$AP$48,IF($E$53=8,Dados!$AT$48,0)))))))</f>
        <v>0</v>
      </c>
      <c r="EN40" s="316">
        <f>IF($E$54=2,Dados!$AE$48,IF($E$54=3,Dados!$AG$48,IF($E$54=4,Dados!$AI$48,IF($E$54=5,Dados!$AK$48,IF($E$54=6,Dados!$AM$48,IF($E$54=7,Dados!$AO$48,IF($E$54=8,Dados!$AS$48,0)))))))</f>
        <v>0</v>
      </c>
      <c r="EO40" s="304">
        <f>IF($E$54=2,Dados!$AF$48,IF($E$54=3,Dados!$AH$48,IF($E$54=4,Dados!$AJ$48,IF($E$54=5,Dados!$AL$48,IF($E$54=6,Dados!$AN$48,IF($E$54=7,Dados!$AP$48,IF($E$54=8,Dados!$AT$48,0)))))))</f>
        <v>0</v>
      </c>
      <c r="EP40" s="316">
        <f>IF($E$55=2,Dados!$AE$48,IF($E$55=3,Dados!$AG$48,IF($E$55=4,Dados!$AI$48,IF($E$55=5,Dados!$AK$48,IF($E$55=6,Dados!$AM$48,IF($E$55=7,Dados!$AO$48,IF($E$55=8,Dados!$AS$48,0)))))))</f>
        <v>0</v>
      </c>
      <c r="EQ40" s="304">
        <f>IF($E$55=2,Dados!$AF$48,IF($E$55=3,Dados!$AH$48,IF($E$55=4,Dados!$AJ$48,IF($E$55=5,Dados!$AL$48,IF($E$55=6,Dados!$AN$48,IF($E$55=7,Dados!$AP$48,IF($E$55=8,Dados!$AT$48,0)))))))</f>
        <v>0</v>
      </c>
      <c r="ER40" s="316">
        <f>IF($E$56=2,Dados!$AE$48,IF($E$56=3,Dados!$AG$48,IF($E$56=4,Dados!$AI$48,IF($E$56=5,Dados!$AK$48,IF($E$56=6,Dados!$AM$48,IF($E$56=7,Dados!$AO$48,IF($E$56=8,Dados!$AS$48,0)))))))</f>
        <v>0</v>
      </c>
      <c r="ES40" s="304">
        <f>IF($E$56=2,Dados!$AF$48,IF($E$56=3,Dados!$AH$48,IF($E$56=4,Dados!$AJ$48,IF($E$56=5,Dados!$AL$48,IF($E$56=6,Dados!$AN$48,IF($E$56=7,Dados!$AP$48,IF($E$56=8,Dados!$AT$48,0)))))))</f>
        <v>0</v>
      </c>
      <c r="EU40" s="316">
        <f>IF($E$61=2,Dados!$AE$48,IF($E$61=3,Dados!$AG$48,IF($E$61=4,Dados!$AI$48,IF($E$61=5,Dados!$AK$48,IF($E$61=6,Dados!$AM$48,IF($E$61=7,Dados!$AO$48,IF($E$61=8,Dados!$AS$48,0)))))))</f>
        <v>0</v>
      </c>
      <c r="EV40" s="304">
        <f>IF($E$61=2,Dados!$AF$48,IF($E$61=3,Dados!$AH$48,IF($E$61=4,Dados!$AJ$48,IF($E$61=5,Dados!$AL$48,IF($E$61=6,Dados!$AN$48,IF($E$61=7,Dados!$AP$48,IF($E$61=8,Dados!$AT$48,0)))))))</f>
        <v>0</v>
      </c>
      <c r="EW40" s="316">
        <f>IF($E$62=2,Dados!$AE$48,IF($E$62=3,Dados!$AG$48,IF($E$62=4,Dados!$AI$48,IF($E$62=5,Dados!$AK$48,IF($E$62=6,Dados!$AM$48,IF($E$62=7,Dados!$AO$48,IF($E$62=8,Dados!$AS$48,0)))))))</f>
        <v>0</v>
      </c>
      <c r="EX40" s="304">
        <f>IF($E$62=2,Dados!$AF$48,IF($E$62=3,Dados!$AH$48,IF($E$62=4,Dados!$AJ$48,IF($E$62=5,Dados!$AL$48,IF($E$62=6,Dados!$AN$48,IF($E$62=7,Dados!$AP$48,IF($E$62=8,Dados!$AT$48,0)))))))</f>
        <v>0</v>
      </c>
      <c r="EY40" s="316">
        <f>IF($E$63=2,Dados!$AE$48,IF($E$63=3,Dados!$AG$48,IF($E$63=4,Dados!$AI$48,IF($E$63=5,Dados!$AK$48,IF($E$63=6,Dados!$AM$48,IF($E$63=7,Dados!$AO$48,IF($E$63=8,Dados!$AS$48,0)))))))</f>
        <v>0</v>
      </c>
      <c r="EZ40" s="304">
        <f>IF($E$63=2,Dados!$AF$48,IF($E$63=3,Dados!$AH$48,IF($E$63=4,Dados!$AJ$48,IF($E$63=5,Dados!$AL$48,IF($E$63=6,Dados!$AN$48,IF($E$63=7,Dados!$AP$48,IF($E$63=8,Dados!$AT$48,0)))))))</f>
        <v>0</v>
      </c>
      <c r="FA40" s="316">
        <f>IF($E$64=2,Dados!$AE$48,IF($E$64=3,Dados!$AG$48,IF($E$64=4,Dados!$AI$48,IF($E$64=5,Dados!$AK$48,IF($E$64=6,Dados!$AM$48,IF($E$64=7,Dados!$AO$48,IF($E$64=8,Dados!$AS$48,0)))))))</f>
        <v>0</v>
      </c>
      <c r="FB40" s="304">
        <f>IF($E$64=2,Dados!$AF$48,IF($E$64=3,Dados!$AH$48,IF($E$64=4,Dados!$AJ$48,IF($E$64=5,Dados!$AL$48,IF($E$64=6,Dados!$AN$48,IF($E$64=7,Dados!$AP$48,IF($E$64=8,Dados!$AT$48,0)))))))</f>
        <v>0</v>
      </c>
      <c r="FC40" s="316">
        <f>IF($E$65=2,Dados!$AE$48,IF($E$65=3,Dados!$AG$48,IF($E$65=4,Dados!$AI$48,IF($E$65=5,Dados!$AK$48,IF($E$65=6,Dados!$AM$48,IF($E$65=7,Dados!$AO$48,IF($E$65=8,Dados!$AS$48,0)))))))</f>
        <v>0</v>
      </c>
      <c r="FD40" s="304">
        <f>IF($E$65=2,Dados!$AF$48,IF($E$65=3,Dados!$AH$48,IF($E$65=4,Dados!$AJ$48,IF($E$65=5,Dados!$AL$48,IF($E$65=6,Dados!$AN$48,IF($E$65=7,Dados!$AP$48,IF($E$65=8,Dados!$AT$48,0)))))))</f>
        <v>0</v>
      </c>
      <c r="FF40" s="316">
        <f>IF($E$70=2,Dados!$AE$48,IF($E$70=3,Dados!$AG$48,IF($E$70=4,Dados!$AI$48,IF($E$70=5,Dados!$AK$48,IF($E$70=6,Dados!$AM$48,IF($E$70=7,Dados!$AO$48,IF($E$70=8,Dados!$AS$48,0)))))))</f>
        <v>0</v>
      </c>
      <c r="FG40" s="304">
        <f>IF($E$70=2,Dados!$AF$48,IF($E$70=3,Dados!$AH$48,IF($E$70=4,Dados!$AJ$48,IF($E$70=5,Dados!$AL$48,IF($E$70=6,Dados!$AN$48,IF($E$70=7,Dados!$AP$48,IF($E$70=8,Dados!$AT$48,0)))))))</f>
        <v>0</v>
      </c>
      <c r="FH40" s="316">
        <f>IF($E$71=2,Dados!$AE$48,IF($E$71=3,Dados!$AG$48,IF($E$71=4,Dados!$AI$48,IF($E$71=5,Dados!$AK$48,IF($E$71=6,Dados!$AM$48,IF($E$71=7,Dados!$AO$48,IF($E$71=8,Dados!$AS$48,0)))))))</f>
        <v>0</v>
      </c>
      <c r="FI40" s="304">
        <f>IF($E$71=2,Dados!$AF$48,IF($E$71=3,Dados!$AH$48,IF($E$71=4,Dados!$AJ$48,IF($E$71=5,Dados!$AL$48,IF($E$71=6,Dados!$AN$48,IF($E$71=7,Dados!$AP$48,IF($E$71=8,Dados!$AT$48,0)))))))</f>
        <v>0</v>
      </c>
      <c r="FJ40" s="316">
        <f>IF($E$72=2,Dados!$AE$48,IF($E$72=3,Dados!$AG$48,IF($E$72=4,Dados!$AI$48,IF($E$72=5,Dados!$AK$48,IF($E$72=6,Dados!$AM$48,IF($E$72=7,Dados!$AO$48,IF($E$72=8,Dados!$AS$48,0)))))))</f>
        <v>0</v>
      </c>
      <c r="FK40" s="304">
        <f>IF($E$72=2,Dados!$AF$48,IF($E$72=3,Dados!$AH$48,IF($E$72=4,Dados!$AJ$48,IF($E$72=5,Dados!$AL$48,IF($E$72=6,Dados!$AN$48,IF($E$72=7,Dados!$AP$48,IF($E$72=8,Dados!$AT$48,0)))))))</f>
        <v>0</v>
      </c>
      <c r="FL40" s="316">
        <f>IF($E$73=2,Dados!$AE$48,IF($E$73=3,Dados!$AG$48,IF($E$73=4,Dados!$AI$48,IF($E$73=5,Dados!$AK$48,IF($E$73=6,Dados!$AM$48,IF($E$73=7,Dados!$AO$48,IF($E$73=8,Dados!$AS$48,0)))))))</f>
        <v>0</v>
      </c>
      <c r="FM40" s="304">
        <f>IF($E$73=2,Dados!$AF$48,IF($E$73=3,Dados!$AH$48,IF($E$73=4,Dados!$AJ$48,IF($E$73=5,Dados!$AL$48,IF($E$73=6,Dados!$AN$48,IF($E$73=7,Dados!$AP$48,IF($E$73=8,Dados!$AT$48,0)))))))</f>
        <v>0</v>
      </c>
      <c r="FN40" s="316">
        <f>IF($E$74=2,Dados!$AE$48,IF($E$74=3,Dados!$AG$48,IF($E$74=4,Dados!$AI$48,IF($E$74=5,Dados!$AK$48,IF($E$74=6,Dados!$AM$48,IF($E$74=7,Dados!$AO$48,IF($E$74=8,Dados!$AS$48,0)))))))</f>
        <v>0</v>
      </c>
      <c r="FO40" s="304">
        <f>IF($E$74=2,Dados!$AF$48,IF($E$74=3,Dados!$AH$48,IF($E$74=4,Dados!$AJ$48,IF($E$74=5,Dados!$AL$48,IF($E$74=6,Dados!$AN$48,IF($E$74=7,Dados!$AP$48,IF($E$74=8,Dados!$AT$48,0)))))))</f>
        <v>0</v>
      </c>
      <c r="FQ40" s="316">
        <f>IF($E$79=2,Dados!$AE$48,IF($E$79=3,Dados!$AG$48,IF($E$79=4,Dados!$AI$48,IF($E$79=5,Dados!$AK$48,IF($E$79=6,Dados!$AM$48,IF($E$79=7,Dados!$AO$48,IF($E$79=8,Dados!$AS$48,0)))))))</f>
        <v>0</v>
      </c>
      <c r="FR40" s="304">
        <f>IF($E$79=2,Dados!$AF$48,IF($E$79=3,Dados!$AH$48,IF($E$79=4,Dados!$AJ$48,IF($E$79=5,Dados!$AL$48,IF($E$79=6,Dados!$AN$48,IF($E$79=7,Dados!$AP$48,IF($E$79=8,Dados!$AT$48,0)))))))</f>
        <v>0</v>
      </c>
      <c r="FS40" s="316">
        <f>IF($E$80=2,Dados!$AE$48,IF($E$80=3,Dados!$AG$48,IF($E$80=4,Dados!$AI$48,IF($E$80=5,Dados!$AK$48,IF($E$80=6,Dados!$AM$48,IF($E$80=7,Dados!$AO$48,IF($E$80=8,Dados!$AS$48,0)))))))</f>
        <v>0</v>
      </c>
      <c r="FT40" s="304">
        <f>IF($E$80=2,Dados!$AF$48,IF($E$80=3,Dados!$AH$48,IF($E$80=4,Dados!$AJ$48,IF($E$80=5,Dados!$AL$48,IF($E$80=6,Dados!$AN$48,IF($E$80=7,Dados!$AP$48,IF($E$80=8,Dados!$AT$48,0)))))))</f>
        <v>0</v>
      </c>
      <c r="FU40" s="316">
        <f>IF($E$81=2,Dados!$AE$48,IF($E$81=3,Dados!$AG$48,IF($E$81=4,Dados!$AI$48,IF($E$81=5,Dados!$AK$48,IF($E$81=6,Dados!$AM$48,IF($E$81=7,Dados!$AO$48,IF($E$81=8,Dados!$AS$48,0)))))))</f>
        <v>0</v>
      </c>
      <c r="FV40" s="304">
        <f>IF($E$81=2,Dados!$AF$48,IF($E$81=3,Dados!$AH$48,IF($E$81=4,Dados!$AJ$48,IF($E$81=5,Dados!$AL$48,IF($E$81=6,Dados!$AN$48,IF($E$81=7,Dados!$AP$48,IF($E$81=8,Dados!$AT$48,0)))))))</f>
        <v>0</v>
      </c>
      <c r="FW40" s="316">
        <f>IF($E$82=2,Dados!$AE$48,IF($E$82=3,Dados!$AG$48,IF($E$82=4,Dados!$AI$48,IF($E$82=5,Dados!$AK$48,IF($E$82=6,Dados!$AM$48,IF($E$82=7,Dados!$AO$48,IF($E$82=8,Dados!$AS$48,0)))))))</f>
        <v>0</v>
      </c>
      <c r="FX40" s="304">
        <f>IF($E$82=2,Dados!$AF$48,IF($E$82=3,Dados!$AH$48,IF($E$82=4,Dados!$AJ$48,IF($E$82=5,Dados!$AL$48,IF($E$82=6,Dados!$AN$48,IF($E$82=7,Dados!$AP$48,IF($E$82=8,Dados!$AT$48,0)))))))</f>
        <v>0</v>
      </c>
      <c r="FY40" s="316">
        <f>IF($E$83=2,Dados!$AE$48,IF($E$83=3,Dados!$AG$48,IF($E$83=4,Dados!$AI$48,IF($E$83=5,Dados!$AK$48,IF($E$83=6,Dados!$AM$48,IF($E$83=7,Dados!$AO$48,IF($E$83=8,Dados!$AS$48,0)))))))</f>
        <v>0</v>
      </c>
      <c r="FZ40" s="304">
        <f>IF($E$83=2,Dados!$AF$48,IF($E$83=3,Dados!$AH$48,IF($E$83=4,Dados!$AJ$48,IF($E$83=5,Dados!$AL$48,IF($E$83=6,Dados!$AN$48,IF($E$83=7,Dados!$AP$48,IF($E$83=8,Dados!$AT$48,0)))))))</f>
        <v>0</v>
      </c>
      <c r="GB40" s="316">
        <f>IF($E$88=2,Dados!$AE$48,IF($E$88=3,Dados!$AG$48,IF($E$88=4,Dados!$AI$48,IF($E$88=5,Dados!$AK$48,IF($E$88=6,Dados!$AM$48,IF($E$88=7,Dados!$AO$48,IF($E$88=8,Dados!$AS$48,0)))))))</f>
        <v>0</v>
      </c>
      <c r="GC40" s="304">
        <f>IF($E$88=2,Dados!$AF$48,IF($E$88=3,Dados!$AH$48,IF($E$88=4,Dados!$AJ$48,IF($E$88=5,Dados!$AL$48,IF($E$88=6,Dados!$AN$48,IF($E$88=7,Dados!$AP$48,IF($E$88=8,Dados!$AT$48,0)))))))</f>
        <v>0</v>
      </c>
      <c r="GD40" s="316">
        <f>IF($E$89=2,Dados!$AE$48,IF($E$89=3,Dados!$AG$48,IF($E$89=4,Dados!$AI$48,IF($E$89=5,Dados!$AK$48,IF($E$89=6,Dados!$AM$48,IF($E$89=7,Dados!$AO$48,IF($E$89=8,Dados!$AS$48,0)))))))</f>
        <v>0</v>
      </c>
      <c r="GE40" s="304">
        <f>IF($E$89=2,Dados!$AF$48,IF($E$89=3,Dados!$AH$48,IF($E$89=4,Dados!$AJ$48,IF($E$89=5,Dados!$AL$48,IF($E$89=6,Dados!$AN$48,IF($E$89=7,Dados!$AP$48,IF($E$89=8,Dados!$AT$48,0)))))))</f>
        <v>0</v>
      </c>
      <c r="GF40" s="316">
        <f>IF($E$90=2,Dados!$AE$48,IF($E$90=3,Dados!$AG$48,IF($E$90=4,Dados!$AI$48,IF($E$90=5,Dados!$AK$48,IF($E$90=6,Dados!$AM$48,IF($E$90=7,Dados!$AO$48,IF($E$90=8,Dados!$AS$48,0)))))))</f>
        <v>0</v>
      </c>
      <c r="GG40" s="304">
        <f>IF($E$90=2,Dados!$AF$48,IF($E$90=3,Dados!$AH$48,IF($E$90=4,Dados!$AJ$48,IF($E$90=5,Dados!$AL$48,IF($E$90=6,Dados!$AN$48,IF($E$90=7,Dados!$AP$48,IF($E$90=8,Dados!$AT$48,0)))))))</f>
        <v>0</v>
      </c>
      <c r="GH40" s="316">
        <f>IF($E$91=2,Dados!$AE$48,IF($E$91=3,Dados!$AG$48,IF($E$91=4,Dados!$AI$48,IF($E$91=5,Dados!$AK$48,IF($E$91=6,Dados!$AM$48,IF($E$91=7,Dados!$AO$48,IF($E$91=8,Dados!$AS$48,0)))))))</f>
        <v>0</v>
      </c>
      <c r="GI40" s="304">
        <f>IF($E$91=2,Dados!$AF$48,IF($E$91=3,Dados!$AH$48,IF($E$91=4,Dados!$AJ$48,IF($E$91=5,Dados!$AL$48,IF($E$91=6,Dados!$AN$48,IF($E$91=7,Dados!$AP$48,IF($E$91=8,Dados!$AT$48,0)))))))</f>
        <v>0</v>
      </c>
      <c r="GJ40" s="316">
        <f>IF($E$92=2,Dados!$AE$48,IF($E$92=3,Dados!$AG$48,IF($E$92=4,Dados!$AI$48,IF($E$92=5,Dados!$AK$48,IF($E$92=6,Dados!$AM$48,IF($E$92=7,Dados!$AO$48,IF($E$92=8,Dados!$AS$48,0)))))))</f>
        <v>0</v>
      </c>
      <c r="GK40" s="304">
        <f>IF($E$92=2,Dados!$AF$48,IF($E$92=3,Dados!$AH$48,IF($E$92=4,Dados!$AJ$48,IF($E$92=5,Dados!$AL$48,IF($E$92=6,Dados!$AN$48,IF($E$92=7,Dados!$AP$48,IF($E$92=8,Dados!$AT$48,0)))))))</f>
        <v>0</v>
      </c>
      <c r="GM40" s="316">
        <f>IF($E$97=2,Dados!$AE$48,IF($E$97=3,Dados!$AG$48,IF($E$97=4,Dados!$AI$48,IF($E$97=5,Dados!$AK$48,IF($E$97=6,Dados!$AM$48,IF($E$97=7,Dados!$AO$48,IF($E$97=8,Dados!$AS$48,0)))))))</f>
        <v>0</v>
      </c>
      <c r="GN40" s="304">
        <f>IF($E$97=2,Dados!$AF$48,IF($E$97=3,Dados!$AH$48,IF($E$97=4,Dados!$AJ$48,IF($E$97=5,Dados!$AL$48,IF($E$97=6,Dados!$AN$48,IF($E$97=7,Dados!$AP$48,IF($E$97=8,Dados!$AT$48,0)))))))</f>
        <v>0</v>
      </c>
      <c r="GO40" s="316">
        <f>IF($E$98=2,Dados!$AE$48,IF($E$98=3,Dados!$AG$48,IF($E$98=4,Dados!$AI$48,IF($E$98=5,Dados!$AK$48,IF($E$98=6,Dados!$AM$48,IF($E$98=7,Dados!$AO$48,IF($E$98=8,Dados!$AS$48,0)))))))</f>
        <v>0</v>
      </c>
      <c r="GP40" s="304">
        <f>IF($E$98=2,Dados!$AF$48,IF($E$98=3,Dados!$AH$48,IF($E$98=4,Dados!$AJ$48,IF($E$98=5,Dados!$AL$48,IF($E$98=6,Dados!$AN$48,IF($E$98=7,Dados!$AP$48,IF($E$98=8,Dados!$AT$48,0)))))))</f>
        <v>0</v>
      </c>
      <c r="GQ40" s="316">
        <f>IF($E$99=2,Dados!$AE$48,IF($E$99=3,Dados!$AG$48,IF($E$99=4,Dados!$AI$48,IF($E$99=5,Dados!$AK$48,IF($E$99=6,Dados!$AM$48,IF($E$99=7,Dados!$AO$48,IF($E$99=8,Dados!$AS$48,0)))))))</f>
        <v>0</v>
      </c>
      <c r="GR40" s="304">
        <f>IF($E$99=2,Dados!$AF$48,IF($E$99=3,Dados!$AH$48,IF($E$99=4,Dados!$AJ$48,IF($E$99=5,Dados!$AL$48,IF($E$99=6,Dados!$AN$48,IF($E$99=7,Dados!$AP$48,IF($E$99=8,Dados!$AT$48,0)))))))</f>
        <v>0</v>
      </c>
      <c r="GS40" s="316">
        <f>IF($E$100=2,Dados!$AE$48,IF($E$100=3,Dados!$AG$48,IF($E$100=4,Dados!$AI$48,IF($E$100=5,Dados!$AK$48,IF($E$100=6,Dados!$AM$48,IF($E$100=7,Dados!$AO$48,IF($E$100=8,Dados!$AS$48,0)))))))</f>
        <v>0</v>
      </c>
      <c r="GT40" s="304">
        <f>IF($E$100=2,Dados!$AF$48,IF($E$100=3,Dados!$AH$48,IF($E$100=4,Dados!$AJ$48,IF($E$100=5,Dados!$AL$48,IF($E$100=6,Dados!$AN$48,IF($E$100=7,Dados!$AP$48,IF($E$100=8,Dados!$AT$48,0)))))))</f>
        <v>0</v>
      </c>
      <c r="GU40" s="316">
        <f>IF($E$101=2,Dados!$AE$48,IF($E$101=3,Dados!$AG$48,IF($E$101=4,Dados!$AI$48,IF($E$101=5,Dados!$AK$48,IF($E$101=6,Dados!$AM$48,IF($E$101=7,Dados!$AO$48,IF($E$101=8,Dados!$AS$48,0)))))))</f>
        <v>0</v>
      </c>
      <c r="GV40" s="304">
        <f>IF($E$101=2,Dados!$AF$48,IF($E$101=3,Dados!$AH$48,IF($E$101=4,Dados!$AJ$48,IF($E$101=5,Dados!$AL$48,IF($E$101=6,Dados!$AN$48,IF($E$101=7,Dados!$AP$48,IF($E$101=8,Dados!$AT$48,0)))))))</f>
        <v>0</v>
      </c>
      <c r="GX40" s="316">
        <f>IF($E$106=2,Dados!$AE$48,IF($E$106=3,Dados!$AG$48,IF($E$106=4,Dados!$AI$48,IF($E$106=5,Dados!$AK$48,IF($E$106=6,Dados!$AM$48,IF($E$106=7,Dados!$AO$48,IF($E$106=8,Dados!$AS$48,0)))))))</f>
        <v>0</v>
      </c>
      <c r="GY40" s="304">
        <f>IF($E$106=2,Dados!$AF$48,IF($E$106=3,Dados!$AH$48,IF($E$106=4,Dados!$AJ$48,IF($E$106=5,Dados!$AL$48,IF($E$106=6,Dados!$AN$48,IF($E$106=7,Dados!$AP$48,IF($E$106=8,Dados!$AT$48,0)))))))</f>
        <v>0</v>
      </c>
      <c r="GZ40" s="316">
        <f>IF($E$107=2,Dados!$AE$48,IF($E$107=3,Dados!$AG$48,IF($E$107=4,Dados!$AI$48,IF($E$107=5,Dados!$AK$48,IF($E$107=6,Dados!$AM$48,IF($E$107=7,Dados!$AO$48,IF($E$107=8,Dados!$AS$48,0)))))))</f>
        <v>0</v>
      </c>
      <c r="HA40" s="304">
        <f>IF($E$107=2,Dados!$AF$48,IF($E$107=3,Dados!$AH$48,IF($E$107=4,Dados!$AJ$48,IF($E$107=5,Dados!$AL$48,IF($E$107=6,Dados!$AN$48,IF($E$107=7,Dados!$AP$48,IF($E$107=8,Dados!$AT$48,0)))))))</f>
        <v>0</v>
      </c>
      <c r="HB40" s="316">
        <f>IF($E$108=2,Dados!$AE$48,IF($E$108=3,Dados!$AG$48,IF($E$108=4,Dados!$AI$48,IF($E$108=5,Dados!$AK$48,IF($E$108=6,Dados!$AM$48,IF($E$108=7,Dados!$AO$48,IF($E$108=8,Dados!$AS$48,0)))))))</f>
        <v>0</v>
      </c>
      <c r="HC40" s="304">
        <f>IF($E$108=2,Dados!$AF$48,IF($E$108=3,Dados!$AH$48,IF($E$108=4,Dados!$AJ$48,IF($E$108=5,Dados!$AL$48,IF($E$108=6,Dados!$AN$48,IF($E$108=7,Dados!$AP$48,IF($E$108=8,Dados!$AT$48,0)))))))</f>
        <v>0</v>
      </c>
      <c r="HD40" s="316">
        <f>IF($E$109=2,Dados!$AE$48,IF($E$109=3,Dados!$AG$48,IF($E$109=4,Dados!$AI$48,IF($E$109=5,Dados!$AK$48,IF($E$109=6,Dados!$AM$48,IF($E$109=7,Dados!$AO$48,IF($E$109=8,Dados!$AS$48,0)))))))</f>
        <v>0</v>
      </c>
      <c r="HE40" s="304">
        <f>IF($E$109=2,Dados!$AF$48,IF($E$109=3,Dados!$AH$48,IF($E$109=4,Dados!$AJ$48,IF($E$109=5,Dados!$AL$48,IF($E$109=6,Dados!$AN$48,IF($E$109=7,Dados!$AP$48,IF($E$109=8,Dados!$AT$48,0)))))))</f>
        <v>0</v>
      </c>
      <c r="HF40" s="316">
        <f>IF($E$110=2,Dados!$AE$48,IF($E$110=3,Dados!$AG$48,IF($E$110=4,Dados!$AI$48,IF($E$110=5,Dados!$AK$48,IF($E$110=6,Dados!$AM$48,IF($E$110=7,Dados!$AO$48,IF($E$110=8,Dados!$AS$48,0)))))))</f>
        <v>0</v>
      </c>
      <c r="HG40" s="304">
        <f>IF($E$110=2,Dados!$AF$48,IF($E$110=3,Dados!$AH$48,IF($E$110=4,Dados!$AJ$48,IF($E$110=5,Dados!$AL$48,IF($E$110=6,Dados!$AN$48,IF($E$110=7,Dados!$AP$48,IF($E$110=8,Dados!$AT$48,0)))))))</f>
        <v>0</v>
      </c>
    </row>
    <row r="41" spans="3:215" x14ac:dyDescent="0.2">
      <c r="I41" s="126" t="s">
        <v>519</v>
      </c>
      <c r="K41" s="118"/>
      <c r="L41" s="118"/>
      <c r="X41" s="2625" t="s">
        <v>414</v>
      </c>
      <c r="Y41" s="2625"/>
      <c r="Z41" s="183" t="s">
        <v>1246</v>
      </c>
      <c r="CF41" s="93">
        <v>36</v>
      </c>
      <c r="CG41" s="316">
        <f>IF($E$7=2,Dados!$AE$49,IF($E$7=3,Dados!$AG$49,IF($E$7=4,Dados!$AI$49,IF($E$7=5,Dados!$AK$49,IF($E$7=6,Dados!$AM$49,IF($E$7=7,Dados!$AO$49,IF($E$7=8,Dados!$AS$49,0)))))))</f>
        <v>0</v>
      </c>
      <c r="CH41" s="304">
        <f>IF($E$7=2,Dados!$AF$49,IF($E$7=3,Dados!$AH$49,IF($E$7=4,Dados!$AJ$49,IF($E$7=5,Dados!$AL$49,IF($E$7=6,Dados!$AN$49,IF($E$7=7,Dados!$AP$49,IF($E$7=8,Dados!$AT$49,0)))))))</f>
        <v>0</v>
      </c>
      <c r="CI41" s="316">
        <f>IF($E$8=2,Dados!$AE$49,IF($E$8=3,Dados!$AG$49,IF($E$8=4,Dados!$AI$49,IF($E$8=5,Dados!$AK$49,IF($E$8=6,Dados!$AM$49,IF($E$8=7,Dados!$AO$49,IF($E$8=8,Dados!$AS$49,0)))))))</f>
        <v>0</v>
      </c>
      <c r="CJ41" s="304">
        <f>IF($E$8=2,Dados!$AF$49,IF($E$8=3,Dados!$AH$49,IF($E$8=4,Dados!$AJ$49,IF($E$8=5,Dados!$AL$49,IF($E$8=6,Dados!$AN$49,IF($E$8=7,Dados!$AP$49,IF($E$8=8,Dados!$AT$49,0)))))))</f>
        <v>0</v>
      </c>
      <c r="CK41" s="316">
        <f>IF($E$9=2,Dados!$AE$49,IF($E$9=3,Dados!$AG$49,IF($E$9=4,Dados!$AI$49,IF($E$9=5,Dados!$AK$49,IF($E$9=6,Dados!$AM$49,IF($E$9=7,Dados!$AO$49,IF($E$9=8,Dados!$AS$49,0)))))))</f>
        <v>0</v>
      </c>
      <c r="CL41" s="304">
        <f>IF($E$9=2,Dados!$AF$49,IF($E$9=3,Dados!$AH$49,IF($E$9=4,Dados!$AJ$49,IF($E$9=5,Dados!$AL$49,IF($E$9=6,Dados!$AN$49,IF($E$9=7,Dados!$AP$49,IF($E$9=8,Dados!$AT$49,0)))))))</f>
        <v>0</v>
      </c>
      <c r="CM41" s="316">
        <f>IF($E$10=2,Dados!$AE$49,IF($E$10=3,Dados!$AG$49,IF($E$10=4,Dados!$AI$49,IF($E$10=5,Dados!$AK$49,IF($E$10=6,Dados!$AM$49,IF($E$10=7,Dados!$AO$49,IF($E$10=8,Dados!$AS$49,0)))))))</f>
        <v>0</v>
      </c>
      <c r="CN41" s="304">
        <f>IF($E$10=2,Dados!$AF$49,IF($E$10=3,Dados!$AH$49,IF($E$10=4,Dados!$AJ$49,IF($E$10=5,Dados!$AL$49,IF($E$10=6,Dados!$AN$49,IF($E$10=7,Dados!$AP$49,IF($E$10=8,Dados!$AT$49,0)))))))</f>
        <v>0</v>
      </c>
      <c r="CO41" s="316">
        <f>IF($E$11=2,Dados!$AE$49,IF($E$11=3,Dados!$AG$49,IF($E$11=4,Dados!$AI$49,IF($E$11=5,Dados!$AK$49,IF($E$11=6,Dados!$AM$49,IF($E$11=7,Dados!$AO$49,IF($E$11=8,Dados!$AS$49,0)))))))</f>
        <v>0</v>
      </c>
      <c r="CP41" s="304">
        <f>IF($E$11=2,Dados!$AF$49,IF($E$11=3,Dados!$AH$49,IF($E$11=4,Dados!$AJ$49,IF($E$11=5,Dados!$AL$49,IF($E$11=6,Dados!$AN$49,IF($E$11=7,Dados!$AP$49,IF($E$11=8,Dados!$AT$49,0)))))))</f>
        <v>0</v>
      </c>
      <c r="CR41" s="316">
        <f>IF($E$16=2,Dados!$AE$49,IF($E$16=3,Dados!$AG$49,IF($E$16=4,Dados!$AI$49,IF($E$16=5,Dados!$AK$49,IF($E$16=6,Dados!$AM$49,IF($E$16=7,Dados!$AO$49,IF($E$16=8,Dados!$AS$49,0)))))))</f>
        <v>0</v>
      </c>
      <c r="CS41" s="304">
        <f>IF($E$16=2,Dados!$AF$49,IF($E$16=3,Dados!$AH$49,IF($E$16=4,Dados!$AJ$49,IF($E$16=5,Dados!$AL$49,IF($E$16=6,Dados!$AN$49,IF($E$16=7,Dados!$AP$49,IF($E$16=8,Dados!$AT$49,0)))))))</f>
        <v>0</v>
      </c>
      <c r="CT41" s="316">
        <f>IF($E$17=2,Dados!$AE$49,IF($E$17=3,Dados!$AG$49,IF($E$17=4,Dados!$AI$49,IF($E$17=5,Dados!$AK$49,IF($E$17=6,Dados!$AM$49,IF($E$17=7,Dados!$AO$49,IF($E$17=8,Dados!$AS$49,0)))))))</f>
        <v>0</v>
      </c>
      <c r="CU41" s="304">
        <f>IF($E$17=2,Dados!$AF$49,IF($E$17=3,Dados!$AH$49,IF($E$17=4,Dados!$AJ$49,IF($E$17=5,Dados!$AL$49,IF($E$17=6,Dados!$AN$49,IF($E$17=7,Dados!$AP$49,IF($E$17=8,Dados!$AT$49,0)))))))</f>
        <v>0</v>
      </c>
      <c r="CV41" s="316">
        <f>IF($E$18=2,Dados!$AE$49,IF($E$18=3,Dados!$AG$49,IF($E$18=4,Dados!$AI$49,IF($E$18=5,Dados!$AK$49,IF($E$18=6,Dados!$AM$49,IF($E$18=7,Dados!$AO$49,IF($E$18=8,Dados!$AS$49,0)))))))</f>
        <v>0</v>
      </c>
      <c r="CW41" s="304">
        <f>IF($E$18=2,Dados!$AF$49,IF($E$18=3,Dados!$AH$49,IF($E$18=4,Dados!$AJ$49,IF($E$18=5,Dados!$AL$49,IF($E$18=6,Dados!$AN$49,IF($E$18=7,Dados!$AP$49,IF($E$18=8,Dados!$AT$49,0)))))))</f>
        <v>0</v>
      </c>
      <c r="CX41" s="316">
        <f>IF($E$19=2,Dados!$AE$49,IF($E$19=3,Dados!$AG$49,IF($E$19=4,Dados!$AI$49,IF($E$19=5,Dados!$AK$49,IF($E$19=6,Dados!$AM$49,IF($E$19=7,Dados!$AO$49,IF($E$19=8,Dados!$AS$49,0)))))))</f>
        <v>0</v>
      </c>
      <c r="CY41" s="304">
        <f>IF($E$19=2,Dados!$AF$49,IF($E$19=3,Dados!$AH$49,IF($E$19=4,Dados!$AJ$49,IF($E$19=5,Dados!$AL$49,IF($E$19=6,Dados!$AN$49,IF($E$19=7,Dados!$AP$49,IF($E$19=8,Dados!$AT$49,0)))))))</f>
        <v>0</v>
      </c>
      <c r="CZ41" s="316">
        <f>IF($E$20=2,Dados!$AE$49,IF($E$20=3,Dados!$AG$49,IF($E$20=4,Dados!$AI$49,IF($E$20=5,Dados!$AK$49,IF($E$20=6,Dados!$AM$49,IF($E$20=7,Dados!$AO$49,IF($E$20=8,Dados!$AS$49,0)))))))</f>
        <v>0</v>
      </c>
      <c r="DA41" s="304">
        <f>IF($E$20=2,Dados!$AF$49,IF($E$20=3,Dados!$AH$49,IF($E$20=4,Dados!$AJ$49,IF($E$20=5,Dados!$AL$49,IF($E$20=6,Dados!$AN$49,IF($E$20=7,Dados!$AP$49,IF($E$20=8,Dados!$AT$49,0)))))))</f>
        <v>0</v>
      </c>
      <c r="DC41" s="316">
        <f>IF($E$25=2,Dados!$AE$49,IF($E$25=3,Dados!$AG$49,IF($E$25=4,Dados!$AI$49,IF($E$25=5,Dados!$AK$49,IF($E$25=6,Dados!$AM$49,IF($E$25=7,Dados!$AO$49,IF($E$25=8,Dados!$AS$49,0)))))))</f>
        <v>0</v>
      </c>
      <c r="DD41" s="304">
        <f>IF($E$25=2,Dados!$AF$49,IF($E$25=3,Dados!$AH$49,IF($E$25=4,Dados!$AJ$49,IF($E$25=5,Dados!$AL$49,IF($E$25=6,Dados!$AN$49,IF($E$25=7,Dados!$AP$49,IF($E$25=8,Dados!$AT$49,0)))))))</f>
        <v>0</v>
      </c>
      <c r="DE41" s="316">
        <f>IF($E$26=2,Dados!$AE$49,IF($E$26=3,Dados!$AG$49,IF($E$26=4,Dados!$AI$49,IF($E$26=5,Dados!$AK$49,IF($E$26=6,Dados!$AM$49,IF($E$26=7,Dados!$AO$49,IF($E$26=8,Dados!$AS$49,0)))))))</f>
        <v>0</v>
      </c>
      <c r="DF41" s="304">
        <f>IF($E$26=2,Dados!$AF$49,IF($E$26=3,Dados!$AH$49,IF($E$26=4,Dados!$AJ$49,IF($E$26=5,Dados!$AL$49,IF($E$26=6,Dados!$AN$49,IF($E$26=7,Dados!$AP$49,IF($E$26=8,Dados!$AT$49,0)))))))</f>
        <v>0</v>
      </c>
      <c r="DG41" s="316">
        <f>IF($E$27=2,Dados!$AE$49,IF($E$27=3,Dados!$AG$49,IF($E$27=4,Dados!$AI$49,IF($E$27=5,Dados!$AK$49,IF($E$27=6,Dados!$AM$49,IF($E$27=7,Dados!$AO$49,IF($E$27=8,Dados!$AS$49,0)))))))</f>
        <v>0</v>
      </c>
      <c r="DH41" s="304">
        <f>IF($E$27=2,Dados!$AF$49,IF($E$27=3,Dados!$AH$49,IF($E$27=4,Dados!$AJ$49,IF($E$27=5,Dados!$AL$49,IF($E$27=6,Dados!$AN$49,IF($E$27=7,Dados!$AP$49,IF($E$27=8,Dados!$AT$49,0)))))))</f>
        <v>0</v>
      </c>
      <c r="DI41" s="316">
        <f>IF($E$28=2,Dados!$AE$49,IF($E$28=3,Dados!$AG$49,IF($E$28=4,Dados!$AI$49,IF($E$28=5,Dados!$AK$49,IF($E$28=6,Dados!$AM$49,IF($E$28=7,Dados!$AO$49,IF($E$28=8,Dados!$AS$49,0)))))))</f>
        <v>0</v>
      </c>
      <c r="DJ41" s="304">
        <f>IF($E$28=2,Dados!$AF$49,IF($E$28=3,Dados!$AH$49,IF($E$28=4,Dados!$AJ$49,IF($E$28=5,Dados!$AL$49,IF($E$28=6,Dados!$AN$49,IF($E$28=7,Dados!$AP$49,IF($E$28=8,Dados!$AT$49,0)))))))</f>
        <v>0</v>
      </c>
      <c r="DK41" s="316">
        <f>IF($E$29=2,Dados!$AE$49,IF($E$29=3,Dados!$AG$49,IF($E$29=4,Dados!$AI$49,IF($E$29=5,Dados!$AK$49,IF($E$29=6,Dados!$AM$49,IF($E$29=7,Dados!$AO$49,IF($E$29=8,Dados!$AS$49,0)))))))</f>
        <v>0</v>
      </c>
      <c r="DL41" s="304">
        <f>IF($E$29=2,Dados!$AF$49,IF($E$29=3,Dados!$AH$49,IF($E$29=4,Dados!$AJ$49,IF($E$29=5,Dados!$AL$49,IF($E$29=6,Dados!$AN$49,IF($E$29=7,Dados!$AP$49,IF($E$29=8,Dados!$AT$49,0)))))))</f>
        <v>0</v>
      </c>
      <c r="DN41" s="316">
        <f>IF($E$34=2,Dados!$AE$49,IF($E$34=3,Dados!$AG$49,IF($E$34=4,Dados!$AI$49,IF($E$34=5,Dados!$AK$49,IF($E$34=6,Dados!$AM$49,IF($E$34=7,Dados!$AO$49,IF($E$34=8,Dados!$AS$49,0)))))))</f>
        <v>0</v>
      </c>
      <c r="DO41" s="304">
        <f>IF($E$34=2,Dados!$AF$49,IF($E$34=3,Dados!$AH$49,IF($E$34=4,Dados!$AJ$49,IF($E$34=5,Dados!$AL$49,IF($E$34=6,Dados!$AN$49,IF($E$34=7,Dados!$AP$49,IF($E$34=8,Dados!$AT$49,0)))))))</f>
        <v>0</v>
      </c>
      <c r="DP41" s="316">
        <f>IF($E$35=2,Dados!$AE$49,IF($E$35=3,Dados!$AG$49,IF($E$35=4,Dados!$AI$49,IF($E$35=5,Dados!$AK$49,IF($E$35=6,Dados!$AM$49,IF($E$35=7,Dados!$AO$49,IF($E$35=8,Dados!$AS$49,0)))))))</f>
        <v>0</v>
      </c>
      <c r="DQ41" s="304">
        <f>IF($E$35=2,Dados!$AF$49,IF($E$35=3,Dados!$AH$49,IF($E$35=4,Dados!$AJ$49,IF($E$35=5,Dados!$AL$49,IF($E$35=6,Dados!$AN$49,IF($E$35=7,Dados!$AP$49,IF($E$35=8,Dados!$AT$49,0)))))))</f>
        <v>0</v>
      </c>
      <c r="DR41" s="316">
        <f>IF($E$36=2,Dados!$AE$49,IF($E$36=3,Dados!$AG$49,IF($E$36=4,Dados!$AI$49,IF($E$36=5,Dados!$AK$49,IF($E$36=6,Dados!$AM$49,IF($E$36=7,Dados!$AO$49,IF($E$36=8,Dados!$AS$49,0)))))))</f>
        <v>0</v>
      </c>
      <c r="DS41" s="304">
        <f>IF($E$36=2,Dados!$AF$49,IF($E$36=3,Dados!$AH$49,IF($E$36=4,Dados!$AJ$49,IF($E$36=5,Dados!$AL$49,IF($E$36=6,Dados!$AN$49,IF($E$36=7,Dados!$AP$49,IF($E$36=8,Dados!$AT$49,0)))))))</f>
        <v>0</v>
      </c>
      <c r="DT41" s="316">
        <f>IF($E$37=2,Dados!$AE$49,IF($E$37=3,Dados!$AG$49,IF($E$37=4,Dados!$AI$49,IF($E$37=5,Dados!$AK$49,IF($E$37=6,Dados!$AM$49,IF($E$37=7,Dados!$AO$49,IF($E$37=8,Dados!$AS$49,0)))))))</f>
        <v>0</v>
      </c>
      <c r="DU41" s="304">
        <f>IF($E$37=2,Dados!$AF$49,IF($E$37=3,Dados!$AH$49,IF($E$37=4,Dados!$AJ$49,IF($E$37=5,Dados!$AL$49,IF($E$37=6,Dados!$AN$49,IF($E$37=7,Dados!$AP$49,IF($E$37=8,Dados!$AT$49,0)))))))</f>
        <v>0</v>
      </c>
      <c r="DV41" s="316">
        <f>IF($E$38=2,Dados!$AE$49,IF($E$38=3,Dados!$AG$49,IF($E$38=4,Dados!$AI$49,IF($E$38=5,Dados!$AK$49,IF($E$38=6,Dados!$AM$49,IF($E$38=7,Dados!$AO$49,IF($E$38=8,Dados!$AS$49,0)))))))</f>
        <v>0</v>
      </c>
      <c r="DW41" s="304">
        <f>IF($E$38=2,Dados!$AF$49,IF($E$38=3,Dados!$AH$49,IF($E$38=4,Dados!$AJ$49,IF($E$38=5,Dados!$AL$49,IF($E$38=6,Dados!$AN$49,IF($E$38=7,Dados!$AP$49,IF($E$38=8,Dados!$AT$49,0)))))))</f>
        <v>0</v>
      </c>
      <c r="DY41" s="316">
        <f>IF($E$43=2,Dados!$AE$49,IF($E$43=3,Dados!$AG$49,IF($E$43=4,Dados!$AI$49,IF($E$43=5,Dados!$AK$49,IF($E$43=6,Dados!$AM$49,IF($E$43=7,Dados!$AO$49,IF($E$43=8,Dados!$AS$49,0)))))))</f>
        <v>0</v>
      </c>
      <c r="DZ41" s="304">
        <f>IF($E$43=2,Dados!$AF$49,IF($E$43=3,Dados!$AH$49,IF($E$43=4,Dados!$AJ$49,IF($E$43=5,Dados!$AL$49,IF($E$43=6,Dados!$AN$49,IF($E$43=7,Dados!$AP$49,IF($E$43=8,Dados!$AT$49,0)))))))</f>
        <v>0</v>
      </c>
      <c r="EA41" s="316">
        <f>IF($E$44=2,Dados!$AE$49,IF($E$44=3,Dados!$AG$49,IF($E$44=4,Dados!$AI$49,IF($E$44=5,Dados!$AK$49,IF($E$44=6,Dados!$AM$49,IF($E$44=7,Dados!$AO$49,IF($E$44=8,Dados!$AS$49,0)))))))</f>
        <v>0</v>
      </c>
      <c r="EB41" s="304">
        <f>IF($E$44=2,Dados!$AF$49,IF($E$44=3,Dados!$AH$49,IF($E$44=4,Dados!$AJ$49,IF($E$44=5,Dados!$AL$49,IF($E$44=6,Dados!$AN$49,IF($E$44=7,Dados!$AP$49,IF($E$44=8,Dados!$AT$49,0)))))))</f>
        <v>0</v>
      </c>
      <c r="EC41" s="316">
        <f>IF($E$45=2,Dados!$AE$49,IF($E$45=3,Dados!$AG$49,IF($E$45=4,Dados!$AI$49,IF($E$45=5,Dados!$AK$49,IF($E$45=6,Dados!$AM$49,IF($E$45=7,Dados!$AO$49,IF($E$45=8,Dados!$AS$49,0)))))))</f>
        <v>0</v>
      </c>
      <c r="ED41" s="304">
        <f>IF($E$45=2,Dados!$AF$49,IF($E$45=3,Dados!$AH$49,IF($E$45=4,Dados!$AJ$49,IF($E$45=5,Dados!$AL$49,IF($E$45=6,Dados!$AN$49,IF($E$45=7,Dados!$AP$49,IF($E$45=8,Dados!$AT$49,0)))))))</f>
        <v>0</v>
      </c>
      <c r="EE41" s="316">
        <f>IF($E$46=2,Dados!$AE$49,IF($E$46=3,Dados!$AG$49,IF($E$46=4,Dados!$AI$49,IF($E$46=5,Dados!$AK$49,IF($E$46=6,Dados!$AM$49,IF($E$46=7,Dados!$AO$49,IF($E$46=8,Dados!$AS$49,0)))))))</f>
        <v>0</v>
      </c>
      <c r="EF41" s="304">
        <f>IF($E$46=2,Dados!$AF$49,IF($E$46=3,Dados!$AH$49,IF($E$46=4,Dados!$AJ$49,IF($E$46=5,Dados!$AL$49,IF($E$46=6,Dados!$AN$49,IF($E$46=7,Dados!$AP$49,IF($E$46=8,Dados!$AT$49,0)))))))</f>
        <v>0</v>
      </c>
      <c r="EG41" s="316">
        <f>IF($E$47=2,Dados!$AE$49,IF($E$47=3,Dados!$AG$49,IF($E$47=4,Dados!$AI$49,IF($E$47=5,Dados!$AK$49,IF($E$47=6,Dados!$AM$49,IF($E$47=7,Dados!$AO$49,IF($E$47=8,Dados!$AS$49,0)))))))</f>
        <v>0</v>
      </c>
      <c r="EH41" s="304">
        <f>IF($E$47=2,Dados!$AF$49,IF($E$47=3,Dados!$AH$49,IF($E$47=4,Dados!$AJ$49,IF($E$47=5,Dados!$AL$49,IF($E$47=6,Dados!$AN$49,IF($E$47=7,Dados!$AP$49,IF($E$47=8,Dados!$AT$49,0)))))))</f>
        <v>0</v>
      </c>
      <c r="EJ41" s="316">
        <f>IF($E$52=2,Dados!$AE$49,IF($E$52=3,Dados!$AG$49,IF($E$52=4,Dados!$AI$49,IF($E$52=5,Dados!$AK$49,IF($E$52=6,Dados!$AM$49,IF($E$52=7,Dados!$AO$49,IF($E$52=8,Dados!$AS$49,0)))))))</f>
        <v>0</v>
      </c>
      <c r="EK41" s="304">
        <f>IF($E$52=2,Dados!$AF$49,IF($E$52=3,Dados!$AH$49,IF($E$52=4,Dados!$AJ$49,IF($E$52=5,Dados!$AL$49,IF($E$52=6,Dados!$AN$49,IF($E$52=7,Dados!$AP$49,IF($E$52=8,Dados!$AT$49,0)))))))</f>
        <v>0</v>
      </c>
      <c r="EL41" s="316">
        <f>IF($E$53=2,Dados!$AE$49,IF($E$53=3,Dados!$AG$49,IF($E$53=4,Dados!$AI$49,IF($E$53=5,Dados!$AK$49,IF($E$53=6,Dados!$AM$49,IF($E$53=7,Dados!$AO$49,IF($E$53=8,Dados!$AS$49,0)))))))</f>
        <v>0</v>
      </c>
      <c r="EM41" s="304">
        <f>IF($E$53=2,Dados!$AF$49,IF($E$53=3,Dados!$AH$49,IF($E$53=4,Dados!$AJ$49,IF($E$53=5,Dados!$AL$49,IF($E$53=6,Dados!$AN$49,IF($E$53=7,Dados!$AP$49,IF($E$53=8,Dados!$AT$49,0)))))))</f>
        <v>0</v>
      </c>
      <c r="EN41" s="316">
        <f>IF($E$54=2,Dados!$AE$49,IF($E$54=3,Dados!$AG$49,IF($E$54=4,Dados!$AI$49,IF($E$54=5,Dados!$AK$49,IF($E$54=6,Dados!$AM$49,IF($E$54=7,Dados!$AO$49,IF($E$54=8,Dados!$AS$49,0)))))))</f>
        <v>0</v>
      </c>
      <c r="EO41" s="304">
        <f>IF($E$54=2,Dados!$AF$49,IF($E$54=3,Dados!$AH$49,IF($E$54=4,Dados!$AJ$49,IF($E$54=5,Dados!$AL$49,IF($E$54=6,Dados!$AN$49,IF($E$54=7,Dados!$AP$49,IF($E$54=8,Dados!$AT$49,0)))))))</f>
        <v>0</v>
      </c>
      <c r="EP41" s="316">
        <f>IF($E$55=2,Dados!$AE$49,IF($E$55=3,Dados!$AG$49,IF($E$55=4,Dados!$AI$49,IF($E$55=5,Dados!$AK$49,IF($E$55=6,Dados!$AM$49,IF($E$55=7,Dados!$AO$49,IF($E$55=8,Dados!$AS$49,0)))))))</f>
        <v>0</v>
      </c>
      <c r="EQ41" s="304">
        <f>IF($E$55=2,Dados!$AF$49,IF($E$55=3,Dados!$AH$49,IF($E$55=4,Dados!$AJ$49,IF($E$55=5,Dados!$AL$49,IF($E$55=6,Dados!$AN$49,IF($E$55=7,Dados!$AP$49,IF($E$55=8,Dados!$AT$49,0)))))))</f>
        <v>0</v>
      </c>
      <c r="ER41" s="316">
        <f>IF($E$56=2,Dados!$AE$49,IF($E$56=3,Dados!$AG$49,IF($E$56=4,Dados!$AI$49,IF($E$56=5,Dados!$AK$49,IF($E$56=6,Dados!$AM$49,IF($E$56=7,Dados!$AO$49,IF($E$56=8,Dados!$AS$49,0)))))))</f>
        <v>0</v>
      </c>
      <c r="ES41" s="304">
        <f>IF($E$56=2,Dados!$AF$49,IF($E$56=3,Dados!$AH$49,IF($E$56=4,Dados!$AJ$49,IF($E$56=5,Dados!$AL$49,IF($E$56=6,Dados!$AN$49,IF($E$56=7,Dados!$AP$49,IF($E$56=8,Dados!$AT$49,0)))))))</f>
        <v>0</v>
      </c>
      <c r="EU41" s="316">
        <f>IF($E$61=2,Dados!$AE$49,IF($E$61=3,Dados!$AG$49,IF($E$61=4,Dados!$AI$49,IF($E$61=5,Dados!$AK$49,IF($E$61=6,Dados!$AM$49,IF($E$61=7,Dados!$AO$49,IF($E$61=8,Dados!$AS$49,0)))))))</f>
        <v>0</v>
      </c>
      <c r="EV41" s="304">
        <f>IF($E$61=2,Dados!$AF$49,IF($E$61=3,Dados!$AH$49,IF($E$61=4,Dados!$AJ$49,IF($E$61=5,Dados!$AL$49,IF($E$61=6,Dados!$AN$49,IF($E$61=7,Dados!$AP$49,IF($E$61=8,Dados!$AT$49,0)))))))</f>
        <v>0</v>
      </c>
      <c r="EW41" s="316">
        <f>IF($E$62=2,Dados!$AE$49,IF($E$62=3,Dados!$AG$49,IF($E$62=4,Dados!$AI$49,IF($E$62=5,Dados!$AK$49,IF($E$62=6,Dados!$AM$49,IF($E$62=7,Dados!$AO$49,IF($E$62=8,Dados!$AS$49,0)))))))</f>
        <v>0</v>
      </c>
      <c r="EX41" s="304">
        <f>IF($E$62=2,Dados!$AF$49,IF($E$62=3,Dados!$AH$49,IF($E$62=4,Dados!$AJ$49,IF($E$62=5,Dados!$AL$49,IF($E$62=6,Dados!$AN$49,IF($E$62=7,Dados!$AP$49,IF($E$62=8,Dados!$AT$49,0)))))))</f>
        <v>0</v>
      </c>
      <c r="EY41" s="316">
        <f>IF($E$63=2,Dados!$AE$49,IF($E$63=3,Dados!$AG$49,IF($E$63=4,Dados!$AI$49,IF($E$63=5,Dados!$AK$49,IF($E$63=6,Dados!$AM$49,IF($E$63=7,Dados!$AO$49,IF($E$63=8,Dados!$AS$49,0)))))))</f>
        <v>0</v>
      </c>
      <c r="EZ41" s="304">
        <f>IF($E$63=2,Dados!$AF$49,IF($E$63=3,Dados!$AH$49,IF($E$63=4,Dados!$AJ$49,IF($E$63=5,Dados!$AL$49,IF($E$63=6,Dados!$AN$49,IF($E$63=7,Dados!$AP$49,IF($E$63=8,Dados!$AT$49,0)))))))</f>
        <v>0</v>
      </c>
      <c r="FA41" s="316">
        <f>IF($E$64=2,Dados!$AE$49,IF($E$64=3,Dados!$AG$49,IF($E$64=4,Dados!$AI$49,IF($E$64=5,Dados!$AK$49,IF($E$64=6,Dados!$AM$49,IF($E$64=7,Dados!$AO$49,IF($E$64=8,Dados!$AS$49,0)))))))</f>
        <v>0</v>
      </c>
      <c r="FB41" s="304">
        <f>IF($E$64=2,Dados!$AF$49,IF($E$64=3,Dados!$AH$49,IF($E$64=4,Dados!$AJ$49,IF($E$64=5,Dados!$AL$49,IF($E$64=6,Dados!$AN$49,IF($E$64=7,Dados!$AP$49,IF($E$64=8,Dados!$AT$49,0)))))))</f>
        <v>0</v>
      </c>
      <c r="FC41" s="316">
        <f>IF($E$65=2,Dados!$AE$49,IF($E$65=3,Dados!$AG$49,IF($E$65=4,Dados!$AI$49,IF($E$65=5,Dados!$AK$49,IF($E$65=6,Dados!$AM$49,IF($E$65=7,Dados!$AO$49,IF($E$65=8,Dados!$AS$49,0)))))))</f>
        <v>0</v>
      </c>
      <c r="FD41" s="304">
        <f>IF($E$65=2,Dados!$AF$49,IF($E$65=3,Dados!$AH$49,IF($E$65=4,Dados!$AJ$49,IF($E$65=5,Dados!$AL$49,IF($E$65=6,Dados!$AN$49,IF($E$65=7,Dados!$AP$49,IF($E$65=8,Dados!$AT$49,0)))))))</f>
        <v>0</v>
      </c>
      <c r="FF41" s="316">
        <f>IF($E$70=2,Dados!$AE$49,IF($E$70=3,Dados!$AG$49,IF($E$70=4,Dados!$AI$49,IF($E$70=5,Dados!$AK$49,IF($E$70=6,Dados!$AM$49,IF($E$70=7,Dados!$AO$49,IF($E$70=8,Dados!$AS$49,0)))))))</f>
        <v>0</v>
      </c>
      <c r="FG41" s="304">
        <f>IF($E$70=2,Dados!$AF$49,IF($E$70=3,Dados!$AH$49,IF($E$70=4,Dados!$AJ$49,IF($E$70=5,Dados!$AL$49,IF($E$70=6,Dados!$AN$49,IF($E$70=7,Dados!$AP$49,IF($E$70=8,Dados!$AT$49,0)))))))</f>
        <v>0</v>
      </c>
      <c r="FH41" s="316">
        <f>IF($E$71=2,Dados!$AE$49,IF($E$71=3,Dados!$AG$49,IF($E$71=4,Dados!$AI$49,IF($E$71=5,Dados!$AK$49,IF($E$71=6,Dados!$AM$49,IF($E$71=7,Dados!$AO$49,IF($E$71=8,Dados!$AS$49,0)))))))</f>
        <v>0</v>
      </c>
      <c r="FI41" s="304">
        <f>IF($E$71=2,Dados!$AF$49,IF($E$71=3,Dados!$AH$49,IF($E$71=4,Dados!$AJ$49,IF($E$71=5,Dados!$AL$49,IF($E$71=6,Dados!$AN$49,IF($E$71=7,Dados!$AP$49,IF($E$71=8,Dados!$AT$49,0)))))))</f>
        <v>0</v>
      </c>
      <c r="FJ41" s="316">
        <f>IF($E$72=2,Dados!$AE$49,IF($E$72=3,Dados!$AG$49,IF($E$72=4,Dados!$AI$49,IF($E$72=5,Dados!$AK$49,IF($E$72=6,Dados!$AM$49,IF($E$72=7,Dados!$AO$49,IF($E$72=8,Dados!$AS$49,0)))))))</f>
        <v>0</v>
      </c>
      <c r="FK41" s="304">
        <f>IF($E$72=2,Dados!$AF$49,IF($E$72=3,Dados!$AH$49,IF($E$72=4,Dados!$AJ$49,IF($E$72=5,Dados!$AL$49,IF($E$72=6,Dados!$AN$49,IF($E$72=7,Dados!$AP$49,IF($E$72=8,Dados!$AT$49,0)))))))</f>
        <v>0</v>
      </c>
      <c r="FL41" s="316">
        <f>IF($E$73=2,Dados!$AE$49,IF($E$73=3,Dados!$AG$49,IF($E$73=4,Dados!$AI$49,IF($E$73=5,Dados!$AK$49,IF($E$73=6,Dados!$AM$49,IF($E$73=7,Dados!$AO$49,IF($E$73=8,Dados!$AS$49,0)))))))</f>
        <v>0</v>
      </c>
      <c r="FM41" s="304">
        <f>IF($E$73=2,Dados!$AF$49,IF($E$73=3,Dados!$AH$49,IF($E$73=4,Dados!$AJ$49,IF($E$73=5,Dados!$AL$49,IF($E$73=6,Dados!$AN$49,IF($E$73=7,Dados!$AP$49,IF($E$73=8,Dados!$AT$49,0)))))))</f>
        <v>0</v>
      </c>
      <c r="FN41" s="316">
        <f>IF($E$74=2,Dados!$AE$49,IF($E$74=3,Dados!$AG$49,IF($E$74=4,Dados!$AI$49,IF($E$74=5,Dados!$AK$49,IF($E$74=6,Dados!$AM$49,IF($E$74=7,Dados!$AO$49,IF($E$74=8,Dados!$AS$49,0)))))))</f>
        <v>0</v>
      </c>
      <c r="FO41" s="304">
        <f>IF($E$74=2,Dados!$AF$49,IF($E$74=3,Dados!$AH$49,IF($E$74=4,Dados!$AJ$49,IF($E$74=5,Dados!$AL$49,IF($E$74=6,Dados!$AN$49,IF($E$74=7,Dados!$AP$49,IF($E$74=8,Dados!$AT$49,0)))))))</f>
        <v>0</v>
      </c>
      <c r="FQ41" s="316">
        <f>IF($E$79=2,Dados!$AE$49,IF($E$79=3,Dados!$AG$49,IF($E$79=4,Dados!$AI$49,IF($E$79=5,Dados!$AK$49,IF($E$79=6,Dados!$AM$49,IF($E$79=7,Dados!$AO$49,IF($E$79=8,Dados!$AS$49,0)))))))</f>
        <v>0</v>
      </c>
      <c r="FR41" s="304">
        <f>IF($E$79=2,Dados!$AF$49,IF($E$79=3,Dados!$AH$49,IF($E$79=4,Dados!$AJ$49,IF($E$79=5,Dados!$AL$49,IF($E$79=6,Dados!$AN$49,IF($E$79=7,Dados!$AP$49,IF($E$79=8,Dados!$AT$49,0)))))))</f>
        <v>0</v>
      </c>
      <c r="FS41" s="316">
        <f>IF($E$80=2,Dados!$AE$49,IF($E$80=3,Dados!$AG$49,IF($E$80=4,Dados!$AI$49,IF($E$80=5,Dados!$AK$49,IF($E$80=6,Dados!$AM$49,IF($E$80=7,Dados!$AO$49,IF($E$80=8,Dados!$AS$49,0)))))))</f>
        <v>0</v>
      </c>
      <c r="FT41" s="304">
        <f>IF($E$80=2,Dados!$AF$49,IF($E$80=3,Dados!$AH$49,IF($E$80=4,Dados!$AJ$49,IF($E$80=5,Dados!$AL$49,IF($E$80=6,Dados!$AN$49,IF($E$80=7,Dados!$AP$49,IF($E$80=8,Dados!$AT$49,0)))))))</f>
        <v>0</v>
      </c>
      <c r="FU41" s="316">
        <f>IF($E$81=2,Dados!$AE$49,IF($E$81=3,Dados!$AG$49,IF($E$81=4,Dados!$AI$49,IF($E$81=5,Dados!$AK$49,IF($E$81=6,Dados!$AM$49,IF($E$81=7,Dados!$AO$49,IF($E$81=8,Dados!$AS$49,0)))))))</f>
        <v>0</v>
      </c>
      <c r="FV41" s="304">
        <f>IF($E$81=2,Dados!$AF$49,IF($E$81=3,Dados!$AH$49,IF($E$81=4,Dados!$AJ$49,IF($E$81=5,Dados!$AL$49,IF($E$81=6,Dados!$AN$49,IF($E$81=7,Dados!$AP$49,IF($E$81=8,Dados!$AT$49,0)))))))</f>
        <v>0</v>
      </c>
      <c r="FW41" s="316">
        <f>IF($E$82=2,Dados!$AE$49,IF($E$82=3,Dados!$AG$49,IF($E$82=4,Dados!$AI$49,IF($E$82=5,Dados!$AK$49,IF($E$82=6,Dados!$AM$49,IF($E$82=7,Dados!$AO$49,IF($E$82=8,Dados!$AS$49,0)))))))</f>
        <v>0</v>
      </c>
      <c r="FX41" s="304">
        <f>IF($E$82=2,Dados!$AF$49,IF($E$82=3,Dados!$AH$49,IF($E$82=4,Dados!$AJ$49,IF($E$82=5,Dados!$AL$49,IF($E$82=6,Dados!$AN$49,IF($E$82=7,Dados!$AP$49,IF($E$82=8,Dados!$AT$49,0)))))))</f>
        <v>0</v>
      </c>
      <c r="FY41" s="316">
        <f>IF($E$83=2,Dados!$AE$49,IF($E$83=3,Dados!$AG$49,IF($E$83=4,Dados!$AI$49,IF($E$83=5,Dados!$AK$49,IF($E$83=6,Dados!$AM$49,IF($E$83=7,Dados!$AO$49,IF($E$83=8,Dados!$AS$49,0)))))))</f>
        <v>0</v>
      </c>
      <c r="FZ41" s="304">
        <f>IF($E$83=2,Dados!$AF$49,IF($E$83=3,Dados!$AH$49,IF($E$83=4,Dados!$AJ$49,IF($E$83=5,Dados!$AL$49,IF($E$83=6,Dados!$AN$49,IF($E$83=7,Dados!$AP$49,IF($E$83=8,Dados!$AT$49,0)))))))</f>
        <v>0</v>
      </c>
      <c r="GB41" s="316">
        <f>IF($E$88=2,Dados!$AE$49,IF($E$88=3,Dados!$AG$49,IF($E$88=4,Dados!$AI$49,IF($E$88=5,Dados!$AK$49,IF($E$88=6,Dados!$AM$49,IF($E$88=7,Dados!$AO$49,IF($E$88=8,Dados!$AS$49,0)))))))</f>
        <v>0</v>
      </c>
      <c r="GC41" s="304">
        <f>IF($E$88=2,Dados!$AF$49,IF($E$88=3,Dados!$AH$49,IF($E$88=4,Dados!$AJ$49,IF($E$88=5,Dados!$AL$49,IF($E$88=6,Dados!$AN$49,IF($E$88=7,Dados!$AP$49,IF($E$88=8,Dados!$AT$49,0)))))))</f>
        <v>0</v>
      </c>
      <c r="GD41" s="316">
        <f>IF($E$89=2,Dados!$AE$49,IF($E$89=3,Dados!$AG$49,IF($E$89=4,Dados!$AI$49,IF($E$89=5,Dados!$AK$49,IF($E$89=6,Dados!$AM$49,IF($E$89=7,Dados!$AO$49,IF($E$89=8,Dados!$AS$49,0)))))))</f>
        <v>0</v>
      </c>
      <c r="GE41" s="304">
        <f>IF($E$89=2,Dados!$AF$49,IF($E$89=3,Dados!$AH$49,IF($E$89=4,Dados!$AJ$49,IF($E$89=5,Dados!$AL$49,IF($E$89=6,Dados!$AN$49,IF($E$89=7,Dados!$AP$49,IF($E$89=8,Dados!$AT$49,0)))))))</f>
        <v>0</v>
      </c>
      <c r="GF41" s="316">
        <f>IF($E$90=2,Dados!$AE$49,IF($E$90=3,Dados!$AG$49,IF($E$90=4,Dados!$AI$49,IF($E$90=5,Dados!$AK$49,IF($E$90=6,Dados!$AM$49,IF($E$90=7,Dados!$AO$49,IF($E$90=8,Dados!$AS$49,0)))))))</f>
        <v>0</v>
      </c>
      <c r="GG41" s="304">
        <f>IF($E$90=2,Dados!$AF$49,IF($E$90=3,Dados!$AH$49,IF($E$90=4,Dados!$AJ$49,IF($E$90=5,Dados!$AL$49,IF($E$90=6,Dados!$AN$49,IF($E$90=7,Dados!$AP$49,IF($E$90=8,Dados!$AT$49,0)))))))</f>
        <v>0</v>
      </c>
      <c r="GH41" s="316">
        <f>IF($E$91=2,Dados!$AE$49,IF($E$91=3,Dados!$AG$49,IF($E$91=4,Dados!$AI$49,IF($E$91=5,Dados!$AK$49,IF($E$91=6,Dados!$AM$49,IF($E$91=7,Dados!$AO$49,IF($E$91=8,Dados!$AS$49,0)))))))</f>
        <v>0</v>
      </c>
      <c r="GI41" s="304">
        <f>IF($E$91=2,Dados!$AF$49,IF($E$91=3,Dados!$AH$49,IF($E$91=4,Dados!$AJ$49,IF($E$91=5,Dados!$AL$49,IF($E$91=6,Dados!$AN$49,IF($E$91=7,Dados!$AP$49,IF($E$91=8,Dados!$AT$49,0)))))))</f>
        <v>0</v>
      </c>
      <c r="GJ41" s="316">
        <f>IF($E$92=2,Dados!$AE$49,IF($E$92=3,Dados!$AG$49,IF($E$92=4,Dados!$AI$49,IF($E$92=5,Dados!$AK$49,IF($E$92=6,Dados!$AM$49,IF($E$92=7,Dados!$AO$49,IF($E$92=8,Dados!$AS$49,0)))))))</f>
        <v>0</v>
      </c>
      <c r="GK41" s="304">
        <f>IF($E$92=2,Dados!$AF$49,IF($E$92=3,Dados!$AH$49,IF($E$92=4,Dados!$AJ$49,IF($E$92=5,Dados!$AL$49,IF($E$92=6,Dados!$AN$49,IF($E$92=7,Dados!$AP$49,IF($E$92=8,Dados!$AT$49,0)))))))</f>
        <v>0</v>
      </c>
      <c r="GM41" s="316">
        <f>IF($E$97=2,Dados!$AE$49,IF($E$97=3,Dados!$AG$49,IF($E$97=4,Dados!$AI$49,IF($E$97=5,Dados!$AK$49,IF($E$97=6,Dados!$AM$49,IF($E$97=7,Dados!$AO$49,IF($E$97=8,Dados!$AS$49,0)))))))</f>
        <v>0</v>
      </c>
      <c r="GN41" s="304">
        <f>IF($E$97=2,Dados!$AF$49,IF($E$97=3,Dados!$AH$49,IF($E$97=4,Dados!$AJ$49,IF($E$97=5,Dados!$AL$49,IF($E$97=6,Dados!$AN$49,IF($E$97=7,Dados!$AP$49,IF($E$97=8,Dados!$AT$49,0)))))))</f>
        <v>0</v>
      </c>
      <c r="GO41" s="316">
        <f>IF($E$98=2,Dados!$AE$49,IF($E$98=3,Dados!$AG$49,IF($E$98=4,Dados!$AI$49,IF($E$98=5,Dados!$AK$49,IF($E$98=6,Dados!$AM$49,IF($E$98=7,Dados!$AO$49,IF($E$98=8,Dados!$AS$49,0)))))))</f>
        <v>0</v>
      </c>
      <c r="GP41" s="304">
        <f>IF($E$98=2,Dados!$AF$49,IF($E$98=3,Dados!$AH$49,IF($E$98=4,Dados!$AJ$49,IF($E$98=5,Dados!$AL$49,IF($E$98=6,Dados!$AN$49,IF($E$98=7,Dados!$AP$49,IF($E$98=8,Dados!$AT$49,0)))))))</f>
        <v>0</v>
      </c>
      <c r="GQ41" s="316">
        <f>IF($E$99=2,Dados!$AE$49,IF($E$99=3,Dados!$AG$49,IF($E$99=4,Dados!$AI$49,IF($E$99=5,Dados!$AK$49,IF($E$99=6,Dados!$AM$49,IF($E$99=7,Dados!$AO$49,IF($E$99=8,Dados!$AS$49,0)))))))</f>
        <v>0</v>
      </c>
      <c r="GR41" s="304">
        <f>IF($E$99=2,Dados!$AF$49,IF($E$99=3,Dados!$AH$49,IF($E$99=4,Dados!$AJ$49,IF($E$99=5,Dados!$AL$49,IF($E$99=6,Dados!$AN$49,IF($E$99=7,Dados!$AP$49,IF($E$99=8,Dados!$AT$49,0)))))))</f>
        <v>0</v>
      </c>
      <c r="GS41" s="316">
        <f>IF($E$100=2,Dados!$AE$49,IF($E$100=3,Dados!$AG$49,IF($E$100=4,Dados!$AI$49,IF($E$100=5,Dados!$AK$49,IF($E$100=6,Dados!$AM$49,IF($E$100=7,Dados!$AO$49,IF($E$100=8,Dados!$AS$49,0)))))))</f>
        <v>0</v>
      </c>
      <c r="GT41" s="304">
        <f>IF($E$100=2,Dados!$AF$49,IF($E$100=3,Dados!$AH$49,IF($E$100=4,Dados!$AJ$49,IF($E$100=5,Dados!$AL$49,IF($E$100=6,Dados!$AN$49,IF($E$100=7,Dados!$AP$49,IF($E$100=8,Dados!$AT$49,0)))))))</f>
        <v>0</v>
      </c>
      <c r="GU41" s="316">
        <f>IF($E$101=2,Dados!$AE$49,IF($E$101=3,Dados!$AG$49,IF($E$101=4,Dados!$AI$49,IF($E$101=5,Dados!$AK$49,IF($E$101=6,Dados!$AM$49,IF($E$101=7,Dados!$AO$49,IF($E$101=8,Dados!$AS$49,0)))))))</f>
        <v>0</v>
      </c>
      <c r="GV41" s="304">
        <f>IF($E$101=2,Dados!$AF$49,IF($E$101=3,Dados!$AH$49,IF($E$101=4,Dados!$AJ$49,IF($E$101=5,Dados!$AL$49,IF($E$101=6,Dados!$AN$49,IF($E$101=7,Dados!$AP$49,IF($E$101=8,Dados!$AT$49,0)))))))</f>
        <v>0</v>
      </c>
      <c r="GX41" s="316">
        <f>IF($E$106=2,Dados!$AE$49,IF($E$106=3,Dados!$AG$49,IF($E$106=4,Dados!$AI$49,IF($E$106=5,Dados!$AK$49,IF($E$106=6,Dados!$AM$49,IF($E$106=7,Dados!$AO$49,IF($E$106=8,Dados!$AS$49,0)))))))</f>
        <v>0</v>
      </c>
      <c r="GY41" s="304">
        <f>IF($E$106=2,Dados!$AF$49,IF($E$106=3,Dados!$AH$49,IF($E$106=4,Dados!$AJ$49,IF($E$106=5,Dados!$AL$49,IF($E$106=6,Dados!$AN$49,IF($E$106=7,Dados!$AP$49,IF($E$106=8,Dados!$AT$49,0)))))))</f>
        <v>0</v>
      </c>
      <c r="GZ41" s="316">
        <f>IF($E$107=2,Dados!$AE$49,IF($E$107=3,Dados!$AG$49,IF($E$107=4,Dados!$AI$49,IF($E$107=5,Dados!$AK$49,IF($E$107=6,Dados!$AM$49,IF($E$107=7,Dados!$AO$49,IF($E$107=8,Dados!$AS$49,0)))))))</f>
        <v>0</v>
      </c>
      <c r="HA41" s="304">
        <f>IF($E$107=2,Dados!$AF$49,IF($E$107=3,Dados!$AH$49,IF($E$107=4,Dados!$AJ$49,IF($E$107=5,Dados!$AL$49,IF($E$107=6,Dados!$AN$49,IF($E$107=7,Dados!$AP$49,IF($E$107=8,Dados!$AT$49,0)))))))</f>
        <v>0</v>
      </c>
      <c r="HB41" s="316">
        <f>IF($E$108=2,Dados!$AE$49,IF($E$108=3,Dados!$AG$49,IF($E$108=4,Dados!$AI$49,IF($E$108=5,Dados!$AK$49,IF($E$108=6,Dados!$AM$49,IF($E$108=7,Dados!$AO$49,IF($E$108=8,Dados!$AS$49,0)))))))</f>
        <v>0</v>
      </c>
      <c r="HC41" s="304">
        <f>IF($E$108=2,Dados!$AF$49,IF($E$108=3,Dados!$AH$49,IF($E$108=4,Dados!$AJ$49,IF($E$108=5,Dados!$AL$49,IF($E$108=6,Dados!$AN$49,IF($E$108=7,Dados!$AP$49,IF($E$108=8,Dados!$AT$49,0)))))))</f>
        <v>0</v>
      </c>
      <c r="HD41" s="316">
        <f>IF($E$109=2,Dados!$AE$49,IF($E$109=3,Dados!$AG$49,IF($E$109=4,Dados!$AI$49,IF($E$109=5,Dados!$AK$49,IF($E$109=6,Dados!$AM$49,IF($E$109=7,Dados!$AO$49,IF($E$109=8,Dados!$AS$49,0)))))))</f>
        <v>0</v>
      </c>
      <c r="HE41" s="304">
        <f>IF($E$109=2,Dados!$AF$49,IF($E$109=3,Dados!$AH$49,IF($E$109=4,Dados!$AJ$49,IF($E$109=5,Dados!$AL$49,IF($E$109=6,Dados!$AN$49,IF($E$109=7,Dados!$AP$49,IF($E$109=8,Dados!$AT$49,0)))))))</f>
        <v>0</v>
      </c>
      <c r="HF41" s="316">
        <f>IF($E$110=2,Dados!$AE$49,IF($E$110=3,Dados!$AG$49,IF($E$110=4,Dados!$AI$49,IF($E$110=5,Dados!$AK$49,IF($E$110=6,Dados!$AM$49,IF($E$110=7,Dados!$AO$49,IF($E$110=8,Dados!$AS$49,0)))))))</f>
        <v>0</v>
      </c>
      <c r="HG41" s="304">
        <f>IF($E$110=2,Dados!$AF$49,IF($E$110=3,Dados!$AH$49,IF($E$110=4,Dados!$AJ$49,IF($E$110=5,Dados!$AL$49,IF($E$110=6,Dados!$AN$49,IF($E$110=7,Dados!$AP$49,IF($E$110=8,Dados!$AT$49,0)))))))</f>
        <v>0</v>
      </c>
    </row>
    <row r="42" spans="3:215" x14ac:dyDescent="0.2">
      <c r="D42" s="99" t="s">
        <v>510</v>
      </c>
      <c r="E42" s="116" t="s">
        <v>39</v>
      </c>
      <c r="F42" s="2630" t="s">
        <v>79</v>
      </c>
      <c r="G42" s="2631"/>
      <c r="H42" s="117" t="s">
        <v>637</v>
      </c>
      <c r="I42" s="99" t="s">
        <v>42</v>
      </c>
      <c r="J42" s="117" t="s">
        <v>431</v>
      </c>
      <c r="K42" s="117" t="s">
        <v>432</v>
      </c>
      <c r="L42" s="117" t="s">
        <v>518</v>
      </c>
      <c r="M42" s="117" t="s">
        <v>433</v>
      </c>
      <c r="N42" s="99" t="s">
        <v>426</v>
      </c>
      <c r="O42" s="98" t="s">
        <v>417</v>
      </c>
      <c r="P42" s="99" t="s">
        <v>418</v>
      </c>
      <c r="Q42" s="99" t="s">
        <v>434</v>
      </c>
      <c r="R42" s="99" t="s">
        <v>301</v>
      </c>
      <c r="S42" s="99" t="s">
        <v>436</v>
      </c>
      <c r="T42" s="98" t="s">
        <v>411</v>
      </c>
      <c r="U42" s="99" t="s">
        <v>412</v>
      </c>
      <c r="V42" s="99" t="s">
        <v>435</v>
      </c>
      <c r="W42" s="99" t="s">
        <v>437</v>
      </c>
      <c r="X42" s="99" t="s">
        <v>292</v>
      </c>
      <c r="Y42" s="99" t="s">
        <v>80</v>
      </c>
      <c r="Z42" s="99" t="s">
        <v>1247</v>
      </c>
      <c r="AX42" s="287">
        <v>1</v>
      </c>
      <c r="AY42" s="287">
        <v>2</v>
      </c>
      <c r="AZ42" s="287">
        <v>3</v>
      </c>
      <c r="BA42" s="287">
        <v>4</v>
      </c>
      <c r="BB42" s="287">
        <v>5</v>
      </c>
      <c r="BC42" s="288" t="s">
        <v>2</v>
      </c>
      <c r="CF42" s="93">
        <v>37</v>
      </c>
      <c r="CG42" s="316">
        <f>IF($E$7=2,Dados!$AE$50,IF($E$7=3,Dados!$AG$50,IF($E$7=4,Dados!$AI$50,IF($E$7=5,Dados!$AK$50,IF($E$7=6,Dados!$AM$50,IF($E$7=7,Dados!$AO$50,IF($E$7=8,Dados!$AS$50,0)))))))</f>
        <v>0</v>
      </c>
      <c r="CH42" s="304">
        <f>IF($E$7=2,Dados!$AF$50,IF($E$7=3,Dados!$AH$50,IF($E$7=4,Dados!$AJ$50,IF($E$7=5,Dados!$AL$50,IF($E$7=6,Dados!$AN$50,IF($E$7=7,Dados!$AP$50,IF($E$7=8,Dados!$AT$50,0)))))))</f>
        <v>0</v>
      </c>
      <c r="CI42" s="316">
        <f>IF($E$8=2,Dados!$AE$50,IF($E$8=3,Dados!$AG$50,IF($E$8=4,Dados!$AI$50,IF($E$8=5,Dados!$AK$50,IF($E$8=6,Dados!$AM$50,IF($E$8=7,Dados!$AO$50,IF($E$8=8,Dados!$AS$50,0)))))))</f>
        <v>0</v>
      </c>
      <c r="CJ42" s="304">
        <f>IF($E$8=2,Dados!$AF$50,IF($E$8=3,Dados!$AH$50,IF($E$8=4,Dados!$AJ$50,IF($E$8=5,Dados!$AL$50,IF($E$8=6,Dados!$AN$50,IF($E$8=7,Dados!$AP$50,IF($E$8=8,Dados!$AT$50,0)))))))</f>
        <v>0</v>
      </c>
      <c r="CK42" s="316">
        <f>IF($E$9=2,Dados!$AE$50,IF($E$9=3,Dados!$AG$50,IF($E$9=4,Dados!$AI$50,IF($E$9=5,Dados!$AK$50,IF($E$9=6,Dados!$AM$50,IF($E$9=7,Dados!$AO$50,IF($E$9=8,Dados!$AS$50,0)))))))</f>
        <v>0</v>
      </c>
      <c r="CL42" s="304">
        <f>IF($E$9=2,Dados!$AF$50,IF($E$9=3,Dados!$AH$50,IF($E$9=4,Dados!$AJ$50,IF($E$9=5,Dados!$AL$50,IF($E$9=6,Dados!$AN$50,IF($E$9=7,Dados!$AP$50,IF($E$9=8,Dados!$AT$50,0)))))))</f>
        <v>0</v>
      </c>
      <c r="CM42" s="316">
        <f>IF($E$10=2,Dados!$AE$50,IF($E$10=3,Dados!$AG$50,IF($E$10=4,Dados!$AI$50,IF($E$10=5,Dados!$AK$50,IF($E$10=6,Dados!$AM$50,IF($E$10=7,Dados!$AO$50,IF($E$10=8,Dados!$AS$50,0)))))))</f>
        <v>0</v>
      </c>
      <c r="CN42" s="304">
        <f>IF($E$10=2,Dados!$AF$50,IF($E$10=3,Dados!$AH$50,IF($E$10=4,Dados!$AJ$50,IF($E$10=5,Dados!$AL$50,IF($E$10=6,Dados!$AN$50,IF($E$10=7,Dados!$AP$50,IF($E$10=8,Dados!$AT$50,0)))))))</f>
        <v>0</v>
      </c>
      <c r="CO42" s="316">
        <f>IF($E$11=2,Dados!$AE$50,IF($E$11=3,Dados!$AG$50,IF($E$11=4,Dados!$AI$50,IF($E$11=5,Dados!$AK$50,IF($E$11=6,Dados!$AM$50,IF($E$11=7,Dados!$AO$50,IF($E$11=8,Dados!$AS$50,0)))))))</f>
        <v>0</v>
      </c>
      <c r="CP42" s="304">
        <f>IF($E$11=2,Dados!$AF$50,IF($E$11=3,Dados!$AH$50,IF($E$11=4,Dados!$AJ$50,IF($E$11=5,Dados!$AL$50,IF($E$11=6,Dados!$AN$50,IF($E$11=7,Dados!$AP$50,IF($E$11=8,Dados!$AT$50,0)))))))</f>
        <v>0</v>
      </c>
      <c r="CR42" s="316">
        <f>IF($E$16=2,Dados!$AE$50,IF($E$16=3,Dados!$AG$50,IF($E$16=4,Dados!$AI$50,IF($E$16=5,Dados!$AK$50,IF($E$16=6,Dados!$AM$50,IF($E$16=7,Dados!$AO$50,IF($E$16=8,Dados!$AS$50,0)))))))</f>
        <v>0</v>
      </c>
      <c r="CS42" s="304">
        <f>IF($E$16=2,Dados!$AF$50,IF($E$16=3,Dados!$AH$50,IF($E$16=4,Dados!$AJ$50,IF($E$16=5,Dados!$AL$50,IF($E$16=6,Dados!$AN$50,IF($E$16=7,Dados!$AP$50,IF($E$16=8,Dados!$AT$50,0)))))))</f>
        <v>0</v>
      </c>
      <c r="CT42" s="316">
        <f>IF($E$17=2,Dados!$AE$50,IF($E$17=3,Dados!$AG$50,IF($E$17=4,Dados!$AI$50,IF($E$17=5,Dados!$AK$50,IF($E$17=6,Dados!$AM$50,IF($E$17=7,Dados!$AO$50,IF($E$17=8,Dados!$AS$50,0)))))))</f>
        <v>0</v>
      </c>
      <c r="CU42" s="304">
        <f>IF($E$17=2,Dados!$AF$50,IF($E$17=3,Dados!$AH$50,IF($E$17=4,Dados!$AJ$50,IF($E$17=5,Dados!$AL$50,IF($E$17=6,Dados!$AN$50,IF($E$17=7,Dados!$AP$50,IF($E$17=8,Dados!$AT$50,0)))))))</f>
        <v>0</v>
      </c>
      <c r="CV42" s="316">
        <f>IF($E$18=2,Dados!$AE$50,IF($E$18=3,Dados!$AG$50,IF($E$18=4,Dados!$AI$50,IF($E$18=5,Dados!$AK$50,IF($E$18=6,Dados!$AM$50,IF($E$18=7,Dados!$AO$50,IF($E$18=8,Dados!$AS$50,0)))))))</f>
        <v>0</v>
      </c>
      <c r="CW42" s="304">
        <f>IF($E$18=2,Dados!$AF$50,IF($E$18=3,Dados!$AH$50,IF($E$18=4,Dados!$AJ$50,IF($E$18=5,Dados!$AL$50,IF($E$18=6,Dados!$AN$50,IF($E$18=7,Dados!$AP$50,IF($E$18=8,Dados!$AT$50,0)))))))</f>
        <v>0</v>
      </c>
      <c r="CX42" s="316">
        <f>IF($E$19=2,Dados!$AE$50,IF($E$19=3,Dados!$AG$50,IF($E$19=4,Dados!$AI$50,IF($E$19=5,Dados!$AK$50,IF($E$19=6,Dados!$AM$50,IF($E$19=7,Dados!$AO$50,IF($E$19=8,Dados!$AS$50,0)))))))</f>
        <v>0</v>
      </c>
      <c r="CY42" s="304">
        <f>IF($E$19=2,Dados!$AF$50,IF($E$19=3,Dados!$AH$50,IF($E$19=4,Dados!$AJ$50,IF($E$19=5,Dados!$AL$50,IF($E$19=6,Dados!$AN$50,IF($E$19=7,Dados!$AP$50,IF($E$19=8,Dados!$AT$50,0)))))))</f>
        <v>0</v>
      </c>
      <c r="CZ42" s="316">
        <f>IF($E$20=2,Dados!$AE$50,IF($E$20=3,Dados!$AG$50,IF($E$20=4,Dados!$AI$50,IF($E$20=5,Dados!$AK$50,IF($E$20=6,Dados!$AM$50,IF($E$20=7,Dados!$AO$50,IF($E$20=8,Dados!$AS$50,0)))))))</f>
        <v>0</v>
      </c>
      <c r="DA42" s="304">
        <f>IF($E$20=2,Dados!$AF$50,IF($E$20=3,Dados!$AH$50,IF($E$20=4,Dados!$AJ$50,IF($E$20=5,Dados!$AL$50,IF($E$20=6,Dados!$AN$50,IF($E$20=7,Dados!$AP$50,IF($E$20=8,Dados!$AT$50,0)))))))</f>
        <v>0</v>
      </c>
      <c r="DC42" s="316">
        <f>IF($E$25=2,Dados!$AE$50,IF($E$25=3,Dados!$AG$50,IF($E$25=4,Dados!$AI$50,IF($E$25=5,Dados!$AK$50,IF($E$25=6,Dados!$AM$50,IF($E$25=7,Dados!$AO$50,IF($E$25=8,Dados!$AS$50,0)))))))</f>
        <v>0</v>
      </c>
      <c r="DD42" s="304">
        <f>IF($E$25=2,Dados!$AF$50,IF($E$25=3,Dados!$AH$50,IF($E$25=4,Dados!$AJ$50,IF($E$25=5,Dados!$AL$50,IF($E$25=6,Dados!$AN$50,IF($E$25=7,Dados!$AP$50,IF($E$25=8,Dados!$AT$50,0)))))))</f>
        <v>0</v>
      </c>
      <c r="DE42" s="316">
        <f>IF($E$26=2,Dados!$AE$50,IF($E$26=3,Dados!$AG$50,IF($E$26=4,Dados!$AI$50,IF($E$26=5,Dados!$AK$50,IF($E$26=6,Dados!$AM$50,IF($E$26=7,Dados!$AO$50,IF($E$26=8,Dados!$AS$50,0)))))))</f>
        <v>0</v>
      </c>
      <c r="DF42" s="304">
        <f>IF($E$26=2,Dados!$AF$50,IF($E$26=3,Dados!$AH$50,IF($E$26=4,Dados!$AJ$50,IF($E$26=5,Dados!$AL$50,IF($E$26=6,Dados!$AN$50,IF($E$26=7,Dados!$AP$50,IF($E$26=8,Dados!$AT$50,0)))))))</f>
        <v>0</v>
      </c>
      <c r="DG42" s="316">
        <f>IF($E$27=2,Dados!$AE$50,IF($E$27=3,Dados!$AG$50,IF($E$27=4,Dados!$AI$50,IF($E$27=5,Dados!$AK$50,IF($E$27=6,Dados!$AM$50,IF($E$27=7,Dados!$AO$50,IF($E$27=8,Dados!$AS$50,0)))))))</f>
        <v>0</v>
      </c>
      <c r="DH42" s="304">
        <f>IF($E$27=2,Dados!$AF$50,IF($E$27=3,Dados!$AH$50,IF($E$27=4,Dados!$AJ$50,IF($E$27=5,Dados!$AL$50,IF($E$27=6,Dados!$AN$50,IF($E$27=7,Dados!$AP$50,IF($E$27=8,Dados!$AT$50,0)))))))</f>
        <v>0</v>
      </c>
      <c r="DI42" s="316">
        <f>IF($E$28=2,Dados!$AE$50,IF($E$28=3,Dados!$AG$50,IF($E$28=4,Dados!$AI$50,IF($E$28=5,Dados!$AK$50,IF($E$28=6,Dados!$AM$50,IF($E$28=7,Dados!$AO$50,IF($E$28=8,Dados!$AS$50,0)))))))</f>
        <v>0</v>
      </c>
      <c r="DJ42" s="304">
        <f>IF($E$28=2,Dados!$AF$50,IF($E$28=3,Dados!$AH$50,IF($E$28=4,Dados!$AJ$50,IF($E$28=5,Dados!$AL$50,IF($E$28=6,Dados!$AN$50,IF($E$28=7,Dados!$AP$50,IF($E$28=8,Dados!$AT$50,0)))))))</f>
        <v>0</v>
      </c>
      <c r="DK42" s="316">
        <f>IF($E$29=2,Dados!$AE$50,IF($E$29=3,Dados!$AG$50,IF($E$29=4,Dados!$AI$50,IF($E$29=5,Dados!$AK$50,IF($E$29=6,Dados!$AM$50,IF($E$29=7,Dados!$AO$50,IF($E$29=8,Dados!$AS$50,0)))))))</f>
        <v>0</v>
      </c>
      <c r="DL42" s="304">
        <f>IF($E$29=2,Dados!$AF$50,IF($E$29=3,Dados!$AH$50,IF($E$29=4,Dados!$AJ$50,IF($E$29=5,Dados!$AL$50,IF($E$29=6,Dados!$AN$50,IF($E$29=7,Dados!$AP$50,IF($E$29=8,Dados!$AT$50,0)))))))</f>
        <v>0</v>
      </c>
      <c r="DN42" s="316">
        <f>IF($E$34=2,Dados!$AE$50,IF($E$34=3,Dados!$AG$50,IF($E$34=4,Dados!$AI$50,IF($E$34=5,Dados!$AK$50,IF($E$34=6,Dados!$AM$50,IF($E$34=7,Dados!$AO$50,IF($E$34=8,Dados!$AS$50,0)))))))</f>
        <v>0</v>
      </c>
      <c r="DO42" s="304">
        <f>IF($E$34=2,Dados!$AF$50,IF($E$34=3,Dados!$AH$50,IF($E$34=4,Dados!$AJ$50,IF($E$34=5,Dados!$AL$50,IF($E$34=6,Dados!$AN$50,IF($E$34=7,Dados!$AP$50,IF($E$34=8,Dados!$AT$50,0)))))))</f>
        <v>0</v>
      </c>
      <c r="DP42" s="316">
        <f>IF($E$35=2,Dados!$AE$50,IF($E$35=3,Dados!$AG$50,IF($E$35=4,Dados!$AI$50,IF($E$35=5,Dados!$AK$50,IF($E$35=6,Dados!$AM$50,IF($E$35=7,Dados!$AO$50,IF($E$35=8,Dados!$AS$50,0)))))))</f>
        <v>0</v>
      </c>
      <c r="DQ42" s="304">
        <f>IF($E$35=2,Dados!$AF$50,IF($E$35=3,Dados!$AH$50,IF($E$35=4,Dados!$AJ$50,IF($E$35=5,Dados!$AL$50,IF($E$35=6,Dados!$AN$50,IF($E$35=7,Dados!$AP$50,IF($E$35=8,Dados!$AT$50,0)))))))</f>
        <v>0</v>
      </c>
      <c r="DR42" s="316">
        <f>IF($E$36=2,Dados!$AE$50,IF($E$36=3,Dados!$AG$50,IF($E$36=4,Dados!$AI$50,IF($E$36=5,Dados!$AK$50,IF($E$36=6,Dados!$AM$50,IF($E$36=7,Dados!$AO$50,IF($E$36=8,Dados!$AS$50,0)))))))</f>
        <v>0</v>
      </c>
      <c r="DS42" s="304">
        <f>IF($E$36=2,Dados!$AF$50,IF($E$36=3,Dados!$AH$50,IF($E$36=4,Dados!$AJ$50,IF($E$36=5,Dados!$AL$50,IF($E$36=6,Dados!$AN$50,IF($E$36=7,Dados!$AP$50,IF($E$36=8,Dados!$AT$50,0)))))))</f>
        <v>0</v>
      </c>
      <c r="DT42" s="316">
        <f>IF($E$37=2,Dados!$AE$50,IF($E$37=3,Dados!$AG$50,IF($E$37=4,Dados!$AI$50,IF($E$37=5,Dados!$AK$50,IF($E$37=6,Dados!$AM$50,IF($E$37=7,Dados!$AO$50,IF($E$37=8,Dados!$AS$50,0)))))))</f>
        <v>0</v>
      </c>
      <c r="DU42" s="304">
        <f>IF($E$37=2,Dados!$AF$50,IF($E$37=3,Dados!$AH$50,IF($E$37=4,Dados!$AJ$50,IF($E$37=5,Dados!$AL$50,IF($E$37=6,Dados!$AN$50,IF($E$37=7,Dados!$AP$50,IF($E$37=8,Dados!$AT$50,0)))))))</f>
        <v>0</v>
      </c>
      <c r="DV42" s="316">
        <f>IF($E$38=2,Dados!$AE$50,IF($E$38=3,Dados!$AG$50,IF($E$38=4,Dados!$AI$50,IF($E$38=5,Dados!$AK$50,IF($E$38=6,Dados!$AM$50,IF($E$38=7,Dados!$AO$50,IF($E$38=8,Dados!$AS$50,0)))))))</f>
        <v>0</v>
      </c>
      <c r="DW42" s="304">
        <f>IF($E$38=2,Dados!$AF$50,IF($E$38=3,Dados!$AH$50,IF($E$38=4,Dados!$AJ$50,IF($E$38=5,Dados!$AL$50,IF($E$38=6,Dados!$AN$50,IF($E$38=7,Dados!$AP$50,IF($E$38=8,Dados!$AT$50,0)))))))</f>
        <v>0</v>
      </c>
      <c r="DY42" s="316">
        <f>IF($E$43=2,Dados!$AE$50,IF($E$43=3,Dados!$AG$50,IF($E$43=4,Dados!$AI$50,IF($E$43=5,Dados!$AK$50,IF($E$43=6,Dados!$AM$50,IF($E$43=7,Dados!$AO$50,IF($E$43=8,Dados!$AS$50,0)))))))</f>
        <v>0</v>
      </c>
      <c r="DZ42" s="304">
        <f>IF($E$43=2,Dados!$AF$50,IF($E$43=3,Dados!$AH$50,IF($E$43=4,Dados!$AJ$50,IF($E$43=5,Dados!$AL$50,IF($E$43=6,Dados!$AN$50,IF($E$43=7,Dados!$AP$50,IF($E$43=8,Dados!$AT$50,0)))))))</f>
        <v>0</v>
      </c>
      <c r="EA42" s="316">
        <f>IF($E$44=2,Dados!$AE$50,IF($E$44=3,Dados!$AG$50,IF($E$44=4,Dados!$AI$50,IF($E$44=5,Dados!$AK$50,IF($E$44=6,Dados!$AM$50,IF($E$44=7,Dados!$AO$50,IF($E$44=8,Dados!$AS$50,0)))))))</f>
        <v>0</v>
      </c>
      <c r="EB42" s="304">
        <f>IF($E$44=2,Dados!$AF$50,IF($E$44=3,Dados!$AH$50,IF($E$44=4,Dados!$AJ$50,IF($E$44=5,Dados!$AL$50,IF($E$44=6,Dados!$AN$50,IF($E$44=7,Dados!$AP$50,IF($E$44=8,Dados!$AT$50,0)))))))</f>
        <v>0</v>
      </c>
      <c r="EC42" s="316">
        <f>IF($E$45=2,Dados!$AE$50,IF($E$45=3,Dados!$AG$50,IF($E$45=4,Dados!$AI$50,IF($E$45=5,Dados!$AK$50,IF($E$45=6,Dados!$AM$50,IF($E$45=7,Dados!$AO$50,IF($E$45=8,Dados!$AS$50,0)))))))</f>
        <v>0</v>
      </c>
      <c r="ED42" s="304">
        <f>IF($E$45=2,Dados!$AF$50,IF($E$45=3,Dados!$AH$50,IF($E$45=4,Dados!$AJ$50,IF($E$45=5,Dados!$AL$50,IF($E$45=6,Dados!$AN$50,IF($E$45=7,Dados!$AP$50,IF($E$45=8,Dados!$AT$50,0)))))))</f>
        <v>0</v>
      </c>
      <c r="EE42" s="316">
        <f>IF($E$46=2,Dados!$AE$50,IF($E$46=3,Dados!$AG$50,IF($E$46=4,Dados!$AI$50,IF($E$46=5,Dados!$AK$50,IF($E$46=6,Dados!$AM$50,IF($E$46=7,Dados!$AO$50,IF($E$46=8,Dados!$AS$50,0)))))))</f>
        <v>0</v>
      </c>
      <c r="EF42" s="304">
        <f>IF($E$46=2,Dados!$AF$50,IF($E$46=3,Dados!$AH$50,IF($E$46=4,Dados!$AJ$50,IF($E$46=5,Dados!$AL$50,IF($E$46=6,Dados!$AN$50,IF($E$46=7,Dados!$AP$50,IF($E$46=8,Dados!$AT$50,0)))))))</f>
        <v>0</v>
      </c>
      <c r="EG42" s="316">
        <f>IF($E$47=2,Dados!$AE$50,IF($E$47=3,Dados!$AG$50,IF($E$47=4,Dados!$AI$50,IF($E$47=5,Dados!$AK$50,IF($E$47=6,Dados!$AM$50,IF($E$47=7,Dados!$AO$50,IF($E$47=8,Dados!$AS$50,0)))))))</f>
        <v>0</v>
      </c>
      <c r="EH42" s="304">
        <f>IF($E$47=2,Dados!$AF$50,IF($E$47=3,Dados!$AH$50,IF($E$47=4,Dados!$AJ$50,IF($E$47=5,Dados!$AL$50,IF($E$47=6,Dados!$AN$50,IF($E$47=7,Dados!$AP$50,IF($E$47=8,Dados!$AT$50,0)))))))</f>
        <v>0</v>
      </c>
      <c r="EJ42" s="316">
        <f>IF($E$52=2,Dados!$AE$50,IF($E$52=3,Dados!$AG$50,IF($E$52=4,Dados!$AI$50,IF($E$52=5,Dados!$AK$50,IF($E$52=6,Dados!$AM$50,IF($E$52=7,Dados!$AO$50,IF($E$52=8,Dados!$AS$50,0)))))))</f>
        <v>0</v>
      </c>
      <c r="EK42" s="304">
        <f>IF($E$52=2,Dados!$AF$50,IF($E$52=3,Dados!$AH$50,IF($E$52=4,Dados!$AJ$50,IF($E$52=5,Dados!$AL$50,IF($E$52=6,Dados!$AN$50,IF($E$52=7,Dados!$AP$50,IF($E$52=8,Dados!$AT$50,0)))))))</f>
        <v>0</v>
      </c>
      <c r="EL42" s="316">
        <f>IF($E$53=2,Dados!$AE$50,IF($E$53=3,Dados!$AG$50,IF($E$53=4,Dados!$AI$50,IF($E$53=5,Dados!$AK$50,IF($E$53=6,Dados!$AM$50,IF($E$53=7,Dados!$AO$50,IF($E$53=8,Dados!$AS$50,0)))))))</f>
        <v>0</v>
      </c>
      <c r="EM42" s="304">
        <f>IF($E$53=2,Dados!$AF$50,IF($E$53=3,Dados!$AH$50,IF($E$53=4,Dados!$AJ$50,IF($E$53=5,Dados!$AL$50,IF($E$53=6,Dados!$AN$50,IF($E$53=7,Dados!$AP$50,IF($E$53=8,Dados!$AT$50,0)))))))</f>
        <v>0</v>
      </c>
      <c r="EN42" s="316">
        <f>IF($E$54=2,Dados!$AE$50,IF($E$54=3,Dados!$AG$50,IF($E$54=4,Dados!$AI$50,IF($E$54=5,Dados!$AK$50,IF($E$54=6,Dados!$AM$50,IF($E$54=7,Dados!$AO$50,IF($E$54=8,Dados!$AS$50,0)))))))</f>
        <v>0</v>
      </c>
      <c r="EO42" s="304">
        <f>IF($E$54=2,Dados!$AF$50,IF($E$54=3,Dados!$AH$50,IF($E$54=4,Dados!$AJ$50,IF($E$54=5,Dados!$AL$50,IF($E$54=6,Dados!$AN$50,IF($E$54=7,Dados!$AP$50,IF($E$54=8,Dados!$AT$50,0)))))))</f>
        <v>0</v>
      </c>
      <c r="EP42" s="316">
        <f>IF($E$55=2,Dados!$AE$50,IF($E$55=3,Dados!$AG$50,IF($E$55=4,Dados!$AI$50,IF($E$55=5,Dados!$AK$50,IF($E$55=6,Dados!$AM$50,IF($E$55=7,Dados!$AO$50,IF($E$55=8,Dados!$AS$50,0)))))))</f>
        <v>0</v>
      </c>
      <c r="EQ42" s="304">
        <f>IF($E$55=2,Dados!$AF$50,IF($E$55=3,Dados!$AH$50,IF($E$55=4,Dados!$AJ$50,IF($E$55=5,Dados!$AL$50,IF($E$55=6,Dados!$AN$50,IF($E$55=7,Dados!$AP$50,IF($E$55=8,Dados!$AT$50,0)))))))</f>
        <v>0</v>
      </c>
      <c r="ER42" s="316">
        <f>IF($E$56=2,Dados!$AE$50,IF($E$56=3,Dados!$AG$50,IF($E$56=4,Dados!$AI$50,IF($E$56=5,Dados!$AK$50,IF($E$56=6,Dados!$AM$50,IF($E$56=7,Dados!$AO$50,IF($E$56=8,Dados!$AS$50,0)))))))</f>
        <v>0</v>
      </c>
      <c r="ES42" s="304">
        <f>IF($E$56=2,Dados!$AF$50,IF($E$56=3,Dados!$AH$50,IF($E$56=4,Dados!$AJ$50,IF($E$56=5,Dados!$AL$50,IF($E$56=6,Dados!$AN$50,IF($E$56=7,Dados!$AP$50,IF($E$56=8,Dados!$AT$50,0)))))))</f>
        <v>0</v>
      </c>
      <c r="EU42" s="316">
        <f>IF($E$61=2,Dados!$AE$50,IF($E$61=3,Dados!$AG$50,IF($E$61=4,Dados!$AI$50,IF($E$61=5,Dados!$AK$50,IF($E$61=6,Dados!$AM$50,IF($E$61=7,Dados!$AO$50,IF($E$61=8,Dados!$AS$50,0)))))))</f>
        <v>0</v>
      </c>
      <c r="EV42" s="304">
        <f>IF($E$61=2,Dados!$AF$50,IF($E$61=3,Dados!$AH$50,IF($E$61=4,Dados!$AJ$50,IF($E$61=5,Dados!$AL$50,IF($E$61=6,Dados!$AN$50,IF($E$61=7,Dados!$AP$50,IF($E$61=8,Dados!$AT$50,0)))))))</f>
        <v>0</v>
      </c>
      <c r="EW42" s="316">
        <f>IF($E$62=2,Dados!$AE$50,IF($E$62=3,Dados!$AG$50,IF($E$62=4,Dados!$AI$50,IF($E$62=5,Dados!$AK$50,IF($E$62=6,Dados!$AM$50,IF($E$62=7,Dados!$AO$50,IF($E$62=8,Dados!$AS$50,0)))))))</f>
        <v>0</v>
      </c>
      <c r="EX42" s="304">
        <f>IF($E$62=2,Dados!$AF$50,IF($E$62=3,Dados!$AH$50,IF($E$62=4,Dados!$AJ$50,IF($E$62=5,Dados!$AL$50,IF($E$62=6,Dados!$AN$50,IF($E$62=7,Dados!$AP$50,IF($E$62=8,Dados!$AT$50,0)))))))</f>
        <v>0</v>
      </c>
      <c r="EY42" s="316">
        <f>IF($E$63=2,Dados!$AE$50,IF($E$63=3,Dados!$AG$50,IF($E$63=4,Dados!$AI$50,IF($E$63=5,Dados!$AK$50,IF($E$63=6,Dados!$AM$50,IF($E$63=7,Dados!$AO$50,IF($E$63=8,Dados!$AS$50,0)))))))</f>
        <v>0</v>
      </c>
      <c r="EZ42" s="304">
        <f>IF($E$63=2,Dados!$AF$50,IF($E$63=3,Dados!$AH$50,IF($E$63=4,Dados!$AJ$50,IF($E$63=5,Dados!$AL$50,IF($E$63=6,Dados!$AN$50,IF($E$63=7,Dados!$AP$50,IF($E$63=8,Dados!$AT$50,0)))))))</f>
        <v>0</v>
      </c>
      <c r="FA42" s="316">
        <f>IF($E$64=2,Dados!$AE$50,IF($E$64=3,Dados!$AG$50,IF($E$64=4,Dados!$AI$50,IF($E$64=5,Dados!$AK$50,IF($E$64=6,Dados!$AM$50,IF($E$64=7,Dados!$AO$50,IF($E$64=8,Dados!$AS$50,0)))))))</f>
        <v>0</v>
      </c>
      <c r="FB42" s="304">
        <f>IF($E$64=2,Dados!$AF$50,IF($E$64=3,Dados!$AH$50,IF($E$64=4,Dados!$AJ$50,IF($E$64=5,Dados!$AL$50,IF($E$64=6,Dados!$AN$50,IF($E$64=7,Dados!$AP$50,IF($E$64=8,Dados!$AT$50,0)))))))</f>
        <v>0</v>
      </c>
      <c r="FC42" s="316">
        <f>IF($E$65=2,Dados!$AE$50,IF($E$65=3,Dados!$AG$50,IF($E$65=4,Dados!$AI$50,IF($E$65=5,Dados!$AK$50,IF($E$65=6,Dados!$AM$50,IF($E$65=7,Dados!$AO$50,IF($E$65=8,Dados!$AS$50,0)))))))</f>
        <v>0</v>
      </c>
      <c r="FD42" s="304">
        <f>IF($E$65=2,Dados!$AF$50,IF($E$65=3,Dados!$AH$50,IF($E$65=4,Dados!$AJ$50,IF($E$65=5,Dados!$AL$50,IF($E$65=6,Dados!$AN$50,IF($E$65=7,Dados!$AP$50,IF($E$65=8,Dados!$AT$50,0)))))))</f>
        <v>0</v>
      </c>
      <c r="FF42" s="316">
        <f>IF($E$70=2,Dados!$AE$50,IF($E$70=3,Dados!$AG$50,IF($E$70=4,Dados!$AI$50,IF($E$70=5,Dados!$AK$50,IF($E$70=6,Dados!$AM$50,IF($E$70=7,Dados!$AO$50,IF($E$70=8,Dados!$AS$50,0)))))))</f>
        <v>0</v>
      </c>
      <c r="FG42" s="304">
        <f>IF($E$70=2,Dados!$AF$50,IF($E$70=3,Dados!$AH$50,IF($E$70=4,Dados!$AJ$50,IF($E$70=5,Dados!$AL$50,IF($E$70=6,Dados!$AN$50,IF($E$70=7,Dados!$AP$50,IF($E$70=8,Dados!$AT$50,0)))))))</f>
        <v>0</v>
      </c>
      <c r="FH42" s="316">
        <f>IF($E$71=2,Dados!$AE$50,IF($E$71=3,Dados!$AG$50,IF($E$71=4,Dados!$AI$50,IF($E$71=5,Dados!$AK$50,IF($E$71=6,Dados!$AM$50,IF($E$71=7,Dados!$AO$50,IF($E$71=8,Dados!$AS$50,0)))))))</f>
        <v>0</v>
      </c>
      <c r="FI42" s="304">
        <f>IF($E$71=2,Dados!$AF$50,IF($E$71=3,Dados!$AH$50,IF($E$71=4,Dados!$AJ$50,IF($E$71=5,Dados!$AL$50,IF($E$71=6,Dados!$AN$50,IF($E$71=7,Dados!$AP$50,IF($E$71=8,Dados!$AT$50,0)))))))</f>
        <v>0</v>
      </c>
      <c r="FJ42" s="316">
        <f>IF($E$72=2,Dados!$AE$50,IF($E$72=3,Dados!$AG$50,IF($E$72=4,Dados!$AI$50,IF($E$72=5,Dados!$AK$50,IF($E$72=6,Dados!$AM$50,IF($E$72=7,Dados!$AO$50,IF($E$72=8,Dados!$AS$50,0)))))))</f>
        <v>0</v>
      </c>
      <c r="FK42" s="304">
        <f>IF($E$72=2,Dados!$AF$50,IF($E$72=3,Dados!$AH$50,IF($E$72=4,Dados!$AJ$50,IF($E$72=5,Dados!$AL$50,IF($E$72=6,Dados!$AN$50,IF($E$72=7,Dados!$AP$50,IF($E$72=8,Dados!$AT$50,0)))))))</f>
        <v>0</v>
      </c>
      <c r="FL42" s="316">
        <f>IF($E$73=2,Dados!$AE$50,IF($E$73=3,Dados!$AG$50,IF($E$73=4,Dados!$AI$50,IF($E$73=5,Dados!$AK$50,IF($E$73=6,Dados!$AM$50,IF($E$73=7,Dados!$AO$50,IF($E$73=8,Dados!$AS$50,0)))))))</f>
        <v>0</v>
      </c>
      <c r="FM42" s="304">
        <f>IF($E$73=2,Dados!$AF$50,IF($E$73=3,Dados!$AH$50,IF($E$73=4,Dados!$AJ$50,IF($E$73=5,Dados!$AL$50,IF($E$73=6,Dados!$AN$50,IF($E$73=7,Dados!$AP$50,IF($E$73=8,Dados!$AT$50,0)))))))</f>
        <v>0</v>
      </c>
      <c r="FN42" s="316">
        <f>IF($E$74=2,Dados!$AE$50,IF($E$74=3,Dados!$AG$50,IF($E$74=4,Dados!$AI$50,IF($E$74=5,Dados!$AK$50,IF($E$74=6,Dados!$AM$50,IF($E$74=7,Dados!$AO$50,IF($E$74=8,Dados!$AS$50,0)))))))</f>
        <v>0</v>
      </c>
      <c r="FO42" s="304">
        <f>IF($E$74=2,Dados!$AF$50,IF($E$74=3,Dados!$AH$50,IF($E$74=4,Dados!$AJ$50,IF($E$74=5,Dados!$AL$50,IF($E$74=6,Dados!$AN$50,IF($E$74=7,Dados!$AP$50,IF($E$74=8,Dados!$AT$50,0)))))))</f>
        <v>0</v>
      </c>
      <c r="FQ42" s="316">
        <f>IF($E$79=2,Dados!$AE$50,IF($E$79=3,Dados!$AG$50,IF($E$79=4,Dados!$AI$50,IF($E$79=5,Dados!$AK$50,IF($E$79=6,Dados!$AM$50,IF($E$79=7,Dados!$AO$50,IF($E$79=8,Dados!$AS$50,0)))))))</f>
        <v>0</v>
      </c>
      <c r="FR42" s="304">
        <f>IF($E$79=2,Dados!$AF$50,IF($E$79=3,Dados!$AH$50,IF($E$79=4,Dados!$AJ$50,IF($E$79=5,Dados!$AL$50,IF($E$79=6,Dados!$AN$50,IF($E$79=7,Dados!$AP$50,IF($E$79=8,Dados!$AT$50,0)))))))</f>
        <v>0</v>
      </c>
      <c r="FS42" s="316">
        <f>IF($E$80=2,Dados!$AE$50,IF($E$80=3,Dados!$AG$50,IF($E$80=4,Dados!$AI$50,IF($E$80=5,Dados!$AK$50,IF($E$80=6,Dados!$AM$50,IF($E$80=7,Dados!$AO$50,IF($E$80=8,Dados!$AS$50,0)))))))</f>
        <v>0</v>
      </c>
      <c r="FT42" s="304">
        <f>IF($E$80=2,Dados!$AF$50,IF($E$80=3,Dados!$AH$50,IF($E$80=4,Dados!$AJ$50,IF($E$80=5,Dados!$AL$50,IF($E$80=6,Dados!$AN$50,IF($E$80=7,Dados!$AP$50,IF($E$80=8,Dados!$AT$50,0)))))))</f>
        <v>0</v>
      </c>
      <c r="FU42" s="316">
        <f>IF($E$81=2,Dados!$AE$50,IF($E$81=3,Dados!$AG$50,IF($E$81=4,Dados!$AI$50,IF($E$81=5,Dados!$AK$50,IF($E$81=6,Dados!$AM$50,IF($E$81=7,Dados!$AO$50,IF($E$81=8,Dados!$AS$50,0)))))))</f>
        <v>0</v>
      </c>
      <c r="FV42" s="304">
        <f>IF($E$81=2,Dados!$AF$50,IF($E$81=3,Dados!$AH$50,IF($E$81=4,Dados!$AJ$50,IF($E$81=5,Dados!$AL$50,IF($E$81=6,Dados!$AN$50,IF($E$81=7,Dados!$AP$50,IF($E$81=8,Dados!$AT$50,0)))))))</f>
        <v>0</v>
      </c>
      <c r="FW42" s="316">
        <f>IF($E$82=2,Dados!$AE$50,IF($E$82=3,Dados!$AG$50,IF($E$82=4,Dados!$AI$50,IF($E$82=5,Dados!$AK$50,IF($E$82=6,Dados!$AM$50,IF($E$82=7,Dados!$AO$50,IF($E$82=8,Dados!$AS$50,0)))))))</f>
        <v>0</v>
      </c>
      <c r="FX42" s="304">
        <f>IF($E$82=2,Dados!$AF$50,IF($E$82=3,Dados!$AH$50,IF($E$82=4,Dados!$AJ$50,IF($E$82=5,Dados!$AL$50,IF($E$82=6,Dados!$AN$50,IF($E$82=7,Dados!$AP$50,IF($E$82=8,Dados!$AT$50,0)))))))</f>
        <v>0</v>
      </c>
      <c r="FY42" s="316">
        <f>IF($E$83=2,Dados!$AE$50,IF($E$83=3,Dados!$AG$50,IF($E$83=4,Dados!$AI$50,IF($E$83=5,Dados!$AK$50,IF($E$83=6,Dados!$AM$50,IF($E$83=7,Dados!$AO$50,IF($E$83=8,Dados!$AS$50,0)))))))</f>
        <v>0</v>
      </c>
      <c r="FZ42" s="304">
        <f>IF($E$83=2,Dados!$AF$50,IF($E$83=3,Dados!$AH$50,IF($E$83=4,Dados!$AJ$50,IF($E$83=5,Dados!$AL$50,IF($E$83=6,Dados!$AN$50,IF($E$83=7,Dados!$AP$50,IF($E$83=8,Dados!$AT$50,0)))))))</f>
        <v>0</v>
      </c>
      <c r="GB42" s="316">
        <f>IF($E$88=2,Dados!$AE$50,IF($E$88=3,Dados!$AG$50,IF($E$88=4,Dados!$AI$50,IF($E$88=5,Dados!$AK$50,IF($E$88=6,Dados!$AM$50,IF($E$88=7,Dados!$AO$50,IF($E$88=8,Dados!$AS$50,0)))))))</f>
        <v>0</v>
      </c>
      <c r="GC42" s="304">
        <f>IF($E$88=2,Dados!$AF$50,IF($E$88=3,Dados!$AH$50,IF($E$88=4,Dados!$AJ$50,IF($E$88=5,Dados!$AL$50,IF($E$88=6,Dados!$AN$50,IF($E$88=7,Dados!$AP$50,IF($E$88=8,Dados!$AT$50,0)))))))</f>
        <v>0</v>
      </c>
      <c r="GD42" s="316">
        <f>IF($E$89=2,Dados!$AE$50,IF($E$89=3,Dados!$AG$50,IF($E$89=4,Dados!$AI$50,IF($E$89=5,Dados!$AK$50,IF($E$89=6,Dados!$AM$50,IF($E$89=7,Dados!$AO$50,IF($E$89=8,Dados!$AS$50,0)))))))</f>
        <v>0</v>
      </c>
      <c r="GE42" s="304">
        <f>IF($E$89=2,Dados!$AF$50,IF($E$89=3,Dados!$AH$50,IF($E$89=4,Dados!$AJ$50,IF($E$89=5,Dados!$AL$50,IF($E$89=6,Dados!$AN$50,IF($E$89=7,Dados!$AP$50,IF($E$89=8,Dados!$AT$50,0)))))))</f>
        <v>0</v>
      </c>
      <c r="GF42" s="316">
        <f>IF($E$90=2,Dados!$AE$50,IF($E$90=3,Dados!$AG$50,IF($E$90=4,Dados!$AI$50,IF($E$90=5,Dados!$AK$50,IF($E$90=6,Dados!$AM$50,IF($E$90=7,Dados!$AO$50,IF($E$90=8,Dados!$AS$50,0)))))))</f>
        <v>0</v>
      </c>
      <c r="GG42" s="304">
        <f>IF($E$90=2,Dados!$AF$50,IF($E$90=3,Dados!$AH$50,IF($E$90=4,Dados!$AJ$50,IF($E$90=5,Dados!$AL$50,IF($E$90=6,Dados!$AN$50,IF($E$90=7,Dados!$AP$50,IF($E$90=8,Dados!$AT$50,0)))))))</f>
        <v>0</v>
      </c>
      <c r="GH42" s="316">
        <f>IF($E$91=2,Dados!$AE$50,IF($E$91=3,Dados!$AG$50,IF($E$91=4,Dados!$AI$50,IF($E$91=5,Dados!$AK$50,IF($E$91=6,Dados!$AM$50,IF($E$91=7,Dados!$AO$50,IF($E$91=8,Dados!$AS$50,0)))))))</f>
        <v>0</v>
      </c>
      <c r="GI42" s="304">
        <f>IF($E$91=2,Dados!$AF$50,IF($E$91=3,Dados!$AH$50,IF($E$91=4,Dados!$AJ$50,IF($E$91=5,Dados!$AL$50,IF($E$91=6,Dados!$AN$50,IF($E$91=7,Dados!$AP$50,IF($E$91=8,Dados!$AT$50,0)))))))</f>
        <v>0</v>
      </c>
      <c r="GJ42" s="316">
        <f>IF($E$92=2,Dados!$AE$50,IF($E$92=3,Dados!$AG$50,IF($E$92=4,Dados!$AI$50,IF($E$92=5,Dados!$AK$50,IF($E$92=6,Dados!$AM$50,IF($E$92=7,Dados!$AO$50,IF($E$92=8,Dados!$AS$50,0)))))))</f>
        <v>0</v>
      </c>
      <c r="GK42" s="304">
        <f>IF($E$92=2,Dados!$AF$50,IF($E$92=3,Dados!$AH$50,IF($E$92=4,Dados!$AJ$50,IF($E$92=5,Dados!$AL$50,IF($E$92=6,Dados!$AN$50,IF($E$92=7,Dados!$AP$50,IF($E$92=8,Dados!$AT$50,0)))))))</f>
        <v>0</v>
      </c>
      <c r="GM42" s="316">
        <f>IF($E$97=2,Dados!$AE$50,IF($E$97=3,Dados!$AG$50,IF($E$97=4,Dados!$AI$50,IF($E$97=5,Dados!$AK$50,IF($E$97=6,Dados!$AM$50,IF($E$97=7,Dados!$AO$50,IF($E$97=8,Dados!$AS$50,0)))))))</f>
        <v>0</v>
      </c>
      <c r="GN42" s="304">
        <f>IF($E$97=2,Dados!$AF$50,IF($E$97=3,Dados!$AH$50,IF($E$97=4,Dados!$AJ$50,IF($E$97=5,Dados!$AL$50,IF($E$97=6,Dados!$AN$50,IF($E$97=7,Dados!$AP$50,IF($E$97=8,Dados!$AT$50,0)))))))</f>
        <v>0</v>
      </c>
      <c r="GO42" s="316">
        <f>IF($E$98=2,Dados!$AE$50,IF($E$98=3,Dados!$AG$50,IF($E$98=4,Dados!$AI$50,IF($E$98=5,Dados!$AK$50,IF($E$98=6,Dados!$AM$50,IF($E$98=7,Dados!$AO$50,IF($E$98=8,Dados!$AS$50,0)))))))</f>
        <v>0</v>
      </c>
      <c r="GP42" s="304">
        <f>IF($E$98=2,Dados!$AF$50,IF($E$98=3,Dados!$AH$50,IF($E$98=4,Dados!$AJ$50,IF($E$98=5,Dados!$AL$50,IF($E$98=6,Dados!$AN$50,IF($E$98=7,Dados!$AP$50,IF($E$98=8,Dados!$AT$50,0)))))))</f>
        <v>0</v>
      </c>
      <c r="GQ42" s="316">
        <f>IF($E$99=2,Dados!$AE$50,IF($E$99=3,Dados!$AG$50,IF($E$99=4,Dados!$AI$50,IF($E$99=5,Dados!$AK$50,IF($E$99=6,Dados!$AM$50,IF($E$99=7,Dados!$AO$50,IF($E$99=8,Dados!$AS$50,0)))))))</f>
        <v>0</v>
      </c>
      <c r="GR42" s="304">
        <f>IF($E$99=2,Dados!$AF$50,IF($E$99=3,Dados!$AH$50,IF($E$99=4,Dados!$AJ$50,IF($E$99=5,Dados!$AL$50,IF($E$99=6,Dados!$AN$50,IF($E$99=7,Dados!$AP$50,IF($E$99=8,Dados!$AT$50,0)))))))</f>
        <v>0</v>
      </c>
      <c r="GS42" s="316">
        <f>IF($E$100=2,Dados!$AE$50,IF($E$100=3,Dados!$AG$50,IF($E$100=4,Dados!$AI$50,IF($E$100=5,Dados!$AK$50,IF($E$100=6,Dados!$AM$50,IF($E$100=7,Dados!$AO$50,IF($E$100=8,Dados!$AS$50,0)))))))</f>
        <v>0</v>
      </c>
      <c r="GT42" s="304">
        <f>IF($E$100=2,Dados!$AF$50,IF($E$100=3,Dados!$AH$50,IF($E$100=4,Dados!$AJ$50,IF($E$100=5,Dados!$AL$50,IF($E$100=6,Dados!$AN$50,IF($E$100=7,Dados!$AP$50,IF($E$100=8,Dados!$AT$50,0)))))))</f>
        <v>0</v>
      </c>
      <c r="GU42" s="316">
        <f>IF($E$101=2,Dados!$AE$50,IF($E$101=3,Dados!$AG$50,IF($E$101=4,Dados!$AI$50,IF($E$101=5,Dados!$AK$50,IF($E$101=6,Dados!$AM$50,IF($E$101=7,Dados!$AO$50,IF($E$101=8,Dados!$AS$50,0)))))))</f>
        <v>0</v>
      </c>
      <c r="GV42" s="304">
        <f>IF($E$101=2,Dados!$AF$50,IF($E$101=3,Dados!$AH$50,IF($E$101=4,Dados!$AJ$50,IF($E$101=5,Dados!$AL$50,IF($E$101=6,Dados!$AN$50,IF($E$101=7,Dados!$AP$50,IF($E$101=8,Dados!$AT$50,0)))))))</f>
        <v>0</v>
      </c>
      <c r="GX42" s="316">
        <f>IF($E$106=2,Dados!$AE$50,IF($E$106=3,Dados!$AG$50,IF($E$106=4,Dados!$AI$50,IF($E$106=5,Dados!$AK$50,IF($E$106=6,Dados!$AM$50,IF($E$106=7,Dados!$AO$50,IF($E$106=8,Dados!$AS$50,0)))))))</f>
        <v>0</v>
      </c>
      <c r="GY42" s="304">
        <f>IF($E$106=2,Dados!$AF$50,IF($E$106=3,Dados!$AH$50,IF($E$106=4,Dados!$AJ$50,IF($E$106=5,Dados!$AL$50,IF($E$106=6,Dados!$AN$50,IF($E$106=7,Dados!$AP$50,IF($E$106=8,Dados!$AT$50,0)))))))</f>
        <v>0</v>
      </c>
      <c r="GZ42" s="316">
        <f>IF($E$107=2,Dados!$AE$50,IF($E$107=3,Dados!$AG$50,IF($E$107=4,Dados!$AI$50,IF($E$107=5,Dados!$AK$50,IF($E$107=6,Dados!$AM$50,IF($E$107=7,Dados!$AO$50,IF($E$107=8,Dados!$AS$50,0)))))))</f>
        <v>0</v>
      </c>
      <c r="HA42" s="304">
        <f>IF($E$107=2,Dados!$AF$50,IF($E$107=3,Dados!$AH$50,IF($E$107=4,Dados!$AJ$50,IF($E$107=5,Dados!$AL$50,IF($E$107=6,Dados!$AN$50,IF($E$107=7,Dados!$AP$50,IF($E$107=8,Dados!$AT$50,0)))))))</f>
        <v>0</v>
      </c>
      <c r="HB42" s="316">
        <f>IF($E$108=2,Dados!$AE$50,IF($E$108=3,Dados!$AG$50,IF($E$108=4,Dados!$AI$50,IF($E$108=5,Dados!$AK$50,IF($E$108=6,Dados!$AM$50,IF($E$108=7,Dados!$AO$50,IF($E$108=8,Dados!$AS$50,0)))))))</f>
        <v>0</v>
      </c>
      <c r="HC42" s="304">
        <f>IF($E$108=2,Dados!$AF$50,IF($E$108=3,Dados!$AH$50,IF($E$108=4,Dados!$AJ$50,IF($E$108=5,Dados!$AL$50,IF($E$108=6,Dados!$AN$50,IF($E$108=7,Dados!$AP$50,IF($E$108=8,Dados!$AT$50,0)))))))</f>
        <v>0</v>
      </c>
      <c r="HD42" s="316">
        <f>IF($E$109=2,Dados!$AE$50,IF($E$109=3,Dados!$AG$50,IF($E$109=4,Dados!$AI$50,IF($E$109=5,Dados!$AK$50,IF($E$109=6,Dados!$AM$50,IF($E$109=7,Dados!$AO$50,IF($E$109=8,Dados!$AS$50,0)))))))</f>
        <v>0</v>
      </c>
      <c r="HE42" s="304">
        <f>IF($E$109=2,Dados!$AF$50,IF($E$109=3,Dados!$AH$50,IF($E$109=4,Dados!$AJ$50,IF($E$109=5,Dados!$AL$50,IF($E$109=6,Dados!$AN$50,IF($E$109=7,Dados!$AP$50,IF($E$109=8,Dados!$AT$50,0)))))))</f>
        <v>0</v>
      </c>
      <c r="HF42" s="316">
        <f>IF($E$110=2,Dados!$AE$50,IF($E$110=3,Dados!$AG$50,IF($E$110=4,Dados!$AI$50,IF($E$110=5,Dados!$AK$50,IF($E$110=6,Dados!$AM$50,IF($E$110=7,Dados!$AO$50,IF($E$110=8,Dados!$AS$50,0)))))))</f>
        <v>0</v>
      </c>
      <c r="HG42" s="304">
        <f>IF($E$110=2,Dados!$AF$50,IF($E$110=3,Dados!$AH$50,IF($E$110=4,Dados!$AJ$50,IF($E$110=5,Dados!$AL$50,IF($E$110=6,Dados!$AN$50,IF($E$110=7,Dados!$AP$50,IF($E$110=8,Dados!$AT$50,0)))))))</f>
        <v>0</v>
      </c>
    </row>
    <row r="43" spans="3:215" ht="15.75" customHeight="1" x14ac:dyDescent="0.2">
      <c r="C43" s="156">
        <f>IF(R43=1,0,S43)</f>
        <v>0</v>
      </c>
      <c r="D43" s="2727"/>
      <c r="E43" s="179">
        <v>1</v>
      </c>
      <c r="F43" s="2719">
        <v>1</v>
      </c>
      <c r="G43" s="2633"/>
      <c r="H43" s="283"/>
      <c r="I43" s="229"/>
      <c r="J43" s="314"/>
      <c r="K43" s="157"/>
      <c r="L43" s="305"/>
      <c r="M43" s="127">
        <f>IF(I43=1,K43,IF(I43=2,K43/J43,IF(I43=3,K43*L43,0)))</f>
        <v>0</v>
      </c>
      <c r="N43" s="3">
        <v>1</v>
      </c>
      <c r="O43" s="30">
        <v>1</v>
      </c>
      <c r="P43" s="837">
        <f>IF(N43=1,0,VLOOKUP(N43,Rebanho!$AN$45:$AV$72,4)*O43)</f>
        <v>0</v>
      </c>
      <c r="Q43" s="838">
        <f>VLOOKUP(N43,Rebanho!$AN$45:$AV$72,7)*O43</f>
        <v>0</v>
      </c>
      <c r="R43" s="93">
        <v>1</v>
      </c>
      <c r="S43" s="29"/>
      <c r="T43" s="102">
        <f>VLOOKUP(R43,'Mão-de-obra'!$CJ$10:$CL$29,3)</f>
        <v>0</v>
      </c>
      <c r="U43" s="102">
        <f>T43*S43</f>
        <v>0</v>
      </c>
      <c r="V43" s="127">
        <f>IF(I43=1,M43*P43,IF(I43=2,M43*Q43*L43,IF(I43=3,M43,0)))</f>
        <v>0</v>
      </c>
      <c r="W43" s="129">
        <f>U43+V43</f>
        <v>0</v>
      </c>
      <c r="X43" s="93">
        <v>1</v>
      </c>
      <c r="Y43" s="93">
        <v>1</v>
      </c>
      <c r="Z43" s="127">
        <f>IF(P43=0,0,((W43/P43+U43/P43)*O43))</f>
        <v>0</v>
      </c>
      <c r="AW43" s="3" t="s">
        <v>302</v>
      </c>
      <c r="AX43" s="94">
        <f>IF($E43=2,$V43,0)</f>
        <v>0</v>
      </c>
      <c r="AY43" s="94">
        <f>IF($E44=2,$V44,0)</f>
        <v>0</v>
      </c>
      <c r="AZ43" s="94">
        <f>IF($E45=2,$V45,0)</f>
        <v>0</v>
      </c>
      <c r="BA43" s="94">
        <f>IF($E46=2,$V46,0)</f>
        <v>0</v>
      </c>
      <c r="BB43" s="94">
        <f>IF($E47=2,$V47,0)</f>
        <v>0</v>
      </c>
      <c r="BC43" s="200">
        <f t="shared" ref="BC43:BC48" si="11">SUM(AX43:BB43)</f>
        <v>0</v>
      </c>
      <c r="CF43" s="93">
        <v>38</v>
      </c>
      <c r="CG43" s="316">
        <f>IF($E$7=2,Dados!$AE$51,IF($E$7=3,Dados!$AG$51,IF($E$7=4,Dados!$AI$51,IF($E$7=5,Dados!$AK$51,IF($E$7=6,Dados!$AM$51,IF($E$7=7,Dados!$AO$51,IF($E$7=8,Dados!$AS$51,0)))))))</f>
        <v>0</v>
      </c>
      <c r="CH43" s="304">
        <f>IF($E$7=2,Dados!$AF$51,IF($E$7=3,Dados!$AH$51,IF($E$7=4,Dados!$AJ$51,IF($E$7=5,Dados!$AL$51,IF($E$7=6,Dados!$AN$51,IF($E$7=7,Dados!$AP$51,IF($E$7=8,Dados!$AT$51,0)))))))</f>
        <v>0</v>
      </c>
      <c r="CI43" s="316">
        <f>IF($E$8=2,Dados!$AE$51,IF($E$8=3,Dados!$AG$51,IF($E$8=4,Dados!$AI$51,IF($E$8=5,Dados!$AK$51,IF($E$8=6,Dados!$AM$51,IF($E$8=7,Dados!$AO$51,IF($E$8=8,Dados!$AS$51,0)))))))</f>
        <v>0</v>
      </c>
      <c r="CJ43" s="304">
        <f>IF($E$8=2,Dados!$AF$51,IF($E$8=3,Dados!$AH$51,IF($E$8=4,Dados!$AJ$51,IF($E$8=5,Dados!$AL$51,IF($E$8=6,Dados!$AN$51,IF($E$8=7,Dados!$AP$51,IF($E$8=8,Dados!$AT$51,0)))))))</f>
        <v>0</v>
      </c>
      <c r="CK43" s="316">
        <f>IF($E$9=2,Dados!$AE$51,IF($E$9=3,Dados!$AG$51,IF($E$9=4,Dados!$AI$51,IF($E$9=5,Dados!$AK$51,IF($E$9=6,Dados!$AM$51,IF($E$9=7,Dados!$AO$51,IF($E$9=8,Dados!$AS$51,0)))))))</f>
        <v>0</v>
      </c>
      <c r="CL43" s="304">
        <f>IF($E$9=2,Dados!$AF$51,IF($E$9=3,Dados!$AH$51,IF($E$9=4,Dados!$AJ$51,IF($E$9=5,Dados!$AL$51,IF($E$9=6,Dados!$AN$51,IF($E$9=7,Dados!$AP$51,IF($E$9=8,Dados!$AT$51,0)))))))</f>
        <v>0</v>
      </c>
      <c r="CM43" s="316">
        <f>IF($E$10=2,Dados!$AE$51,IF($E$10=3,Dados!$AG$51,IF($E$10=4,Dados!$AI$51,IF($E$10=5,Dados!$AK$51,IF($E$10=6,Dados!$AM$51,IF($E$10=7,Dados!$AO$51,IF($E$10=8,Dados!$AS$51,0)))))))</f>
        <v>0</v>
      </c>
      <c r="CN43" s="304">
        <f>IF($E$10=2,Dados!$AF$51,IF($E$10=3,Dados!$AH$51,IF($E$10=4,Dados!$AJ$51,IF($E$10=5,Dados!$AL$51,IF($E$10=6,Dados!$AN$51,IF($E$10=7,Dados!$AP$51,IF($E$10=8,Dados!$AT$51,0)))))))</f>
        <v>0</v>
      </c>
      <c r="CO43" s="316">
        <f>IF($E$11=2,Dados!$AE$51,IF($E$11=3,Dados!$AG$51,IF($E$11=4,Dados!$AI$51,IF($E$11=5,Dados!$AK$51,IF($E$11=6,Dados!$AM$51,IF($E$11=7,Dados!$AO$51,IF($E$11=8,Dados!$AS$51,0)))))))</f>
        <v>0</v>
      </c>
      <c r="CP43" s="304">
        <f>IF($E$11=2,Dados!$AF$51,IF($E$11=3,Dados!$AH$51,IF($E$11=4,Dados!$AJ$51,IF($E$11=5,Dados!$AL$51,IF($E$11=6,Dados!$AN$51,IF($E$11=7,Dados!$AP$51,IF($E$11=8,Dados!$AT$51,0)))))))</f>
        <v>0</v>
      </c>
      <c r="CR43" s="316">
        <f>IF($E$16=2,Dados!$AE$51,IF($E$16=3,Dados!$AG$51,IF($E$16=4,Dados!$AI$51,IF($E$16=5,Dados!$AK$51,IF($E$16=6,Dados!$AM$51,IF($E$16=7,Dados!$AO$51,IF($E$16=8,Dados!$AS$51,0)))))))</f>
        <v>0</v>
      </c>
      <c r="CS43" s="304">
        <f>IF($E$16=2,Dados!$AF$51,IF($E$16=3,Dados!$AH$51,IF($E$16=4,Dados!$AJ$51,IF($E$16=5,Dados!$AL$51,IF($E$16=6,Dados!$AN$51,IF($E$16=7,Dados!$AP$51,IF($E$16=8,Dados!$AT$51,0)))))))</f>
        <v>0</v>
      </c>
      <c r="CT43" s="316">
        <f>IF($E$17=2,Dados!$AE$51,IF($E$17=3,Dados!$AG$51,IF($E$17=4,Dados!$AI$51,IF($E$17=5,Dados!$AK$51,IF($E$17=6,Dados!$AM$51,IF($E$17=7,Dados!$AO$51,IF($E$17=8,Dados!$AS$51,0)))))))</f>
        <v>0</v>
      </c>
      <c r="CU43" s="304">
        <f>IF($E$17=2,Dados!$AF$51,IF($E$17=3,Dados!$AH$51,IF($E$17=4,Dados!$AJ$51,IF($E$17=5,Dados!$AL$51,IF($E$17=6,Dados!$AN$51,IF($E$17=7,Dados!$AP$51,IF($E$17=8,Dados!$AT$51,0)))))))</f>
        <v>0</v>
      </c>
      <c r="CV43" s="316">
        <f>IF($E$18=2,Dados!$AE$51,IF($E$18=3,Dados!$AG$51,IF($E$18=4,Dados!$AI$51,IF($E$18=5,Dados!$AK$51,IF($E$18=6,Dados!$AM$51,IF($E$18=7,Dados!$AO$51,IF($E$18=8,Dados!$AS$51,0)))))))</f>
        <v>0</v>
      </c>
      <c r="CW43" s="304">
        <f>IF($E$18=2,Dados!$AF$51,IF($E$18=3,Dados!$AH$51,IF($E$18=4,Dados!$AJ$51,IF($E$18=5,Dados!$AL$51,IF($E$18=6,Dados!$AN$51,IF($E$18=7,Dados!$AP$51,IF($E$18=8,Dados!$AT$51,0)))))))</f>
        <v>0</v>
      </c>
      <c r="CX43" s="316">
        <f>IF($E$19=2,Dados!$AE$51,IF($E$19=3,Dados!$AG$51,IF($E$19=4,Dados!$AI$51,IF($E$19=5,Dados!$AK$51,IF($E$19=6,Dados!$AM$51,IF($E$19=7,Dados!$AO$51,IF($E$19=8,Dados!$AS$51,0)))))))</f>
        <v>0</v>
      </c>
      <c r="CY43" s="304">
        <f>IF($E$19=2,Dados!$AF$51,IF($E$19=3,Dados!$AH$51,IF($E$19=4,Dados!$AJ$51,IF($E$19=5,Dados!$AL$51,IF($E$19=6,Dados!$AN$51,IF($E$19=7,Dados!$AP$51,IF($E$19=8,Dados!$AT$51,0)))))))</f>
        <v>0</v>
      </c>
      <c r="CZ43" s="316">
        <f>IF($E$20=2,Dados!$AE$51,IF($E$20=3,Dados!$AG$51,IF($E$20=4,Dados!$AI$51,IF($E$20=5,Dados!$AK$51,IF($E$20=6,Dados!$AM$51,IF($E$20=7,Dados!$AO$51,IF($E$20=8,Dados!$AS$51,0)))))))</f>
        <v>0</v>
      </c>
      <c r="DA43" s="304">
        <f>IF($E$20=2,Dados!$AF$51,IF($E$20=3,Dados!$AH$51,IF($E$20=4,Dados!$AJ$51,IF($E$20=5,Dados!$AL$51,IF($E$20=6,Dados!$AN$51,IF($E$20=7,Dados!$AP$51,IF($E$20=8,Dados!$AT$51,0)))))))</f>
        <v>0</v>
      </c>
      <c r="DC43" s="316">
        <f>IF($E$25=2,Dados!$AE$51,IF($E$25=3,Dados!$AG$51,IF($E$25=4,Dados!$AI$51,IF($E$25=5,Dados!$AK$51,IF($E$25=6,Dados!$AM$51,IF($E$25=7,Dados!$AO$51,IF($E$25=8,Dados!$AS$51,0)))))))</f>
        <v>0</v>
      </c>
      <c r="DD43" s="304">
        <f>IF($E$25=2,Dados!$AF$51,IF($E$25=3,Dados!$AH$51,IF($E$25=4,Dados!$AJ$51,IF($E$25=5,Dados!$AL$51,IF($E$25=6,Dados!$AN$51,IF($E$25=7,Dados!$AP$51,IF($E$25=8,Dados!$AT$51,0)))))))</f>
        <v>0</v>
      </c>
      <c r="DE43" s="316">
        <f>IF($E$26=2,Dados!$AE$51,IF($E$26=3,Dados!$AG$51,IF($E$26=4,Dados!$AI$51,IF($E$26=5,Dados!$AK$51,IF($E$26=6,Dados!$AM$51,IF($E$26=7,Dados!$AO$51,IF($E$26=8,Dados!$AS$51,0)))))))</f>
        <v>0</v>
      </c>
      <c r="DF43" s="304">
        <f>IF($E$26=2,Dados!$AF$51,IF($E$26=3,Dados!$AH$51,IF($E$26=4,Dados!$AJ$51,IF($E$26=5,Dados!$AL$51,IF($E$26=6,Dados!$AN$51,IF($E$26=7,Dados!$AP$51,IF($E$26=8,Dados!$AT$51,0)))))))</f>
        <v>0</v>
      </c>
      <c r="DG43" s="316">
        <f>IF($E$27=2,Dados!$AE$51,IF($E$27=3,Dados!$AG$51,IF($E$27=4,Dados!$AI$51,IF($E$27=5,Dados!$AK$51,IF($E$27=6,Dados!$AM$51,IF($E$27=7,Dados!$AO$51,IF($E$27=8,Dados!$AS$51,0)))))))</f>
        <v>0</v>
      </c>
      <c r="DH43" s="304">
        <f>IF($E$27=2,Dados!$AF$51,IF($E$27=3,Dados!$AH$51,IF($E$27=4,Dados!$AJ$51,IF($E$27=5,Dados!$AL$51,IF($E$27=6,Dados!$AN$51,IF($E$27=7,Dados!$AP$51,IF($E$27=8,Dados!$AT$51,0)))))))</f>
        <v>0</v>
      </c>
      <c r="DI43" s="316">
        <f>IF($E$28=2,Dados!$AE$51,IF($E$28=3,Dados!$AG$51,IF($E$28=4,Dados!$AI$51,IF($E$28=5,Dados!$AK$51,IF($E$28=6,Dados!$AM$51,IF($E$28=7,Dados!$AO$51,IF($E$28=8,Dados!$AS$51,0)))))))</f>
        <v>0</v>
      </c>
      <c r="DJ43" s="304">
        <f>IF($E$28=2,Dados!$AF$51,IF($E$28=3,Dados!$AH$51,IF($E$28=4,Dados!$AJ$51,IF($E$28=5,Dados!$AL$51,IF($E$28=6,Dados!$AN$51,IF($E$28=7,Dados!$AP$51,IF($E$28=8,Dados!$AT$51,0)))))))</f>
        <v>0</v>
      </c>
      <c r="DK43" s="316">
        <f>IF($E$29=2,Dados!$AE$51,IF($E$29=3,Dados!$AG$51,IF($E$29=4,Dados!$AI$51,IF($E$29=5,Dados!$AK$51,IF($E$29=6,Dados!$AM$51,IF($E$29=7,Dados!$AO$51,IF($E$29=8,Dados!$AS$51,0)))))))</f>
        <v>0</v>
      </c>
      <c r="DL43" s="304">
        <f>IF($E$29=2,Dados!$AF$51,IF($E$29=3,Dados!$AH$51,IF($E$29=4,Dados!$AJ$51,IF($E$29=5,Dados!$AL$51,IF($E$29=6,Dados!$AN$51,IF($E$29=7,Dados!$AP$51,IF($E$29=8,Dados!$AT$51,0)))))))</f>
        <v>0</v>
      </c>
      <c r="DN43" s="316">
        <f>IF($E$34=2,Dados!$AE$51,IF($E$34=3,Dados!$AG$51,IF($E$34=4,Dados!$AI$51,IF($E$34=5,Dados!$AK$51,IF($E$34=6,Dados!$AM$51,IF($E$34=7,Dados!$AO$51,IF($E$34=8,Dados!$AS$51,0)))))))</f>
        <v>0</v>
      </c>
      <c r="DO43" s="304">
        <f>IF($E$34=2,Dados!$AF$51,IF($E$34=3,Dados!$AH$51,IF($E$34=4,Dados!$AJ$51,IF($E$34=5,Dados!$AL$51,IF($E$34=6,Dados!$AN$51,IF($E$34=7,Dados!$AP$51,IF($E$34=8,Dados!$AT$51,0)))))))</f>
        <v>0</v>
      </c>
      <c r="DP43" s="316">
        <f>IF($E$35=2,Dados!$AE$51,IF($E$35=3,Dados!$AG$51,IF($E$35=4,Dados!$AI$51,IF($E$35=5,Dados!$AK$51,IF($E$35=6,Dados!$AM$51,IF($E$35=7,Dados!$AO$51,IF($E$35=8,Dados!$AS$51,0)))))))</f>
        <v>0</v>
      </c>
      <c r="DQ43" s="304">
        <f>IF($E$35=2,Dados!$AF$51,IF($E$35=3,Dados!$AH$51,IF($E$35=4,Dados!$AJ$51,IF($E$35=5,Dados!$AL$51,IF($E$35=6,Dados!$AN$51,IF($E$35=7,Dados!$AP$51,IF($E$35=8,Dados!$AT$51,0)))))))</f>
        <v>0</v>
      </c>
      <c r="DR43" s="316">
        <f>IF($E$36=2,Dados!$AE$51,IF($E$36=3,Dados!$AG$51,IF($E$36=4,Dados!$AI$51,IF($E$36=5,Dados!$AK$51,IF($E$36=6,Dados!$AM$51,IF($E$36=7,Dados!$AO$51,IF($E$36=8,Dados!$AS$51,0)))))))</f>
        <v>0</v>
      </c>
      <c r="DS43" s="304">
        <f>IF($E$36=2,Dados!$AF$51,IF($E$36=3,Dados!$AH$51,IF($E$36=4,Dados!$AJ$51,IF($E$36=5,Dados!$AL$51,IF($E$36=6,Dados!$AN$51,IF($E$36=7,Dados!$AP$51,IF($E$36=8,Dados!$AT$51,0)))))))</f>
        <v>0</v>
      </c>
      <c r="DT43" s="316">
        <f>IF($E$37=2,Dados!$AE$51,IF($E$37=3,Dados!$AG$51,IF($E$37=4,Dados!$AI$51,IF($E$37=5,Dados!$AK$51,IF($E$37=6,Dados!$AM$51,IF($E$37=7,Dados!$AO$51,IF($E$37=8,Dados!$AS$51,0)))))))</f>
        <v>0</v>
      </c>
      <c r="DU43" s="304">
        <f>IF($E$37=2,Dados!$AF$51,IF($E$37=3,Dados!$AH$51,IF($E$37=4,Dados!$AJ$51,IF($E$37=5,Dados!$AL$51,IF($E$37=6,Dados!$AN$51,IF($E$37=7,Dados!$AP$51,IF($E$37=8,Dados!$AT$51,0)))))))</f>
        <v>0</v>
      </c>
      <c r="DV43" s="316">
        <f>IF($E$38=2,Dados!$AE$51,IF($E$38=3,Dados!$AG$51,IF($E$38=4,Dados!$AI$51,IF($E$38=5,Dados!$AK$51,IF($E$38=6,Dados!$AM$51,IF($E$38=7,Dados!$AO$51,IF($E$38=8,Dados!$AS$51,0)))))))</f>
        <v>0</v>
      </c>
      <c r="DW43" s="304">
        <f>IF($E$38=2,Dados!$AF$51,IF($E$38=3,Dados!$AH$51,IF($E$38=4,Dados!$AJ$51,IF($E$38=5,Dados!$AL$51,IF($E$38=6,Dados!$AN$51,IF($E$38=7,Dados!$AP$51,IF($E$38=8,Dados!$AT$51,0)))))))</f>
        <v>0</v>
      </c>
      <c r="DY43" s="316">
        <f>IF($E$43=2,Dados!$AE$51,IF($E$43=3,Dados!$AG$51,IF($E$43=4,Dados!$AI$51,IF($E$43=5,Dados!$AK$51,IF($E$43=6,Dados!$AM$51,IF($E$43=7,Dados!$AO$51,IF($E$43=8,Dados!$AS$51,0)))))))</f>
        <v>0</v>
      </c>
      <c r="DZ43" s="304">
        <f>IF($E$43=2,Dados!$AF$51,IF($E$43=3,Dados!$AH$51,IF($E$43=4,Dados!$AJ$51,IF($E$43=5,Dados!$AL$51,IF($E$43=6,Dados!$AN$51,IF($E$43=7,Dados!$AP$51,IF($E$43=8,Dados!$AT$51,0)))))))</f>
        <v>0</v>
      </c>
      <c r="EA43" s="316">
        <f>IF($E$44=2,Dados!$AE$51,IF($E$44=3,Dados!$AG$51,IF($E$44=4,Dados!$AI$51,IF($E$44=5,Dados!$AK$51,IF($E$44=6,Dados!$AM$51,IF($E$44=7,Dados!$AO$51,IF($E$44=8,Dados!$AS$51,0)))))))</f>
        <v>0</v>
      </c>
      <c r="EB43" s="304">
        <f>IF($E$44=2,Dados!$AF$51,IF($E$44=3,Dados!$AH$51,IF($E$44=4,Dados!$AJ$51,IF($E$44=5,Dados!$AL$51,IF($E$44=6,Dados!$AN$51,IF($E$44=7,Dados!$AP$51,IF($E$44=8,Dados!$AT$51,0)))))))</f>
        <v>0</v>
      </c>
      <c r="EC43" s="316">
        <f>IF($E$45=2,Dados!$AE$51,IF($E$45=3,Dados!$AG$51,IF($E$45=4,Dados!$AI$51,IF($E$45=5,Dados!$AK$51,IF($E$45=6,Dados!$AM$51,IF($E$45=7,Dados!$AO$51,IF($E$45=8,Dados!$AS$51,0)))))))</f>
        <v>0</v>
      </c>
      <c r="ED43" s="304">
        <f>IF($E$45=2,Dados!$AF$51,IF($E$45=3,Dados!$AH$51,IF($E$45=4,Dados!$AJ$51,IF($E$45=5,Dados!$AL$51,IF($E$45=6,Dados!$AN$51,IF($E$45=7,Dados!$AP$51,IF($E$45=8,Dados!$AT$51,0)))))))</f>
        <v>0</v>
      </c>
      <c r="EE43" s="316">
        <f>IF($E$46=2,Dados!$AE$51,IF($E$46=3,Dados!$AG$51,IF($E$46=4,Dados!$AI$51,IF($E$46=5,Dados!$AK$51,IF($E$46=6,Dados!$AM$51,IF($E$46=7,Dados!$AO$51,IF($E$46=8,Dados!$AS$51,0)))))))</f>
        <v>0</v>
      </c>
      <c r="EF43" s="304">
        <f>IF($E$46=2,Dados!$AF$51,IF($E$46=3,Dados!$AH$51,IF($E$46=4,Dados!$AJ$51,IF($E$46=5,Dados!$AL$51,IF($E$46=6,Dados!$AN$51,IF($E$46=7,Dados!$AP$51,IF($E$46=8,Dados!$AT$51,0)))))))</f>
        <v>0</v>
      </c>
      <c r="EG43" s="316">
        <f>IF($E$47=2,Dados!$AE$51,IF($E$47=3,Dados!$AG$51,IF($E$47=4,Dados!$AI$51,IF($E$47=5,Dados!$AK$51,IF($E$47=6,Dados!$AM$51,IF($E$47=7,Dados!$AO$51,IF($E$47=8,Dados!$AS$51,0)))))))</f>
        <v>0</v>
      </c>
      <c r="EH43" s="304">
        <f>IF($E$47=2,Dados!$AF$51,IF($E$47=3,Dados!$AH$51,IF($E$47=4,Dados!$AJ$51,IF($E$47=5,Dados!$AL$51,IF($E$47=6,Dados!$AN$51,IF($E$47=7,Dados!$AP$51,IF($E$47=8,Dados!$AT$51,0)))))))</f>
        <v>0</v>
      </c>
      <c r="EJ43" s="316">
        <f>IF($E$52=2,Dados!$AE$51,IF($E$52=3,Dados!$AG$51,IF($E$52=4,Dados!$AI$51,IF($E$52=5,Dados!$AK$51,IF($E$52=6,Dados!$AM$51,IF($E$52=7,Dados!$AO$51,IF($E$52=8,Dados!$AS$51,0)))))))</f>
        <v>0</v>
      </c>
      <c r="EK43" s="304">
        <f>IF($E$52=2,Dados!$AF$51,IF($E$52=3,Dados!$AH$51,IF($E$52=4,Dados!$AJ$51,IF($E$52=5,Dados!$AL$51,IF($E$52=6,Dados!$AN$51,IF($E$52=7,Dados!$AP$51,IF($E$52=8,Dados!$AT$51,0)))))))</f>
        <v>0</v>
      </c>
      <c r="EL43" s="316">
        <f>IF($E$53=2,Dados!$AE$51,IF($E$53=3,Dados!$AG$51,IF($E$53=4,Dados!$AI$51,IF($E$53=5,Dados!$AK$51,IF($E$53=6,Dados!$AM$51,IF($E$53=7,Dados!$AO$51,IF($E$53=8,Dados!$AS$51,0)))))))</f>
        <v>0</v>
      </c>
      <c r="EM43" s="304">
        <f>IF($E$53=2,Dados!$AF$51,IF($E$53=3,Dados!$AH$51,IF($E$53=4,Dados!$AJ$51,IF($E$53=5,Dados!$AL$51,IF($E$53=6,Dados!$AN$51,IF($E$53=7,Dados!$AP$51,IF($E$53=8,Dados!$AT$51,0)))))))</f>
        <v>0</v>
      </c>
      <c r="EN43" s="316">
        <f>IF($E$54=2,Dados!$AE$51,IF($E$54=3,Dados!$AG$51,IF($E$54=4,Dados!$AI$51,IF($E$54=5,Dados!$AK$51,IF($E$54=6,Dados!$AM$51,IF($E$54=7,Dados!$AO$51,IF($E$54=8,Dados!$AS$51,0)))))))</f>
        <v>0</v>
      </c>
      <c r="EO43" s="304">
        <f>IF($E$54=2,Dados!$AF$51,IF($E$54=3,Dados!$AH$51,IF($E$54=4,Dados!$AJ$51,IF($E$54=5,Dados!$AL$51,IF($E$54=6,Dados!$AN$51,IF($E$54=7,Dados!$AP$51,IF($E$54=8,Dados!$AT$51,0)))))))</f>
        <v>0</v>
      </c>
      <c r="EP43" s="316">
        <f>IF($E$55=2,Dados!$AE$51,IF($E$55=3,Dados!$AG$51,IF($E$55=4,Dados!$AI$51,IF($E$55=5,Dados!$AK$51,IF($E$55=6,Dados!$AM$51,IF($E$55=7,Dados!$AO$51,IF($E$55=8,Dados!$AS$51,0)))))))</f>
        <v>0</v>
      </c>
      <c r="EQ43" s="304">
        <f>IF($E$55=2,Dados!$AF$51,IF($E$55=3,Dados!$AH$51,IF($E$55=4,Dados!$AJ$51,IF($E$55=5,Dados!$AL$51,IF($E$55=6,Dados!$AN$51,IF($E$55=7,Dados!$AP$51,IF($E$55=8,Dados!$AT$51,0)))))))</f>
        <v>0</v>
      </c>
      <c r="ER43" s="316">
        <f>IF($E$56=2,Dados!$AE$51,IF($E$56=3,Dados!$AG$51,IF($E$56=4,Dados!$AI$51,IF($E$56=5,Dados!$AK$51,IF($E$56=6,Dados!$AM$51,IF($E$56=7,Dados!$AO$51,IF($E$56=8,Dados!$AS$51,0)))))))</f>
        <v>0</v>
      </c>
      <c r="ES43" s="304">
        <f>IF($E$56=2,Dados!$AF$51,IF($E$56=3,Dados!$AH$51,IF($E$56=4,Dados!$AJ$51,IF($E$56=5,Dados!$AL$51,IF($E$56=6,Dados!$AN$51,IF($E$56=7,Dados!$AP$51,IF($E$56=8,Dados!$AT$51,0)))))))</f>
        <v>0</v>
      </c>
      <c r="EU43" s="316">
        <f>IF($E$61=2,Dados!$AE$51,IF($E$61=3,Dados!$AG$51,IF($E$61=4,Dados!$AI$51,IF($E$61=5,Dados!$AK$51,IF($E$61=6,Dados!$AM$51,IF($E$61=7,Dados!$AO$51,IF($E$61=8,Dados!$AS$51,0)))))))</f>
        <v>0</v>
      </c>
      <c r="EV43" s="304">
        <f>IF($E$61=2,Dados!$AF$51,IF($E$61=3,Dados!$AH$51,IF($E$61=4,Dados!$AJ$51,IF($E$61=5,Dados!$AL$51,IF($E$61=6,Dados!$AN$51,IF($E$61=7,Dados!$AP$51,IF($E$61=8,Dados!$AT$51,0)))))))</f>
        <v>0</v>
      </c>
      <c r="EW43" s="316">
        <f>IF($E$62=2,Dados!$AE$51,IF($E$62=3,Dados!$AG$51,IF($E$62=4,Dados!$AI$51,IF($E$62=5,Dados!$AK$51,IF($E$62=6,Dados!$AM$51,IF($E$62=7,Dados!$AO$51,IF($E$62=8,Dados!$AS$51,0)))))))</f>
        <v>0</v>
      </c>
      <c r="EX43" s="304">
        <f>IF($E$62=2,Dados!$AF$51,IF($E$62=3,Dados!$AH$51,IF($E$62=4,Dados!$AJ$51,IF($E$62=5,Dados!$AL$51,IF($E$62=6,Dados!$AN$51,IF($E$62=7,Dados!$AP$51,IF($E$62=8,Dados!$AT$51,0)))))))</f>
        <v>0</v>
      </c>
      <c r="EY43" s="316">
        <f>IF($E$63=2,Dados!$AE$51,IF($E$63=3,Dados!$AG$51,IF($E$63=4,Dados!$AI$51,IF($E$63=5,Dados!$AK$51,IF($E$63=6,Dados!$AM$51,IF($E$63=7,Dados!$AO$51,IF($E$63=8,Dados!$AS$51,0)))))))</f>
        <v>0</v>
      </c>
      <c r="EZ43" s="304">
        <f>IF($E$63=2,Dados!$AF$51,IF($E$63=3,Dados!$AH$51,IF($E$63=4,Dados!$AJ$51,IF($E$63=5,Dados!$AL$51,IF($E$63=6,Dados!$AN$51,IF($E$63=7,Dados!$AP$51,IF($E$63=8,Dados!$AT$51,0)))))))</f>
        <v>0</v>
      </c>
      <c r="FA43" s="316">
        <f>IF($E$64=2,Dados!$AE$51,IF($E$64=3,Dados!$AG$51,IF($E$64=4,Dados!$AI$51,IF($E$64=5,Dados!$AK$51,IF($E$64=6,Dados!$AM$51,IF($E$64=7,Dados!$AO$51,IF($E$64=8,Dados!$AS$51,0)))))))</f>
        <v>0</v>
      </c>
      <c r="FB43" s="304">
        <f>IF($E$64=2,Dados!$AF$51,IF($E$64=3,Dados!$AH$51,IF($E$64=4,Dados!$AJ$51,IF($E$64=5,Dados!$AL$51,IF($E$64=6,Dados!$AN$51,IF($E$64=7,Dados!$AP$51,IF($E$64=8,Dados!$AT$51,0)))))))</f>
        <v>0</v>
      </c>
      <c r="FC43" s="316">
        <f>IF($E$65=2,Dados!$AE$51,IF($E$65=3,Dados!$AG$51,IF($E$65=4,Dados!$AI$51,IF($E$65=5,Dados!$AK$51,IF($E$65=6,Dados!$AM$51,IF($E$65=7,Dados!$AO$51,IF($E$65=8,Dados!$AS$51,0)))))))</f>
        <v>0</v>
      </c>
      <c r="FD43" s="304">
        <f>IF($E$65=2,Dados!$AF$51,IF($E$65=3,Dados!$AH$51,IF($E$65=4,Dados!$AJ$51,IF($E$65=5,Dados!$AL$51,IF($E$65=6,Dados!$AN$51,IF($E$65=7,Dados!$AP$51,IF($E$65=8,Dados!$AT$51,0)))))))</f>
        <v>0</v>
      </c>
      <c r="FF43" s="316">
        <f>IF($E$70=2,Dados!$AE$51,IF($E$70=3,Dados!$AG$51,IF($E$70=4,Dados!$AI$51,IF($E$70=5,Dados!$AK$51,IF($E$70=6,Dados!$AM$51,IF($E$70=7,Dados!$AO$51,IF($E$70=8,Dados!$AS$51,0)))))))</f>
        <v>0</v>
      </c>
      <c r="FG43" s="304">
        <f>IF($E$70=2,Dados!$AF$51,IF($E$70=3,Dados!$AH$51,IF($E$70=4,Dados!$AJ$51,IF($E$70=5,Dados!$AL$51,IF($E$70=6,Dados!$AN$51,IF($E$70=7,Dados!$AP$51,IF($E$70=8,Dados!$AT$51,0)))))))</f>
        <v>0</v>
      </c>
      <c r="FH43" s="316">
        <f>IF($E$71=2,Dados!$AE$51,IF($E$71=3,Dados!$AG$51,IF($E$71=4,Dados!$AI$51,IF($E$71=5,Dados!$AK$51,IF($E$71=6,Dados!$AM$51,IF($E$71=7,Dados!$AO$51,IF($E$71=8,Dados!$AS$51,0)))))))</f>
        <v>0</v>
      </c>
      <c r="FI43" s="304">
        <f>IF($E$71=2,Dados!$AF$51,IF($E$71=3,Dados!$AH$51,IF($E$71=4,Dados!$AJ$51,IF($E$71=5,Dados!$AL$51,IF($E$71=6,Dados!$AN$51,IF($E$71=7,Dados!$AP$51,IF($E$71=8,Dados!$AT$51,0)))))))</f>
        <v>0</v>
      </c>
      <c r="FJ43" s="316">
        <f>IF($E$72=2,Dados!$AE$51,IF($E$72=3,Dados!$AG$51,IF($E$72=4,Dados!$AI$51,IF($E$72=5,Dados!$AK$51,IF($E$72=6,Dados!$AM$51,IF($E$72=7,Dados!$AO$51,IF($E$72=8,Dados!$AS$51,0)))))))</f>
        <v>0</v>
      </c>
      <c r="FK43" s="304">
        <f>IF($E$72=2,Dados!$AF$51,IF($E$72=3,Dados!$AH$51,IF($E$72=4,Dados!$AJ$51,IF($E$72=5,Dados!$AL$51,IF($E$72=6,Dados!$AN$51,IF($E$72=7,Dados!$AP$51,IF($E$72=8,Dados!$AT$51,0)))))))</f>
        <v>0</v>
      </c>
      <c r="FL43" s="316">
        <f>IF($E$73=2,Dados!$AE$51,IF($E$73=3,Dados!$AG$51,IF($E$73=4,Dados!$AI$51,IF($E$73=5,Dados!$AK$51,IF($E$73=6,Dados!$AM$51,IF($E$73=7,Dados!$AO$51,IF($E$73=8,Dados!$AS$51,0)))))))</f>
        <v>0</v>
      </c>
      <c r="FM43" s="304">
        <f>IF($E$73=2,Dados!$AF$51,IF($E$73=3,Dados!$AH$51,IF($E$73=4,Dados!$AJ$51,IF($E$73=5,Dados!$AL$51,IF($E$73=6,Dados!$AN$51,IF($E$73=7,Dados!$AP$51,IF($E$73=8,Dados!$AT$51,0)))))))</f>
        <v>0</v>
      </c>
      <c r="FN43" s="316">
        <f>IF($E$74=2,Dados!$AE$51,IF($E$74=3,Dados!$AG$51,IF($E$74=4,Dados!$AI$51,IF($E$74=5,Dados!$AK$51,IF($E$74=6,Dados!$AM$51,IF($E$74=7,Dados!$AO$51,IF($E$74=8,Dados!$AS$51,0)))))))</f>
        <v>0</v>
      </c>
      <c r="FO43" s="304">
        <f>IF($E$74=2,Dados!$AF$51,IF($E$74=3,Dados!$AH$51,IF($E$74=4,Dados!$AJ$51,IF($E$74=5,Dados!$AL$51,IF($E$74=6,Dados!$AN$51,IF($E$74=7,Dados!$AP$51,IF($E$74=8,Dados!$AT$51,0)))))))</f>
        <v>0</v>
      </c>
      <c r="FQ43" s="316">
        <f>IF($E$79=2,Dados!$AE$51,IF($E$79=3,Dados!$AG$51,IF($E$79=4,Dados!$AI$51,IF($E$79=5,Dados!$AK$51,IF($E$79=6,Dados!$AM$51,IF($E$79=7,Dados!$AO$51,IF($E$79=8,Dados!$AS$51,0)))))))</f>
        <v>0</v>
      </c>
      <c r="FR43" s="304">
        <f>IF($E$79=2,Dados!$AF$51,IF($E$79=3,Dados!$AH$51,IF($E$79=4,Dados!$AJ$51,IF($E$79=5,Dados!$AL$51,IF($E$79=6,Dados!$AN$51,IF($E$79=7,Dados!$AP$51,IF($E$79=8,Dados!$AT$51,0)))))))</f>
        <v>0</v>
      </c>
      <c r="FS43" s="316">
        <f>IF($E$80=2,Dados!$AE$51,IF($E$80=3,Dados!$AG$51,IF($E$80=4,Dados!$AI$51,IF($E$80=5,Dados!$AK$51,IF($E$80=6,Dados!$AM$51,IF($E$80=7,Dados!$AO$51,IF($E$80=8,Dados!$AS$51,0)))))))</f>
        <v>0</v>
      </c>
      <c r="FT43" s="304">
        <f>IF($E$80=2,Dados!$AF$51,IF($E$80=3,Dados!$AH$51,IF($E$80=4,Dados!$AJ$51,IF($E$80=5,Dados!$AL$51,IF($E$80=6,Dados!$AN$51,IF($E$80=7,Dados!$AP$51,IF($E$80=8,Dados!$AT$51,0)))))))</f>
        <v>0</v>
      </c>
      <c r="FU43" s="316">
        <f>IF($E$81=2,Dados!$AE$51,IF($E$81=3,Dados!$AG$51,IF($E$81=4,Dados!$AI$51,IF($E$81=5,Dados!$AK$51,IF($E$81=6,Dados!$AM$51,IF($E$81=7,Dados!$AO$51,IF($E$81=8,Dados!$AS$51,0)))))))</f>
        <v>0</v>
      </c>
      <c r="FV43" s="304">
        <f>IF($E$81=2,Dados!$AF$51,IF($E$81=3,Dados!$AH$51,IF($E$81=4,Dados!$AJ$51,IF($E$81=5,Dados!$AL$51,IF($E$81=6,Dados!$AN$51,IF($E$81=7,Dados!$AP$51,IF($E$81=8,Dados!$AT$51,0)))))))</f>
        <v>0</v>
      </c>
      <c r="FW43" s="316">
        <f>IF($E$82=2,Dados!$AE$51,IF($E$82=3,Dados!$AG$51,IF($E$82=4,Dados!$AI$51,IF($E$82=5,Dados!$AK$51,IF($E$82=6,Dados!$AM$51,IF($E$82=7,Dados!$AO$51,IF($E$82=8,Dados!$AS$51,0)))))))</f>
        <v>0</v>
      </c>
      <c r="FX43" s="304">
        <f>IF($E$82=2,Dados!$AF$51,IF($E$82=3,Dados!$AH$51,IF($E$82=4,Dados!$AJ$51,IF($E$82=5,Dados!$AL$51,IF($E$82=6,Dados!$AN$51,IF($E$82=7,Dados!$AP$51,IF($E$82=8,Dados!$AT$51,0)))))))</f>
        <v>0</v>
      </c>
      <c r="FY43" s="316">
        <f>IF($E$83=2,Dados!$AE$51,IF($E$83=3,Dados!$AG$51,IF($E$83=4,Dados!$AI$51,IF($E$83=5,Dados!$AK$51,IF($E$83=6,Dados!$AM$51,IF($E$83=7,Dados!$AO$51,IF($E$83=8,Dados!$AS$51,0)))))))</f>
        <v>0</v>
      </c>
      <c r="FZ43" s="304">
        <f>IF($E$83=2,Dados!$AF$51,IF($E$83=3,Dados!$AH$51,IF($E$83=4,Dados!$AJ$51,IF($E$83=5,Dados!$AL$51,IF($E$83=6,Dados!$AN$51,IF($E$83=7,Dados!$AP$51,IF($E$83=8,Dados!$AT$51,0)))))))</f>
        <v>0</v>
      </c>
      <c r="GB43" s="316">
        <f>IF($E$88=2,Dados!$AE$51,IF($E$88=3,Dados!$AG$51,IF($E$88=4,Dados!$AI$51,IF($E$88=5,Dados!$AK$51,IF($E$88=6,Dados!$AM$51,IF($E$88=7,Dados!$AO$51,IF($E$88=8,Dados!$AS$51,0)))))))</f>
        <v>0</v>
      </c>
      <c r="GC43" s="304">
        <f>IF($E$88=2,Dados!$AF$51,IF($E$88=3,Dados!$AH$51,IF($E$88=4,Dados!$AJ$51,IF($E$88=5,Dados!$AL$51,IF($E$88=6,Dados!$AN$51,IF($E$88=7,Dados!$AP$51,IF($E$88=8,Dados!$AT$51,0)))))))</f>
        <v>0</v>
      </c>
      <c r="GD43" s="316">
        <f>IF($E$89=2,Dados!$AE$51,IF($E$89=3,Dados!$AG$51,IF($E$89=4,Dados!$AI$51,IF($E$89=5,Dados!$AK$51,IF($E$89=6,Dados!$AM$51,IF($E$89=7,Dados!$AO$51,IF($E$89=8,Dados!$AS$51,0)))))))</f>
        <v>0</v>
      </c>
      <c r="GE43" s="304">
        <f>IF($E$89=2,Dados!$AF$51,IF($E$89=3,Dados!$AH$51,IF($E$89=4,Dados!$AJ$51,IF($E$89=5,Dados!$AL$51,IF($E$89=6,Dados!$AN$51,IF($E$89=7,Dados!$AP$51,IF($E$89=8,Dados!$AT$51,0)))))))</f>
        <v>0</v>
      </c>
      <c r="GF43" s="316">
        <f>IF($E$90=2,Dados!$AE$51,IF($E$90=3,Dados!$AG$51,IF($E$90=4,Dados!$AI$51,IF($E$90=5,Dados!$AK$51,IF($E$90=6,Dados!$AM$51,IF($E$90=7,Dados!$AO$51,IF($E$90=8,Dados!$AS$51,0)))))))</f>
        <v>0</v>
      </c>
      <c r="GG43" s="304">
        <f>IF($E$90=2,Dados!$AF$51,IF($E$90=3,Dados!$AH$51,IF($E$90=4,Dados!$AJ$51,IF($E$90=5,Dados!$AL$51,IF($E$90=6,Dados!$AN$51,IF($E$90=7,Dados!$AP$51,IF($E$90=8,Dados!$AT$51,0)))))))</f>
        <v>0</v>
      </c>
      <c r="GH43" s="316">
        <f>IF($E$91=2,Dados!$AE$51,IF($E$91=3,Dados!$AG$51,IF($E$91=4,Dados!$AI$51,IF($E$91=5,Dados!$AK$51,IF($E$91=6,Dados!$AM$51,IF($E$91=7,Dados!$AO$51,IF($E$91=8,Dados!$AS$51,0)))))))</f>
        <v>0</v>
      </c>
      <c r="GI43" s="304">
        <f>IF($E$91=2,Dados!$AF$51,IF($E$91=3,Dados!$AH$51,IF($E$91=4,Dados!$AJ$51,IF($E$91=5,Dados!$AL$51,IF($E$91=6,Dados!$AN$51,IF($E$91=7,Dados!$AP$51,IF($E$91=8,Dados!$AT$51,0)))))))</f>
        <v>0</v>
      </c>
      <c r="GJ43" s="316">
        <f>IF($E$92=2,Dados!$AE$51,IF($E$92=3,Dados!$AG$51,IF($E$92=4,Dados!$AI$51,IF($E$92=5,Dados!$AK$51,IF($E$92=6,Dados!$AM$51,IF($E$92=7,Dados!$AO$51,IF($E$92=8,Dados!$AS$51,0)))))))</f>
        <v>0</v>
      </c>
      <c r="GK43" s="304">
        <f>IF($E$92=2,Dados!$AF$51,IF($E$92=3,Dados!$AH$51,IF($E$92=4,Dados!$AJ$51,IF($E$92=5,Dados!$AL$51,IF($E$92=6,Dados!$AN$51,IF($E$92=7,Dados!$AP$51,IF($E$92=8,Dados!$AT$51,0)))))))</f>
        <v>0</v>
      </c>
      <c r="GM43" s="316">
        <f>IF($E$97=2,Dados!$AE$51,IF($E$97=3,Dados!$AG$51,IF($E$97=4,Dados!$AI$51,IF($E$97=5,Dados!$AK$51,IF($E$97=6,Dados!$AM$51,IF($E$97=7,Dados!$AO$51,IF($E$97=8,Dados!$AS$51,0)))))))</f>
        <v>0</v>
      </c>
      <c r="GN43" s="304">
        <f>IF($E$97=2,Dados!$AF$51,IF($E$97=3,Dados!$AH$51,IF($E$97=4,Dados!$AJ$51,IF($E$97=5,Dados!$AL$51,IF($E$97=6,Dados!$AN$51,IF($E$97=7,Dados!$AP$51,IF($E$97=8,Dados!$AT$51,0)))))))</f>
        <v>0</v>
      </c>
      <c r="GO43" s="316">
        <f>IF($E$98=2,Dados!$AE$51,IF($E$98=3,Dados!$AG$51,IF($E$98=4,Dados!$AI$51,IF($E$98=5,Dados!$AK$51,IF($E$98=6,Dados!$AM$51,IF($E$98=7,Dados!$AO$51,IF($E$98=8,Dados!$AS$51,0)))))))</f>
        <v>0</v>
      </c>
      <c r="GP43" s="304">
        <f>IF($E$98=2,Dados!$AF$51,IF($E$98=3,Dados!$AH$51,IF($E$98=4,Dados!$AJ$51,IF($E$98=5,Dados!$AL$51,IF($E$98=6,Dados!$AN$51,IF($E$98=7,Dados!$AP$51,IF($E$98=8,Dados!$AT$51,0)))))))</f>
        <v>0</v>
      </c>
      <c r="GQ43" s="316">
        <f>IF($E$99=2,Dados!$AE$51,IF($E$99=3,Dados!$AG$51,IF($E$99=4,Dados!$AI$51,IF($E$99=5,Dados!$AK$51,IF($E$99=6,Dados!$AM$51,IF($E$99=7,Dados!$AO$51,IF($E$99=8,Dados!$AS$51,0)))))))</f>
        <v>0</v>
      </c>
      <c r="GR43" s="304">
        <f>IF($E$99=2,Dados!$AF$51,IF($E$99=3,Dados!$AH$51,IF($E$99=4,Dados!$AJ$51,IF($E$99=5,Dados!$AL$51,IF($E$99=6,Dados!$AN$51,IF($E$99=7,Dados!$AP$51,IF($E$99=8,Dados!$AT$51,0)))))))</f>
        <v>0</v>
      </c>
      <c r="GS43" s="316">
        <f>IF($E$100=2,Dados!$AE$51,IF($E$100=3,Dados!$AG$51,IF($E$100=4,Dados!$AI$51,IF($E$100=5,Dados!$AK$51,IF($E$100=6,Dados!$AM$51,IF($E$100=7,Dados!$AO$51,IF($E$100=8,Dados!$AS$51,0)))))))</f>
        <v>0</v>
      </c>
      <c r="GT43" s="304">
        <f>IF($E$100=2,Dados!$AF$51,IF($E$100=3,Dados!$AH$51,IF($E$100=4,Dados!$AJ$51,IF($E$100=5,Dados!$AL$51,IF($E$100=6,Dados!$AN$51,IF($E$100=7,Dados!$AP$51,IF($E$100=8,Dados!$AT$51,0)))))))</f>
        <v>0</v>
      </c>
      <c r="GU43" s="316">
        <f>IF($E$101=2,Dados!$AE$51,IF($E$101=3,Dados!$AG$51,IF($E$101=4,Dados!$AI$51,IF($E$101=5,Dados!$AK$51,IF($E$101=6,Dados!$AM$51,IF($E$101=7,Dados!$AO$51,IF($E$101=8,Dados!$AS$51,0)))))))</f>
        <v>0</v>
      </c>
      <c r="GV43" s="304">
        <f>IF($E$101=2,Dados!$AF$51,IF($E$101=3,Dados!$AH$51,IF($E$101=4,Dados!$AJ$51,IF($E$101=5,Dados!$AL$51,IF($E$101=6,Dados!$AN$51,IF($E$101=7,Dados!$AP$51,IF($E$101=8,Dados!$AT$51,0)))))))</f>
        <v>0</v>
      </c>
      <c r="GX43" s="316">
        <f>IF($E$106=2,Dados!$AE$51,IF($E$106=3,Dados!$AG$51,IF($E$106=4,Dados!$AI$51,IF($E$106=5,Dados!$AK$51,IF($E$106=6,Dados!$AM$51,IF($E$106=7,Dados!$AO$51,IF($E$106=8,Dados!$AS$51,0)))))))</f>
        <v>0</v>
      </c>
      <c r="GY43" s="304">
        <f>IF($E$106=2,Dados!$AF$51,IF($E$106=3,Dados!$AH$51,IF($E$106=4,Dados!$AJ$51,IF($E$106=5,Dados!$AL$51,IF($E$106=6,Dados!$AN$51,IF($E$106=7,Dados!$AP$51,IF($E$106=8,Dados!$AT$51,0)))))))</f>
        <v>0</v>
      </c>
      <c r="GZ43" s="316">
        <f>IF($E$107=2,Dados!$AE$51,IF($E$107=3,Dados!$AG$51,IF($E$107=4,Dados!$AI$51,IF($E$107=5,Dados!$AK$51,IF($E$107=6,Dados!$AM$51,IF($E$107=7,Dados!$AO$51,IF($E$107=8,Dados!$AS$51,0)))))))</f>
        <v>0</v>
      </c>
      <c r="HA43" s="304">
        <f>IF($E$107=2,Dados!$AF$51,IF($E$107=3,Dados!$AH$51,IF($E$107=4,Dados!$AJ$51,IF($E$107=5,Dados!$AL$51,IF($E$107=6,Dados!$AN$51,IF($E$107=7,Dados!$AP$51,IF($E$107=8,Dados!$AT$51,0)))))))</f>
        <v>0</v>
      </c>
      <c r="HB43" s="316">
        <f>IF($E$108=2,Dados!$AE$51,IF($E$108=3,Dados!$AG$51,IF($E$108=4,Dados!$AI$51,IF($E$108=5,Dados!$AK$51,IF($E$108=6,Dados!$AM$51,IF($E$108=7,Dados!$AO$51,IF($E$108=8,Dados!$AS$51,0)))))))</f>
        <v>0</v>
      </c>
      <c r="HC43" s="304">
        <f>IF($E$108=2,Dados!$AF$51,IF($E$108=3,Dados!$AH$51,IF($E$108=4,Dados!$AJ$51,IF($E$108=5,Dados!$AL$51,IF($E$108=6,Dados!$AN$51,IF($E$108=7,Dados!$AP$51,IF($E$108=8,Dados!$AT$51,0)))))))</f>
        <v>0</v>
      </c>
      <c r="HD43" s="316">
        <f>IF($E$109=2,Dados!$AE$51,IF($E$109=3,Dados!$AG$51,IF($E$109=4,Dados!$AI$51,IF($E$109=5,Dados!$AK$51,IF($E$109=6,Dados!$AM$51,IF($E$109=7,Dados!$AO$51,IF($E$109=8,Dados!$AS$51,0)))))))</f>
        <v>0</v>
      </c>
      <c r="HE43" s="304">
        <f>IF($E$109=2,Dados!$AF$51,IF($E$109=3,Dados!$AH$51,IF($E$109=4,Dados!$AJ$51,IF($E$109=5,Dados!$AL$51,IF($E$109=6,Dados!$AN$51,IF($E$109=7,Dados!$AP$51,IF($E$109=8,Dados!$AT$51,0)))))))</f>
        <v>0</v>
      </c>
      <c r="HF43" s="316">
        <f>IF($E$110=2,Dados!$AE$51,IF($E$110=3,Dados!$AG$51,IF($E$110=4,Dados!$AI$51,IF($E$110=5,Dados!$AK$51,IF($E$110=6,Dados!$AM$51,IF($E$110=7,Dados!$AO$51,IF($E$110=8,Dados!$AS$51,0)))))))</f>
        <v>0</v>
      </c>
      <c r="HG43" s="304">
        <f>IF($E$110=2,Dados!$AF$51,IF($E$110=3,Dados!$AH$51,IF($E$110=4,Dados!$AJ$51,IF($E$110=5,Dados!$AL$51,IF($E$110=6,Dados!$AN$51,IF($E$110=7,Dados!$AP$51,IF($E$110=8,Dados!$AT$51,0)))))))</f>
        <v>0</v>
      </c>
    </row>
    <row r="44" spans="3:215" ht="15.75" customHeight="1" x14ac:dyDescent="0.2">
      <c r="C44" s="156">
        <f>IF(R44=1,0,S44)</f>
        <v>0</v>
      </c>
      <c r="D44" s="2721"/>
      <c r="E44" s="180">
        <v>1</v>
      </c>
      <c r="F44" s="2718">
        <v>1</v>
      </c>
      <c r="G44" s="2719"/>
      <c r="H44" s="309"/>
      <c r="I44" s="229"/>
      <c r="J44" s="314"/>
      <c r="K44" s="157"/>
      <c r="L44" s="305"/>
      <c r="M44" s="127">
        <f>IF(I44=1,K44,IF(I44=2,K44/J44,IF(I44=3,K44*L44,0)))</f>
        <v>0</v>
      </c>
      <c r="N44" s="3">
        <v>1</v>
      </c>
      <c r="O44" s="30">
        <v>1</v>
      </c>
      <c r="P44" s="837">
        <f>IF(N44=1,0,VLOOKUP(N44,Rebanho!$AN$45:$AV$72,4)*O44)</f>
        <v>0</v>
      </c>
      <c r="Q44" s="838">
        <f>VLOOKUP(N44,Rebanho!$AN$45:$AV$72,7)*O44</f>
        <v>0</v>
      </c>
      <c r="R44" s="3">
        <v>1</v>
      </c>
      <c r="S44" s="29"/>
      <c r="T44" s="102">
        <f>VLOOKUP(R44,'Mão-de-obra'!$CJ$10:$CL$29,3)</f>
        <v>0</v>
      </c>
      <c r="U44" s="102">
        <f>T44*S44</f>
        <v>0</v>
      </c>
      <c r="V44" s="127">
        <f>IF(I44=1,M44*P44,IF(I44=2,M44*Q44*L44,IF(I44=3,M44,0)))</f>
        <v>0</v>
      </c>
      <c r="W44" s="129">
        <f>U44+V44</f>
        <v>0</v>
      </c>
      <c r="X44" s="93">
        <v>1</v>
      </c>
      <c r="Y44" s="93">
        <v>1</v>
      </c>
      <c r="Z44" s="127">
        <f t="shared" ref="Z44:Z47" si="12">IF(P44=0,0,((W44/P44+U44/P44)*O44))</f>
        <v>0</v>
      </c>
      <c r="AW44" s="3" t="s">
        <v>466</v>
      </c>
      <c r="AX44" s="94">
        <f>IF($E43=3,$V43,0)</f>
        <v>0</v>
      </c>
      <c r="AY44" s="94">
        <f>IF($E44=3,$V44,0)</f>
        <v>0</v>
      </c>
      <c r="AZ44" s="94">
        <f>IF($E45=3,$V45,0)</f>
        <v>0</v>
      </c>
      <c r="BA44" s="94">
        <f>IF($E46=3,$V46,0)</f>
        <v>0</v>
      </c>
      <c r="BB44" s="94">
        <f>IF($E47=3,$V47,0)</f>
        <v>0</v>
      </c>
      <c r="BC44" s="200">
        <f t="shared" si="11"/>
        <v>0</v>
      </c>
      <c r="CF44" s="93">
        <v>39</v>
      </c>
      <c r="CG44" s="316">
        <f>IF($E$7=2,Dados!$AE$52,IF($E$7=3,Dados!$AG$52,IF($E$7=4,Dados!$AI$52,IF($E$7=5,Dados!$AK$52,IF($E$7=6,Dados!$AM$52,IF($E$7=7,Dados!$AO$52,IF($E$7=8,Dados!$AS$52,0)))))))</f>
        <v>0</v>
      </c>
      <c r="CH44" s="304">
        <f>IF($E$7=2,Dados!$AF$52,IF($E$7=3,Dados!$AH$52,IF($E$7=4,Dados!$AJ$52,IF($E$7=5,Dados!$AL$52,IF($E$7=6,Dados!$AN$52,IF($E$7=7,Dados!$AP$52,IF($E$7=8,Dados!$AT$52,0)))))))</f>
        <v>0</v>
      </c>
      <c r="CI44" s="316">
        <f>IF($E$8=2,Dados!$AE$52,IF($E$8=3,Dados!$AG$52,IF($E$8=4,Dados!$AI$52,IF($E$8=5,Dados!$AK$52,IF($E$8=6,Dados!$AM$52,IF($E$8=7,Dados!$AO$52,IF($E$8=8,Dados!$AS$52,0)))))))</f>
        <v>0</v>
      </c>
      <c r="CJ44" s="304">
        <f>IF($E$8=2,Dados!$AF$52,IF($E$8=3,Dados!$AH$52,IF($E$8=4,Dados!$AJ$52,IF($E$8=5,Dados!$AL$52,IF($E$8=6,Dados!$AN$52,IF($E$8=7,Dados!$AP$52,IF($E$8=8,Dados!$AT$52,0)))))))</f>
        <v>0</v>
      </c>
      <c r="CK44" s="316">
        <f>IF($E$9=2,Dados!$AE$52,IF($E$9=3,Dados!$AG$52,IF($E$9=4,Dados!$AI$52,IF($E$9=5,Dados!$AK$52,IF($E$9=6,Dados!$AM$52,IF($E$9=7,Dados!$AO$52,IF($E$9=8,Dados!$AS$52,0)))))))</f>
        <v>0</v>
      </c>
      <c r="CL44" s="304">
        <f>IF($E$9=2,Dados!$AF$52,IF($E$9=3,Dados!$AH$52,IF($E$9=4,Dados!$AJ$52,IF($E$9=5,Dados!$AL$52,IF($E$9=6,Dados!$AN$52,IF($E$9=7,Dados!$AP$52,IF($E$9=8,Dados!$AT$52,0)))))))</f>
        <v>0</v>
      </c>
      <c r="CM44" s="316">
        <f>IF($E$10=2,Dados!$AE$52,IF($E$10=3,Dados!$AG$52,IF($E$10=4,Dados!$AI$52,IF($E$10=5,Dados!$AK$52,IF($E$10=6,Dados!$AM$52,IF($E$10=7,Dados!$AO$52,IF($E$10=8,Dados!$AS$52,0)))))))</f>
        <v>0</v>
      </c>
      <c r="CN44" s="304">
        <f>IF($E$10=2,Dados!$AF$52,IF($E$10=3,Dados!$AH$52,IF($E$10=4,Dados!$AJ$52,IF($E$10=5,Dados!$AL$52,IF($E$10=6,Dados!$AN$52,IF($E$10=7,Dados!$AP$52,IF($E$10=8,Dados!$AT$52,0)))))))</f>
        <v>0</v>
      </c>
      <c r="CO44" s="316">
        <f>IF($E$11=2,Dados!$AE$52,IF($E$11=3,Dados!$AG$52,IF($E$11=4,Dados!$AI$52,IF($E$11=5,Dados!$AK$52,IF($E$11=6,Dados!$AM$52,IF($E$11=7,Dados!$AO$52,IF($E$11=8,Dados!$AS$52,0)))))))</f>
        <v>0</v>
      </c>
      <c r="CP44" s="304">
        <f>IF($E$11=2,Dados!$AF$52,IF($E$11=3,Dados!$AH$52,IF($E$11=4,Dados!$AJ$52,IF($E$11=5,Dados!$AL$52,IF($E$11=6,Dados!$AN$52,IF($E$11=7,Dados!$AP$52,IF($E$11=8,Dados!$AT$52,0)))))))</f>
        <v>0</v>
      </c>
      <c r="CR44" s="316">
        <f>IF($E$16=2,Dados!$AE$52,IF($E$16=3,Dados!$AG$52,IF($E$16=4,Dados!$AI$52,IF($E$16=5,Dados!$AK$52,IF($E$16=6,Dados!$AM$52,IF($E$16=7,Dados!$AO$52,IF($E$16=8,Dados!$AS$52,0)))))))</f>
        <v>0</v>
      </c>
      <c r="CS44" s="304">
        <f>IF($E$16=2,Dados!$AF$52,IF($E$16=3,Dados!$AH$52,IF($E$16=4,Dados!$AJ$52,IF($E$16=5,Dados!$AL$52,IF($E$16=6,Dados!$AN$52,IF($E$16=7,Dados!$AP$52,IF($E$16=8,Dados!$AT$52,0)))))))</f>
        <v>0</v>
      </c>
      <c r="CT44" s="316">
        <f>IF($E$17=2,Dados!$AE$52,IF($E$17=3,Dados!$AG$52,IF($E$17=4,Dados!$AI$52,IF($E$17=5,Dados!$AK$52,IF($E$17=6,Dados!$AM$52,IF($E$17=7,Dados!$AO$52,IF($E$17=8,Dados!$AS$52,0)))))))</f>
        <v>0</v>
      </c>
      <c r="CU44" s="304">
        <f>IF($E$17=2,Dados!$AF$52,IF($E$17=3,Dados!$AH$52,IF($E$17=4,Dados!$AJ$52,IF($E$17=5,Dados!$AL$52,IF($E$17=6,Dados!$AN$52,IF($E$17=7,Dados!$AP$52,IF($E$17=8,Dados!$AT$52,0)))))))</f>
        <v>0</v>
      </c>
      <c r="CV44" s="316">
        <f>IF($E$18=2,Dados!$AE$52,IF($E$18=3,Dados!$AG$52,IF($E$18=4,Dados!$AI$52,IF($E$18=5,Dados!$AK$52,IF($E$18=6,Dados!$AM$52,IF($E$18=7,Dados!$AO$52,IF($E$18=8,Dados!$AS$52,0)))))))</f>
        <v>0</v>
      </c>
      <c r="CW44" s="304">
        <f>IF($E$18=2,Dados!$AF$52,IF($E$18=3,Dados!$AH$52,IF($E$18=4,Dados!$AJ$52,IF($E$18=5,Dados!$AL$52,IF($E$18=6,Dados!$AN$52,IF($E$18=7,Dados!$AP$52,IF($E$18=8,Dados!$AT$52,0)))))))</f>
        <v>0</v>
      </c>
      <c r="CX44" s="316">
        <f>IF($E$19=2,Dados!$AE$52,IF($E$19=3,Dados!$AG$52,IF($E$19=4,Dados!$AI$52,IF($E$19=5,Dados!$AK$52,IF($E$19=6,Dados!$AM$52,IF($E$19=7,Dados!$AO$52,IF($E$19=8,Dados!$AS$52,0)))))))</f>
        <v>0</v>
      </c>
      <c r="CY44" s="304">
        <f>IF($E$19=2,Dados!$AF$52,IF($E$19=3,Dados!$AH$52,IF($E$19=4,Dados!$AJ$52,IF($E$19=5,Dados!$AL$52,IF($E$19=6,Dados!$AN$52,IF($E$19=7,Dados!$AP$52,IF($E$19=8,Dados!$AT$52,0)))))))</f>
        <v>0</v>
      </c>
      <c r="CZ44" s="316">
        <f>IF($E$20=2,Dados!$AE$52,IF($E$20=3,Dados!$AG$52,IF($E$20=4,Dados!$AI$52,IF($E$20=5,Dados!$AK$52,IF($E$20=6,Dados!$AM$52,IF($E$20=7,Dados!$AO$52,IF($E$20=8,Dados!$AS$52,0)))))))</f>
        <v>0</v>
      </c>
      <c r="DA44" s="304">
        <f>IF($E$20=2,Dados!$AF$52,IF($E$20=3,Dados!$AH$52,IF($E$20=4,Dados!$AJ$52,IF($E$20=5,Dados!$AL$52,IF($E$20=6,Dados!$AN$52,IF($E$20=7,Dados!$AP$52,IF($E$20=8,Dados!$AT$52,0)))))))</f>
        <v>0</v>
      </c>
      <c r="DC44" s="316">
        <f>IF($E$25=2,Dados!$AE$52,IF($E$25=3,Dados!$AG$52,IF($E$25=4,Dados!$AI$52,IF($E$25=5,Dados!$AK$52,IF($E$25=6,Dados!$AM$52,IF($E$25=7,Dados!$AO$52,IF($E$25=8,Dados!$AS$52,0)))))))</f>
        <v>0</v>
      </c>
      <c r="DD44" s="304">
        <f>IF($E$25=2,Dados!$AF$52,IF($E$25=3,Dados!$AH$52,IF($E$25=4,Dados!$AJ$52,IF($E$25=5,Dados!$AL$52,IF($E$25=6,Dados!$AN$52,IF($E$25=7,Dados!$AP$52,IF($E$25=8,Dados!$AT$52,0)))))))</f>
        <v>0</v>
      </c>
      <c r="DE44" s="316">
        <f>IF($E$26=2,Dados!$AE$52,IF($E$26=3,Dados!$AG$52,IF($E$26=4,Dados!$AI$52,IF($E$26=5,Dados!$AK$52,IF($E$26=6,Dados!$AM$52,IF($E$26=7,Dados!$AO$52,IF($E$26=8,Dados!$AS$52,0)))))))</f>
        <v>0</v>
      </c>
      <c r="DF44" s="304">
        <f>IF($E$26=2,Dados!$AF$52,IF($E$26=3,Dados!$AH$52,IF($E$26=4,Dados!$AJ$52,IF($E$26=5,Dados!$AL$52,IF($E$26=6,Dados!$AN$52,IF($E$26=7,Dados!$AP$52,IF($E$26=8,Dados!$AT$52,0)))))))</f>
        <v>0</v>
      </c>
      <c r="DG44" s="316">
        <f>IF($E$27=2,Dados!$AE$52,IF($E$27=3,Dados!$AG$52,IF($E$27=4,Dados!$AI$52,IF($E$27=5,Dados!$AK$52,IF($E$27=6,Dados!$AM$52,IF($E$27=7,Dados!$AO$52,IF($E$27=8,Dados!$AS$52,0)))))))</f>
        <v>0</v>
      </c>
      <c r="DH44" s="304">
        <f>IF($E$27=2,Dados!$AF$52,IF($E$27=3,Dados!$AH$52,IF($E$27=4,Dados!$AJ$52,IF($E$27=5,Dados!$AL$52,IF($E$27=6,Dados!$AN$52,IF($E$27=7,Dados!$AP$52,IF($E$27=8,Dados!$AT$52,0)))))))</f>
        <v>0</v>
      </c>
      <c r="DI44" s="316">
        <f>IF($E$28=2,Dados!$AE$52,IF($E$28=3,Dados!$AG$52,IF($E$28=4,Dados!$AI$52,IF($E$28=5,Dados!$AK$52,IF($E$28=6,Dados!$AM$52,IF($E$28=7,Dados!$AO$52,IF($E$28=8,Dados!$AS$52,0)))))))</f>
        <v>0</v>
      </c>
      <c r="DJ44" s="304">
        <f>IF($E$28=2,Dados!$AF$52,IF($E$28=3,Dados!$AH$52,IF($E$28=4,Dados!$AJ$52,IF($E$28=5,Dados!$AL$52,IF($E$28=6,Dados!$AN$52,IF($E$28=7,Dados!$AP$52,IF($E$28=8,Dados!$AT$52,0)))))))</f>
        <v>0</v>
      </c>
      <c r="DK44" s="316">
        <f>IF($E$29=2,Dados!$AE$52,IF($E$29=3,Dados!$AG$52,IF($E$29=4,Dados!$AI$52,IF($E$29=5,Dados!$AK$52,IF($E$29=6,Dados!$AM$52,IF($E$29=7,Dados!$AO$52,IF($E$29=8,Dados!$AS$52,0)))))))</f>
        <v>0</v>
      </c>
      <c r="DL44" s="304">
        <f>IF($E$29=2,Dados!$AF$52,IF($E$29=3,Dados!$AH$52,IF($E$29=4,Dados!$AJ$52,IF($E$29=5,Dados!$AL$52,IF($E$29=6,Dados!$AN$52,IF($E$29=7,Dados!$AP$52,IF($E$29=8,Dados!$AT$52,0)))))))</f>
        <v>0</v>
      </c>
      <c r="DN44" s="316">
        <f>IF($E$34=2,Dados!$AE$52,IF($E$34=3,Dados!$AG$52,IF($E$34=4,Dados!$AI$52,IF($E$34=5,Dados!$AK$52,IF($E$34=6,Dados!$AM$52,IF($E$34=7,Dados!$AO$52,IF($E$34=8,Dados!$AS$52,0)))))))</f>
        <v>0</v>
      </c>
      <c r="DO44" s="304">
        <f>IF($E$34=2,Dados!$AF$52,IF($E$34=3,Dados!$AH$52,IF($E$34=4,Dados!$AJ$52,IF($E$34=5,Dados!$AL$52,IF($E$34=6,Dados!$AN$52,IF($E$34=7,Dados!$AP$52,IF($E$34=8,Dados!$AT$52,0)))))))</f>
        <v>0</v>
      </c>
      <c r="DP44" s="316">
        <f>IF($E$35=2,Dados!$AE$52,IF($E$35=3,Dados!$AG$52,IF($E$35=4,Dados!$AI$52,IF($E$35=5,Dados!$AK$52,IF($E$35=6,Dados!$AM$52,IF($E$35=7,Dados!$AO$52,IF($E$35=8,Dados!$AS$52,0)))))))</f>
        <v>0</v>
      </c>
      <c r="DQ44" s="304">
        <f>IF($E$35=2,Dados!$AF$52,IF($E$35=3,Dados!$AH$52,IF($E$35=4,Dados!$AJ$52,IF($E$35=5,Dados!$AL$52,IF($E$35=6,Dados!$AN$52,IF($E$35=7,Dados!$AP$52,IF($E$35=8,Dados!$AT$52,0)))))))</f>
        <v>0</v>
      </c>
      <c r="DR44" s="316">
        <f>IF($E$36=2,Dados!$AE$52,IF($E$36=3,Dados!$AG$52,IF($E$36=4,Dados!$AI$52,IF($E$36=5,Dados!$AK$52,IF($E$36=6,Dados!$AM$52,IF($E$36=7,Dados!$AO$52,IF($E$36=8,Dados!$AS$52,0)))))))</f>
        <v>0</v>
      </c>
      <c r="DS44" s="304">
        <f>IF($E$36=2,Dados!$AF$52,IF($E$36=3,Dados!$AH$52,IF($E$36=4,Dados!$AJ$52,IF($E$36=5,Dados!$AL$52,IF($E$36=6,Dados!$AN$52,IF($E$36=7,Dados!$AP$52,IF($E$36=8,Dados!$AT$52,0)))))))</f>
        <v>0</v>
      </c>
      <c r="DT44" s="316">
        <f>IF($E$37=2,Dados!$AE$52,IF($E$37=3,Dados!$AG$52,IF($E$37=4,Dados!$AI$52,IF($E$37=5,Dados!$AK$52,IF($E$37=6,Dados!$AM$52,IF($E$37=7,Dados!$AO$52,IF($E$37=8,Dados!$AS$52,0)))))))</f>
        <v>0</v>
      </c>
      <c r="DU44" s="304">
        <f>IF($E$37=2,Dados!$AF$52,IF($E$37=3,Dados!$AH$52,IF($E$37=4,Dados!$AJ$52,IF($E$37=5,Dados!$AL$52,IF($E$37=6,Dados!$AN$52,IF($E$37=7,Dados!$AP$52,IF($E$37=8,Dados!$AT$52,0)))))))</f>
        <v>0</v>
      </c>
      <c r="DV44" s="316">
        <f>IF($E$38=2,Dados!$AE$52,IF($E$38=3,Dados!$AG$52,IF($E$38=4,Dados!$AI$52,IF($E$38=5,Dados!$AK$52,IF($E$38=6,Dados!$AM$52,IF($E$38=7,Dados!$AO$52,IF($E$38=8,Dados!$AS$52,0)))))))</f>
        <v>0</v>
      </c>
      <c r="DW44" s="304">
        <f>IF($E$38=2,Dados!$AF$52,IF($E$38=3,Dados!$AH$52,IF($E$38=4,Dados!$AJ$52,IF($E$38=5,Dados!$AL$52,IF($E$38=6,Dados!$AN$52,IF($E$38=7,Dados!$AP$52,IF($E$38=8,Dados!$AT$52,0)))))))</f>
        <v>0</v>
      </c>
      <c r="DY44" s="316">
        <f>IF($E$43=2,Dados!$AE$52,IF($E$43=3,Dados!$AG$52,IF($E$43=4,Dados!$AI$52,IF($E$43=5,Dados!$AK$52,IF($E$43=6,Dados!$AM$52,IF($E$43=7,Dados!$AO$52,IF($E$43=8,Dados!$AS$52,0)))))))</f>
        <v>0</v>
      </c>
      <c r="DZ44" s="304">
        <f>IF($E$43=2,Dados!$AF$52,IF($E$43=3,Dados!$AH$52,IF($E$43=4,Dados!$AJ$52,IF($E$43=5,Dados!$AL$52,IF($E$43=6,Dados!$AN$52,IF($E$43=7,Dados!$AP$52,IF($E$43=8,Dados!$AT$52,0)))))))</f>
        <v>0</v>
      </c>
      <c r="EA44" s="316">
        <f>IF($E$44=2,Dados!$AE$52,IF($E$44=3,Dados!$AG$52,IF($E$44=4,Dados!$AI$52,IF($E$44=5,Dados!$AK$52,IF($E$44=6,Dados!$AM$52,IF($E$44=7,Dados!$AO$52,IF($E$44=8,Dados!$AS$52,0)))))))</f>
        <v>0</v>
      </c>
      <c r="EB44" s="304">
        <f>IF($E$44=2,Dados!$AF$52,IF($E$44=3,Dados!$AH$52,IF($E$44=4,Dados!$AJ$52,IF($E$44=5,Dados!$AL$52,IF($E$44=6,Dados!$AN$52,IF($E$44=7,Dados!$AP$52,IF($E$44=8,Dados!$AT$52,0)))))))</f>
        <v>0</v>
      </c>
      <c r="EC44" s="316">
        <f>IF($E$45=2,Dados!$AE$52,IF($E$45=3,Dados!$AG$52,IF($E$45=4,Dados!$AI$52,IF($E$45=5,Dados!$AK$52,IF($E$45=6,Dados!$AM$52,IF($E$45=7,Dados!$AO$52,IF($E$45=8,Dados!$AS$52,0)))))))</f>
        <v>0</v>
      </c>
      <c r="ED44" s="304">
        <f>IF($E$45=2,Dados!$AF$52,IF($E$45=3,Dados!$AH$52,IF($E$45=4,Dados!$AJ$52,IF($E$45=5,Dados!$AL$52,IF($E$45=6,Dados!$AN$52,IF($E$45=7,Dados!$AP$52,IF($E$45=8,Dados!$AT$52,0)))))))</f>
        <v>0</v>
      </c>
      <c r="EE44" s="316">
        <f>IF($E$46=2,Dados!$AE$52,IF($E$46=3,Dados!$AG$52,IF($E$46=4,Dados!$AI$52,IF($E$46=5,Dados!$AK$52,IF($E$46=6,Dados!$AM$52,IF($E$46=7,Dados!$AO$52,IF($E$46=8,Dados!$AS$52,0)))))))</f>
        <v>0</v>
      </c>
      <c r="EF44" s="304">
        <f>IF($E$46=2,Dados!$AF$52,IF($E$46=3,Dados!$AH$52,IF($E$46=4,Dados!$AJ$52,IF($E$46=5,Dados!$AL$52,IF($E$46=6,Dados!$AN$52,IF($E$46=7,Dados!$AP$52,IF($E$46=8,Dados!$AT$52,0)))))))</f>
        <v>0</v>
      </c>
      <c r="EG44" s="316">
        <f>IF($E$47=2,Dados!$AE$52,IF($E$47=3,Dados!$AG$52,IF($E$47=4,Dados!$AI$52,IF($E$47=5,Dados!$AK$52,IF($E$47=6,Dados!$AM$52,IF($E$47=7,Dados!$AO$52,IF($E$47=8,Dados!$AS$52,0)))))))</f>
        <v>0</v>
      </c>
      <c r="EH44" s="304">
        <f>IF($E$47=2,Dados!$AF$52,IF($E$47=3,Dados!$AH$52,IF($E$47=4,Dados!$AJ$52,IF($E$47=5,Dados!$AL$52,IF($E$47=6,Dados!$AN$52,IF($E$47=7,Dados!$AP$52,IF($E$47=8,Dados!$AT$52,0)))))))</f>
        <v>0</v>
      </c>
      <c r="EJ44" s="316">
        <f>IF($E$52=2,Dados!$AE$52,IF($E$52=3,Dados!$AG$52,IF($E$52=4,Dados!$AI$52,IF($E$52=5,Dados!$AK$52,IF($E$52=6,Dados!$AM$52,IF($E$52=7,Dados!$AO$52,IF($E$52=8,Dados!$AS$52,0)))))))</f>
        <v>0</v>
      </c>
      <c r="EK44" s="304">
        <f>IF($E$52=2,Dados!$AF$52,IF($E$52=3,Dados!$AH$52,IF($E$52=4,Dados!$AJ$52,IF($E$52=5,Dados!$AL$52,IF($E$52=6,Dados!$AN$52,IF($E$52=7,Dados!$AP$52,IF($E$52=8,Dados!$AT$52,0)))))))</f>
        <v>0</v>
      </c>
      <c r="EL44" s="316">
        <f>IF($E$53=2,Dados!$AE$52,IF($E$53=3,Dados!$AG$52,IF($E$53=4,Dados!$AI$52,IF($E$53=5,Dados!$AK$52,IF($E$53=6,Dados!$AM$52,IF($E$53=7,Dados!$AO$52,IF($E$53=8,Dados!$AS$52,0)))))))</f>
        <v>0</v>
      </c>
      <c r="EM44" s="304">
        <f>IF($E$53=2,Dados!$AF$52,IF($E$53=3,Dados!$AH$52,IF($E$53=4,Dados!$AJ$52,IF($E$53=5,Dados!$AL$52,IF($E$53=6,Dados!$AN$52,IF($E$53=7,Dados!$AP$52,IF($E$53=8,Dados!$AT$52,0)))))))</f>
        <v>0</v>
      </c>
      <c r="EN44" s="316">
        <f>IF($E$54=2,Dados!$AE$52,IF($E$54=3,Dados!$AG$52,IF($E$54=4,Dados!$AI$52,IF($E$54=5,Dados!$AK$52,IF($E$54=6,Dados!$AM$52,IF($E$54=7,Dados!$AO$52,IF($E$54=8,Dados!$AS$52,0)))))))</f>
        <v>0</v>
      </c>
      <c r="EO44" s="304">
        <f>IF($E$54=2,Dados!$AF$52,IF($E$54=3,Dados!$AH$52,IF($E$54=4,Dados!$AJ$52,IF($E$54=5,Dados!$AL$52,IF($E$54=6,Dados!$AN$52,IF($E$54=7,Dados!$AP$52,IF($E$54=8,Dados!$AT$52,0)))))))</f>
        <v>0</v>
      </c>
      <c r="EP44" s="316">
        <f>IF($E$55=2,Dados!$AE$52,IF($E$55=3,Dados!$AG$52,IF($E$55=4,Dados!$AI$52,IF($E$55=5,Dados!$AK$52,IF($E$55=6,Dados!$AM$52,IF($E$55=7,Dados!$AO$52,IF($E$55=8,Dados!$AS$52,0)))))))</f>
        <v>0</v>
      </c>
      <c r="EQ44" s="304">
        <f>IF($E$55=2,Dados!$AF$52,IF($E$55=3,Dados!$AH$52,IF($E$55=4,Dados!$AJ$52,IF($E$55=5,Dados!$AL$52,IF($E$55=6,Dados!$AN$52,IF($E$55=7,Dados!$AP$52,IF($E$55=8,Dados!$AT$52,0)))))))</f>
        <v>0</v>
      </c>
      <c r="ER44" s="316">
        <f>IF($E$56=2,Dados!$AE$52,IF($E$56=3,Dados!$AG$52,IF($E$56=4,Dados!$AI$52,IF($E$56=5,Dados!$AK$52,IF($E$56=6,Dados!$AM$52,IF($E$56=7,Dados!$AO$52,IF($E$56=8,Dados!$AS$52,0)))))))</f>
        <v>0</v>
      </c>
      <c r="ES44" s="304">
        <f>IF($E$56=2,Dados!$AF$52,IF($E$56=3,Dados!$AH$52,IF($E$56=4,Dados!$AJ$52,IF($E$56=5,Dados!$AL$52,IF($E$56=6,Dados!$AN$52,IF($E$56=7,Dados!$AP$52,IF($E$56=8,Dados!$AT$52,0)))))))</f>
        <v>0</v>
      </c>
      <c r="EU44" s="316">
        <f>IF($E$61=2,Dados!$AE$52,IF($E$61=3,Dados!$AG$52,IF($E$61=4,Dados!$AI$52,IF($E$61=5,Dados!$AK$52,IF($E$61=6,Dados!$AM$52,IF($E$61=7,Dados!$AO$52,IF($E$61=8,Dados!$AS$52,0)))))))</f>
        <v>0</v>
      </c>
      <c r="EV44" s="304">
        <f>IF($E$61=2,Dados!$AF$52,IF($E$61=3,Dados!$AH$52,IF($E$61=4,Dados!$AJ$52,IF($E$61=5,Dados!$AL$52,IF($E$61=6,Dados!$AN$52,IF($E$61=7,Dados!$AP$52,IF($E$61=8,Dados!$AT$52,0)))))))</f>
        <v>0</v>
      </c>
      <c r="EW44" s="316">
        <f>IF($E$62=2,Dados!$AE$52,IF($E$62=3,Dados!$AG$52,IF($E$62=4,Dados!$AI$52,IF($E$62=5,Dados!$AK$52,IF($E$62=6,Dados!$AM$52,IF($E$62=7,Dados!$AO$52,IF($E$62=8,Dados!$AS$52,0)))))))</f>
        <v>0</v>
      </c>
      <c r="EX44" s="304">
        <f>IF($E$62=2,Dados!$AF$52,IF($E$62=3,Dados!$AH$52,IF($E$62=4,Dados!$AJ$52,IF($E$62=5,Dados!$AL$52,IF($E$62=6,Dados!$AN$52,IF($E$62=7,Dados!$AP$52,IF($E$62=8,Dados!$AT$52,0)))))))</f>
        <v>0</v>
      </c>
      <c r="EY44" s="316">
        <f>IF($E$63=2,Dados!$AE$52,IF($E$63=3,Dados!$AG$52,IF($E$63=4,Dados!$AI$52,IF($E$63=5,Dados!$AK$52,IF($E$63=6,Dados!$AM$52,IF($E$63=7,Dados!$AO$52,IF($E$63=8,Dados!$AS$52,0)))))))</f>
        <v>0</v>
      </c>
      <c r="EZ44" s="304">
        <f>IF($E$63=2,Dados!$AF$52,IF($E$63=3,Dados!$AH$52,IF($E$63=4,Dados!$AJ$52,IF($E$63=5,Dados!$AL$52,IF($E$63=6,Dados!$AN$52,IF($E$63=7,Dados!$AP$52,IF($E$63=8,Dados!$AT$52,0)))))))</f>
        <v>0</v>
      </c>
      <c r="FA44" s="316">
        <f>IF($E$64=2,Dados!$AE$52,IF($E$64=3,Dados!$AG$52,IF($E$64=4,Dados!$AI$52,IF($E$64=5,Dados!$AK$52,IF($E$64=6,Dados!$AM$52,IF($E$64=7,Dados!$AO$52,IF($E$64=8,Dados!$AS$52,0)))))))</f>
        <v>0</v>
      </c>
      <c r="FB44" s="304">
        <f>IF($E$64=2,Dados!$AF$52,IF($E$64=3,Dados!$AH$52,IF($E$64=4,Dados!$AJ$52,IF($E$64=5,Dados!$AL$52,IF($E$64=6,Dados!$AN$52,IF($E$64=7,Dados!$AP$52,IF($E$64=8,Dados!$AT$52,0)))))))</f>
        <v>0</v>
      </c>
      <c r="FC44" s="316">
        <f>IF($E$65=2,Dados!$AE$52,IF($E$65=3,Dados!$AG$52,IF($E$65=4,Dados!$AI$52,IF($E$65=5,Dados!$AK$52,IF($E$65=6,Dados!$AM$52,IF($E$65=7,Dados!$AO$52,IF($E$65=8,Dados!$AS$52,0)))))))</f>
        <v>0</v>
      </c>
      <c r="FD44" s="304">
        <f>IF($E$65=2,Dados!$AF$52,IF($E$65=3,Dados!$AH$52,IF($E$65=4,Dados!$AJ$52,IF($E$65=5,Dados!$AL$52,IF($E$65=6,Dados!$AN$52,IF($E$65=7,Dados!$AP$52,IF($E$65=8,Dados!$AT$52,0)))))))</f>
        <v>0</v>
      </c>
      <c r="FF44" s="316">
        <f>IF($E$70=2,Dados!$AE$52,IF($E$70=3,Dados!$AG$52,IF($E$70=4,Dados!$AI$52,IF($E$70=5,Dados!$AK$52,IF($E$70=6,Dados!$AM$52,IF($E$70=7,Dados!$AO$52,IF($E$70=8,Dados!$AS$52,0)))))))</f>
        <v>0</v>
      </c>
      <c r="FG44" s="304">
        <f>IF($E$70=2,Dados!$AF$52,IF($E$70=3,Dados!$AH$52,IF($E$70=4,Dados!$AJ$52,IF($E$70=5,Dados!$AL$52,IF($E$70=6,Dados!$AN$52,IF($E$70=7,Dados!$AP$52,IF($E$70=8,Dados!$AT$52,0)))))))</f>
        <v>0</v>
      </c>
      <c r="FH44" s="316">
        <f>IF($E$71=2,Dados!$AE$52,IF($E$71=3,Dados!$AG$52,IF($E$71=4,Dados!$AI$52,IF($E$71=5,Dados!$AK$52,IF($E$71=6,Dados!$AM$52,IF($E$71=7,Dados!$AO$52,IF($E$71=8,Dados!$AS$52,0)))))))</f>
        <v>0</v>
      </c>
      <c r="FI44" s="304">
        <f>IF($E$71=2,Dados!$AF$52,IF($E$71=3,Dados!$AH$52,IF($E$71=4,Dados!$AJ$52,IF($E$71=5,Dados!$AL$52,IF($E$71=6,Dados!$AN$52,IF($E$71=7,Dados!$AP$52,IF($E$71=8,Dados!$AT$52,0)))))))</f>
        <v>0</v>
      </c>
      <c r="FJ44" s="316">
        <f>IF($E$72=2,Dados!$AE$52,IF($E$72=3,Dados!$AG$52,IF($E$72=4,Dados!$AI$52,IF($E$72=5,Dados!$AK$52,IF($E$72=6,Dados!$AM$52,IF($E$72=7,Dados!$AO$52,IF($E$72=8,Dados!$AS$52,0)))))))</f>
        <v>0</v>
      </c>
      <c r="FK44" s="304">
        <f>IF($E$72=2,Dados!$AF$52,IF($E$72=3,Dados!$AH$52,IF($E$72=4,Dados!$AJ$52,IF($E$72=5,Dados!$AL$52,IF($E$72=6,Dados!$AN$52,IF($E$72=7,Dados!$AP$52,IF($E$72=8,Dados!$AT$52,0)))))))</f>
        <v>0</v>
      </c>
      <c r="FL44" s="316">
        <f>IF($E$73=2,Dados!$AE$52,IF($E$73=3,Dados!$AG$52,IF($E$73=4,Dados!$AI$52,IF($E$73=5,Dados!$AK$52,IF($E$73=6,Dados!$AM$52,IF($E$73=7,Dados!$AO$52,IF($E$73=8,Dados!$AS$52,0)))))))</f>
        <v>0</v>
      </c>
      <c r="FM44" s="304">
        <f>IF($E$73=2,Dados!$AF$52,IF($E$73=3,Dados!$AH$52,IF($E$73=4,Dados!$AJ$52,IF($E$73=5,Dados!$AL$52,IF($E$73=6,Dados!$AN$52,IF($E$73=7,Dados!$AP$52,IF($E$73=8,Dados!$AT$52,0)))))))</f>
        <v>0</v>
      </c>
      <c r="FN44" s="316">
        <f>IF($E$74=2,Dados!$AE$52,IF($E$74=3,Dados!$AG$52,IF($E$74=4,Dados!$AI$52,IF($E$74=5,Dados!$AK$52,IF($E$74=6,Dados!$AM$52,IF($E$74=7,Dados!$AO$52,IF($E$74=8,Dados!$AS$52,0)))))))</f>
        <v>0</v>
      </c>
      <c r="FO44" s="304">
        <f>IF($E$74=2,Dados!$AF$52,IF($E$74=3,Dados!$AH$52,IF($E$74=4,Dados!$AJ$52,IF($E$74=5,Dados!$AL$52,IF($E$74=6,Dados!$AN$52,IF($E$74=7,Dados!$AP$52,IF($E$74=8,Dados!$AT$52,0)))))))</f>
        <v>0</v>
      </c>
      <c r="FQ44" s="316">
        <f>IF($E$79=2,Dados!$AE$52,IF($E$79=3,Dados!$AG$52,IF($E$79=4,Dados!$AI$52,IF($E$79=5,Dados!$AK$52,IF($E$79=6,Dados!$AM$52,IF($E$79=7,Dados!$AO$52,IF($E$79=8,Dados!$AS$52,0)))))))</f>
        <v>0</v>
      </c>
      <c r="FR44" s="304">
        <f>IF($E$79=2,Dados!$AF$52,IF($E$79=3,Dados!$AH$52,IF($E$79=4,Dados!$AJ$52,IF($E$79=5,Dados!$AL$52,IF($E$79=6,Dados!$AN$52,IF($E$79=7,Dados!$AP$52,IF($E$79=8,Dados!$AT$52,0)))))))</f>
        <v>0</v>
      </c>
      <c r="FS44" s="316">
        <f>IF($E$80=2,Dados!$AE$52,IF($E$80=3,Dados!$AG$52,IF($E$80=4,Dados!$AI$52,IF($E$80=5,Dados!$AK$52,IF($E$80=6,Dados!$AM$52,IF($E$80=7,Dados!$AO$52,IF($E$80=8,Dados!$AS$52,0)))))))</f>
        <v>0</v>
      </c>
      <c r="FT44" s="304">
        <f>IF($E$80=2,Dados!$AF$52,IF($E$80=3,Dados!$AH$52,IF($E$80=4,Dados!$AJ$52,IF($E$80=5,Dados!$AL$52,IF($E$80=6,Dados!$AN$52,IF($E$80=7,Dados!$AP$52,IF($E$80=8,Dados!$AT$52,0)))))))</f>
        <v>0</v>
      </c>
      <c r="FU44" s="316">
        <f>IF($E$81=2,Dados!$AE$52,IF($E$81=3,Dados!$AG$52,IF($E$81=4,Dados!$AI$52,IF($E$81=5,Dados!$AK$52,IF($E$81=6,Dados!$AM$52,IF($E$81=7,Dados!$AO$52,IF($E$81=8,Dados!$AS$52,0)))))))</f>
        <v>0</v>
      </c>
      <c r="FV44" s="304">
        <f>IF($E$81=2,Dados!$AF$52,IF($E$81=3,Dados!$AH$52,IF($E$81=4,Dados!$AJ$52,IF($E$81=5,Dados!$AL$52,IF($E$81=6,Dados!$AN$52,IF($E$81=7,Dados!$AP$52,IF($E$81=8,Dados!$AT$52,0)))))))</f>
        <v>0</v>
      </c>
      <c r="FW44" s="316">
        <f>IF($E$82=2,Dados!$AE$52,IF($E$82=3,Dados!$AG$52,IF($E$82=4,Dados!$AI$52,IF($E$82=5,Dados!$AK$52,IF($E$82=6,Dados!$AM$52,IF($E$82=7,Dados!$AO$52,IF($E$82=8,Dados!$AS$52,0)))))))</f>
        <v>0</v>
      </c>
      <c r="FX44" s="304">
        <f>IF($E$82=2,Dados!$AF$52,IF($E$82=3,Dados!$AH$52,IF($E$82=4,Dados!$AJ$52,IF($E$82=5,Dados!$AL$52,IF($E$82=6,Dados!$AN$52,IF($E$82=7,Dados!$AP$52,IF($E$82=8,Dados!$AT$52,0)))))))</f>
        <v>0</v>
      </c>
      <c r="FY44" s="316">
        <f>IF($E$83=2,Dados!$AE$52,IF($E$83=3,Dados!$AG$52,IF($E$83=4,Dados!$AI$52,IF($E$83=5,Dados!$AK$52,IF($E$83=6,Dados!$AM$52,IF($E$83=7,Dados!$AO$52,IF($E$83=8,Dados!$AS$52,0)))))))</f>
        <v>0</v>
      </c>
      <c r="FZ44" s="304">
        <f>IF($E$83=2,Dados!$AF$52,IF($E$83=3,Dados!$AH$52,IF($E$83=4,Dados!$AJ$52,IF($E$83=5,Dados!$AL$52,IF($E$83=6,Dados!$AN$52,IF($E$83=7,Dados!$AP$52,IF($E$83=8,Dados!$AT$52,0)))))))</f>
        <v>0</v>
      </c>
      <c r="GB44" s="316">
        <f>IF($E$88=2,Dados!$AE$52,IF($E$88=3,Dados!$AG$52,IF($E$88=4,Dados!$AI$52,IF($E$88=5,Dados!$AK$52,IF($E$88=6,Dados!$AM$52,IF($E$88=7,Dados!$AO$52,IF($E$88=8,Dados!$AS$52,0)))))))</f>
        <v>0</v>
      </c>
      <c r="GC44" s="304">
        <f>IF($E$88=2,Dados!$AF$52,IF($E$88=3,Dados!$AH$52,IF($E$88=4,Dados!$AJ$52,IF($E$88=5,Dados!$AL$52,IF($E$88=6,Dados!$AN$52,IF($E$88=7,Dados!$AP$52,IF($E$88=8,Dados!$AT$52,0)))))))</f>
        <v>0</v>
      </c>
      <c r="GD44" s="316">
        <f>IF($E$89=2,Dados!$AE$52,IF($E$89=3,Dados!$AG$52,IF($E$89=4,Dados!$AI$52,IF($E$89=5,Dados!$AK$52,IF($E$89=6,Dados!$AM$52,IF($E$89=7,Dados!$AO$52,IF($E$89=8,Dados!$AS$52,0)))))))</f>
        <v>0</v>
      </c>
      <c r="GE44" s="304">
        <f>IF($E$89=2,Dados!$AF$52,IF($E$89=3,Dados!$AH$52,IF($E$89=4,Dados!$AJ$52,IF($E$89=5,Dados!$AL$52,IF($E$89=6,Dados!$AN$52,IF($E$89=7,Dados!$AP$52,IF($E$89=8,Dados!$AT$52,0)))))))</f>
        <v>0</v>
      </c>
      <c r="GF44" s="316">
        <f>IF($E$90=2,Dados!$AE$52,IF($E$90=3,Dados!$AG$52,IF($E$90=4,Dados!$AI$52,IF($E$90=5,Dados!$AK$52,IF($E$90=6,Dados!$AM$52,IF($E$90=7,Dados!$AO$52,IF($E$90=8,Dados!$AS$52,0)))))))</f>
        <v>0</v>
      </c>
      <c r="GG44" s="304">
        <f>IF($E$90=2,Dados!$AF$52,IF($E$90=3,Dados!$AH$52,IF($E$90=4,Dados!$AJ$52,IF($E$90=5,Dados!$AL$52,IF($E$90=6,Dados!$AN$52,IF($E$90=7,Dados!$AP$52,IF($E$90=8,Dados!$AT$52,0)))))))</f>
        <v>0</v>
      </c>
      <c r="GH44" s="316">
        <f>IF($E$91=2,Dados!$AE$52,IF($E$91=3,Dados!$AG$52,IF($E$91=4,Dados!$AI$52,IF($E$91=5,Dados!$AK$52,IF($E$91=6,Dados!$AM$52,IF($E$91=7,Dados!$AO$52,IF($E$91=8,Dados!$AS$52,0)))))))</f>
        <v>0</v>
      </c>
      <c r="GI44" s="304">
        <f>IF($E$91=2,Dados!$AF$52,IF($E$91=3,Dados!$AH$52,IF($E$91=4,Dados!$AJ$52,IF($E$91=5,Dados!$AL$52,IF($E$91=6,Dados!$AN$52,IF($E$91=7,Dados!$AP$52,IF($E$91=8,Dados!$AT$52,0)))))))</f>
        <v>0</v>
      </c>
      <c r="GJ44" s="316">
        <f>IF($E$92=2,Dados!$AE$52,IF($E$92=3,Dados!$AG$52,IF($E$92=4,Dados!$AI$52,IF($E$92=5,Dados!$AK$52,IF($E$92=6,Dados!$AM$52,IF($E$92=7,Dados!$AO$52,IF($E$92=8,Dados!$AS$52,0)))))))</f>
        <v>0</v>
      </c>
      <c r="GK44" s="304">
        <f>IF($E$92=2,Dados!$AF$52,IF($E$92=3,Dados!$AH$52,IF($E$92=4,Dados!$AJ$52,IF($E$92=5,Dados!$AL$52,IF($E$92=6,Dados!$AN$52,IF($E$92=7,Dados!$AP$52,IF($E$92=8,Dados!$AT$52,0)))))))</f>
        <v>0</v>
      </c>
      <c r="GM44" s="316">
        <f>IF($E$97=2,Dados!$AE$52,IF($E$97=3,Dados!$AG$52,IF($E$97=4,Dados!$AI$52,IF($E$97=5,Dados!$AK$52,IF($E$97=6,Dados!$AM$52,IF($E$97=7,Dados!$AO$52,IF($E$97=8,Dados!$AS$52,0)))))))</f>
        <v>0</v>
      </c>
      <c r="GN44" s="304">
        <f>IF($E$97=2,Dados!$AF$52,IF($E$97=3,Dados!$AH$52,IF($E$97=4,Dados!$AJ$52,IF($E$97=5,Dados!$AL$52,IF($E$97=6,Dados!$AN$52,IF($E$97=7,Dados!$AP$52,IF($E$97=8,Dados!$AT$52,0)))))))</f>
        <v>0</v>
      </c>
      <c r="GO44" s="316">
        <f>IF($E$98=2,Dados!$AE$52,IF($E$98=3,Dados!$AG$52,IF($E$98=4,Dados!$AI$52,IF($E$98=5,Dados!$AK$52,IF($E$98=6,Dados!$AM$52,IF($E$98=7,Dados!$AO$52,IF($E$98=8,Dados!$AS$52,0)))))))</f>
        <v>0</v>
      </c>
      <c r="GP44" s="304">
        <f>IF($E$98=2,Dados!$AF$52,IF($E$98=3,Dados!$AH$52,IF($E$98=4,Dados!$AJ$52,IF($E$98=5,Dados!$AL$52,IF($E$98=6,Dados!$AN$52,IF($E$98=7,Dados!$AP$52,IF($E$98=8,Dados!$AT$52,0)))))))</f>
        <v>0</v>
      </c>
      <c r="GQ44" s="316">
        <f>IF($E$99=2,Dados!$AE$52,IF($E$99=3,Dados!$AG$52,IF($E$99=4,Dados!$AI$52,IF($E$99=5,Dados!$AK$52,IF($E$99=6,Dados!$AM$52,IF($E$99=7,Dados!$AO$52,IF($E$99=8,Dados!$AS$52,0)))))))</f>
        <v>0</v>
      </c>
      <c r="GR44" s="304">
        <f>IF($E$99=2,Dados!$AF$52,IF($E$99=3,Dados!$AH$52,IF($E$99=4,Dados!$AJ$52,IF($E$99=5,Dados!$AL$52,IF($E$99=6,Dados!$AN$52,IF($E$99=7,Dados!$AP$52,IF($E$99=8,Dados!$AT$52,0)))))))</f>
        <v>0</v>
      </c>
      <c r="GS44" s="316">
        <f>IF($E$100=2,Dados!$AE$52,IF($E$100=3,Dados!$AG$52,IF($E$100=4,Dados!$AI$52,IF($E$100=5,Dados!$AK$52,IF($E$100=6,Dados!$AM$52,IF($E$100=7,Dados!$AO$52,IF($E$100=8,Dados!$AS$52,0)))))))</f>
        <v>0</v>
      </c>
      <c r="GT44" s="304">
        <f>IF($E$100=2,Dados!$AF$52,IF($E$100=3,Dados!$AH$52,IF($E$100=4,Dados!$AJ$52,IF($E$100=5,Dados!$AL$52,IF($E$100=6,Dados!$AN$52,IF($E$100=7,Dados!$AP$52,IF($E$100=8,Dados!$AT$52,0)))))))</f>
        <v>0</v>
      </c>
      <c r="GU44" s="316">
        <f>IF($E$101=2,Dados!$AE$52,IF($E$101=3,Dados!$AG$52,IF($E$101=4,Dados!$AI$52,IF($E$101=5,Dados!$AK$52,IF($E$101=6,Dados!$AM$52,IF($E$101=7,Dados!$AO$52,IF($E$101=8,Dados!$AS$52,0)))))))</f>
        <v>0</v>
      </c>
      <c r="GV44" s="304">
        <f>IF($E$101=2,Dados!$AF$52,IF($E$101=3,Dados!$AH$52,IF($E$101=4,Dados!$AJ$52,IF($E$101=5,Dados!$AL$52,IF($E$101=6,Dados!$AN$52,IF($E$101=7,Dados!$AP$52,IF($E$101=8,Dados!$AT$52,0)))))))</f>
        <v>0</v>
      </c>
      <c r="GX44" s="316">
        <f>IF($E$106=2,Dados!$AE$52,IF($E$106=3,Dados!$AG$52,IF($E$106=4,Dados!$AI$52,IF($E$106=5,Dados!$AK$52,IF($E$106=6,Dados!$AM$52,IF($E$106=7,Dados!$AO$52,IF($E$106=8,Dados!$AS$52,0)))))))</f>
        <v>0</v>
      </c>
      <c r="GY44" s="304">
        <f>IF($E$106=2,Dados!$AF$52,IF($E$106=3,Dados!$AH$52,IF($E$106=4,Dados!$AJ$52,IF($E$106=5,Dados!$AL$52,IF($E$106=6,Dados!$AN$52,IF($E$106=7,Dados!$AP$52,IF($E$106=8,Dados!$AT$52,0)))))))</f>
        <v>0</v>
      </c>
      <c r="GZ44" s="316">
        <f>IF($E$107=2,Dados!$AE$52,IF($E$107=3,Dados!$AG$52,IF($E$107=4,Dados!$AI$52,IF($E$107=5,Dados!$AK$52,IF($E$107=6,Dados!$AM$52,IF($E$107=7,Dados!$AO$52,IF($E$107=8,Dados!$AS$52,0)))))))</f>
        <v>0</v>
      </c>
      <c r="HA44" s="304">
        <f>IF($E$107=2,Dados!$AF$52,IF($E$107=3,Dados!$AH$52,IF($E$107=4,Dados!$AJ$52,IF($E$107=5,Dados!$AL$52,IF($E$107=6,Dados!$AN$52,IF($E$107=7,Dados!$AP$52,IF($E$107=8,Dados!$AT$52,0)))))))</f>
        <v>0</v>
      </c>
      <c r="HB44" s="316">
        <f>IF($E$108=2,Dados!$AE$52,IF($E$108=3,Dados!$AG$52,IF($E$108=4,Dados!$AI$52,IF($E$108=5,Dados!$AK$52,IF($E$108=6,Dados!$AM$52,IF($E$108=7,Dados!$AO$52,IF($E$108=8,Dados!$AS$52,0)))))))</f>
        <v>0</v>
      </c>
      <c r="HC44" s="304">
        <f>IF($E$108=2,Dados!$AF$52,IF($E$108=3,Dados!$AH$52,IF($E$108=4,Dados!$AJ$52,IF($E$108=5,Dados!$AL$52,IF($E$108=6,Dados!$AN$52,IF($E$108=7,Dados!$AP$52,IF($E$108=8,Dados!$AT$52,0)))))))</f>
        <v>0</v>
      </c>
      <c r="HD44" s="316">
        <f>IF($E$109=2,Dados!$AE$52,IF($E$109=3,Dados!$AG$52,IF($E$109=4,Dados!$AI$52,IF($E$109=5,Dados!$AK$52,IF($E$109=6,Dados!$AM$52,IF($E$109=7,Dados!$AO$52,IF($E$109=8,Dados!$AS$52,0)))))))</f>
        <v>0</v>
      </c>
      <c r="HE44" s="304">
        <f>IF($E$109=2,Dados!$AF$52,IF($E$109=3,Dados!$AH$52,IF($E$109=4,Dados!$AJ$52,IF($E$109=5,Dados!$AL$52,IF($E$109=6,Dados!$AN$52,IF($E$109=7,Dados!$AP$52,IF($E$109=8,Dados!$AT$52,0)))))))</f>
        <v>0</v>
      </c>
      <c r="HF44" s="316">
        <f>IF($E$110=2,Dados!$AE$52,IF($E$110=3,Dados!$AG$52,IF($E$110=4,Dados!$AI$52,IF($E$110=5,Dados!$AK$52,IF($E$110=6,Dados!$AM$52,IF($E$110=7,Dados!$AO$52,IF($E$110=8,Dados!$AS$52,0)))))))</f>
        <v>0</v>
      </c>
      <c r="HG44" s="304">
        <f>IF($E$110=2,Dados!$AF$52,IF($E$110=3,Dados!$AH$52,IF($E$110=4,Dados!$AJ$52,IF($E$110=5,Dados!$AL$52,IF($E$110=6,Dados!$AN$52,IF($E$110=7,Dados!$AP$52,IF($E$110=8,Dados!$AT$52,0)))))))</f>
        <v>0</v>
      </c>
    </row>
    <row r="45" spans="3:215" ht="15.75" customHeight="1" x14ac:dyDescent="0.2">
      <c r="C45" s="156">
        <f>IF(R45=1,0,S45)</f>
        <v>0</v>
      </c>
      <c r="D45" s="2721"/>
      <c r="E45" s="180">
        <v>1</v>
      </c>
      <c r="F45" s="2718">
        <v>1</v>
      </c>
      <c r="G45" s="2719"/>
      <c r="H45" s="309"/>
      <c r="I45" s="229"/>
      <c r="J45" s="314"/>
      <c r="K45" s="157"/>
      <c r="L45" s="305"/>
      <c r="M45" s="127">
        <f>IF(I45=1,K45,IF(I45=2,K45/J45,IF(I45=3,K45*L45,0)))</f>
        <v>0</v>
      </c>
      <c r="N45" s="3">
        <v>1</v>
      </c>
      <c r="O45" s="30">
        <v>1</v>
      </c>
      <c r="P45" s="837">
        <f>IF(N45=1,0,VLOOKUP(N45,Rebanho!$AN$45:$AV$72,4)*O45)</f>
        <v>0</v>
      </c>
      <c r="Q45" s="838">
        <f>VLOOKUP(N45,Rebanho!$AN$45:$AV$72,7)*O45</f>
        <v>0</v>
      </c>
      <c r="R45" s="3">
        <v>1</v>
      </c>
      <c r="S45" s="29"/>
      <c r="T45" s="102">
        <f>VLOOKUP(R45,'Mão-de-obra'!$CJ$10:$CL$29,3)</f>
        <v>0</v>
      </c>
      <c r="U45" s="102">
        <f>T45*S45</f>
        <v>0</v>
      </c>
      <c r="V45" s="127">
        <f>IF(I45=1,M45*P45,IF(I45=2,M45*Q45*L45,IF(I45=3,M45,0)))</f>
        <v>0</v>
      </c>
      <c r="W45" s="129">
        <f>U45+V45</f>
        <v>0</v>
      </c>
      <c r="X45" s="93">
        <v>1</v>
      </c>
      <c r="Y45" s="93">
        <v>1</v>
      </c>
      <c r="Z45" s="127">
        <f t="shared" si="12"/>
        <v>0</v>
      </c>
      <c r="AU45" s="93">
        <v>5</v>
      </c>
      <c r="AW45" s="3" t="s">
        <v>76</v>
      </c>
      <c r="AX45" s="94">
        <f>IF($E43=4,$V43,0)</f>
        <v>0</v>
      </c>
      <c r="AY45" s="94">
        <f>IF($E44=4,$V44,0)</f>
        <v>0</v>
      </c>
      <c r="AZ45" s="94">
        <f>IF($E45=4,$V45,0)</f>
        <v>0</v>
      </c>
      <c r="BA45" s="94">
        <f>IF($E46=4,$V46,0)</f>
        <v>0</v>
      </c>
      <c r="BB45" s="94">
        <f>IF($E47=4,$V47,0)</f>
        <v>0</v>
      </c>
      <c r="BC45" s="200">
        <f t="shared" si="11"/>
        <v>0</v>
      </c>
      <c r="CF45" s="93">
        <v>40</v>
      </c>
      <c r="CG45" s="316">
        <f>IF($E$7=2,Dados!$AE$53,IF($E$7=3,Dados!$AG$53,IF($E$7=4,Dados!$AI$53,IF($E$7=5,Dados!$AK$53,IF($E$7=6,Dados!$AM$53,IF($E$7=7,Dados!$AO$53,IF($E$7=8,Dados!$AS$53,0)))))))</f>
        <v>0</v>
      </c>
      <c r="CH45" s="304">
        <f>IF($E$7=2,Dados!$AF$53,IF($E$7=3,Dados!$AH$53,IF($E$7=4,Dados!$AJ$53,IF($E$7=5,Dados!$AL$53,IF($E$7=6,Dados!$AN$53,IF($E$7=7,Dados!$AP$53,IF($E$7=8,Dados!$AT$53,0)))))))</f>
        <v>0</v>
      </c>
      <c r="CI45" s="316">
        <f>IF($E$8=2,Dados!$AE$53,IF($E$8=3,Dados!$AG$53,IF($E$8=4,Dados!$AI$53,IF($E$8=5,Dados!$AK$53,IF($E$8=6,Dados!$AM$53,IF($E$8=7,Dados!$AO$53,IF($E$8=8,Dados!$AS$53,0)))))))</f>
        <v>0</v>
      </c>
      <c r="CJ45" s="304">
        <f>IF($E$8=2,Dados!$AF$53,IF($E$8=3,Dados!$AH$53,IF($E$8=4,Dados!$AJ$53,IF($E$8=5,Dados!$AL$53,IF($E$8=6,Dados!$AN$53,IF($E$8=7,Dados!$AP$53,IF($E$8=8,Dados!$AT$53,0)))))))</f>
        <v>0</v>
      </c>
      <c r="CK45" s="316">
        <f>IF($E$9=2,Dados!$AE$53,IF($E$9=3,Dados!$AG$53,IF($E$9=4,Dados!$AI$53,IF($E$9=5,Dados!$AK$53,IF($E$9=6,Dados!$AM$53,IF($E$9=7,Dados!$AO$53,IF($E$9=8,Dados!$AS$53,0)))))))</f>
        <v>0</v>
      </c>
      <c r="CL45" s="304">
        <f>IF($E$9=2,Dados!$AF$53,IF($E$9=3,Dados!$AH$53,IF($E$9=4,Dados!$AJ$53,IF($E$9=5,Dados!$AL$53,IF($E$9=6,Dados!$AN$53,IF($E$9=7,Dados!$AP$53,IF($E$9=8,Dados!$AT$53,0)))))))</f>
        <v>0</v>
      </c>
      <c r="CM45" s="316">
        <f>IF($E$10=2,Dados!$AE$53,IF($E$10=3,Dados!$AG$53,IF($E$10=4,Dados!$AI$53,IF($E$10=5,Dados!$AK$53,IF($E$10=6,Dados!$AM$53,IF($E$10=7,Dados!$AO$53,IF($E$10=8,Dados!$AS$53,0)))))))</f>
        <v>0</v>
      </c>
      <c r="CN45" s="304">
        <f>IF($E$10=2,Dados!$AF$53,IF($E$10=3,Dados!$AH$53,IF($E$10=4,Dados!$AJ$53,IF($E$10=5,Dados!$AL$53,IF($E$10=6,Dados!$AN$53,IF($E$10=7,Dados!$AP$53,IF($E$10=8,Dados!$AT$53,0)))))))</f>
        <v>0</v>
      </c>
      <c r="CO45" s="316">
        <f>IF($E$11=2,Dados!$AE$53,IF($E$11=3,Dados!$AG$53,IF($E$11=4,Dados!$AI$53,IF($E$11=5,Dados!$AK$53,IF($E$11=6,Dados!$AM$53,IF($E$11=7,Dados!$AO$53,IF($E$11=8,Dados!$AS$53,0)))))))</f>
        <v>0</v>
      </c>
      <c r="CP45" s="304">
        <f>IF($E$11=2,Dados!$AF$53,IF($E$11=3,Dados!$AH$53,IF($E$11=4,Dados!$AJ$53,IF($E$11=5,Dados!$AL$53,IF($E$11=6,Dados!$AN$53,IF($E$11=7,Dados!$AP$53,IF($E$11=8,Dados!$AT$53,0)))))))</f>
        <v>0</v>
      </c>
      <c r="CR45" s="316">
        <f>IF($E$16=2,Dados!$AE$53,IF($E$16=3,Dados!$AG$53,IF($E$16=4,Dados!$AI$53,IF($E$16=5,Dados!$AK$53,IF($E$16=6,Dados!$AM$53,IF($E$16=7,Dados!$AO$53,IF($E$16=8,Dados!$AS$53,0)))))))</f>
        <v>0</v>
      </c>
      <c r="CS45" s="304">
        <f>IF($E$16=2,Dados!$AF$53,IF($E$16=3,Dados!$AH$53,IF($E$16=4,Dados!$AJ$53,IF($E$16=5,Dados!$AL$53,IF($E$16=6,Dados!$AN$53,IF($E$16=7,Dados!$AP$53,IF($E$16=8,Dados!$AT$53,0)))))))</f>
        <v>0</v>
      </c>
      <c r="CT45" s="316">
        <f>IF($E$17=2,Dados!$AE$53,IF($E$17=3,Dados!$AG$53,IF($E$17=4,Dados!$AI$53,IF($E$17=5,Dados!$AK$53,IF($E$17=6,Dados!$AM$53,IF($E$17=7,Dados!$AO$53,IF($E$17=8,Dados!$AS$53,0)))))))</f>
        <v>0</v>
      </c>
      <c r="CU45" s="304">
        <f>IF($E$17=2,Dados!$AF$53,IF($E$17=3,Dados!$AH$53,IF($E$17=4,Dados!$AJ$53,IF($E$17=5,Dados!$AL$53,IF($E$17=6,Dados!$AN$53,IF($E$17=7,Dados!$AP$53,IF($E$17=8,Dados!$AT$53,0)))))))</f>
        <v>0</v>
      </c>
      <c r="CV45" s="316">
        <f>IF($E$18=2,Dados!$AE$53,IF($E$18=3,Dados!$AG$53,IF($E$18=4,Dados!$AI$53,IF($E$18=5,Dados!$AK$53,IF($E$18=6,Dados!$AM$53,IF($E$18=7,Dados!$AO$53,IF($E$18=8,Dados!$AS$53,0)))))))</f>
        <v>0</v>
      </c>
      <c r="CW45" s="304">
        <f>IF($E$18=2,Dados!$AF$53,IF($E$18=3,Dados!$AH$53,IF($E$18=4,Dados!$AJ$53,IF($E$18=5,Dados!$AL$53,IF($E$18=6,Dados!$AN$53,IF($E$18=7,Dados!$AP$53,IF($E$18=8,Dados!$AT$53,0)))))))</f>
        <v>0</v>
      </c>
      <c r="CX45" s="316">
        <f>IF($E$19=2,Dados!$AE$53,IF($E$19=3,Dados!$AG$53,IF($E$19=4,Dados!$AI$53,IF($E$19=5,Dados!$AK$53,IF($E$19=6,Dados!$AM$53,IF($E$19=7,Dados!$AO$53,IF($E$19=8,Dados!$AS$53,0)))))))</f>
        <v>0</v>
      </c>
      <c r="CY45" s="304">
        <f>IF($E$19=2,Dados!$AF$53,IF($E$19=3,Dados!$AH$53,IF($E$19=4,Dados!$AJ$53,IF($E$19=5,Dados!$AL$53,IF($E$19=6,Dados!$AN$53,IF($E$19=7,Dados!$AP$53,IF($E$19=8,Dados!$AT$53,0)))))))</f>
        <v>0</v>
      </c>
      <c r="CZ45" s="316">
        <f>IF($E$20=2,Dados!$AE$53,IF($E$20=3,Dados!$AG$53,IF($E$20=4,Dados!$AI$53,IF($E$20=5,Dados!$AK$53,IF($E$20=6,Dados!$AM$53,IF($E$20=7,Dados!$AO$53,IF($E$20=8,Dados!$AS$53,0)))))))</f>
        <v>0</v>
      </c>
      <c r="DA45" s="304">
        <f>IF($E$20=2,Dados!$AF$53,IF($E$20=3,Dados!$AH$53,IF($E$20=4,Dados!$AJ$53,IF($E$20=5,Dados!$AL$53,IF($E$20=6,Dados!$AN$53,IF($E$20=7,Dados!$AP$53,IF($E$20=8,Dados!$AT$53,0)))))))</f>
        <v>0</v>
      </c>
      <c r="DC45" s="316">
        <f>IF($E$25=2,Dados!$AE$53,IF($E$25=3,Dados!$AG$53,IF($E$25=4,Dados!$AI$53,IF($E$25=5,Dados!$AK$53,IF($E$25=6,Dados!$AM$53,IF($E$25=7,Dados!$AO$53,IF($E$25=8,Dados!$AS$53,0)))))))</f>
        <v>0</v>
      </c>
      <c r="DD45" s="304">
        <f>IF($E$25=2,Dados!$AF$53,IF($E$25=3,Dados!$AH$53,IF($E$25=4,Dados!$AJ$53,IF($E$25=5,Dados!$AL$53,IF($E$25=6,Dados!$AN$53,IF($E$25=7,Dados!$AP$53,IF($E$25=8,Dados!$AT$53,0)))))))</f>
        <v>0</v>
      </c>
      <c r="DE45" s="316">
        <f>IF($E$26=2,Dados!$AE$53,IF($E$26=3,Dados!$AG$53,IF($E$26=4,Dados!$AI$53,IF($E$26=5,Dados!$AK$53,IF($E$26=6,Dados!$AM$53,IF($E$26=7,Dados!$AO$53,IF($E$26=8,Dados!$AS$53,0)))))))</f>
        <v>0</v>
      </c>
      <c r="DF45" s="304">
        <f>IF($E$26=2,Dados!$AF$53,IF($E$26=3,Dados!$AH$53,IF($E$26=4,Dados!$AJ$53,IF($E$26=5,Dados!$AL$53,IF($E$26=6,Dados!$AN$53,IF($E$26=7,Dados!$AP$53,IF($E$26=8,Dados!$AT$53,0)))))))</f>
        <v>0</v>
      </c>
      <c r="DG45" s="316">
        <f>IF($E$27=2,Dados!$AE$53,IF($E$27=3,Dados!$AG$53,IF($E$27=4,Dados!$AI$53,IF($E$27=5,Dados!$AK$53,IF($E$27=6,Dados!$AM$53,IF($E$27=7,Dados!$AO$53,IF($E$27=8,Dados!$AS$53,0)))))))</f>
        <v>0</v>
      </c>
      <c r="DH45" s="304">
        <f>IF($E$27=2,Dados!$AF$53,IF($E$27=3,Dados!$AH$53,IF($E$27=4,Dados!$AJ$53,IF($E$27=5,Dados!$AL$53,IF($E$27=6,Dados!$AN$53,IF($E$27=7,Dados!$AP$53,IF($E$27=8,Dados!$AT$53,0)))))))</f>
        <v>0</v>
      </c>
      <c r="DI45" s="316">
        <f>IF($E$28=2,Dados!$AE$53,IF($E$28=3,Dados!$AG$53,IF($E$28=4,Dados!$AI$53,IF($E$28=5,Dados!$AK$53,IF($E$28=6,Dados!$AM$53,IF($E$28=7,Dados!$AO$53,IF($E$28=8,Dados!$AS$53,0)))))))</f>
        <v>0</v>
      </c>
      <c r="DJ45" s="304">
        <f>IF($E$28=2,Dados!$AF$53,IF($E$28=3,Dados!$AH$53,IF($E$28=4,Dados!$AJ$53,IF($E$28=5,Dados!$AL$53,IF($E$28=6,Dados!$AN$53,IF($E$28=7,Dados!$AP$53,IF($E$28=8,Dados!$AT$53,0)))))))</f>
        <v>0</v>
      </c>
      <c r="DK45" s="316">
        <f>IF($E$29=2,Dados!$AE$53,IF($E$29=3,Dados!$AG$53,IF($E$29=4,Dados!$AI$53,IF($E$29=5,Dados!$AK$53,IF($E$29=6,Dados!$AM$53,IF($E$29=7,Dados!$AO$53,IF($E$29=8,Dados!$AS$53,0)))))))</f>
        <v>0</v>
      </c>
      <c r="DL45" s="304">
        <f>IF($E$29=2,Dados!$AF$53,IF($E$29=3,Dados!$AH$53,IF($E$29=4,Dados!$AJ$53,IF($E$29=5,Dados!$AL$53,IF($E$29=6,Dados!$AN$53,IF($E$29=7,Dados!$AP$53,IF($E$29=8,Dados!$AT$53,0)))))))</f>
        <v>0</v>
      </c>
      <c r="DN45" s="316">
        <f>IF($E$34=2,Dados!$AE$53,IF($E$34=3,Dados!$AG$53,IF($E$34=4,Dados!$AI$53,IF($E$34=5,Dados!$AK$53,IF($E$34=6,Dados!$AM$53,IF($E$34=7,Dados!$AO$53,IF($E$34=8,Dados!$AS$53,0)))))))</f>
        <v>0</v>
      </c>
      <c r="DO45" s="304">
        <f>IF($E$34=2,Dados!$AF$53,IF($E$34=3,Dados!$AH$53,IF($E$34=4,Dados!$AJ$53,IF($E$34=5,Dados!$AL$53,IF($E$34=6,Dados!$AN$53,IF($E$34=7,Dados!$AP$53,IF($E$34=8,Dados!$AT$53,0)))))))</f>
        <v>0</v>
      </c>
      <c r="DP45" s="316">
        <f>IF($E$35=2,Dados!$AE$53,IF($E$35=3,Dados!$AG$53,IF($E$35=4,Dados!$AI$53,IF($E$35=5,Dados!$AK$53,IF($E$35=6,Dados!$AM$53,IF($E$35=7,Dados!$AO$53,IF($E$35=8,Dados!$AS$53,0)))))))</f>
        <v>0</v>
      </c>
      <c r="DQ45" s="304">
        <f>IF($E$35=2,Dados!$AF$53,IF($E$35=3,Dados!$AH$53,IF($E$35=4,Dados!$AJ$53,IF($E$35=5,Dados!$AL$53,IF($E$35=6,Dados!$AN$53,IF($E$35=7,Dados!$AP$53,IF($E$35=8,Dados!$AT$53,0)))))))</f>
        <v>0</v>
      </c>
      <c r="DR45" s="316">
        <f>IF($E$36=2,Dados!$AE$53,IF($E$36=3,Dados!$AG$53,IF($E$36=4,Dados!$AI$53,IF($E$36=5,Dados!$AK$53,IF($E$36=6,Dados!$AM$53,IF($E$36=7,Dados!$AO$53,IF($E$36=8,Dados!$AS$53,0)))))))</f>
        <v>0</v>
      </c>
      <c r="DS45" s="304">
        <f>IF($E$36=2,Dados!$AF$53,IF($E$36=3,Dados!$AH$53,IF($E$36=4,Dados!$AJ$53,IF($E$36=5,Dados!$AL$53,IF($E$36=6,Dados!$AN$53,IF($E$36=7,Dados!$AP$53,IF($E$36=8,Dados!$AT$53,0)))))))</f>
        <v>0</v>
      </c>
      <c r="DT45" s="316">
        <f>IF($E$37=2,Dados!$AE$53,IF($E$37=3,Dados!$AG$53,IF($E$37=4,Dados!$AI$53,IF($E$37=5,Dados!$AK$53,IF($E$37=6,Dados!$AM$53,IF($E$37=7,Dados!$AO$53,IF($E$37=8,Dados!$AS$53,0)))))))</f>
        <v>0</v>
      </c>
      <c r="DU45" s="304">
        <f>IF($E$37=2,Dados!$AF$53,IF($E$37=3,Dados!$AH$53,IF($E$37=4,Dados!$AJ$53,IF($E$37=5,Dados!$AL$53,IF($E$37=6,Dados!$AN$53,IF($E$37=7,Dados!$AP$53,IF($E$37=8,Dados!$AT$53,0)))))))</f>
        <v>0</v>
      </c>
      <c r="DV45" s="316">
        <f>IF($E$38=2,Dados!$AE$53,IF($E$38=3,Dados!$AG$53,IF($E$38=4,Dados!$AI$53,IF($E$38=5,Dados!$AK$53,IF($E$38=6,Dados!$AM$53,IF($E$38=7,Dados!$AO$53,IF($E$38=8,Dados!$AS$53,0)))))))</f>
        <v>0</v>
      </c>
      <c r="DW45" s="304">
        <f>IF($E$38=2,Dados!$AF$53,IF($E$38=3,Dados!$AH$53,IF($E$38=4,Dados!$AJ$53,IF($E$38=5,Dados!$AL$53,IF($E$38=6,Dados!$AN$53,IF($E$38=7,Dados!$AP$53,IF($E$38=8,Dados!$AT$53,0)))))))</f>
        <v>0</v>
      </c>
      <c r="DY45" s="316">
        <f>IF($E$43=2,Dados!$AE$53,IF($E$43=3,Dados!$AG$53,IF($E$43=4,Dados!$AI$53,IF($E$43=5,Dados!$AK$53,IF($E$43=6,Dados!$AM$53,IF($E$43=7,Dados!$AO$53,IF($E$43=8,Dados!$AS$53,0)))))))</f>
        <v>0</v>
      </c>
      <c r="DZ45" s="304">
        <f>IF($E$43=2,Dados!$AF$53,IF($E$43=3,Dados!$AH$53,IF($E$43=4,Dados!$AJ$53,IF($E$43=5,Dados!$AL$53,IF($E$43=6,Dados!$AN$53,IF($E$43=7,Dados!$AP$53,IF($E$43=8,Dados!$AT$53,0)))))))</f>
        <v>0</v>
      </c>
      <c r="EA45" s="316">
        <f>IF($E$44=2,Dados!$AE$53,IF($E$44=3,Dados!$AG$53,IF($E$44=4,Dados!$AI$53,IF($E$44=5,Dados!$AK$53,IF($E$44=6,Dados!$AM$53,IF($E$44=7,Dados!$AO$53,IF($E$44=8,Dados!$AS$53,0)))))))</f>
        <v>0</v>
      </c>
      <c r="EB45" s="304">
        <f>IF($E$44=2,Dados!$AF$53,IF($E$44=3,Dados!$AH$53,IF($E$44=4,Dados!$AJ$53,IF($E$44=5,Dados!$AL$53,IF($E$44=6,Dados!$AN$53,IF($E$44=7,Dados!$AP$53,IF($E$44=8,Dados!$AT$53,0)))))))</f>
        <v>0</v>
      </c>
      <c r="EC45" s="316">
        <f>IF($E$45=2,Dados!$AE$53,IF($E$45=3,Dados!$AG$53,IF($E$45=4,Dados!$AI$53,IF($E$45=5,Dados!$AK$53,IF($E$45=6,Dados!$AM$53,IF($E$45=7,Dados!$AO$53,IF($E$45=8,Dados!$AS$53,0)))))))</f>
        <v>0</v>
      </c>
      <c r="ED45" s="304">
        <f>IF($E$45=2,Dados!$AF$53,IF($E$45=3,Dados!$AH$53,IF($E$45=4,Dados!$AJ$53,IF($E$45=5,Dados!$AL$53,IF($E$45=6,Dados!$AN$53,IF($E$45=7,Dados!$AP$53,IF($E$45=8,Dados!$AT$53,0)))))))</f>
        <v>0</v>
      </c>
      <c r="EE45" s="316">
        <f>IF($E$46=2,Dados!$AE$53,IF($E$46=3,Dados!$AG$53,IF($E$46=4,Dados!$AI$53,IF($E$46=5,Dados!$AK$53,IF($E$46=6,Dados!$AM$53,IF($E$46=7,Dados!$AO$53,IF($E$46=8,Dados!$AS$53,0)))))))</f>
        <v>0</v>
      </c>
      <c r="EF45" s="304">
        <f>IF($E$46=2,Dados!$AF$53,IF($E$46=3,Dados!$AH$53,IF($E$46=4,Dados!$AJ$53,IF($E$46=5,Dados!$AL$53,IF($E$46=6,Dados!$AN$53,IF($E$46=7,Dados!$AP$53,IF($E$46=8,Dados!$AT$53,0)))))))</f>
        <v>0</v>
      </c>
      <c r="EG45" s="316">
        <f>IF($E$47=2,Dados!$AE$53,IF($E$47=3,Dados!$AG$53,IF($E$47=4,Dados!$AI$53,IF($E$47=5,Dados!$AK$53,IF($E$47=6,Dados!$AM$53,IF($E$47=7,Dados!$AO$53,IF($E$47=8,Dados!$AS$53,0)))))))</f>
        <v>0</v>
      </c>
      <c r="EH45" s="304">
        <f>IF($E$47=2,Dados!$AF$53,IF($E$47=3,Dados!$AH$53,IF($E$47=4,Dados!$AJ$53,IF($E$47=5,Dados!$AL$53,IF($E$47=6,Dados!$AN$53,IF($E$47=7,Dados!$AP$53,IF($E$47=8,Dados!$AT$53,0)))))))</f>
        <v>0</v>
      </c>
      <c r="EJ45" s="316">
        <f>IF($E$52=2,Dados!$AE$53,IF($E$52=3,Dados!$AG$53,IF($E$52=4,Dados!$AI$53,IF($E$52=5,Dados!$AK$53,IF($E$52=6,Dados!$AM$53,IF($E$52=7,Dados!$AO$53,IF($E$52=8,Dados!$AS$53,0)))))))</f>
        <v>0</v>
      </c>
      <c r="EK45" s="304">
        <f>IF($E$52=2,Dados!$AF$53,IF($E$52=3,Dados!$AH$53,IF($E$52=4,Dados!$AJ$53,IF($E$52=5,Dados!$AL$53,IF($E$52=6,Dados!$AN$53,IF($E$52=7,Dados!$AP$53,IF($E$52=8,Dados!$AT$53,0)))))))</f>
        <v>0</v>
      </c>
      <c r="EL45" s="316">
        <f>IF($E$53=2,Dados!$AE$53,IF($E$53=3,Dados!$AG$53,IF($E$53=4,Dados!$AI$53,IF($E$53=5,Dados!$AK$53,IF($E$53=6,Dados!$AM$53,IF($E$53=7,Dados!$AO$53,IF($E$53=8,Dados!$AS$53,0)))))))</f>
        <v>0</v>
      </c>
      <c r="EM45" s="304">
        <f>IF($E$53=2,Dados!$AF$53,IF($E$53=3,Dados!$AH$53,IF($E$53=4,Dados!$AJ$53,IF($E$53=5,Dados!$AL$53,IF($E$53=6,Dados!$AN$53,IF($E$53=7,Dados!$AP$53,IF($E$53=8,Dados!$AT$53,0)))))))</f>
        <v>0</v>
      </c>
      <c r="EN45" s="316">
        <f>IF($E$54=2,Dados!$AE$53,IF($E$54=3,Dados!$AG$53,IF($E$54=4,Dados!$AI$53,IF($E$54=5,Dados!$AK$53,IF($E$54=6,Dados!$AM$53,IF($E$54=7,Dados!$AO$53,IF($E$54=8,Dados!$AS$53,0)))))))</f>
        <v>0</v>
      </c>
      <c r="EO45" s="304">
        <f>IF($E$54=2,Dados!$AF$53,IF($E$54=3,Dados!$AH$53,IF($E$54=4,Dados!$AJ$53,IF($E$54=5,Dados!$AL$53,IF($E$54=6,Dados!$AN$53,IF($E$54=7,Dados!$AP$53,IF($E$54=8,Dados!$AT$53,0)))))))</f>
        <v>0</v>
      </c>
      <c r="EP45" s="316">
        <f>IF($E$55=2,Dados!$AE$53,IF($E$55=3,Dados!$AG$53,IF($E$55=4,Dados!$AI$53,IF($E$55=5,Dados!$AK$53,IF($E$55=6,Dados!$AM$53,IF($E$55=7,Dados!$AO$53,IF($E$55=8,Dados!$AS$53,0)))))))</f>
        <v>0</v>
      </c>
      <c r="EQ45" s="304">
        <f>IF($E$55=2,Dados!$AF$53,IF($E$55=3,Dados!$AH$53,IF($E$55=4,Dados!$AJ$53,IF($E$55=5,Dados!$AL$53,IF($E$55=6,Dados!$AN$53,IF($E$55=7,Dados!$AP$53,IF($E$55=8,Dados!$AT$53,0)))))))</f>
        <v>0</v>
      </c>
      <c r="ER45" s="316">
        <f>IF($E$56=2,Dados!$AE$53,IF($E$56=3,Dados!$AG$53,IF($E$56=4,Dados!$AI$53,IF($E$56=5,Dados!$AK$53,IF($E$56=6,Dados!$AM$53,IF($E$56=7,Dados!$AO$53,IF($E$56=8,Dados!$AS$53,0)))))))</f>
        <v>0</v>
      </c>
      <c r="ES45" s="304">
        <f>IF($E$56=2,Dados!$AF$53,IF($E$56=3,Dados!$AH$53,IF($E$56=4,Dados!$AJ$53,IF($E$56=5,Dados!$AL$53,IF($E$56=6,Dados!$AN$53,IF($E$56=7,Dados!$AP$53,IF($E$56=8,Dados!$AT$53,0)))))))</f>
        <v>0</v>
      </c>
      <c r="EU45" s="316">
        <f>IF($E$61=2,Dados!$AE$53,IF($E$61=3,Dados!$AG$53,IF($E$61=4,Dados!$AI$53,IF($E$61=5,Dados!$AK$53,IF($E$61=6,Dados!$AM$53,IF($E$61=7,Dados!$AO$53,IF($E$61=8,Dados!$AS$53,0)))))))</f>
        <v>0</v>
      </c>
      <c r="EV45" s="304">
        <f>IF($E$61=2,Dados!$AF$53,IF($E$61=3,Dados!$AH$53,IF($E$61=4,Dados!$AJ$53,IF($E$61=5,Dados!$AL$53,IF($E$61=6,Dados!$AN$53,IF($E$61=7,Dados!$AP$53,IF($E$61=8,Dados!$AT$53,0)))))))</f>
        <v>0</v>
      </c>
      <c r="EW45" s="316">
        <f>IF($E$62=2,Dados!$AE$53,IF($E$62=3,Dados!$AG$53,IF($E$62=4,Dados!$AI$53,IF($E$62=5,Dados!$AK$53,IF($E$62=6,Dados!$AM$53,IF($E$62=7,Dados!$AO$53,IF($E$62=8,Dados!$AS$53,0)))))))</f>
        <v>0</v>
      </c>
      <c r="EX45" s="304">
        <f>IF($E$62=2,Dados!$AF$53,IF($E$62=3,Dados!$AH$53,IF($E$62=4,Dados!$AJ$53,IF($E$62=5,Dados!$AL$53,IF($E$62=6,Dados!$AN$53,IF($E$62=7,Dados!$AP$53,IF($E$62=8,Dados!$AT$53,0)))))))</f>
        <v>0</v>
      </c>
      <c r="EY45" s="316">
        <f>IF($E$63=2,Dados!$AE$53,IF($E$63=3,Dados!$AG$53,IF($E$63=4,Dados!$AI$53,IF($E$63=5,Dados!$AK$53,IF($E$63=6,Dados!$AM$53,IF($E$63=7,Dados!$AO$53,IF($E$63=8,Dados!$AS$53,0)))))))</f>
        <v>0</v>
      </c>
      <c r="EZ45" s="304">
        <f>IF($E$63=2,Dados!$AF$53,IF($E$63=3,Dados!$AH$53,IF($E$63=4,Dados!$AJ$53,IF($E$63=5,Dados!$AL$53,IF($E$63=6,Dados!$AN$53,IF($E$63=7,Dados!$AP$53,IF($E$63=8,Dados!$AT$53,0)))))))</f>
        <v>0</v>
      </c>
      <c r="FA45" s="316">
        <f>IF($E$64=2,Dados!$AE$53,IF($E$64=3,Dados!$AG$53,IF($E$64=4,Dados!$AI$53,IF($E$64=5,Dados!$AK$53,IF($E$64=6,Dados!$AM$53,IF($E$64=7,Dados!$AO$53,IF($E$64=8,Dados!$AS$53,0)))))))</f>
        <v>0</v>
      </c>
      <c r="FB45" s="304">
        <f>IF($E$64=2,Dados!$AF$53,IF($E$64=3,Dados!$AH$53,IF($E$64=4,Dados!$AJ$53,IF($E$64=5,Dados!$AL$53,IF($E$64=6,Dados!$AN$53,IF($E$64=7,Dados!$AP$53,IF($E$64=8,Dados!$AT$53,0)))))))</f>
        <v>0</v>
      </c>
      <c r="FC45" s="316">
        <f>IF($E$65=2,Dados!$AE$53,IF($E$65=3,Dados!$AG$53,IF($E$65=4,Dados!$AI$53,IF($E$65=5,Dados!$AK$53,IF($E$65=6,Dados!$AM$53,IF($E$65=7,Dados!$AO$53,IF($E$65=8,Dados!$AS$53,0)))))))</f>
        <v>0</v>
      </c>
      <c r="FD45" s="304">
        <f>IF($E$65=2,Dados!$AF$53,IF($E$65=3,Dados!$AH$53,IF($E$65=4,Dados!$AJ$53,IF($E$65=5,Dados!$AL$53,IF($E$65=6,Dados!$AN$53,IF($E$65=7,Dados!$AP$53,IF($E$65=8,Dados!$AT$53,0)))))))</f>
        <v>0</v>
      </c>
      <c r="FF45" s="316">
        <f>IF($E$70=2,Dados!$AE$53,IF($E$70=3,Dados!$AG$53,IF($E$70=4,Dados!$AI$53,IF($E$70=5,Dados!$AK$53,IF($E$70=6,Dados!$AM$53,IF($E$70=7,Dados!$AO$53,IF($E$70=8,Dados!$AS$53,0)))))))</f>
        <v>0</v>
      </c>
      <c r="FG45" s="304">
        <f>IF($E$70=2,Dados!$AF$53,IF($E$70=3,Dados!$AH$53,IF($E$70=4,Dados!$AJ$53,IF($E$70=5,Dados!$AL$53,IF($E$70=6,Dados!$AN$53,IF($E$70=7,Dados!$AP$53,IF($E$70=8,Dados!$AT$53,0)))))))</f>
        <v>0</v>
      </c>
      <c r="FH45" s="316">
        <f>IF($E$71=2,Dados!$AE$53,IF($E$71=3,Dados!$AG$53,IF($E$71=4,Dados!$AI$53,IF($E$71=5,Dados!$AK$53,IF($E$71=6,Dados!$AM$53,IF($E$71=7,Dados!$AO$53,IF($E$71=8,Dados!$AS$53,0)))))))</f>
        <v>0</v>
      </c>
      <c r="FI45" s="304">
        <f>IF($E$71=2,Dados!$AF$53,IF($E$71=3,Dados!$AH$53,IF($E$71=4,Dados!$AJ$53,IF($E$71=5,Dados!$AL$53,IF($E$71=6,Dados!$AN$53,IF($E$71=7,Dados!$AP$53,IF($E$71=8,Dados!$AT$53,0)))))))</f>
        <v>0</v>
      </c>
      <c r="FJ45" s="316">
        <f>IF($E$72=2,Dados!$AE$53,IF($E$72=3,Dados!$AG$53,IF($E$72=4,Dados!$AI$53,IF($E$72=5,Dados!$AK$53,IF($E$72=6,Dados!$AM$53,IF($E$72=7,Dados!$AO$53,IF($E$72=8,Dados!$AS$53,0)))))))</f>
        <v>0</v>
      </c>
      <c r="FK45" s="304">
        <f>IF($E$72=2,Dados!$AF$53,IF($E$72=3,Dados!$AH$53,IF($E$72=4,Dados!$AJ$53,IF($E$72=5,Dados!$AL$53,IF($E$72=6,Dados!$AN$53,IF($E$72=7,Dados!$AP$53,IF($E$72=8,Dados!$AT$53,0)))))))</f>
        <v>0</v>
      </c>
      <c r="FL45" s="316">
        <f>IF($E$73=2,Dados!$AE$53,IF($E$73=3,Dados!$AG$53,IF($E$73=4,Dados!$AI$53,IF($E$73=5,Dados!$AK$53,IF($E$73=6,Dados!$AM$53,IF($E$73=7,Dados!$AO$53,IF($E$73=8,Dados!$AS$53,0)))))))</f>
        <v>0</v>
      </c>
      <c r="FM45" s="304">
        <f>IF($E$73=2,Dados!$AF$53,IF($E$73=3,Dados!$AH$53,IF($E$73=4,Dados!$AJ$53,IF($E$73=5,Dados!$AL$53,IF($E$73=6,Dados!$AN$53,IF($E$73=7,Dados!$AP$53,IF($E$73=8,Dados!$AT$53,0)))))))</f>
        <v>0</v>
      </c>
      <c r="FN45" s="316">
        <f>IF($E$74=2,Dados!$AE$53,IF($E$74=3,Dados!$AG$53,IF($E$74=4,Dados!$AI$53,IF($E$74=5,Dados!$AK$53,IF($E$74=6,Dados!$AM$53,IF($E$74=7,Dados!$AO$53,IF($E$74=8,Dados!$AS$53,0)))))))</f>
        <v>0</v>
      </c>
      <c r="FO45" s="304">
        <f>IF($E$74=2,Dados!$AF$53,IF($E$74=3,Dados!$AH$53,IF($E$74=4,Dados!$AJ$53,IF($E$74=5,Dados!$AL$53,IF($E$74=6,Dados!$AN$53,IF($E$74=7,Dados!$AP$53,IF($E$74=8,Dados!$AT$53,0)))))))</f>
        <v>0</v>
      </c>
      <c r="FQ45" s="316">
        <f>IF($E$79=2,Dados!$AE$53,IF($E$79=3,Dados!$AG$53,IF($E$79=4,Dados!$AI$53,IF($E$79=5,Dados!$AK$53,IF($E$79=6,Dados!$AM$53,IF($E$79=7,Dados!$AO$53,IF($E$79=8,Dados!$AS$53,0)))))))</f>
        <v>0</v>
      </c>
      <c r="FR45" s="304">
        <f>IF($E$79=2,Dados!$AF$53,IF($E$79=3,Dados!$AH$53,IF($E$79=4,Dados!$AJ$53,IF($E$79=5,Dados!$AL$53,IF($E$79=6,Dados!$AN$53,IF($E$79=7,Dados!$AP$53,IF($E$79=8,Dados!$AT$53,0)))))))</f>
        <v>0</v>
      </c>
      <c r="FS45" s="316">
        <f>IF($E$80=2,Dados!$AE$53,IF($E$80=3,Dados!$AG$53,IF($E$80=4,Dados!$AI$53,IF($E$80=5,Dados!$AK$53,IF($E$80=6,Dados!$AM$53,IF($E$80=7,Dados!$AO$53,IF($E$80=8,Dados!$AS$53,0)))))))</f>
        <v>0</v>
      </c>
      <c r="FT45" s="304">
        <f>IF($E$80=2,Dados!$AF$53,IF($E$80=3,Dados!$AH$53,IF($E$80=4,Dados!$AJ$53,IF($E$80=5,Dados!$AL$53,IF($E$80=6,Dados!$AN$53,IF($E$80=7,Dados!$AP$53,IF($E$80=8,Dados!$AT$53,0)))))))</f>
        <v>0</v>
      </c>
      <c r="FU45" s="316">
        <f>IF($E$81=2,Dados!$AE$53,IF($E$81=3,Dados!$AG$53,IF($E$81=4,Dados!$AI$53,IF($E$81=5,Dados!$AK$53,IF($E$81=6,Dados!$AM$53,IF($E$81=7,Dados!$AO$53,IF($E$81=8,Dados!$AS$53,0)))))))</f>
        <v>0</v>
      </c>
      <c r="FV45" s="304">
        <f>IF($E$81=2,Dados!$AF$53,IF($E$81=3,Dados!$AH$53,IF($E$81=4,Dados!$AJ$53,IF($E$81=5,Dados!$AL$53,IF($E$81=6,Dados!$AN$53,IF($E$81=7,Dados!$AP$53,IF($E$81=8,Dados!$AT$53,0)))))))</f>
        <v>0</v>
      </c>
      <c r="FW45" s="316">
        <f>IF($E$82=2,Dados!$AE$53,IF($E$82=3,Dados!$AG$53,IF($E$82=4,Dados!$AI$53,IF($E$82=5,Dados!$AK$53,IF($E$82=6,Dados!$AM$53,IF($E$82=7,Dados!$AO$53,IF($E$82=8,Dados!$AS$53,0)))))))</f>
        <v>0</v>
      </c>
      <c r="FX45" s="304">
        <f>IF($E$82=2,Dados!$AF$53,IF($E$82=3,Dados!$AH$53,IF($E$82=4,Dados!$AJ$53,IF($E$82=5,Dados!$AL$53,IF($E$82=6,Dados!$AN$53,IF($E$82=7,Dados!$AP$53,IF($E$82=8,Dados!$AT$53,0)))))))</f>
        <v>0</v>
      </c>
      <c r="FY45" s="316">
        <f>IF($E$83=2,Dados!$AE$53,IF($E$83=3,Dados!$AG$53,IF($E$83=4,Dados!$AI$53,IF($E$83=5,Dados!$AK$53,IF($E$83=6,Dados!$AM$53,IF($E$83=7,Dados!$AO$53,IF($E$83=8,Dados!$AS$53,0)))))))</f>
        <v>0</v>
      </c>
      <c r="FZ45" s="304">
        <f>IF($E$83=2,Dados!$AF$53,IF($E$83=3,Dados!$AH$53,IF($E$83=4,Dados!$AJ$53,IF($E$83=5,Dados!$AL$53,IF($E$83=6,Dados!$AN$53,IF($E$83=7,Dados!$AP$53,IF($E$83=8,Dados!$AT$53,0)))))))</f>
        <v>0</v>
      </c>
      <c r="GB45" s="316">
        <f>IF($E$88=2,Dados!$AE$53,IF($E$88=3,Dados!$AG$53,IF($E$88=4,Dados!$AI$53,IF($E$88=5,Dados!$AK$53,IF($E$88=6,Dados!$AM$53,IF($E$88=7,Dados!$AO$53,IF($E$88=8,Dados!$AS$53,0)))))))</f>
        <v>0</v>
      </c>
      <c r="GC45" s="304">
        <f>IF($E$88=2,Dados!$AF$53,IF($E$88=3,Dados!$AH$53,IF($E$88=4,Dados!$AJ$53,IF($E$88=5,Dados!$AL$53,IF($E$88=6,Dados!$AN$53,IF($E$88=7,Dados!$AP$53,IF($E$88=8,Dados!$AT$53,0)))))))</f>
        <v>0</v>
      </c>
      <c r="GD45" s="316">
        <f>IF($E$89=2,Dados!$AE$53,IF($E$89=3,Dados!$AG$53,IF($E$89=4,Dados!$AI$53,IF($E$89=5,Dados!$AK$53,IF($E$89=6,Dados!$AM$53,IF($E$89=7,Dados!$AO$53,IF($E$89=8,Dados!$AS$53,0)))))))</f>
        <v>0</v>
      </c>
      <c r="GE45" s="304">
        <f>IF($E$89=2,Dados!$AF$53,IF($E$89=3,Dados!$AH$53,IF($E$89=4,Dados!$AJ$53,IF($E$89=5,Dados!$AL$53,IF($E$89=6,Dados!$AN$53,IF($E$89=7,Dados!$AP$53,IF($E$89=8,Dados!$AT$53,0)))))))</f>
        <v>0</v>
      </c>
      <c r="GF45" s="316">
        <f>IF($E$90=2,Dados!$AE$53,IF($E$90=3,Dados!$AG$53,IF($E$90=4,Dados!$AI$53,IF($E$90=5,Dados!$AK$53,IF($E$90=6,Dados!$AM$53,IF($E$90=7,Dados!$AO$53,IF($E$90=8,Dados!$AS$53,0)))))))</f>
        <v>0</v>
      </c>
      <c r="GG45" s="304">
        <f>IF($E$90=2,Dados!$AF$53,IF($E$90=3,Dados!$AH$53,IF($E$90=4,Dados!$AJ$53,IF($E$90=5,Dados!$AL$53,IF($E$90=6,Dados!$AN$53,IF($E$90=7,Dados!$AP$53,IF($E$90=8,Dados!$AT$53,0)))))))</f>
        <v>0</v>
      </c>
      <c r="GH45" s="316">
        <f>IF($E$91=2,Dados!$AE$53,IF($E$91=3,Dados!$AG$53,IF($E$91=4,Dados!$AI$53,IF($E$91=5,Dados!$AK$53,IF($E$91=6,Dados!$AM$53,IF($E$91=7,Dados!$AO$53,IF($E$91=8,Dados!$AS$53,0)))))))</f>
        <v>0</v>
      </c>
      <c r="GI45" s="304">
        <f>IF($E$91=2,Dados!$AF$53,IF($E$91=3,Dados!$AH$53,IF($E$91=4,Dados!$AJ$53,IF($E$91=5,Dados!$AL$53,IF($E$91=6,Dados!$AN$53,IF($E$91=7,Dados!$AP$53,IF($E$91=8,Dados!$AT$53,0)))))))</f>
        <v>0</v>
      </c>
      <c r="GJ45" s="316">
        <f>IF($E$92=2,Dados!$AE$53,IF($E$92=3,Dados!$AG$53,IF($E$92=4,Dados!$AI$53,IF($E$92=5,Dados!$AK$53,IF($E$92=6,Dados!$AM$53,IF($E$92=7,Dados!$AO$53,IF($E$92=8,Dados!$AS$53,0)))))))</f>
        <v>0</v>
      </c>
      <c r="GK45" s="304">
        <f>IF($E$92=2,Dados!$AF$53,IF($E$92=3,Dados!$AH$53,IF($E$92=4,Dados!$AJ$53,IF($E$92=5,Dados!$AL$53,IF($E$92=6,Dados!$AN$53,IF($E$92=7,Dados!$AP$53,IF($E$92=8,Dados!$AT$53,0)))))))</f>
        <v>0</v>
      </c>
      <c r="GM45" s="316">
        <f>IF($E$97=2,Dados!$AE$53,IF($E$97=3,Dados!$AG$53,IF($E$97=4,Dados!$AI$53,IF($E$97=5,Dados!$AK$53,IF($E$97=6,Dados!$AM$53,IF($E$97=7,Dados!$AO$53,IF($E$97=8,Dados!$AS$53,0)))))))</f>
        <v>0</v>
      </c>
      <c r="GN45" s="304">
        <f>IF($E$97=2,Dados!$AF$53,IF($E$97=3,Dados!$AH$53,IF($E$97=4,Dados!$AJ$53,IF($E$97=5,Dados!$AL$53,IF($E$97=6,Dados!$AN$53,IF($E$97=7,Dados!$AP$53,IF($E$97=8,Dados!$AT$53,0)))))))</f>
        <v>0</v>
      </c>
      <c r="GO45" s="316">
        <f>IF($E$98=2,Dados!$AE$53,IF($E$98=3,Dados!$AG$53,IF($E$98=4,Dados!$AI$53,IF($E$98=5,Dados!$AK$53,IF($E$98=6,Dados!$AM$53,IF($E$98=7,Dados!$AO$53,IF($E$98=8,Dados!$AS$53,0)))))))</f>
        <v>0</v>
      </c>
      <c r="GP45" s="304">
        <f>IF($E$98=2,Dados!$AF$53,IF($E$98=3,Dados!$AH$53,IF($E$98=4,Dados!$AJ$53,IF($E$98=5,Dados!$AL$53,IF($E$98=6,Dados!$AN$53,IF($E$98=7,Dados!$AP$53,IF($E$98=8,Dados!$AT$53,0)))))))</f>
        <v>0</v>
      </c>
      <c r="GQ45" s="316">
        <f>IF($E$99=2,Dados!$AE$53,IF($E$99=3,Dados!$AG$53,IF($E$99=4,Dados!$AI$53,IF($E$99=5,Dados!$AK$53,IF($E$99=6,Dados!$AM$53,IF($E$99=7,Dados!$AO$53,IF($E$99=8,Dados!$AS$53,0)))))))</f>
        <v>0</v>
      </c>
      <c r="GR45" s="304">
        <f>IF($E$99=2,Dados!$AF$53,IF($E$99=3,Dados!$AH$53,IF($E$99=4,Dados!$AJ$53,IF($E$99=5,Dados!$AL$53,IF($E$99=6,Dados!$AN$53,IF($E$99=7,Dados!$AP$53,IF($E$99=8,Dados!$AT$53,0)))))))</f>
        <v>0</v>
      </c>
      <c r="GS45" s="316">
        <f>IF($E$100=2,Dados!$AE$53,IF($E$100=3,Dados!$AG$53,IF($E$100=4,Dados!$AI$53,IF($E$100=5,Dados!$AK$53,IF($E$100=6,Dados!$AM$53,IF($E$100=7,Dados!$AO$53,IF($E$100=8,Dados!$AS$53,0)))))))</f>
        <v>0</v>
      </c>
      <c r="GT45" s="304">
        <f>IF($E$100=2,Dados!$AF$53,IF($E$100=3,Dados!$AH$53,IF($E$100=4,Dados!$AJ$53,IF($E$100=5,Dados!$AL$53,IF($E$100=6,Dados!$AN$53,IF($E$100=7,Dados!$AP$53,IF($E$100=8,Dados!$AT$53,0)))))))</f>
        <v>0</v>
      </c>
      <c r="GU45" s="316">
        <f>IF($E$101=2,Dados!$AE$53,IF($E$101=3,Dados!$AG$53,IF($E$101=4,Dados!$AI$53,IF($E$101=5,Dados!$AK$53,IF($E$101=6,Dados!$AM$53,IF($E$101=7,Dados!$AO$53,IF($E$101=8,Dados!$AS$53,0)))))))</f>
        <v>0</v>
      </c>
      <c r="GV45" s="304">
        <f>IF($E$101=2,Dados!$AF$53,IF($E$101=3,Dados!$AH$53,IF($E$101=4,Dados!$AJ$53,IF($E$101=5,Dados!$AL$53,IF($E$101=6,Dados!$AN$53,IF($E$101=7,Dados!$AP$53,IF($E$101=8,Dados!$AT$53,0)))))))</f>
        <v>0</v>
      </c>
      <c r="GX45" s="316">
        <f>IF($E$106=2,Dados!$AE$53,IF($E$106=3,Dados!$AG$53,IF($E$106=4,Dados!$AI$53,IF($E$106=5,Dados!$AK$53,IF($E$106=6,Dados!$AM$53,IF($E$106=7,Dados!$AO$53,IF($E$106=8,Dados!$AS$53,0)))))))</f>
        <v>0</v>
      </c>
      <c r="GY45" s="304">
        <f>IF($E$106=2,Dados!$AF$53,IF($E$106=3,Dados!$AH$53,IF($E$106=4,Dados!$AJ$53,IF($E$106=5,Dados!$AL$53,IF($E$106=6,Dados!$AN$53,IF($E$106=7,Dados!$AP$53,IF($E$106=8,Dados!$AT$53,0)))))))</f>
        <v>0</v>
      </c>
      <c r="GZ45" s="316">
        <f>IF($E$107=2,Dados!$AE$53,IF($E$107=3,Dados!$AG$53,IF($E$107=4,Dados!$AI$53,IF($E$107=5,Dados!$AK$53,IF($E$107=6,Dados!$AM$53,IF($E$107=7,Dados!$AO$53,IF($E$107=8,Dados!$AS$53,0)))))))</f>
        <v>0</v>
      </c>
      <c r="HA45" s="304">
        <f>IF($E$107=2,Dados!$AF$53,IF($E$107=3,Dados!$AH$53,IF($E$107=4,Dados!$AJ$53,IF($E$107=5,Dados!$AL$53,IF($E$107=6,Dados!$AN$53,IF($E$107=7,Dados!$AP$53,IF($E$107=8,Dados!$AT$53,0)))))))</f>
        <v>0</v>
      </c>
      <c r="HB45" s="316">
        <f>IF($E$108=2,Dados!$AE$53,IF($E$108=3,Dados!$AG$53,IF($E$108=4,Dados!$AI$53,IF($E$108=5,Dados!$AK$53,IF($E$108=6,Dados!$AM$53,IF($E$108=7,Dados!$AO$53,IF($E$108=8,Dados!$AS$53,0)))))))</f>
        <v>0</v>
      </c>
      <c r="HC45" s="304">
        <f>IF($E$108=2,Dados!$AF$53,IF($E$108=3,Dados!$AH$53,IF($E$108=4,Dados!$AJ$53,IF($E$108=5,Dados!$AL$53,IF($E$108=6,Dados!$AN$53,IF($E$108=7,Dados!$AP$53,IF($E$108=8,Dados!$AT$53,0)))))))</f>
        <v>0</v>
      </c>
      <c r="HD45" s="316">
        <f>IF($E$109=2,Dados!$AE$53,IF($E$109=3,Dados!$AG$53,IF($E$109=4,Dados!$AI$53,IF($E$109=5,Dados!$AK$53,IF($E$109=6,Dados!$AM$53,IF($E$109=7,Dados!$AO$53,IF($E$109=8,Dados!$AS$53,0)))))))</f>
        <v>0</v>
      </c>
      <c r="HE45" s="304">
        <f>IF($E$109=2,Dados!$AF$53,IF($E$109=3,Dados!$AH$53,IF($E$109=4,Dados!$AJ$53,IF($E$109=5,Dados!$AL$53,IF($E$109=6,Dados!$AN$53,IF($E$109=7,Dados!$AP$53,IF($E$109=8,Dados!$AT$53,0)))))))</f>
        <v>0</v>
      </c>
      <c r="HF45" s="316">
        <f>IF($E$110=2,Dados!$AE$53,IF($E$110=3,Dados!$AG$53,IF($E$110=4,Dados!$AI$53,IF($E$110=5,Dados!$AK$53,IF($E$110=6,Dados!$AM$53,IF($E$110=7,Dados!$AO$53,IF($E$110=8,Dados!$AS$53,0)))))))</f>
        <v>0</v>
      </c>
      <c r="HG45" s="304">
        <f>IF($E$110=2,Dados!$AF$53,IF($E$110=3,Dados!$AH$53,IF($E$110=4,Dados!$AJ$53,IF($E$110=5,Dados!$AL$53,IF($E$110=6,Dados!$AN$53,IF($E$110=7,Dados!$AP$53,IF($E$110=8,Dados!$AT$53,0)))))))</f>
        <v>0</v>
      </c>
    </row>
    <row r="46" spans="3:215" ht="15.75" customHeight="1" x14ac:dyDescent="0.2">
      <c r="C46" s="156">
        <f>IF(R46=1,0,S46)</f>
        <v>0</v>
      </c>
      <c r="D46" s="2721"/>
      <c r="E46" s="180">
        <v>1</v>
      </c>
      <c r="F46" s="2718">
        <v>1</v>
      </c>
      <c r="G46" s="2719"/>
      <c r="H46" s="309"/>
      <c r="I46" s="229"/>
      <c r="J46" s="314"/>
      <c r="K46" s="157"/>
      <c r="L46" s="305"/>
      <c r="M46" s="127">
        <f>IF(I46=1,K46,IF(I46=2,K46/J46,IF(I46=3,K46*L46,0)))</f>
        <v>0</v>
      </c>
      <c r="N46" s="128">
        <v>1</v>
      </c>
      <c r="O46" s="30">
        <v>1</v>
      </c>
      <c r="P46" s="837">
        <f>IF(N46=1,0,VLOOKUP(N46,Rebanho!$AN$45:$AV$72,4)*O46)</f>
        <v>0</v>
      </c>
      <c r="Q46" s="838">
        <f>VLOOKUP(N46,Rebanho!$AN$45:$AV$72,7)*O46</f>
        <v>0</v>
      </c>
      <c r="R46" s="3">
        <v>1</v>
      </c>
      <c r="S46" s="29"/>
      <c r="T46" s="102">
        <f>VLOOKUP(R46,'Mão-de-obra'!$CJ$10:$CL$29,3)</f>
        <v>0</v>
      </c>
      <c r="U46" s="102">
        <f>T46*S46</f>
        <v>0</v>
      </c>
      <c r="V46" s="127">
        <f>IF(I46=1,M46*P46,IF(I46=2,M46*Q46*L46,IF(I46=3,M46,0)))</f>
        <v>0</v>
      </c>
      <c r="W46" s="129">
        <f>U46+V46</f>
        <v>0</v>
      </c>
      <c r="X46" s="93">
        <v>1</v>
      </c>
      <c r="Y46" s="93">
        <v>1</v>
      </c>
      <c r="Z46" s="127">
        <f t="shared" si="12"/>
        <v>0</v>
      </c>
      <c r="AW46" s="3" t="s">
        <v>528</v>
      </c>
      <c r="AX46" s="94">
        <f>IF($E43=5,$V43,0)</f>
        <v>0</v>
      </c>
      <c r="AY46" s="94">
        <f>IF($E44=5,$V44,0)</f>
        <v>0</v>
      </c>
      <c r="AZ46" s="94">
        <f>IF($E45=5,$V45,0)</f>
        <v>0</v>
      </c>
      <c r="BA46" s="94">
        <f>IF($E46=5,$V46,0)</f>
        <v>0</v>
      </c>
      <c r="BB46" s="94">
        <f>IF($E47=5,$V47,0)</f>
        <v>0</v>
      </c>
      <c r="BC46" s="200">
        <f t="shared" si="11"/>
        <v>0</v>
      </c>
      <c r="CF46" s="93">
        <v>41</v>
      </c>
      <c r="CG46" s="316">
        <f>IF($E$7=2,Dados!$AE$54,IF($E$7=3,Dados!$AG$54,IF($E$7=4,Dados!$AI$54,IF($E$7=5,Dados!$AK$54,IF($E$7=6,Dados!$AM$54,IF($E$7=7,Dados!$AO$54,IF($E$7=8,Dados!$AS$54,0)))))))</f>
        <v>0</v>
      </c>
      <c r="CH46" s="304">
        <f>IF($E$7=2,Dados!$AF$54,IF($E$7=3,Dados!$AH$54,IF($E$7=4,Dados!$AJ$54,IF($E$7=5,Dados!$AL$54,IF($E$7=6,Dados!$AN$54,IF($E$7=7,Dados!$AP$54,IF($E$7=8,Dados!$AT$54,0)))))))</f>
        <v>0</v>
      </c>
      <c r="CI46" s="316">
        <f>IF($E$8=2,Dados!$AE$54,IF($E$8=3,Dados!$AG$54,IF($E$8=4,Dados!$AI$54,IF($E$8=5,Dados!$AK$54,IF($E$8=6,Dados!$AM$54,IF($E$8=7,Dados!$AO$54,IF($E$8=8,Dados!$AS$54,0)))))))</f>
        <v>0</v>
      </c>
      <c r="CJ46" s="304">
        <f>IF($E$8=2,Dados!$AF$54,IF($E$8=3,Dados!$AH$54,IF($E$8=4,Dados!$AJ$54,IF($E$8=5,Dados!$AL$54,IF($E$8=6,Dados!$AN$54,IF($E$8=7,Dados!$AP$54,IF($E$8=8,Dados!$AT$54,0)))))))</f>
        <v>0</v>
      </c>
      <c r="CK46" s="316">
        <f>IF($E$9=2,Dados!$AE$54,IF($E$9=3,Dados!$AG$54,IF($E$9=4,Dados!$AI$54,IF($E$9=5,Dados!$AK$54,IF($E$9=6,Dados!$AM$54,IF($E$9=7,Dados!$AO$54,IF($E$9=8,Dados!$AS$54,0)))))))</f>
        <v>0</v>
      </c>
      <c r="CL46" s="304">
        <f>IF($E$9=2,Dados!$AF$54,IF($E$9=3,Dados!$AH$54,IF($E$9=4,Dados!$AJ$54,IF($E$9=5,Dados!$AL$54,IF($E$9=6,Dados!$AN$54,IF($E$9=7,Dados!$AP$54,IF($E$9=8,Dados!$AT$54,0)))))))</f>
        <v>0</v>
      </c>
      <c r="CM46" s="316">
        <f>IF($E$10=2,Dados!$AE$54,IF($E$10=3,Dados!$AG$54,IF($E$10=4,Dados!$AI$54,IF($E$10=5,Dados!$AK$54,IF($E$10=6,Dados!$AM$54,IF($E$10=7,Dados!$AO$54,IF($E$10=8,Dados!$AS$54,0)))))))</f>
        <v>0</v>
      </c>
      <c r="CN46" s="304">
        <f>IF($E$10=2,Dados!$AF$54,IF($E$10=3,Dados!$AH$54,IF($E$10=4,Dados!$AJ$54,IF($E$10=5,Dados!$AL$54,IF($E$10=6,Dados!$AN$54,IF($E$10=7,Dados!$AP$54,IF($E$10=8,Dados!$AT$54,0)))))))</f>
        <v>0</v>
      </c>
      <c r="CO46" s="316">
        <f>IF($E$11=2,Dados!$AE$54,IF($E$11=3,Dados!$AG$54,IF($E$11=4,Dados!$AI$54,IF($E$11=5,Dados!$AK$54,IF($E$11=6,Dados!$AM$54,IF($E$11=7,Dados!$AO$54,IF($E$11=8,Dados!$AS$54,0)))))))</f>
        <v>0</v>
      </c>
      <c r="CP46" s="304">
        <f>IF($E$11=2,Dados!$AF$54,IF($E$11=3,Dados!$AH$54,IF($E$11=4,Dados!$AJ$54,IF($E$11=5,Dados!$AL$54,IF($E$11=6,Dados!$AN$54,IF($E$11=7,Dados!$AP$54,IF($E$11=8,Dados!$AT$54,0)))))))</f>
        <v>0</v>
      </c>
      <c r="CR46" s="316">
        <f>IF($E$16=2,Dados!$AE$54,IF($E$16=3,Dados!$AG$54,IF($E$16=4,Dados!$AI$54,IF($E$16=5,Dados!$AK$54,IF($E$16=6,Dados!$AM$54,IF($E$16=7,Dados!$AO$54,IF($E$16=8,Dados!$AS$54,0)))))))</f>
        <v>0</v>
      </c>
      <c r="CS46" s="304">
        <f>IF($E$16=2,Dados!$AF$54,IF($E$16=3,Dados!$AH$54,IF($E$16=4,Dados!$AJ$54,IF($E$16=5,Dados!$AL$54,IF($E$16=6,Dados!$AN$54,IF($E$16=7,Dados!$AP$54,IF($E$16=8,Dados!$AT$54,0)))))))</f>
        <v>0</v>
      </c>
      <c r="CT46" s="316">
        <f>IF($E$17=2,Dados!$AE$54,IF($E$17=3,Dados!$AG$54,IF($E$17=4,Dados!$AI$54,IF($E$17=5,Dados!$AK$54,IF($E$17=6,Dados!$AM$54,IF($E$17=7,Dados!$AO$54,IF($E$17=8,Dados!$AS$54,0)))))))</f>
        <v>0</v>
      </c>
      <c r="CU46" s="304">
        <f>IF($E$17=2,Dados!$AF$54,IF($E$17=3,Dados!$AH$54,IF($E$17=4,Dados!$AJ$54,IF($E$17=5,Dados!$AL$54,IF($E$17=6,Dados!$AN$54,IF($E$17=7,Dados!$AP$54,IF($E$17=8,Dados!$AT$54,0)))))))</f>
        <v>0</v>
      </c>
      <c r="CV46" s="316">
        <f>IF($E$18=2,Dados!$AE$54,IF($E$18=3,Dados!$AG$54,IF($E$18=4,Dados!$AI$54,IF($E$18=5,Dados!$AK$54,IF($E$18=6,Dados!$AM$54,IF($E$18=7,Dados!$AO$54,IF($E$18=8,Dados!$AS$54,0)))))))</f>
        <v>0</v>
      </c>
      <c r="CW46" s="304">
        <f>IF($E$18=2,Dados!$AF$54,IF($E$18=3,Dados!$AH$54,IF($E$18=4,Dados!$AJ$54,IF($E$18=5,Dados!$AL$54,IF($E$18=6,Dados!$AN$54,IF($E$18=7,Dados!$AP$54,IF($E$18=8,Dados!$AT$54,0)))))))</f>
        <v>0</v>
      </c>
      <c r="CX46" s="316">
        <f>IF($E$19=2,Dados!$AE$54,IF($E$19=3,Dados!$AG$54,IF($E$19=4,Dados!$AI$54,IF($E$19=5,Dados!$AK$54,IF($E$19=6,Dados!$AM$54,IF($E$19=7,Dados!$AO$54,IF($E$19=8,Dados!$AS$54,0)))))))</f>
        <v>0</v>
      </c>
      <c r="CY46" s="304">
        <f>IF($E$19=2,Dados!$AF$54,IF($E$19=3,Dados!$AH$54,IF($E$19=4,Dados!$AJ$54,IF($E$19=5,Dados!$AL$54,IF($E$19=6,Dados!$AN$54,IF($E$19=7,Dados!$AP$54,IF($E$19=8,Dados!$AT$54,0)))))))</f>
        <v>0</v>
      </c>
      <c r="CZ46" s="316">
        <f>IF($E$20=2,Dados!$AE$54,IF($E$20=3,Dados!$AG$54,IF($E$20=4,Dados!$AI$54,IF($E$20=5,Dados!$AK$54,IF($E$20=6,Dados!$AM$54,IF($E$20=7,Dados!$AO$54,IF($E$20=8,Dados!$AS$54,0)))))))</f>
        <v>0</v>
      </c>
      <c r="DA46" s="304">
        <f>IF($E$20=2,Dados!$AF$54,IF($E$20=3,Dados!$AH$54,IF($E$20=4,Dados!$AJ$54,IF($E$20=5,Dados!$AL$54,IF($E$20=6,Dados!$AN$54,IF($E$20=7,Dados!$AP$54,IF($E$20=8,Dados!$AT$54,0)))))))</f>
        <v>0</v>
      </c>
      <c r="DC46" s="316">
        <f>IF($E$25=2,Dados!$AE$54,IF($E$25=3,Dados!$AG$54,IF($E$25=4,Dados!$AI$54,IF($E$25=5,Dados!$AK$54,IF($E$25=6,Dados!$AM$54,IF($E$25=7,Dados!$AO$54,IF($E$25=8,Dados!$AS$54,0)))))))</f>
        <v>0</v>
      </c>
      <c r="DD46" s="304">
        <f>IF($E$25=2,Dados!$AF$54,IF($E$25=3,Dados!$AH$54,IF($E$25=4,Dados!$AJ$54,IF($E$25=5,Dados!$AL$54,IF($E$25=6,Dados!$AN$54,IF($E$25=7,Dados!$AP$54,IF($E$25=8,Dados!$AT$54,0)))))))</f>
        <v>0</v>
      </c>
      <c r="DE46" s="316">
        <f>IF($E$26=2,Dados!$AE$54,IF($E$26=3,Dados!$AG$54,IF($E$26=4,Dados!$AI$54,IF($E$26=5,Dados!$AK$54,IF($E$26=6,Dados!$AM$54,IF($E$26=7,Dados!$AO$54,IF($E$26=8,Dados!$AS$54,0)))))))</f>
        <v>0</v>
      </c>
      <c r="DF46" s="304">
        <f>IF($E$26=2,Dados!$AF$54,IF($E$26=3,Dados!$AH$54,IF($E$26=4,Dados!$AJ$54,IF($E$26=5,Dados!$AL$54,IF($E$26=6,Dados!$AN$54,IF($E$26=7,Dados!$AP$54,IF($E$26=8,Dados!$AT$54,0)))))))</f>
        <v>0</v>
      </c>
      <c r="DG46" s="316">
        <f>IF($E$27=2,Dados!$AE$54,IF($E$27=3,Dados!$AG$54,IF($E$27=4,Dados!$AI$54,IF($E$27=5,Dados!$AK$54,IF($E$27=6,Dados!$AM$54,IF($E$27=7,Dados!$AO$54,IF($E$27=8,Dados!$AS$54,0)))))))</f>
        <v>0</v>
      </c>
      <c r="DH46" s="304">
        <f>IF($E$27=2,Dados!$AF$54,IF($E$27=3,Dados!$AH$54,IF($E$27=4,Dados!$AJ$54,IF($E$27=5,Dados!$AL$54,IF($E$27=6,Dados!$AN$54,IF($E$27=7,Dados!$AP$54,IF($E$27=8,Dados!$AT$54,0)))))))</f>
        <v>0</v>
      </c>
      <c r="DI46" s="316">
        <f>IF($E$28=2,Dados!$AE$54,IF($E$28=3,Dados!$AG$54,IF($E$28=4,Dados!$AI$54,IF($E$28=5,Dados!$AK$54,IF($E$28=6,Dados!$AM$54,IF($E$28=7,Dados!$AO$54,IF($E$28=8,Dados!$AS$54,0)))))))</f>
        <v>0</v>
      </c>
      <c r="DJ46" s="304">
        <f>IF($E$28=2,Dados!$AF$54,IF($E$28=3,Dados!$AH$54,IF($E$28=4,Dados!$AJ$54,IF($E$28=5,Dados!$AL$54,IF($E$28=6,Dados!$AN$54,IF($E$28=7,Dados!$AP$54,IF($E$28=8,Dados!$AT$54,0)))))))</f>
        <v>0</v>
      </c>
      <c r="DK46" s="316">
        <f>IF($E$29=2,Dados!$AE$54,IF($E$29=3,Dados!$AG$54,IF($E$29=4,Dados!$AI$54,IF($E$29=5,Dados!$AK$54,IF($E$29=6,Dados!$AM$54,IF($E$29=7,Dados!$AO$54,IF($E$29=8,Dados!$AS$54,0)))))))</f>
        <v>0</v>
      </c>
      <c r="DL46" s="304">
        <f>IF($E$29=2,Dados!$AF$54,IF($E$29=3,Dados!$AH$54,IF($E$29=4,Dados!$AJ$54,IF($E$29=5,Dados!$AL$54,IF($E$29=6,Dados!$AN$54,IF($E$29=7,Dados!$AP$54,IF($E$29=8,Dados!$AT$54,0)))))))</f>
        <v>0</v>
      </c>
      <c r="DN46" s="316">
        <f>IF($E$34=2,Dados!$AE$54,IF($E$34=3,Dados!$AG$54,IF($E$34=4,Dados!$AI$54,IF($E$34=5,Dados!$AK$54,IF($E$34=6,Dados!$AM$54,IF($E$34=7,Dados!$AO$54,IF($E$34=8,Dados!$AS$54,0)))))))</f>
        <v>0</v>
      </c>
      <c r="DO46" s="304">
        <f>IF($E$34=2,Dados!$AF$54,IF($E$34=3,Dados!$AH$54,IF($E$34=4,Dados!$AJ$54,IF($E$34=5,Dados!$AL$54,IF($E$34=6,Dados!$AN$54,IF($E$34=7,Dados!$AP$54,IF($E$34=8,Dados!$AT$54,0)))))))</f>
        <v>0</v>
      </c>
      <c r="DP46" s="316">
        <f>IF($E$35=2,Dados!$AE$54,IF($E$35=3,Dados!$AG$54,IF($E$35=4,Dados!$AI$54,IF($E$35=5,Dados!$AK$54,IF($E$35=6,Dados!$AM$54,IF($E$35=7,Dados!$AO$54,IF($E$35=8,Dados!$AS$54,0)))))))</f>
        <v>0</v>
      </c>
      <c r="DQ46" s="304">
        <f>IF($E$35=2,Dados!$AF$54,IF($E$35=3,Dados!$AH$54,IF($E$35=4,Dados!$AJ$54,IF($E$35=5,Dados!$AL$54,IF($E$35=6,Dados!$AN$54,IF($E$35=7,Dados!$AP$54,IF($E$35=8,Dados!$AT$54,0)))))))</f>
        <v>0</v>
      </c>
      <c r="DR46" s="316">
        <f>IF($E$36=2,Dados!$AE$54,IF($E$36=3,Dados!$AG$54,IF($E$36=4,Dados!$AI$54,IF($E$36=5,Dados!$AK$54,IF($E$36=6,Dados!$AM$54,IF($E$36=7,Dados!$AO$54,IF($E$36=8,Dados!$AS$54,0)))))))</f>
        <v>0</v>
      </c>
      <c r="DS46" s="304">
        <f>IF($E$36=2,Dados!$AF$54,IF($E$36=3,Dados!$AH$54,IF($E$36=4,Dados!$AJ$54,IF($E$36=5,Dados!$AL$54,IF($E$36=6,Dados!$AN$54,IF($E$36=7,Dados!$AP$54,IF($E$36=8,Dados!$AT$54,0)))))))</f>
        <v>0</v>
      </c>
      <c r="DT46" s="316">
        <f>IF($E$37=2,Dados!$AE$54,IF($E$37=3,Dados!$AG$54,IF($E$37=4,Dados!$AI$54,IF($E$37=5,Dados!$AK$54,IF($E$37=6,Dados!$AM$54,IF($E$37=7,Dados!$AO$54,IF($E$37=8,Dados!$AS$54,0)))))))</f>
        <v>0</v>
      </c>
      <c r="DU46" s="304">
        <f>IF($E$37=2,Dados!$AF$54,IF($E$37=3,Dados!$AH$54,IF($E$37=4,Dados!$AJ$54,IF($E$37=5,Dados!$AL$54,IF($E$37=6,Dados!$AN$54,IF($E$37=7,Dados!$AP$54,IF($E$37=8,Dados!$AT$54,0)))))))</f>
        <v>0</v>
      </c>
      <c r="DV46" s="316">
        <f>IF($E$38=2,Dados!$AE$54,IF($E$38=3,Dados!$AG$54,IF($E$38=4,Dados!$AI$54,IF($E$38=5,Dados!$AK$54,IF($E$38=6,Dados!$AM$54,IF($E$38=7,Dados!$AO$54,IF($E$38=8,Dados!$AS$54,0)))))))</f>
        <v>0</v>
      </c>
      <c r="DW46" s="304">
        <f>IF($E$38=2,Dados!$AF$54,IF($E$38=3,Dados!$AH$54,IF($E$38=4,Dados!$AJ$54,IF($E$38=5,Dados!$AL$54,IF($E$38=6,Dados!$AN$54,IF($E$38=7,Dados!$AP$54,IF($E$38=8,Dados!$AT$54,0)))))))</f>
        <v>0</v>
      </c>
      <c r="DY46" s="316">
        <f>IF($E$43=2,Dados!$AE$54,IF($E$43=3,Dados!$AG$54,IF($E$43=4,Dados!$AI$54,IF($E$43=5,Dados!$AK$54,IF($E$43=6,Dados!$AM$54,IF($E$43=7,Dados!$AO$54,IF($E$43=8,Dados!$AS$54,0)))))))</f>
        <v>0</v>
      </c>
      <c r="DZ46" s="304">
        <f>IF($E$43=2,Dados!$AF$54,IF($E$43=3,Dados!$AH$54,IF($E$43=4,Dados!$AJ$54,IF($E$43=5,Dados!$AL$54,IF($E$43=6,Dados!$AN$54,IF($E$43=7,Dados!$AP$54,IF($E$43=8,Dados!$AT$54,0)))))))</f>
        <v>0</v>
      </c>
      <c r="EA46" s="316">
        <f>IF($E$44=2,Dados!$AE$54,IF($E$44=3,Dados!$AG$54,IF($E$44=4,Dados!$AI$54,IF($E$44=5,Dados!$AK$54,IF($E$44=6,Dados!$AM$54,IF($E$44=7,Dados!$AO$54,IF($E$44=8,Dados!$AS$54,0)))))))</f>
        <v>0</v>
      </c>
      <c r="EB46" s="304">
        <f>IF($E$44=2,Dados!$AF$54,IF($E$44=3,Dados!$AH$54,IF($E$44=4,Dados!$AJ$54,IF($E$44=5,Dados!$AL$54,IF($E$44=6,Dados!$AN$54,IF($E$44=7,Dados!$AP$54,IF($E$44=8,Dados!$AT$54,0)))))))</f>
        <v>0</v>
      </c>
      <c r="EC46" s="316">
        <f>IF($E$45=2,Dados!$AE$54,IF($E$45=3,Dados!$AG$54,IF($E$45=4,Dados!$AI$54,IF($E$45=5,Dados!$AK$54,IF($E$45=6,Dados!$AM$54,IF($E$45=7,Dados!$AO$54,IF($E$45=8,Dados!$AS$54,0)))))))</f>
        <v>0</v>
      </c>
      <c r="ED46" s="304">
        <f>IF($E$45=2,Dados!$AF$54,IF($E$45=3,Dados!$AH$54,IF($E$45=4,Dados!$AJ$54,IF($E$45=5,Dados!$AL$54,IF($E$45=6,Dados!$AN$54,IF($E$45=7,Dados!$AP$54,IF($E$45=8,Dados!$AT$54,0)))))))</f>
        <v>0</v>
      </c>
      <c r="EE46" s="316">
        <f>IF($E$46=2,Dados!$AE$54,IF($E$46=3,Dados!$AG$54,IF($E$46=4,Dados!$AI$54,IF($E$46=5,Dados!$AK$54,IF($E$46=6,Dados!$AM$54,IF($E$46=7,Dados!$AO$54,IF($E$46=8,Dados!$AS$54,0)))))))</f>
        <v>0</v>
      </c>
      <c r="EF46" s="304">
        <f>IF($E$46=2,Dados!$AF$54,IF($E$46=3,Dados!$AH$54,IF($E$46=4,Dados!$AJ$54,IF($E$46=5,Dados!$AL$54,IF($E$46=6,Dados!$AN$54,IF($E$46=7,Dados!$AP$54,IF($E$46=8,Dados!$AT$54,0)))))))</f>
        <v>0</v>
      </c>
      <c r="EG46" s="316">
        <f>IF($E$47=2,Dados!$AE$54,IF($E$47=3,Dados!$AG$54,IF($E$47=4,Dados!$AI$54,IF($E$47=5,Dados!$AK$54,IF($E$47=6,Dados!$AM$54,IF($E$47=7,Dados!$AO$54,IF($E$47=8,Dados!$AS$54,0)))))))</f>
        <v>0</v>
      </c>
      <c r="EH46" s="304">
        <f>IF($E$47=2,Dados!$AF$54,IF($E$47=3,Dados!$AH$54,IF($E$47=4,Dados!$AJ$54,IF($E$47=5,Dados!$AL$54,IF($E$47=6,Dados!$AN$54,IF($E$47=7,Dados!$AP$54,IF($E$47=8,Dados!$AT$54,0)))))))</f>
        <v>0</v>
      </c>
      <c r="EJ46" s="316">
        <f>IF($E$52=2,Dados!$AE$54,IF($E$52=3,Dados!$AG$54,IF($E$52=4,Dados!$AI$54,IF($E$52=5,Dados!$AK$54,IF($E$52=6,Dados!$AM$54,IF($E$52=7,Dados!$AO$54,IF($E$52=8,Dados!$AS$54,0)))))))</f>
        <v>0</v>
      </c>
      <c r="EK46" s="304">
        <f>IF($E$52=2,Dados!$AF$54,IF($E$52=3,Dados!$AH$54,IF($E$52=4,Dados!$AJ$54,IF($E$52=5,Dados!$AL$54,IF($E$52=6,Dados!$AN$54,IF($E$52=7,Dados!$AP$54,IF($E$52=8,Dados!$AT$54,0)))))))</f>
        <v>0</v>
      </c>
      <c r="EL46" s="316">
        <f>IF($E$53=2,Dados!$AE$54,IF($E$53=3,Dados!$AG$54,IF($E$53=4,Dados!$AI$54,IF($E$53=5,Dados!$AK$54,IF($E$53=6,Dados!$AM$54,IF($E$53=7,Dados!$AO$54,IF($E$53=8,Dados!$AS$54,0)))))))</f>
        <v>0</v>
      </c>
      <c r="EM46" s="304">
        <f>IF($E$53=2,Dados!$AF$54,IF($E$53=3,Dados!$AH$54,IF($E$53=4,Dados!$AJ$54,IF($E$53=5,Dados!$AL$54,IF($E$53=6,Dados!$AN$54,IF($E$53=7,Dados!$AP$54,IF($E$53=8,Dados!$AT$54,0)))))))</f>
        <v>0</v>
      </c>
      <c r="EN46" s="316">
        <f>IF($E$54=2,Dados!$AE$54,IF($E$54=3,Dados!$AG$54,IF($E$54=4,Dados!$AI$54,IF($E$54=5,Dados!$AK$54,IF($E$54=6,Dados!$AM$54,IF($E$54=7,Dados!$AO$54,IF($E$54=8,Dados!$AS$54,0)))))))</f>
        <v>0</v>
      </c>
      <c r="EO46" s="304">
        <f>IF($E$54=2,Dados!$AF$54,IF($E$54=3,Dados!$AH$54,IF($E$54=4,Dados!$AJ$54,IF($E$54=5,Dados!$AL$54,IF($E$54=6,Dados!$AN$54,IF($E$54=7,Dados!$AP$54,IF($E$54=8,Dados!$AT$54,0)))))))</f>
        <v>0</v>
      </c>
      <c r="EP46" s="316">
        <f>IF($E$55=2,Dados!$AE$54,IF($E$55=3,Dados!$AG$54,IF($E$55=4,Dados!$AI$54,IF($E$55=5,Dados!$AK$54,IF($E$55=6,Dados!$AM$54,IF($E$55=7,Dados!$AO$54,IF($E$55=8,Dados!$AS$54,0)))))))</f>
        <v>0</v>
      </c>
      <c r="EQ46" s="304">
        <f>IF($E$55=2,Dados!$AF$54,IF($E$55=3,Dados!$AH$54,IF($E$55=4,Dados!$AJ$54,IF($E$55=5,Dados!$AL$54,IF($E$55=6,Dados!$AN$54,IF($E$55=7,Dados!$AP$54,IF($E$55=8,Dados!$AT$54,0)))))))</f>
        <v>0</v>
      </c>
      <c r="ER46" s="316">
        <f>IF($E$56=2,Dados!$AE$54,IF($E$56=3,Dados!$AG$54,IF($E$56=4,Dados!$AI$54,IF($E$56=5,Dados!$AK$54,IF($E$56=6,Dados!$AM$54,IF($E$56=7,Dados!$AO$54,IF($E$56=8,Dados!$AS$54,0)))))))</f>
        <v>0</v>
      </c>
      <c r="ES46" s="304">
        <f>IF($E$56=2,Dados!$AF$54,IF($E$56=3,Dados!$AH$54,IF($E$56=4,Dados!$AJ$54,IF($E$56=5,Dados!$AL$54,IF($E$56=6,Dados!$AN$54,IF($E$56=7,Dados!$AP$54,IF($E$56=8,Dados!$AT$54,0)))))))</f>
        <v>0</v>
      </c>
      <c r="EU46" s="316">
        <f>IF($E$61=2,Dados!$AE$54,IF($E$61=3,Dados!$AG$54,IF($E$61=4,Dados!$AI$54,IF($E$61=5,Dados!$AK$54,IF($E$61=6,Dados!$AM$54,IF($E$61=7,Dados!$AO$54,IF($E$61=8,Dados!$AS$54,0)))))))</f>
        <v>0</v>
      </c>
      <c r="EV46" s="304">
        <f>IF($E$61=2,Dados!$AF$54,IF($E$61=3,Dados!$AH$54,IF($E$61=4,Dados!$AJ$54,IF($E$61=5,Dados!$AL$54,IF($E$61=6,Dados!$AN$54,IF($E$61=7,Dados!$AP$54,IF($E$61=8,Dados!$AT$54,0)))))))</f>
        <v>0</v>
      </c>
      <c r="EW46" s="316">
        <f>IF($E$62=2,Dados!$AE$54,IF($E$62=3,Dados!$AG$54,IF($E$62=4,Dados!$AI$54,IF($E$62=5,Dados!$AK$54,IF($E$62=6,Dados!$AM$54,IF($E$62=7,Dados!$AO$54,IF($E$62=8,Dados!$AS$54,0)))))))</f>
        <v>0</v>
      </c>
      <c r="EX46" s="304">
        <f>IF($E$62=2,Dados!$AF$54,IF($E$62=3,Dados!$AH$54,IF($E$62=4,Dados!$AJ$54,IF($E$62=5,Dados!$AL$54,IF($E$62=6,Dados!$AN$54,IF($E$62=7,Dados!$AP$54,IF($E$62=8,Dados!$AT$54,0)))))))</f>
        <v>0</v>
      </c>
      <c r="EY46" s="316">
        <f>IF($E$63=2,Dados!$AE$54,IF($E$63=3,Dados!$AG$54,IF($E$63=4,Dados!$AI$54,IF($E$63=5,Dados!$AK$54,IF($E$63=6,Dados!$AM$54,IF($E$63=7,Dados!$AO$54,IF($E$63=8,Dados!$AS$54,0)))))))</f>
        <v>0</v>
      </c>
      <c r="EZ46" s="304">
        <f>IF($E$63=2,Dados!$AF$54,IF($E$63=3,Dados!$AH$54,IF($E$63=4,Dados!$AJ$54,IF($E$63=5,Dados!$AL$54,IF($E$63=6,Dados!$AN$54,IF($E$63=7,Dados!$AP$54,IF($E$63=8,Dados!$AT$54,0)))))))</f>
        <v>0</v>
      </c>
      <c r="FA46" s="316">
        <f>IF($E$64=2,Dados!$AE$54,IF($E$64=3,Dados!$AG$54,IF($E$64=4,Dados!$AI$54,IF($E$64=5,Dados!$AK$54,IF($E$64=6,Dados!$AM$54,IF($E$64=7,Dados!$AO$54,IF($E$64=8,Dados!$AS$54,0)))))))</f>
        <v>0</v>
      </c>
      <c r="FB46" s="304">
        <f>IF($E$64=2,Dados!$AF$54,IF($E$64=3,Dados!$AH$54,IF($E$64=4,Dados!$AJ$54,IF($E$64=5,Dados!$AL$54,IF($E$64=6,Dados!$AN$54,IF($E$64=7,Dados!$AP$54,IF($E$64=8,Dados!$AT$54,0)))))))</f>
        <v>0</v>
      </c>
      <c r="FC46" s="316">
        <f>IF($E$65=2,Dados!$AE$54,IF($E$65=3,Dados!$AG$54,IF($E$65=4,Dados!$AI$54,IF($E$65=5,Dados!$AK$54,IF($E$65=6,Dados!$AM$54,IF($E$65=7,Dados!$AO$54,IF($E$65=8,Dados!$AS$54,0)))))))</f>
        <v>0</v>
      </c>
      <c r="FD46" s="304">
        <f>IF($E$65=2,Dados!$AF$54,IF($E$65=3,Dados!$AH$54,IF($E$65=4,Dados!$AJ$54,IF($E$65=5,Dados!$AL$54,IF($E$65=6,Dados!$AN$54,IF($E$65=7,Dados!$AP$54,IF($E$65=8,Dados!$AT$54,0)))))))</f>
        <v>0</v>
      </c>
      <c r="FF46" s="316">
        <f>IF($E$70=2,Dados!$AE$54,IF($E$70=3,Dados!$AG$54,IF($E$70=4,Dados!$AI$54,IF($E$70=5,Dados!$AK$54,IF($E$70=6,Dados!$AM$54,IF($E$70=7,Dados!$AO$54,IF($E$70=8,Dados!$AS$54,0)))))))</f>
        <v>0</v>
      </c>
      <c r="FG46" s="304">
        <f>IF($E$70=2,Dados!$AF$54,IF($E$70=3,Dados!$AH$54,IF($E$70=4,Dados!$AJ$54,IF($E$70=5,Dados!$AL$54,IF($E$70=6,Dados!$AN$54,IF($E$70=7,Dados!$AP$54,IF($E$70=8,Dados!$AT$54,0)))))))</f>
        <v>0</v>
      </c>
      <c r="FH46" s="316">
        <f>IF($E$71=2,Dados!$AE$54,IF($E$71=3,Dados!$AG$54,IF($E$71=4,Dados!$AI$54,IF($E$71=5,Dados!$AK$54,IF($E$71=6,Dados!$AM$54,IF($E$71=7,Dados!$AO$54,IF($E$71=8,Dados!$AS$54,0)))))))</f>
        <v>0</v>
      </c>
      <c r="FI46" s="304">
        <f>IF($E$71=2,Dados!$AF$54,IF($E$71=3,Dados!$AH$54,IF($E$71=4,Dados!$AJ$54,IF($E$71=5,Dados!$AL$54,IF($E$71=6,Dados!$AN$54,IF($E$71=7,Dados!$AP$54,IF($E$71=8,Dados!$AT$54,0)))))))</f>
        <v>0</v>
      </c>
      <c r="FJ46" s="316">
        <f>IF($E$72=2,Dados!$AE$54,IF($E$72=3,Dados!$AG$54,IF($E$72=4,Dados!$AI$54,IF($E$72=5,Dados!$AK$54,IF($E$72=6,Dados!$AM$54,IF($E$72=7,Dados!$AO$54,IF($E$72=8,Dados!$AS$54,0)))))))</f>
        <v>0</v>
      </c>
      <c r="FK46" s="304">
        <f>IF($E$72=2,Dados!$AF$54,IF($E$72=3,Dados!$AH$54,IF($E$72=4,Dados!$AJ$54,IF($E$72=5,Dados!$AL$54,IF($E$72=6,Dados!$AN$54,IF($E$72=7,Dados!$AP$54,IF($E$72=8,Dados!$AT$54,0)))))))</f>
        <v>0</v>
      </c>
      <c r="FL46" s="316">
        <f>IF($E$73=2,Dados!$AE$54,IF($E$73=3,Dados!$AG$54,IF($E$73=4,Dados!$AI$54,IF($E$73=5,Dados!$AK$54,IF($E$73=6,Dados!$AM$54,IF($E$73=7,Dados!$AO$54,IF($E$73=8,Dados!$AS$54,0)))))))</f>
        <v>0</v>
      </c>
      <c r="FM46" s="304">
        <f>IF($E$73=2,Dados!$AF$54,IF($E$73=3,Dados!$AH$54,IF($E$73=4,Dados!$AJ$54,IF($E$73=5,Dados!$AL$54,IF($E$73=6,Dados!$AN$54,IF($E$73=7,Dados!$AP$54,IF($E$73=8,Dados!$AT$54,0)))))))</f>
        <v>0</v>
      </c>
      <c r="FN46" s="316">
        <f>IF($E$74=2,Dados!$AE$54,IF($E$74=3,Dados!$AG$54,IF($E$74=4,Dados!$AI$54,IF($E$74=5,Dados!$AK$54,IF($E$74=6,Dados!$AM$54,IF($E$74=7,Dados!$AO$54,IF($E$74=8,Dados!$AS$54,0)))))))</f>
        <v>0</v>
      </c>
      <c r="FO46" s="304">
        <f>IF($E$74=2,Dados!$AF$54,IF($E$74=3,Dados!$AH$54,IF($E$74=4,Dados!$AJ$54,IF($E$74=5,Dados!$AL$54,IF($E$74=6,Dados!$AN$54,IF($E$74=7,Dados!$AP$54,IF($E$74=8,Dados!$AT$54,0)))))))</f>
        <v>0</v>
      </c>
      <c r="FQ46" s="316">
        <f>IF($E$79=2,Dados!$AE$54,IF($E$79=3,Dados!$AG$54,IF($E$79=4,Dados!$AI$54,IF($E$79=5,Dados!$AK$54,IF($E$79=6,Dados!$AM$54,IF($E$79=7,Dados!$AO$54,IF($E$79=8,Dados!$AS$54,0)))))))</f>
        <v>0</v>
      </c>
      <c r="FR46" s="304">
        <f>IF($E$79=2,Dados!$AF$54,IF($E$79=3,Dados!$AH$54,IF($E$79=4,Dados!$AJ$54,IF($E$79=5,Dados!$AL$54,IF($E$79=6,Dados!$AN$54,IF($E$79=7,Dados!$AP$54,IF($E$79=8,Dados!$AT$54,0)))))))</f>
        <v>0</v>
      </c>
      <c r="FS46" s="316">
        <f>IF($E$80=2,Dados!$AE$54,IF($E$80=3,Dados!$AG$54,IF($E$80=4,Dados!$AI$54,IF($E$80=5,Dados!$AK$54,IF($E$80=6,Dados!$AM$54,IF($E$80=7,Dados!$AO$54,IF($E$80=8,Dados!$AS$54,0)))))))</f>
        <v>0</v>
      </c>
      <c r="FT46" s="304">
        <f>IF($E$80=2,Dados!$AF$54,IF($E$80=3,Dados!$AH$54,IF($E$80=4,Dados!$AJ$54,IF($E$80=5,Dados!$AL$54,IF($E$80=6,Dados!$AN$54,IF($E$80=7,Dados!$AP$54,IF($E$80=8,Dados!$AT$54,0)))))))</f>
        <v>0</v>
      </c>
      <c r="FU46" s="316">
        <f>IF($E$81=2,Dados!$AE$54,IF($E$81=3,Dados!$AG$54,IF($E$81=4,Dados!$AI$54,IF($E$81=5,Dados!$AK$54,IF($E$81=6,Dados!$AM$54,IF($E$81=7,Dados!$AO$54,IF($E$81=8,Dados!$AS$54,0)))))))</f>
        <v>0</v>
      </c>
      <c r="FV46" s="304">
        <f>IF($E$81=2,Dados!$AF$54,IF($E$81=3,Dados!$AH$54,IF($E$81=4,Dados!$AJ$54,IF($E$81=5,Dados!$AL$54,IF($E$81=6,Dados!$AN$54,IF($E$81=7,Dados!$AP$54,IF($E$81=8,Dados!$AT$54,0)))))))</f>
        <v>0</v>
      </c>
      <c r="FW46" s="316">
        <f>IF($E$82=2,Dados!$AE$54,IF($E$82=3,Dados!$AG$54,IF($E$82=4,Dados!$AI$54,IF($E$82=5,Dados!$AK$54,IF($E$82=6,Dados!$AM$54,IF($E$82=7,Dados!$AO$54,IF($E$82=8,Dados!$AS$54,0)))))))</f>
        <v>0</v>
      </c>
      <c r="FX46" s="304">
        <f>IF($E$82=2,Dados!$AF$54,IF($E$82=3,Dados!$AH$54,IF($E$82=4,Dados!$AJ$54,IF($E$82=5,Dados!$AL$54,IF($E$82=6,Dados!$AN$54,IF($E$82=7,Dados!$AP$54,IF($E$82=8,Dados!$AT$54,0)))))))</f>
        <v>0</v>
      </c>
      <c r="FY46" s="316">
        <f>IF($E$83=2,Dados!$AE$54,IF($E$83=3,Dados!$AG$54,IF($E$83=4,Dados!$AI$54,IF($E$83=5,Dados!$AK$54,IF($E$83=6,Dados!$AM$54,IF($E$83=7,Dados!$AO$54,IF($E$83=8,Dados!$AS$54,0)))))))</f>
        <v>0</v>
      </c>
      <c r="FZ46" s="304">
        <f>IF($E$83=2,Dados!$AF$54,IF($E$83=3,Dados!$AH$54,IF($E$83=4,Dados!$AJ$54,IF($E$83=5,Dados!$AL$54,IF($E$83=6,Dados!$AN$54,IF($E$83=7,Dados!$AP$54,IF($E$83=8,Dados!$AT$54,0)))))))</f>
        <v>0</v>
      </c>
      <c r="GB46" s="316">
        <f>IF($E$88=2,Dados!$AE$54,IF($E$88=3,Dados!$AG$54,IF($E$88=4,Dados!$AI$54,IF($E$88=5,Dados!$AK$54,IF($E$88=6,Dados!$AM$54,IF($E$88=7,Dados!$AO$54,IF($E$88=8,Dados!$AS$54,0)))))))</f>
        <v>0</v>
      </c>
      <c r="GC46" s="304">
        <f>IF($E$88=2,Dados!$AF$54,IF($E$88=3,Dados!$AH$54,IF($E$88=4,Dados!$AJ$54,IF($E$88=5,Dados!$AL$54,IF($E$88=6,Dados!$AN$54,IF($E$88=7,Dados!$AP$54,IF($E$88=8,Dados!$AT$54,0)))))))</f>
        <v>0</v>
      </c>
      <c r="GD46" s="316">
        <f>IF($E$89=2,Dados!$AE$54,IF($E$89=3,Dados!$AG$54,IF($E$89=4,Dados!$AI$54,IF($E$89=5,Dados!$AK$54,IF($E$89=6,Dados!$AM$54,IF($E$89=7,Dados!$AO$54,IF($E$89=8,Dados!$AS$54,0)))))))</f>
        <v>0</v>
      </c>
      <c r="GE46" s="304">
        <f>IF($E$89=2,Dados!$AF$54,IF($E$89=3,Dados!$AH$54,IF($E$89=4,Dados!$AJ$54,IF($E$89=5,Dados!$AL$54,IF($E$89=6,Dados!$AN$54,IF($E$89=7,Dados!$AP$54,IF($E$89=8,Dados!$AT$54,0)))))))</f>
        <v>0</v>
      </c>
      <c r="GF46" s="316">
        <f>IF($E$90=2,Dados!$AE$54,IF($E$90=3,Dados!$AG$54,IF($E$90=4,Dados!$AI$54,IF($E$90=5,Dados!$AK$54,IF($E$90=6,Dados!$AM$54,IF($E$90=7,Dados!$AO$54,IF($E$90=8,Dados!$AS$54,0)))))))</f>
        <v>0</v>
      </c>
      <c r="GG46" s="304">
        <f>IF($E$90=2,Dados!$AF$54,IF($E$90=3,Dados!$AH$54,IF($E$90=4,Dados!$AJ$54,IF($E$90=5,Dados!$AL$54,IF($E$90=6,Dados!$AN$54,IF($E$90=7,Dados!$AP$54,IF($E$90=8,Dados!$AT$54,0)))))))</f>
        <v>0</v>
      </c>
      <c r="GH46" s="316">
        <f>IF($E$91=2,Dados!$AE$54,IF($E$91=3,Dados!$AG$54,IF($E$91=4,Dados!$AI$54,IF($E$91=5,Dados!$AK$54,IF($E$91=6,Dados!$AM$54,IF($E$91=7,Dados!$AO$54,IF($E$91=8,Dados!$AS$54,0)))))))</f>
        <v>0</v>
      </c>
      <c r="GI46" s="304">
        <f>IF($E$91=2,Dados!$AF$54,IF($E$91=3,Dados!$AH$54,IF($E$91=4,Dados!$AJ$54,IF($E$91=5,Dados!$AL$54,IF($E$91=6,Dados!$AN$54,IF($E$91=7,Dados!$AP$54,IF($E$91=8,Dados!$AT$54,0)))))))</f>
        <v>0</v>
      </c>
      <c r="GJ46" s="316">
        <f>IF($E$92=2,Dados!$AE$54,IF($E$92=3,Dados!$AG$54,IF($E$92=4,Dados!$AI$54,IF($E$92=5,Dados!$AK$54,IF($E$92=6,Dados!$AM$54,IF($E$92=7,Dados!$AO$54,IF($E$92=8,Dados!$AS$54,0)))))))</f>
        <v>0</v>
      </c>
      <c r="GK46" s="304">
        <f>IF($E$92=2,Dados!$AF$54,IF($E$92=3,Dados!$AH$54,IF($E$92=4,Dados!$AJ$54,IF($E$92=5,Dados!$AL$54,IF($E$92=6,Dados!$AN$54,IF($E$92=7,Dados!$AP$54,IF($E$92=8,Dados!$AT$54,0)))))))</f>
        <v>0</v>
      </c>
      <c r="GM46" s="316">
        <f>IF($E$97=2,Dados!$AE$54,IF($E$97=3,Dados!$AG$54,IF($E$97=4,Dados!$AI$54,IF($E$97=5,Dados!$AK$54,IF($E$97=6,Dados!$AM$54,IF($E$97=7,Dados!$AO$54,IF($E$97=8,Dados!$AS$54,0)))))))</f>
        <v>0</v>
      </c>
      <c r="GN46" s="304">
        <f>IF($E$97=2,Dados!$AF$54,IF($E$97=3,Dados!$AH$54,IF($E$97=4,Dados!$AJ$54,IF($E$97=5,Dados!$AL$54,IF($E$97=6,Dados!$AN$54,IF($E$97=7,Dados!$AP$54,IF($E$97=8,Dados!$AT$54,0)))))))</f>
        <v>0</v>
      </c>
      <c r="GO46" s="316">
        <f>IF($E$98=2,Dados!$AE$54,IF($E$98=3,Dados!$AG$54,IF($E$98=4,Dados!$AI$54,IF($E$98=5,Dados!$AK$54,IF($E$98=6,Dados!$AM$54,IF($E$98=7,Dados!$AO$54,IF($E$98=8,Dados!$AS$54,0)))))))</f>
        <v>0</v>
      </c>
      <c r="GP46" s="304">
        <f>IF($E$98=2,Dados!$AF$54,IF($E$98=3,Dados!$AH$54,IF($E$98=4,Dados!$AJ$54,IF($E$98=5,Dados!$AL$54,IF($E$98=6,Dados!$AN$54,IF($E$98=7,Dados!$AP$54,IF($E$98=8,Dados!$AT$54,0)))))))</f>
        <v>0</v>
      </c>
      <c r="GQ46" s="316">
        <f>IF($E$99=2,Dados!$AE$54,IF($E$99=3,Dados!$AG$54,IF($E$99=4,Dados!$AI$54,IF($E$99=5,Dados!$AK$54,IF($E$99=6,Dados!$AM$54,IF($E$99=7,Dados!$AO$54,IF($E$99=8,Dados!$AS$54,0)))))))</f>
        <v>0</v>
      </c>
      <c r="GR46" s="304">
        <f>IF($E$99=2,Dados!$AF$54,IF($E$99=3,Dados!$AH$54,IF($E$99=4,Dados!$AJ$54,IF($E$99=5,Dados!$AL$54,IF($E$99=6,Dados!$AN$54,IF($E$99=7,Dados!$AP$54,IF($E$99=8,Dados!$AT$54,0)))))))</f>
        <v>0</v>
      </c>
      <c r="GS46" s="316">
        <f>IF($E$100=2,Dados!$AE$54,IF($E$100=3,Dados!$AG$54,IF($E$100=4,Dados!$AI$54,IF($E$100=5,Dados!$AK$54,IF($E$100=6,Dados!$AM$54,IF($E$100=7,Dados!$AO$54,IF($E$100=8,Dados!$AS$54,0)))))))</f>
        <v>0</v>
      </c>
      <c r="GT46" s="304">
        <f>IF($E$100=2,Dados!$AF$54,IF($E$100=3,Dados!$AH$54,IF($E$100=4,Dados!$AJ$54,IF($E$100=5,Dados!$AL$54,IF($E$100=6,Dados!$AN$54,IF($E$100=7,Dados!$AP$54,IF($E$100=8,Dados!$AT$54,0)))))))</f>
        <v>0</v>
      </c>
      <c r="GU46" s="316">
        <f>IF($E$101=2,Dados!$AE$54,IF($E$101=3,Dados!$AG$54,IF($E$101=4,Dados!$AI$54,IF($E$101=5,Dados!$AK$54,IF($E$101=6,Dados!$AM$54,IF($E$101=7,Dados!$AO$54,IF($E$101=8,Dados!$AS$54,0)))))))</f>
        <v>0</v>
      </c>
      <c r="GV46" s="304">
        <f>IF($E$101=2,Dados!$AF$54,IF($E$101=3,Dados!$AH$54,IF($E$101=4,Dados!$AJ$54,IF($E$101=5,Dados!$AL$54,IF($E$101=6,Dados!$AN$54,IF($E$101=7,Dados!$AP$54,IF($E$101=8,Dados!$AT$54,0)))))))</f>
        <v>0</v>
      </c>
      <c r="GX46" s="316">
        <f>IF($E$106=2,Dados!$AE$54,IF($E$106=3,Dados!$AG$54,IF($E$106=4,Dados!$AI$54,IF($E$106=5,Dados!$AK$54,IF($E$106=6,Dados!$AM$54,IF($E$106=7,Dados!$AO$54,IF($E$106=8,Dados!$AS$54,0)))))))</f>
        <v>0</v>
      </c>
      <c r="GY46" s="304">
        <f>IF($E$106=2,Dados!$AF$54,IF($E$106=3,Dados!$AH$54,IF($E$106=4,Dados!$AJ$54,IF($E$106=5,Dados!$AL$54,IF($E$106=6,Dados!$AN$54,IF($E$106=7,Dados!$AP$54,IF($E$106=8,Dados!$AT$54,0)))))))</f>
        <v>0</v>
      </c>
      <c r="GZ46" s="316">
        <f>IF($E$107=2,Dados!$AE$54,IF($E$107=3,Dados!$AG$54,IF($E$107=4,Dados!$AI$54,IF($E$107=5,Dados!$AK$54,IF($E$107=6,Dados!$AM$54,IF($E$107=7,Dados!$AO$54,IF($E$107=8,Dados!$AS$54,0)))))))</f>
        <v>0</v>
      </c>
      <c r="HA46" s="304">
        <f>IF($E$107=2,Dados!$AF$54,IF($E$107=3,Dados!$AH$54,IF($E$107=4,Dados!$AJ$54,IF($E$107=5,Dados!$AL$54,IF($E$107=6,Dados!$AN$54,IF($E$107=7,Dados!$AP$54,IF($E$107=8,Dados!$AT$54,0)))))))</f>
        <v>0</v>
      </c>
      <c r="HB46" s="316">
        <f>IF($E$108=2,Dados!$AE$54,IF($E$108=3,Dados!$AG$54,IF($E$108=4,Dados!$AI$54,IF($E$108=5,Dados!$AK$54,IF($E$108=6,Dados!$AM$54,IF($E$108=7,Dados!$AO$54,IF($E$108=8,Dados!$AS$54,0)))))))</f>
        <v>0</v>
      </c>
      <c r="HC46" s="304">
        <f>IF($E$108=2,Dados!$AF$54,IF($E$108=3,Dados!$AH$54,IF($E$108=4,Dados!$AJ$54,IF($E$108=5,Dados!$AL$54,IF($E$108=6,Dados!$AN$54,IF($E$108=7,Dados!$AP$54,IF($E$108=8,Dados!$AT$54,0)))))))</f>
        <v>0</v>
      </c>
      <c r="HD46" s="316">
        <f>IF($E$109=2,Dados!$AE$54,IF($E$109=3,Dados!$AG$54,IF($E$109=4,Dados!$AI$54,IF($E$109=5,Dados!$AK$54,IF($E$109=6,Dados!$AM$54,IF($E$109=7,Dados!$AO$54,IF($E$109=8,Dados!$AS$54,0)))))))</f>
        <v>0</v>
      </c>
      <c r="HE46" s="304">
        <f>IF($E$109=2,Dados!$AF$54,IF($E$109=3,Dados!$AH$54,IF($E$109=4,Dados!$AJ$54,IF($E$109=5,Dados!$AL$54,IF($E$109=6,Dados!$AN$54,IF($E$109=7,Dados!$AP$54,IF($E$109=8,Dados!$AT$54,0)))))))</f>
        <v>0</v>
      </c>
      <c r="HF46" s="316">
        <f>IF($E$110=2,Dados!$AE$54,IF($E$110=3,Dados!$AG$54,IF($E$110=4,Dados!$AI$54,IF($E$110=5,Dados!$AK$54,IF($E$110=6,Dados!$AM$54,IF($E$110=7,Dados!$AO$54,IF($E$110=8,Dados!$AS$54,0)))))))</f>
        <v>0</v>
      </c>
      <c r="HG46" s="304">
        <f>IF($E$110=2,Dados!$AF$54,IF($E$110=3,Dados!$AH$54,IF($E$110=4,Dados!$AJ$54,IF($E$110=5,Dados!$AL$54,IF($E$110=6,Dados!$AN$54,IF($E$110=7,Dados!$AP$54,IF($E$110=8,Dados!$AT$54,0)))))))</f>
        <v>0</v>
      </c>
    </row>
    <row r="47" spans="3:215" ht="15.75" customHeight="1" x14ac:dyDescent="0.2">
      <c r="C47" s="156">
        <f>IF(R47=1,0,S47)</f>
        <v>0</v>
      </c>
      <c r="D47" s="2722"/>
      <c r="E47" s="180">
        <v>1</v>
      </c>
      <c r="F47" s="2633">
        <v>1</v>
      </c>
      <c r="G47" s="2633"/>
      <c r="H47" s="283"/>
      <c r="I47" s="229"/>
      <c r="J47" s="314"/>
      <c r="K47" s="157"/>
      <c r="L47" s="305"/>
      <c r="M47" s="127">
        <f>IF(I47=1,K47,IF(I47=2,K47/J47,IF(I47=3,K47*L47,0)))</f>
        <v>0</v>
      </c>
      <c r="N47" s="3">
        <v>1</v>
      </c>
      <c r="O47" s="30">
        <v>1</v>
      </c>
      <c r="P47" s="837">
        <f>IF(N47=1,0,VLOOKUP(N47,Rebanho!$AN$45:$AV$72,4)*O47)</f>
        <v>0</v>
      </c>
      <c r="Q47" s="838">
        <f>VLOOKUP(N47,Rebanho!$AN$45:$AV$72,7)*O47</f>
        <v>0</v>
      </c>
      <c r="R47" s="3">
        <v>1</v>
      </c>
      <c r="S47" s="20"/>
      <c r="T47" s="94">
        <f>VLOOKUP(R47,'Mão-de-obra'!$CJ$10:$CL$29,3)</f>
        <v>0</v>
      </c>
      <c r="U47" s="94">
        <f>T47*S47</f>
        <v>0</v>
      </c>
      <c r="V47" s="127">
        <f>IF(I47=1,M47*P47,IF(I47=2,M47*Q47*L47,IF(I47=3,M47,0)))</f>
        <v>0</v>
      </c>
      <c r="W47" s="106">
        <f>U47+V47</f>
        <v>0</v>
      </c>
      <c r="X47" s="93">
        <v>1</v>
      </c>
      <c r="Y47" s="93">
        <v>1</v>
      </c>
      <c r="Z47" s="127">
        <f t="shared" si="12"/>
        <v>0</v>
      </c>
      <c r="AW47" s="3" t="s">
        <v>498</v>
      </c>
      <c r="AX47" s="94">
        <f>IF($E43=6,$V43,0)</f>
        <v>0</v>
      </c>
      <c r="AY47" s="94">
        <f>IF($E44=6,$V44,0)</f>
        <v>0</v>
      </c>
      <c r="AZ47" s="94">
        <f>IF($E45=6,$V45,0)</f>
        <v>0</v>
      </c>
      <c r="BA47" s="94">
        <f>IF($E46=6,$V46,0)</f>
        <v>0</v>
      </c>
      <c r="BB47" s="94">
        <f>IF($E47=6,$V47,0)</f>
        <v>0</v>
      </c>
      <c r="BC47" s="200">
        <f t="shared" si="11"/>
        <v>0</v>
      </c>
      <c r="CF47" s="93">
        <v>42</v>
      </c>
      <c r="CG47" s="316">
        <f>IF($E$7=2,Dados!$AE$55,IF($E$7=3,Dados!$AG$55,IF($E$7=4,Dados!$AI$55,IF($E$7=5,Dados!$AK$55,IF($E$7=6,Dados!$AM$55,IF($E$7=7,Dados!$AO$55,IF($E$7=8,Dados!$AS$55,0)))))))</f>
        <v>0</v>
      </c>
      <c r="CH47" s="304">
        <f>IF($E$7=2,Dados!$AF$55,IF($E$7=3,Dados!$AH$55,IF($E$7=4,Dados!$AJ$55,IF($E$7=5,Dados!$AL$55,IF($E$7=6,Dados!$AN$55,IF($E$7=7,Dados!$AP$55,IF($E$7=8,Dados!$AT$55,0)))))))</f>
        <v>0</v>
      </c>
      <c r="CI47" s="316">
        <f>IF($E$8=2,Dados!$AE$55,IF($E$8=3,Dados!$AG$55,IF($E$8=4,Dados!$AI$55,IF($E$8=5,Dados!$AK$55,IF($E$8=6,Dados!$AM$55,IF($E$8=7,Dados!$AO$55,IF($E$8=8,Dados!$AS$55,0)))))))</f>
        <v>0</v>
      </c>
      <c r="CJ47" s="304">
        <f>IF($E$8=2,Dados!$AF$55,IF($E$8=3,Dados!$AH$55,IF($E$8=4,Dados!$AJ$55,IF($E$8=5,Dados!$AL$55,IF($E$8=6,Dados!$AN$55,IF($E$8=7,Dados!$AP$55,IF($E$8=8,Dados!$AT$55,0)))))))</f>
        <v>0</v>
      </c>
      <c r="CK47" s="316">
        <f>IF($E$9=2,Dados!$AE$55,IF($E$9=3,Dados!$AG$55,IF($E$9=4,Dados!$AI$55,IF($E$9=5,Dados!$AK$55,IF($E$9=6,Dados!$AM$55,IF($E$9=7,Dados!$AO$55,IF($E$9=8,Dados!$AS$55,0)))))))</f>
        <v>0</v>
      </c>
      <c r="CL47" s="304">
        <f>IF($E$9=2,Dados!$AF$55,IF($E$9=3,Dados!$AH$55,IF($E$9=4,Dados!$AJ$55,IF($E$9=5,Dados!$AL$55,IF($E$9=6,Dados!$AN$55,IF($E$9=7,Dados!$AP$55,IF($E$9=8,Dados!$AT$55,0)))))))</f>
        <v>0</v>
      </c>
      <c r="CM47" s="316">
        <f>IF($E$10=2,Dados!$AE$55,IF($E$10=3,Dados!$AG$55,IF($E$10=4,Dados!$AI$55,IF($E$10=5,Dados!$AK$55,IF($E$10=6,Dados!$AM$55,IF($E$10=7,Dados!$AO$55,IF($E$10=8,Dados!$AS$55,0)))))))</f>
        <v>0</v>
      </c>
      <c r="CN47" s="304">
        <f>IF($E$10=2,Dados!$AF$55,IF($E$10=3,Dados!$AH$55,IF($E$10=4,Dados!$AJ$55,IF($E$10=5,Dados!$AL$55,IF($E$10=6,Dados!$AN$55,IF($E$10=7,Dados!$AP$55,IF($E$10=8,Dados!$AT$55,0)))))))</f>
        <v>0</v>
      </c>
      <c r="CO47" s="316">
        <f>IF($E$11=2,Dados!$AE$55,IF($E$11=3,Dados!$AG$55,IF($E$11=4,Dados!$AI$55,IF($E$11=5,Dados!$AK$55,IF($E$11=6,Dados!$AM$55,IF($E$11=7,Dados!$AO$55,IF($E$11=8,Dados!$AS$55,0)))))))</f>
        <v>0</v>
      </c>
      <c r="CP47" s="304">
        <f>IF($E$11=2,Dados!$AF$55,IF($E$11=3,Dados!$AH$55,IF($E$11=4,Dados!$AJ$55,IF($E$11=5,Dados!$AL$55,IF($E$11=6,Dados!$AN$55,IF($E$11=7,Dados!$AP$55,IF($E$11=8,Dados!$AT$55,0)))))))</f>
        <v>0</v>
      </c>
      <c r="CR47" s="316">
        <f>IF($E$16=2,Dados!$AE$55,IF($E$16=3,Dados!$AG$55,IF($E$16=4,Dados!$AI$55,IF($E$16=5,Dados!$AK$55,IF($E$16=6,Dados!$AM$55,IF($E$16=7,Dados!$AO$55,IF($E$16=8,Dados!$AS$55,0)))))))</f>
        <v>0</v>
      </c>
      <c r="CS47" s="304">
        <f>IF($E$16=2,Dados!$AF$55,IF($E$16=3,Dados!$AH$55,IF($E$16=4,Dados!$AJ$55,IF($E$16=5,Dados!$AL$55,IF($E$16=6,Dados!$AN$55,IF($E$16=7,Dados!$AP$55,IF($E$16=8,Dados!$AT$55,0)))))))</f>
        <v>0</v>
      </c>
      <c r="CT47" s="316">
        <f>IF($E$17=2,Dados!$AE$55,IF($E$17=3,Dados!$AG$55,IF($E$17=4,Dados!$AI$55,IF($E$17=5,Dados!$AK$55,IF($E$17=6,Dados!$AM$55,IF($E$17=7,Dados!$AO$55,IF($E$17=8,Dados!$AS$55,0)))))))</f>
        <v>0</v>
      </c>
      <c r="CU47" s="304">
        <f>IF($E$17=2,Dados!$AF$55,IF($E$17=3,Dados!$AH$55,IF($E$17=4,Dados!$AJ$55,IF($E$17=5,Dados!$AL$55,IF($E$17=6,Dados!$AN$55,IF($E$17=7,Dados!$AP$55,IF($E$17=8,Dados!$AT$55,0)))))))</f>
        <v>0</v>
      </c>
      <c r="CV47" s="316">
        <f>IF($E$18=2,Dados!$AE$55,IF($E$18=3,Dados!$AG$55,IF($E$18=4,Dados!$AI$55,IF($E$18=5,Dados!$AK$55,IF($E$18=6,Dados!$AM$55,IF($E$18=7,Dados!$AO$55,IF($E$18=8,Dados!$AS$55,0)))))))</f>
        <v>0</v>
      </c>
      <c r="CW47" s="304">
        <f>IF($E$18=2,Dados!$AF$55,IF($E$18=3,Dados!$AH$55,IF($E$18=4,Dados!$AJ$55,IF($E$18=5,Dados!$AL$55,IF($E$18=6,Dados!$AN$55,IF($E$18=7,Dados!$AP$55,IF($E$18=8,Dados!$AT$55,0)))))))</f>
        <v>0</v>
      </c>
      <c r="CX47" s="316">
        <f>IF($E$19=2,Dados!$AE$55,IF($E$19=3,Dados!$AG$55,IF($E$19=4,Dados!$AI$55,IF($E$19=5,Dados!$AK$55,IF($E$19=6,Dados!$AM$55,IF($E$19=7,Dados!$AO$55,IF($E$19=8,Dados!$AS$55,0)))))))</f>
        <v>0</v>
      </c>
      <c r="CY47" s="304">
        <f>IF($E$19=2,Dados!$AF$55,IF($E$19=3,Dados!$AH$55,IF($E$19=4,Dados!$AJ$55,IF($E$19=5,Dados!$AL$55,IF($E$19=6,Dados!$AN$55,IF($E$19=7,Dados!$AP$55,IF($E$19=8,Dados!$AT$55,0)))))))</f>
        <v>0</v>
      </c>
      <c r="CZ47" s="316">
        <f>IF($E$20=2,Dados!$AE$55,IF($E$20=3,Dados!$AG$55,IF($E$20=4,Dados!$AI$55,IF($E$20=5,Dados!$AK$55,IF($E$20=6,Dados!$AM$55,IF($E$20=7,Dados!$AO$55,IF($E$20=8,Dados!$AS$55,0)))))))</f>
        <v>0</v>
      </c>
      <c r="DA47" s="304">
        <f>IF($E$20=2,Dados!$AF$55,IF($E$20=3,Dados!$AH$55,IF($E$20=4,Dados!$AJ$55,IF($E$20=5,Dados!$AL$55,IF($E$20=6,Dados!$AN$55,IF($E$20=7,Dados!$AP$55,IF($E$20=8,Dados!$AT$55,0)))))))</f>
        <v>0</v>
      </c>
      <c r="DC47" s="316">
        <f>IF($E$25=2,Dados!$AE$55,IF($E$25=3,Dados!$AG$55,IF($E$25=4,Dados!$AI$55,IF($E$25=5,Dados!$AK$55,IF($E$25=6,Dados!$AM$55,IF($E$25=7,Dados!$AO$55,IF($E$25=8,Dados!$AS$55,0)))))))</f>
        <v>0</v>
      </c>
      <c r="DD47" s="304">
        <f>IF($E$25=2,Dados!$AF$55,IF($E$25=3,Dados!$AH$55,IF($E$25=4,Dados!$AJ$55,IF($E$25=5,Dados!$AL$55,IF($E$25=6,Dados!$AN$55,IF($E$25=7,Dados!$AP$55,IF($E$25=8,Dados!$AT$55,0)))))))</f>
        <v>0</v>
      </c>
      <c r="DE47" s="316">
        <f>IF($E$26=2,Dados!$AE$55,IF($E$26=3,Dados!$AG$55,IF($E$26=4,Dados!$AI$55,IF($E$26=5,Dados!$AK$55,IF($E$26=6,Dados!$AM$55,IF($E$26=7,Dados!$AO$55,IF($E$26=8,Dados!$AS$55,0)))))))</f>
        <v>0</v>
      </c>
      <c r="DF47" s="304">
        <f>IF($E$26=2,Dados!$AF$55,IF($E$26=3,Dados!$AH$55,IF($E$26=4,Dados!$AJ$55,IF($E$26=5,Dados!$AL$55,IF($E$26=6,Dados!$AN$55,IF($E$26=7,Dados!$AP$55,IF($E$26=8,Dados!$AT$55,0)))))))</f>
        <v>0</v>
      </c>
      <c r="DG47" s="316">
        <f>IF($E$27=2,Dados!$AE$55,IF($E$27=3,Dados!$AG$55,IF($E$27=4,Dados!$AI$55,IF($E$27=5,Dados!$AK$55,IF($E$27=6,Dados!$AM$55,IF($E$27=7,Dados!$AO$55,IF($E$27=8,Dados!$AS$55,0)))))))</f>
        <v>0</v>
      </c>
      <c r="DH47" s="304">
        <f>IF($E$27=2,Dados!$AF$55,IF($E$27=3,Dados!$AH$55,IF($E$27=4,Dados!$AJ$55,IF($E$27=5,Dados!$AL$55,IF($E$27=6,Dados!$AN$55,IF($E$27=7,Dados!$AP$55,IF($E$27=8,Dados!$AT$55,0)))))))</f>
        <v>0</v>
      </c>
      <c r="DI47" s="316">
        <f>IF($E$28=2,Dados!$AE$55,IF($E$28=3,Dados!$AG$55,IF($E$28=4,Dados!$AI$55,IF($E$28=5,Dados!$AK$55,IF($E$28=6,Dados!$AM$55,IF($E$28=7,Dados!$AO$55,IF($E$28=8,Dados!$AS$55,0)))))))</f>
        <v>0</v>
      </c>
      <c r="DJ47" s="304">
        <f>IF($E$28=2,Dados!$AF$55,IF($E$28=3,Dados!$AH$55,IF($E$28=4,Dados!$AJ$55,IF($E$28=5,Dados!$AL$55,IF($E$28=6,Dados!$AN$55,IF($E$28=7,Dados!$AP$55,IF($E$28=8,Dados!$AT$55,0)))))))</f>
        <v>0</v>
      </c>
      <c r="DK47" s="316">
        <f>IF($E$29=2,Dados!$AE$55,IF($E$29=3,Dados!$AG$55,IF($E$29=4,Dados!$AI$55,IF($E$29=5,Dados!$AK$55,IF($E$29=6,Dados!$AM$55,IF($E$29=7,Dados!$AO$55,IF($E$29=8,Dados!$AS$55,0)))))))</f>
        <v>0</v>
      </c>
      <c r="DL47" s="304">
        <f>IF($E$29=2,Dados!$AF$55,IF($E$29=3,Dados!$AH$55,IF($E$29=4,Dados!$AJ$55,IF($E$29=5,Dados!$AL$55,IF($E$29=6,Dados!$AN$55,IF($E$29=7,Dados!$AP$55,IF($E$29=8,Dados!$AT$55,0)))))))</f>
        <v>0</v>
      </c>
      <c r="DN47" s="316">
        <f>IF($E$34=2,Dados!$AE$55,IF($E$34=3,Dados!$AG$55,IF($E$34=4,Dados!$AI$55,IF($E$34=5,Dados!$AK$55,IF($E$34=6,Dados!$AM$55,IF($E$34=7,Dados!$AO$55,IF($E$34=8,Dados!$AS$55,0)))))))</f>
        <v>0</v>
      </c>
      <c r="DO47" s="304">
        <f>IF($E$34=2,Dados!$AF$55,IF($E$34=3,Dados!$AH$55,IF($E$34=4,Dados!$AJ$55,IF($E$34=5,Dados!$AL$55,IF($E$34=6,Dados!$AN$55,IF($E$34=7,Dados!$AP$55,IF($E$34=8,Dados!$AT$55,0)))))))</f>
        <v>0</v>
      </c>
      <c r="DP47" s="316">
        <f>IF($E$35=2,Dados!$AE$55,IF($E$35=3,Dados!$AG$55,IF($E$35=4,Dados!$AI$55,IF($E$35=5,Dados!$AK$55,IF($E$35=6,Dados!$AM$55,IF($E$35=7,Dados!$AO$55,IF($E$35=8,Dados!$AS$55,0)))))))</f>
        <v>0</v>
      </c>
      <c r="DQ47" s="304">
        <f>IF($E$35=2,Dados!$AF$55,IF($E$35=3,Dados!$AH$55,IF($E$35=4,Dados!$AJ$55,IF($E$35=5,Dados!$AL$55,IF($E$35=6,Dados!$AN$55,IF($E$35=7,Dados!$AP$55,IF($E$35=8,Dados!$AT$55,0)))))))</f>
        <v>0</v>
      </c>
      <c r="DR47" s="316">
        <f>IF($E$36=2,Dados!$AE$55,IF($E$36=3,Dados!$AG$55,IF($E$36=4,Dados!$AI$55,IF($E$36=5,Dados!$AK$55,IF($E$36=6,Dados!$AM$55,IF($E$36=7,Dados!$AO$55,IF($E$36=8,Dados!$AS$55,0)))))))</f>
        <v>0</v>
      </c>
      <c r="DS47" s="304">
        <f>IF($E$36=2,Dados!$AF$55,IF($E$36=3,Dados!$AH$55,IF($E$36=4,Dados!$AJ$55,IF($E$36=5,Dados!$AL$55,IF($E$36=6,Dados!$AN$55,IF($E$36=7,Dados!$AP$55,IF($E$36=8,Dados!$AT$55,0)))))))</f>
        <v>0</v>
      </c>
      <c r="DT47" s="316">
        <f>IF($E$37=2,Dados!$AE$55,IF($E$37=3,Dados!$AG$55,IF($E$37=4,Dados!$AI$55,IF($E$37=5,Dados!$AK$55,IF($E$37=6,Dados!$AM$55,IF($E$37=7,Dados!$AO$55,IF($E$37=8,Dados!$AS$55,0)))))))</f>
        <v>0</v>
      </c>
      <c r="DU47" s="304">
        <f>IF($E$37=2,Dados!$AF$55,IF($E$37=3,Dados!$AH$55,IF($E$37=4,Dados!$AJ$55,IF($E$37=5,Dados!$AL$55,IF($E$37=6,Dados!$AN$55,IF($E$37=7,Dados!$AP$55,IF($E$37=8,Dados!$AT$55,0)))))))</f>
        <v>0</v>
      </c>
      <c r="DV47" s="316">
        <f>IF($E$38=2,Dados!$AE$55,IF($E$38=3,Dados!$AG$55,IF($E$38=4,Dados!$AI$55,IF($E$38=5,Dados!$AK$55,IF($E$38=6,Dados!$AM$55,IF($E$38=7,Dados!$AO$55,IF($E$38=8,Dados!$AS$55,0)))))))</f>
        <v>0</v>
      </c>
      <c r="DW47" s="304">
        <f>IF($E$38=2,Dados!$AF$55,IF($E$38=3,Dados!$AH$55,IF($E$38=4,Dados!$AJ$55,IF($E$38=5,Dados!$AL$55,IF($E$38=6,Dados!$AN$55,IF($E$38=7,Dados!$AP$55,IF($E$38=8,Dados!$AT$55,0)))))))</f>
        <v>0</v>
      </c>
      <c r="DY47" s="316">
        <f>IF($E$43=2,Dados!$AE$55,IF($E$43=3,Dados!$AG$55,IF($E$43=4,Dados!$AI$55,IF($E$43=5,Dados!$AK$55,IF($E$43=6,Dados!$AM$55,IF($E$43=7,Dados!$AO$55,IF($E$43=8,Dados!$AS$55,0)))))))</f>
        <v>0</v>
      </c>
      <c r="DZ47" s="304">
        <f>IF($E$43=2,Dados!$AF$55,IF($E$43=3,Dados!$AH$55,IF($E$43=4,Dados!$AJ$55,IF($E$43=5,Dados!$AL$55,IF($E$43=6,Dados!$AN$55,IF($E$43=7,Dados!$AP$55,IF($E$43=8,Dados!$AT$55,0)))))))</f>
        <v>0</v>
      </c>
      <c r="EA47" s="316">
        <f>IF($E$44=2,Dados!$AE$55,IF($E$44=3,Dados!$AG$55,IF($E$44=4,Dados!$AI$55,IF($E$44=5,Dados!$AK$55,IF($E$44=6,Dados!$AM$55,IF($E$44=7,Dados!$AO$55,IF($E$44=8,Dados!$AS$55,0)))))))</f>
        <v>0</v>
      </c>
      <c r="EB47" s="304">
        <f>IF($E$44=2,Dados!$AF$55,IF($E$44=3,Dados!$AH$55,IF($E$44=4,Dados!$AJ$55,IF($E$44=5,Dados!$AL$55,IF($E$44=6,Dados!$AN$55,IF($E$44=7,Dados!$AP$55,IF($E$44=8,Dados!$AT$55,0)))))))</f>
        <v>0</v>
      </c>
      <c r="EC47" s="316">
        <f>IF($E$45=2,Dados!$AE$55,IF($E$45=3,Dados!$AG$55,IF($E$45=4,Dados!$AI$55,IF($E$45=5,Dados!$AK$55,IF($E$45=6,Dados!$AM$55,IF($E$45=7,Dados!$AO$55,IF($E$45=8,Dados!$AS$55,0)))))))</f>
        <v>0</v>
      </c>
      <c r="ED47" s="304">
        <f>IF($E$45=2,Dados!$AF$55,IF($E$45=3,Dados!$AH$55,IF($E$45=4,Dados!$AJ$55,IF($E$45=5,Dados!$AL$55,IF($E$45=6,Dados!$AN$55,IF($E$45=7,Dados!$AP$55,IF($E$45=8,Dados!$AT$55,0)))))))</f>
        <v>0</v>
      </c>
      <c r="EE47" s="316">
        <f>IF($E$46=2,Dados!$AE$55,IF($E$46=3,Dados!$AG$55,IF($E$46=4,Dados!$AI$55,IF($E$46=5,Dados!$AK$55,IF($E$46=6,Dados!$AM$55,IF($E$46=7,Dados!$AO$55,IF($E$46=8,Dados!$AS$55,0)))))))</f>
        <v>0</v>
      </c>
      <c r="EF47" s="304">
        <f>IF($E$46=2,Dados!$AF$55,IF($E$46=3,Dados!$AH$55,IF($E$46=4,Dados!$AJ$55,IF($E$46=5,Dados!$AL$55,IF($E$46=6,Dados!$AN$55,IF($E$46=7,Dados!$AP$55,IF($E$46=8,Dados!$AT$55,0)))))))</f>
        <v>0</v>
      </c>
      <c r="EG47" s="316">
        <f>IF($E$47=2,Dados!$AE$55,IF($E$47=3,Dados!$AG$55,IF($E$47=4,Dados!$AI$55,IF($E$47=5,Dados!$AK$55,IF($E$47=6,Dados!$AM$55,IF($E$47=7,Dados!$AO$55,IF($E$47=8,Dados!$AS$55,0)))))))</f>
        <v>0</v>
      </c>
      <c r="EH47" s="304">
        <f>IF($E$47=2,Dados!$AF$55,IF($E$47=3,Dados!$AH$55,IF($E$47=4,Dados!$AJ$55,IF($E$47=5,Dados!$AL$55,IF($E$47=6,Dados!$AN$55,IF($E$47=7,Dados!$AP$55,IF($E$47=8,Dados!$AT$55,0)))))))</f>
        <v>0</v>
      </c>
      <c r="EJ47" s="316">
        <f>IF($E$52=2,Dados!$AE$55,IF($E$52=3,Dados!$AG$55,IF($E$52=4,Dados!$AI$55,IF($E$52=5,Dados!$AK$55,IF($E$52=6,Dados!$AM$55,IF($E$52=7,Dados!$AO$55,IF($E$52=8,Dados!$AS$55,0)))))))</f>
        <v>0</v>
      </c>
      <c r="EK47" s="304">
        <f>IF($E$52=2,Dados!$AF$55,IF($E$52=3,Dados!$AH$55,IF($E$52=4,Dados!$AJ$55,IF($E$52=5,Dados!$AL$55,IF($E$52=6,Dados!$AN$55,IF($E$52=7,Dados!$AP$55,IF($E$52=8,Dados!$AT$55,0)))))))</f>
        <v>0</v>
      </c>
      <c r="EL47" s="316">
        <f>IF($E$53=2,Dados!$AE$55,IF($E$53=3,Dados!$AG$55,IF($E$53=4,Dados!$AI$55,IF($E$53=5,Dados!$AK$55,IF($E$53=6,Dados!$AM$55,IF($E$53=7,Dados!$AO$55,IF($E$53=8,Dados!$AS$55,0)))))))</f>
        <v>0</v>
      </c>
      <c r="EM47" s="304">
        <f>IF($E$53=2,Dados!$AF$55,IF($E$53=3,Dados!$AH$55,IF($E$53=4,Dados!$AJ$55,IF($E$53=5,Dados!$AL$55,IF($E$53=6,Dados!$AN$55,IF($E$53=7,Dados!$AP$55,IF($E$53=8,Dados!$AT$55,0)))))))</f>
        <v>0</v>
      </c>
      <c r="EN47" s="316">
        <f>IF($E$54=2,Dados!$AE$55,IF($E$54=3,Dados!$AG$55,IF($E$54=4,Dados!$AI$55,IF($E$54=5,Dados!$AK$55,IF($E$54=6,Dados!$AM$55,IF($E$54=7,Dados!$AO$55,IF($E$54=8,Dados!$AS$55,0)))))))</f>
        <v>0</v>
      </c>
      <c r="EO47" s="304">
        <f>IF($E$54=2,Dados!$AF$55,IF($E$54=3,Dados!$AH$55,IF($E$54=4,Dados!$AJ$55,IF($E$54=5,Dados!$AL$55,IF($E$54=6,Dados!$AN$55,IF($E$54=7,Dados!$AP$55,IF($E$54=8,Dados!$AT$55,0)))))))</f>
        <v>0</v>
      </c>
      <c r="EP47" s="316">
        <f>IF($E$55=2,Dados!$AE$55,IF($E$55=3,Dados!$AG$55,IF($E$55=4,Dados!$AI$55,IF($E$55=5,Dados!$AK$55,IF($E$55=6,Dados!$AM$55,IF($E$55=7,Dados!$AO$55,IF($E$55=8,Dados!$AS$55,0)))))))</f>
        <v>0</v>
      </c>
      <c r="EQ47" s="304">
        <f>IF($E$55=2,Dados!$AF$55,IF($E$55=3,Dados!$AH$55,IF($E$55=4,Dados!$AJ$55,IF($E$55=5,Dados!$AL$55,IF($E$55=6,Dados!$AN$55,IF($E$55=7,Dados!$AP$55,IF($E$55=8,Dados!$AT$55,0)))))))</f>
        <v>0</v>
      </c>
      <c r="ER47" s="316">
        <f>IF($E$56=2,Dados!$AE$55,IF($E$56=3,Dados!$AG$55,IF($E$56=4,Dados!$AI$55,IF($E$56=5,Dados!$AK$55,IF($E$56=6,Dados!$AM$55,IF($E$56=7,Dados!$AO$55,IF($E$56=8,Dados!$AS$55,0)))))))</f>
        <v>0</v>
      </c>
      <c r="ES47" s="304">
        <f>IF($E$56=2,Dados!$AF$55,IF($E$56=3,Dados!$AH$55,IF($E$56=4,Dados!$AJ$55,IF($E$56=5,Dados!$AL$55,IF($E$56=6,Dados!$AN$55,IF($E$56=7,Dados!$AP$55,IF($E$56=8,Dados!$AT$55,0)))))))</f>
        <v>0</v>
      </c>
      <c r="EU47" s="316">
        <f>IF($E$61=2,Dados!$AE$55,IF($E$61=3,Dados!$AG$55,IF($E$61=4,Dados!$AI$55,IF($E$61=5,Dados!$AK$55,IF($E$61=6,Dados!$AM$55,IF($E$61=7,Dados!$AO$55,IF($E$61=8,Dados!$AS$55,0)))))))</f>
        <v>0</v>
      </c>
      <c r="EV47" s="304">
        <f>IF($E$61=2,Dados!$AF$55,IF($E$61=3,Dados!$AH$55,IF($E$61=4,Dados!$AJ$55,IF($E$61=5,Dados!$AL$55,IF($E$61=6,Dados!$AN$55,IF($E$61=7,Dados!$AP$55,IF($E$61=8,Dados!$AT$55,0)))))))</f>
        <v>0</v>
      </c>
      <c r="EW47" s="316">
        <f>IF($E$62=2,Dados!$AE$55,IF($E$62=3,Dados!$AG$55,IF($E$62=4,Dados!$AI$55,IF($E$62=5,Dados!$AK$55,IF($E$62=6,Dados!$AM$55,IF($E$62=7,Dados!$AO$55,IF($E$62=8,Dados!$AS$55,0)))))))</f>
        <v>0</v>
      </c>
      <c r="EX47" s="304">
        <f>IF($E$62=2,Dados!$AF$55,IF($E$62=3,Dados!$AH$55,IF($E$62=4,Dados!$AJ$55,IF($E$62=5,Dados!$AL$55,IF($E$62=6,Dados!$AN$55,IF($E$62=7,Dados!$AP$55,IF($E$62=8,Dados!$AT$55,0)))))))</f>
        <v>0</v>
      </c>
      <c r="EY47" s="316">
        <f>IF($E$63=2,Dados!$AE$55,IF($E$63=3,Dados!$AG$55,IF($E$63=4,Dados!$AI$55,IF($E$63=5,Dados!$AK$55,IF($E$63=6,Dados!$AM$55,IF($E$63=7,Dados!$AO$55,IF($E$63=8,Dados!$AS$55,0)))))))</f>
        <v>0</v>
      </c>
      <c r="EZ47" s="304">
        <f>IF($E$63=2,Dados!$AF$55,IF($E$63=3,Dados!$AH$55,IF($E$63=4,Dados!$AJ$55,IF($E$63=5,Dados!$AL$55,IF($E$63=6,Dados!$AN$55,IF($E$63=7,Dados!$AP$55,IF($E$63=8,Dados!$AT$55,0)))))))</f>
        <v>0</v>
      </c>
      <c r="FA47" s="316">
        <f>IF($E$64=2,Dados!$AE$55,IF($E$64=3,Dados!$AG$55,IF($E$64=4,Dados!$AI$55,IF($E$64=5,Dados!$AK$55,IF($E$64=6,Dados!$AM$55,IF($E$64=7,Dados!$AO$55,IF($E$64=8,Dados!$AS$55,0)))))))</f>
        <v>0</v>
      </c>
      <c r="FB47" s="304">
        <f>IF($E$64=2,Dados!$AF$55,IF($E$64=3,Dados!$AH$55,IF($E$64=4,Dados!$AJ$55,IF($E$64=5,Dados!$AL$55,IF($E$64=6,Dados!$AN$55,IF($E$64=7,Dados!$AP$55,IF($E$64=8,Dados!$AT$55,0)))))))</f>
        <v>0</v>
      </c>
      <c r="FC47" s="316">
        <f>IF($E$65=2,Dados!$AE$55,IF($E$65=3,Dados!$AG$55,IF($E$65=4,Dados!$AI$55,IF($E$65=5,Dados!$AK$55,IF($E$65=6,Dados!$AM$55,IF($E$65=7,Dados!$AO$55,IF($E$65=8,Dados!$AS$55,0)))))))</f>
        <v>0</v>
      </c>
      <c r="FD47" s="304">
        <f>IF($E$65=2,Dados!$AF$55,IF($E$65=3,Dados!$AH$55,IF($E$65=4,Dados!$AJ$55,IF($E$65=5,Dados!$AL$55,IF($E$65=6,Dados!$AN$55,IF($E$65=7,Dados!$AP$55,IF($E$65=8,Dados!$AT$55,0)))))))</f>
        <v>0</v>
      </c>
      <c r="FF47" s="316">
        <f>IF($E$70=2,Dados!$AE$55,IF($E$70=3,Dados!$AG$55,IF($E$70=4,Dados!$AI$55,IF($E$70=5,Dados!$AK$55,IF($E$70=6,Dados!$AM$55,IF($E$70=7,Dados!$AO$55,IF($E$70=8,Dados!$AS$55,0)))))))</f>
        <v>0</v>
      </c>
      <c r="FG47" s="304">
        <f>IF($E$70=2,Dados!$AF$55,IF($E$70=3,Dados!$AH$55,IF($E$70=4,Dados!$AJ$55,IF($E$70=5,Dados!$AL$55,IF($E$70=6,Dados!$AN$55,IF($E$70=7,Dados!$AP$55,IF($E$70=8,Dados!$AT$55,0)))))))</f>
        <v>0</v>
      </c>
      <c r="FH47" s="316">
        <f>IF($E$71=2,Dados!$AE$55,IF($E$71=3,Dados!$AG$55,IF($E$71=4,Dados!$AI$55,IF($E$71=5,Dados!$AK$55,IF($E$71=6,Dados!$AM$55,IF($E$71=7,Dados!$AO$55,IF($E$71=8,Dados!$AS$55,0)))))))</f>
        <v>0</v>
      </c>
      <c r="FI47" s="304">
        <f>IF($E$71=2,Dados!$AF$55,IF($E$71=3,Dados!$AH$55,IF($E$71=4,Dados!$AJ$55,IF($E$71=5,Dados!$AL$55,IF($E$71=6,Dados!$AN$55,IF($E$71=7,Dados!$AP$55,IF($E$71=8,Dados!$AT$55,0)))))))</f>
        <v>0</v>
      </c>
      <c r="FJ47" s="316">
        <f>IF($E$72=2,Dados!$AE$55,IF($E$72=3,Dados!$AG$55,IF($E$72=4,Dados!$AI$55,IF($E$72=5,Dados!$AK$55,IF($E$72=6,Dados!$AM$55,IF($E$72=7,Dados!$AO$55,IF($E$72=8,Dados!$AS$55,0)))))))</f>
        <v>0</v>
      </c>
      <c r="FK47" s="304">
        <f>IF($E$72=2,Dados!$AF$55,IF($E$72=3,Dados!$AH$55,IF($E$72=4,Dados!$AJ$55,IF($E$72=5,Dados!$AL$55,IF($E$72=6,Dados!$AN$55,IF($E$72=7,Dados!$AP$55,IF($E$72=8,Dados!$AT$55,0)))))))</f>
        <v>0</v>
      </c>
      <c r="FL47" s="316">
        <f>IF($E$73=2,Dados!$AE$55,IF($E$73=3,Dados!$AG$55,IF($E$73=4,Dados!$AI$55,IF($E$73=5,Dados!$AK$55,IF($E$73=6,Dados!$AM$55,IF($E$73=7,Dados!$AO$55,IF($E$73=8,Dados!$AS$55,0)))))))</f>
        <v>0</v>
      </c>
      <c r="FM47" s="304">
        <f>IF($E$73=2,Dados!$AF$55,IF($E$73=3,Dados!$AH$55,IF($E$73=4,Dados!$AJ$55,IF($E$73=5,Dados!$AL$55,IF($E$73=6,Dados!$AN$55,IF($E$73=7,Dados!$AP$55,IF($E$73=8,Dados!$AT$55,0)))))))</f>
        <v>0</v>
      </c>
      <c r="FN47" s="316">
        <f>IF($E$74=2,Dados!$AE$55,IF($E$74=3,Dados!$AG$55,IF($E$74=4,Dados!$AI$55,IF($E$74=5,Dados!$AK$55,IF($E$74=6,Dados!$AM$55,IF($E$74=7,Dados!$AO$55,IF($E$74=8,Dados!$AS$55,0)))))))</f>
        <v>0</v>
      </c>
      <c r="FO47" s="304">
        <f>IF($E$74=2,Dados!$AF$55,IF($E$74=3,Dados!$AH$55,IF($E$74=4,Dados!$AJ$55,IF($E$74=5,Dados!$AL$55,IF($E$74=6,Dados!$AN$55,IF($E$74=7,Dados!$AP$55,IF($E$74=8,Dados!$AT$55,0)))))))</f>
        <v>0</v>
      </c>
      <c r="FQ47" s="316">
        <f>IF($E$79=2,Dados!$AE$55,IF($E$79=3,Dados!$AG$55,IF($E$79=4,Dados!$AI$55,IF($E$79=5,Dados!$AK$55,IF($E$79=6,Dados!$AM$55,IF($E$79=7,Dados!$AO$55,IF($E$79=8,Dados!$AS$55,0)))))))</f>
        <v>0</v>
      </c>
      <c r="FR47" s="304">
        <f>IF($E$79=2,Dados!$AF$55,IF($E$79=3,Dados!$AH$55,IF($E$79=4,Dados!$AJ$55,IF($E$79=5,Dados!$AL$55,IF($E$79=6,Dados!$AN$55,IF($E$79=7,Dados!$AP$55,IF($E$79=8,Dados!$AT$55,0)))))))</f>
        <v>0</v>
      </c>
      <c r="FS47" s="316">
        <f>IF($E$80=2,Dados!$AE$55,IF($E$80=3,Dados!$AG$55,IF($E$80=4,Dados!$AI$55,IF($E$80=5,Dados!$AK$55,IF($E$80=6,Dados!$AM$55,IF($E$80=7,Dados!$AO$55,IF($E$80=8,Dados!$AS$55,0)))))))</f>
        <v>0</v>
      </c>
      <c r="FT47" s="304">
        <f>IF($E$80=2,Dados!$AF$55,IF($E$80=3,Dados!$AH$55,IF($E$80=4,Dados!$AJ$55,IF($E$80=5,Dados!$AL$55,IF($E$80=6,Dados!$AN$55,IF($E$80=7,Dados!$AP$55,IF($E$80=8,Dados!$AT$55,0)))))))</f>
        <v>0</v>
      </c>
      <c r="FU47" s="316">
        <f>IF($E$81=2,Dados!$AE$55,IF($E$81=3,Dados!$AG$55,IF($E$81=4,Dados!$AI$55,IF($E$81=5,Dados!$AK$55,IF($E$81=6,Dados!$AM$55,IF($E$81=7,Dados!$AO$55,IF($E$81=8,Dados!$AS$55,0)))))))</f>
        <v>0</v>
      </c>
      <c r="FV47" s="304">
        <f>IF($E$81=2,Dados!$AF$55,IF($E$81=3,Dados!$AH$55,IF($E$81=4,Dados!$AJ$55,IF($E$81=5,Dados!$AL$55,IF($E$81=6,Dados!$AN$55,IF($E$81=7,Dados!$AP$55,IF($E$81=8,Dados!$AT$55,0)))))))</f>
        <v>0</v>
      </c>
      <c r="FW47" s="316">
        <f>IF($E$82=2,Dados!$AE$55,IF($E$82=3,Dados!$AG$55,IF($E$82=4,Dados!$AI$55,IF($E$82=5,Dados!$AK$55,IF($E$82=6,Dados!$AM$55,IF($E$82=7,Dados!$AO$55,IF($E$82=8,Dados!$AS$55,0)))))))</f>
        <v>0</v>
      </c>
      <c r="FX47" s="304">
        <f>IF($E$82=2,Dados!$AF$55,IF($E$82=3,Dados!$AH$55,IF($E$82=4,Dados!$AJ$55,IF($E$82=5,Dados!$AL$55,IF($E$82=6,Dados!$AN$55,IF($E$82=7,Dados!$AP$55,IF($E$82=8,Dados!$AT$55,0)))))))</f>
        <v>0</v>
      </c>
      <c r="FY47" s="316">
        <f>IF($E$83=2,Dados!$AE$55,IF($E$83=3,Dados!$AG$55,IF($E$83=4,Dados!$AI$55,IF($E$83=5,Dados!$AK$55,IF($E$83=6,Dados!$AM$55,IF($E$83=7,Dados!$AO$55,IF($E$83=8,Dados!$AS$55,0)))))))</f>
        <v>0</v>
      </c>
      <c r="FZ47" s="304">
        <f>IF($E$83=2,Dados!$AF$55,IF($E$83=3,Dados!$AH$55,IF($E$83=4,Dados!$AJ$55,IF($E$83=5,Dados!$AL$55,IF($E$83=6,Dados!$AN$55,IF($E$83=7,Dados!$AP$55,IF($E$83=8,Dados!$AT$55,0)))))))</f>
        <v>0</v>
      </c>
      <c r="GB47" s="316">
        <f>IF($E$88=2,Dados!$AE$55,IF($E$88=3,Dados!$AG$55,IF($E$88=4,Dados!$AI$55,IF($E$88=5,Dados!$AK$55,IF($E$88=6,Dados!$AM$55,IF($E$88=7,Dados!$AO$55,IF($E$88=8,Dados!$AS$55,0)))))))</f>
        <v>0</v>
      </c>
      <c r="GC47" s="304">
        <f>IF($E$88=2,Dados!$AF$55,IF($E$88=3,Dados!$AH$55,IF($E$88=4,Dados!$AJ$55,IF($E$88=5,Dados!$AL$55,IF($E$88=6,Dados!$AN$55,IF($E$88=7,Dados!$AP$55,IF($E$88=8,Dados!$AT$55,0)))))))</f>
        <v>0</v>
      </c>
      <c r="GD47" s="316">
        <f>IF($E$89=2,Dados!$AE$55,IF($E$89=3,Dados!$AG$55,IF($E$89=4,Dados!$AI$55,IF($E$89=5,Dados!$AK$55,IF($E$89=6,Dados!$AM$55,IF($E$89=7,Dados!$AO$55,IF($E$89=8,Dados!$AS$55,0)))))))</f>
        <v>0</v>
      </c>
      <c r="GE47" s="304">
        <f>IF($E$89=2,Dados!$AF$55,IF($E$89=3,Dados!$AH$55,IF($E$89=4,Dados!$AJ$55,IF($E$89=5,Dados!$AL$55,IF($E$89=6,Dados!$AN$55,IF($E$89=7,Dados!$AP$55,IF($E$89=8,Dados!$AT$55,0)))))))</f>
        <v>0</v>
      </c>
      <c r="GF47" s="316">
        <f>IF($E$90=2,Dados!$AE$55,IF($E$90=3,Dados!$AG$55,IF($E$90=4,Dados!$AI$55,IF($E$90=5,Dados!$AK$55,IF($E$90=6,Dados!$AM$55,IF($E$90=7,Dados!$AO$55,IF($E$90=8,Dados!$AS$55,0)))))))</f>
        <v>0</v>
      </c>
      <c r="GG47" s="304">
        <f>IF($E$90=2,Dados!$AF$55,IF($E$90=3,Dados!$AH$55,IF($E$90=4,Dados!$AJ$55,IF($E$90=5,Dados!$AL$55,IF($E$90=6,Dados!$AN$55,IF($E$90=7,Dados!$AP$55,IF($E$90=8,Dados!$AT$55,0)))))))</f>
        <v>0</v>
      </c>
      <c r="GH47" s="316">
        <f>IF($E$91=2,Dados!$AE$55,IF($E$91=3,Dados!$AG$55,IF($E$91=4,Dados!$AI$55,IF($E$91=5,Dados!$AK$55,IF($E$91=6,Dados!$AM$55,IF($E$91=7,Dados!$AO$55,IF($E$91=8,Dados!$AS$55,0)))))))</f>
        <v>0</v>
      </c>
      <c r="GI47" s="304">
        <f>IF($E$91=2,Dados!$AF$55,IF($E$91=3,Dados!$AH$55,IF($E$91=4,Dados!$AJ$55,IF($E$91=5,Dados!$AL$55,IF($E$91=6,Dados!$AN$55,IF($E$91=7,Dados!$AP$55,IF($E$91=8,Dados!$AT$55,0)))))))</f>
        <v>0</v>
      </c>
      <c r="GJ47" s="316">
        <f>IF($E$92=2,Dados!$AE$55,IF($E$92=3,Dados!$AG$55,IF($E$92=4,Dados!$AI$55,IF($E$92=5,Dados!$AK$55,IF($E$92=6,Dados!$AM$55,IF($E$92=7,Dados!$AO$55,IF($E$92=8,Dados!$AS$55,0)))))))</f>
        <v>0</v>
      </c>
      <c r="GK47" s="304">
        <f>IF($E$92=2,Dados!$AF$55,IF($E$92=3,Dados!$AH$55,IF($E$92=4,Dados!$AJ$55,IF($E$92=5,Dados!$AL$55,IF($E$92=6,Dados!$AN$55,IF($E$92=7,Dados!$AP$55,IF($E$92=8,Dados!$AT$55,0)))))))</f>
        <v>0</v>
      </c>
      <c r="GM47" s="316">
        <f>IF($E$97=2,Dados!$AE$55,IF($E$97=3,Dados!$AG$55,IF($E$97=4,Dados!$AI$55,IF($E$97=5,Dados!$AK$55,IF($E$97=6,Dados!$AM$55,IF($E$97=7,Dados!$AO$55,IF($E$97=8,Dados!$AS$55,0)))))))</f>
        <v>0</v>
      </c>
      <c r="GN47" s="304">
        <f>IF($E$97=2,Dados!$AF$55,IF($E$97=3,Dados!$AH$55,IF($E$97=4,Dados!$AJ$55,IF($E$97=5,Dados!$AL$55,IF($E$97=6,Dados!$AN$55,IF($E$97=7,Dados!$AP$55,IF($E$97=8,Dados!$AT$55,0)))))))</f>
        <v>0</v>
      </c>
      <c r="GO47" s="316">
        <f>IF($E$98=2,Dados!$AE$55,IF($E$98=3,Dados!$AG$55,IF($E$98=4,Dados!$AI$55,IF($E$98=5,Dados!$AK$55,IF($E$98=6,Dados!$AM$55,IF($E$98=7,Dados!$AO$55,IF($E$98=8,Dados!$AS$55,0)))))))</f>
        <v>0</v>
      </c>
      <c r="GP47" s="304">
        <f>IF($E$98=2,Dados!$AF$55,IF($E$98=3,Dados!$AH$55,IF($E$98=4,Dados!$AJ$55,IF($E$98=5,Dados!$AL$55,IF($E$98=6,Dados!$AN$55,IF($E$98=7,Dados!$AP$55,IF($E$98=8,Dados!$AT$55,0)))))))</f>
        <v>0</v>
      </c>
      <c r="GQ47" s="316">
        <f>IF($E$99=2,Dados!$AE$55,IF($E$99=3,Dados!$AG$55,IF($E$99=4,Dados!$AI$55,IF($E$99=5,Dados!$AK$55,IF($E$99=6,Dados!$AM$55,IF($E$99=7,Dados!$AO$55,IF($E$99=8,Dados!$AS$55,0)))))))</f>
        <v>0</v>
      </c>
      <c r="GR47" s="304">
        <f>IF($E$99=2,Dados!$AF$55,IF($E$99=3,Dados!$AH$55,IF($E$99=4,Dados!$AJ$55,IF($E$99=5,Dados!$AL$55,IF($E$99=6,Dados!$AN$55,IF($E$99=7,Dados!$AP$55,IF($E$99=8,Dados!$AT$55,0)))))))</f>
        <v>0</v>
      </c>
      <c r="GS47" s="316">
        <f>IF($E$100=2,Dados!$AE$55,IF($E$100=3,Dados!$AG$55,IF($E$100=4,Dados!$AI$55,IF($E$100=5,Dados!$AK$55,IF($E$100=6,Dados!$AM$55,IF($E$100=7,Dados!$AO$55,IF($E$100=8,Dados!$AS$55,0)))))))</f>
        <v>0</v>
      </c>
      <c r="GT47" s="304">
        <f>IF($E$100=2,Dados!$AF$55,IF($E$100=3,Dados!$AH$55,IF($E$100=4,Dados!$AJ$55,IF($E$100=5,Dados!$AL$55,IF($E$100=6,Dados!$AN$55,IF($E$100=7,Dados!$AP$55,IF($E$100=8,Dados!$AT$55,0)))))))</f>
        <v>0</v>
      </c>
      <c r="GU47" s="316">
        <f>IF($E$101=2,Dados!$AE$55,IF($E$101=3,Dados!$AG$55,IF($E$101=4,Dados!$AI$55,IF($E$101=5,Dados!$AK$55,IF($E$101=6,Dados!$AM$55,IF($E$101=7,Dados!$AO$55,IF($E$101=8,Dados!$AS$55,0)))))))</f>
        <v>0</v>
      </c>
      <c r="GV47" s="304">
        <f>IF($E$101=2,Dados!$AF$55,IF($E$101=3,Dados!$AH$55,IF($E$101=4,Dados!$AJ$55,IF($E$101=5,Dados!$AL$55,IF($E$101=6,Dados!$AN$55,IF($E$101=7,Dados!$AP$55,IF($E$101=8,Dados!$AT$55,0)))))))</f>
        <v>0</v>
      </c>
      <c r="GX47" s="316">
        <f>IF($E$106=2,Dados!$AE$55,IF($E$106=3,Dados!$AG$55,IF($E$106=4,Dados!$AI$55,IF($E$106=5,Dados!$AK$55,IF($E$106=6,Dados!$AM$55,IF($E$106=7,Dados!$AO$55,IF($E$106=8,Dados!$AS$55,0)))))))</f>
        <v>0</v>
      </c>
      <c r="GY47" s="304">
        <f>IF($E$106=2,Dados!$AF$55,IF($E$106=3,Dados!$AH$55,IF($E$106=4,Dados!$AJ$55,IF($E$106=5,Dados!$AL$55,IF($E$106=6,Dados!$AN$55,IF($E$106=7,Dados!$AP$55,IF($E$106=8,Dados!$AT$55,0)))))))</f>
        <v>0</v>
      </c>
      <c r="GZ47" s="316">
        <f>IF($E$107=2,Dados!$AE$55,IF($E$107=3,Dados!$AG$55,IF($E$107=4,Dados!$AI$55,IF($E$107=5,Dados!$AK$55,IF($E$107=6,Dados!$AM$55,IF($E$107=7,Dados!$AO$55,IF($E$107=8,Dados!$AS$55,0)))))))</f>
        <v>0</v>
      </c>
      <c r="HA47" s="304">
        <f>IF($E$107=2,Dados!$AF$55,IF($E$107=3,Dados!$AH$55,IF($E$107=4,Dados!$AJ$55,IF($E$107=5,Dados!$AL$55,IF($E$107=6,Dados!$AN$55,IF($E$107=7,Dados!$AP$55,IF($E$107=8,Dados!$AT$55,0)))))))</f>
        <v>0</v>
      </c>
      <c r="HB47" s="316">
        <f>IF($E$108=2,Dados!$AE$55,IF($E$108=3,Dados!$AG$55,IF($E$108=4,Dados!$AI$55,IF($E$108=5,Dados!$AK$55,IF($E$108=6,Dados!$AM$55,IF($E$108=7,Dados!$AO$55,IF($E$108=8,Dados!$AS$55,0)))))))</f>
        <v>0</v>
      </c>
      <c r="HC47" s="304">
        <f>IF($E$108=2,Dados!$AF$55,IF($E$108=3,Dados!$AH$55,IF($E$108=4,Dados!$AJ$55,IF($E$108=5,Dados!$AL$55,IF($E$108=6,Dados!$AN$55,IF($E$108=7,Dados!$AP$55,IF($E$108=8,Dados!$AT$55,0)))))))</f>
        <v>0</v>
      </c>
      <c r="HD47" s="316">
        <f>IF($E$109=2,Dados!$AE$55,IF($E$109=3,Dados!$AG$55,IF($E$109=4,Dados!$AI$55,IF($E$109=5,Dados!$AK$55,IF($E$109=6,Dados!$AM$55,IF($E$109=7,Dados!$AO$55,IF($E$109=8,Dados!$AS$55,0)))))))</f>
        <v>0</v>
      </c>
      <c r="HE47" s="304">
        <f>IF($E$109=2,Dados!$AF$55,IF($E$109=3,Dados!$AH$55,IF($E$109=4,Dados!$AJ$55,IF($E$109=5,Dados!$AL$55,IF($E$109=6,Dados!$AN$55,IF($E$109=7,Dados!$AP$55,IF($E$109=8,Dados!$AT$55,0)))))))</f>
        <v>0</v>
      </c>
      <c r="HF47" s="316">
        <f>IF($E$110=2,Dados!$AE$55,IF($E$110=3,Dados!$AG$55,IF($E$110=4,Dados!$AI$55,IF($E$110=5,Dados!$AK$55,IF($E$110=6,Dados!$AM$55,IF($E$110=7,Dados!$AO$55,IF($E$110=8,Dados!$AS$55,0)))))))</f>
        <v>0</v>
      </c>
      <c r="HG47" s="304">
        <f>IF($E$110=2,Dados!$AF$55,IF($E$110=3,Dados!$AH$55,IF($E$110=4,Dados!$AJ$55,IF($E$110=5,Dados!$AL$55,IF($E$110=6,Dados!$AN$55,IF($E$110=7,Dados!$AP$55,IF($E$110=8,Dados!$AT$55,0)))))))</f>
        <v>0</v>
      </c>
    </row>
    <row r="48" spans="3:215" x14ac:dyDescent="0.2">
      <c r="C48" s="156">
        <f>SUM(C43:C47)</f>
        <v>0</v>
      </c>
      <c r="AW48" s="4" t="s">
        <v>634</v>
      </c>
      <c r="AX48" s="94">
        <f>IF($E43=7,$V43,0)</f>
        <v>0</v>
      </c>
      <c r="AY48" s="94">
        <f>IF($E44=7,$V44,0)</f>
        <v>0</v>
      </c>
      <c r="AZ48" s="94">
        <f>IF($E45=7,$V45,0)</f>
        <v>0</v>
      </c>
      <c r="BA48" s="94">
        <f>IF($E46=7,$V46,0)</f>
        <v>0</v>
      </c>
      <c r="BB48" s="94">
        <f>IF($E47=7,$V47,0)</f>
        <v>0</v>
      </c>
      <c r="BC48" s="200">
        <f t="shared" si="11"/>
        <v>0</v>
      </c>
      <c r="CF48" s="93">
        <v>43</v>
      </c>
      <c r="CG48" s="316">
        <f>IF($E$7=2,Dados!$AE$56,IF($E$7=3,Dados!$AG$56,IF($E$7=4,Dados!$AI$56,IF($E$7=5,Dados!$AK$56,IF($E$7=6,Dados!$AM$56,IF($E$7=7,Dados!$AO$56,IF($E$7=8,Dados!$AS$56,0)))))))</f>
        <v>0</v>
      </c>
      <c r="CH48" s="304">
        <f>IF($E$7=2,Dados!$AF$56,IF($E$7=3,Dados!$AH$56,IF($E$7=4,Dados!$AJ$56,IF($E$7=5,Dados!$AL$56,IF($E$7=6,Dados!$AN$56,IF($E$7=7,Dados!$AP$56,IF($E$7=8,Dados!$AT$56,0)))))))</f>
        <v>0</v>
      </c>
      <c r="CI48" s="316">
        <f>IF($E$8=2,Dados!$AE$56,IF($E$8=3,Dados!$AG$56,IF($E$8=4,Dados!$AI$56,IF($E$8=5,Dados!$AK$56,IF($E$8=6,Dados!$AM$56,IF($E$8=7,Dados!$AO$56,IF($E$8=8,Dados!$AS$56,0)))))))</f>
        <v>0</v>
      </c>
      <c r="CJ48" s="304">
        <f>IF($E$8=2,Dados!$AF$56,IF($E$8=3,Dados!$AH$56,IF($E$8=4,Dados!$AJ$56,IF($E$8=5,Dados!$AL$56,IF($E$8=6,Dados!$AN$56,IF($E$8=7,Dados!$AP$56,IF($E$8=8,Dados!$AT$56,0)))))))</f>
        <v>0</v>
      </c>
      <c r="CK48" s="316">
        <f>IF($E$9=2,Dados!$AE$56,IF($E$9=3,Dados!$AG$56,IF($E$9=4,Dados!$AI$56,IF($E$9=5,Dados!$AK$56,IF($E$9=6,Dados!$AM$56,IF($E$9=7,Dados!$AO$56,IF($E$9=8,Dados!$AS$56,0)))))))</f>
        <v>0</v>
      </c>
      <c r="CL48" s="304">
        <f>IF($E$9=2,Dados!$AF$56,IF($E$9=3,Dados!$AH$56,IF($E$9=4,Dados!$AJ$56,IF($E$9=5,Dados!$AL$56,IF($E$9=6,Dados!$AN$56,IF($E$9=7,Dados!$AP$56,IF($E$9=8,Dados!$AT$56,0)))))))</f>
        <v>0</v>
      </c>
      <c r="CM48" s="316">
        <f>IF($E$10=2,Dados!$AE$56,IF($E$10=3,Dados!$AG$56,IF($E$10=4,Dados!$AI$56,IF($E$10=5,Dados!$AK$56,IF($E$10=6,Dados!$AM$56,IF($E$10=7,Dados!$AO$56,IF($E$10=8,Dados!$AS$56,0)))))))</f>
        <v>0</v>
      </c>
      <c r="CN48" s="304">
        <f>IF($E$10=2,Dados!$AF$56,IF($E$10=3,Dados!$AH$56,IF($E$10=4,Dados!$AJ$56,IF($E$10=5,Dados!$AL$56,IF($E$10=6,Dados!$AN$56,IF($E$10=7,Dados!$AP$56,IF($E$10=8,Dados!$AT$56,0)))))))</f>
        <v>0</v>
      </c>
      <c r="CO48" s="316">
        <f>IF($E$11=2,Dados!$AE$56,IF($E$11=3,Dados!$AG$56,IF($E$11=4,Dados!$AI$56,IF($E$11=5,Dados!$AK$56,IF($E$11=6,Dados!$AM$56,IF($E$11=7,Dados!$AO$56,IF($E$11=8,Dados!$AS$56,0)))))))</f>
        <v>0</v>
      </c>
      <c r="CP48" s="304">
        <f>IF($E$11=2,Dados!$AF$56,IF($E$11=3,Dados!$AH$56,IF($E$11=4,Dados!$AJ$56,IF($E$11=5,Dados!$AL$56,IF($E$11=6,Dados!$AN$56,IF($E$11=7,Dados!$AP$56,IF($E$11=8,Dados!$AT$56,0)))))))</f>
        <v>0</v>
      </c>
      <c r="CR48" s="316">
        <f>IF($E$16=2,Dados!$AE$56,IF($E$16=3,Dados!$AG$56,IF($E$16=4,Dados!$AI$56,IF($E$16=5,Dados!$AK$56,IF($E$16=6,Dados!$AM$56,IF($E$16=7,Dados!$AO$56,IF($E$16=8,Dados!$AS$56,0)))))))</f>
        <v>0</v>
      </c>
      <c r="CS48" s="304">
        <f>IF($E$16=2,Dados!$AF$56,IF($E$16=3,Dados!$AH$56,IF($E$16=4,Dados!$AJ$56,IF($E$16=5,Dados!$AL$56,IF($E$16=6,Dados!$AN$56,IF($E$16=7,Dados!$AP$56,IF($E$16=8,Dados!$AT$56,0)))))))</f>
        <v>0</v>
      </c>
      <c r="CT48" s="316">
        <f>IF($E$17=2,Dados!$AE$56,IF($E$17=3,Dados!$AG$56,IF($E$17=4,Dados!$AI$56,IF($E$17=5,Dados!$AK$56,IF($E$17=6,Dados!$AM$56,IF($E$17=7,Dados!$AO$56,IF($E$17=8,Dados!$AS$56,0)))))))</f>
        <v>0</v>
      </c>
      <c r="CU48" s="304">
        <f>IF($E$17=2,Dados!$AF$56,IF($E$17=3,Dados!$AH$56,IF($E$17=4,Dados!$AJ$56,IF($E$17=5,Dados!$AL$56,IF($E$17=6,Dados!$AN$56,IF($E$17=7,Dados!$AP$56,IF($E$17=8,Dados!$AT$56,0)))))))</f>
        <v>0</v>
      </c>
      <c r="CV48" s="316">
        <f>IF($E$18=2,Dados!$AE$56,IF($E$18=3,Dados!$AG$56,IF($E$18=4,Dados!$AI$56,IF($E$18=5,Dados!$AK$56,IF($E$18=6,Dados!$AM$56,IF($E$18=7,Dados!$AO$56,IF($E$18=8,Dados!$AS$56,0)))))))</f>
        <v>0</v>
      </c>
      <c r="CW48" s="304">
        <f>IF($E$18=2,Dados!$AF$56,IF($E$18=3,Dados!$AH$56,IF($E$18=4,Dados!$AJ$56,IF($E$18=5,Dados!$AL$56,IF($E$18=6,Dados!$AN$56,IF($E$18=7,Dados!$AP$56,IF($E$18=8,Dados!$AT$56,0)))))))</f>
        <v>0</v>
      </c>
      <c r="CX48" s="316">
        <f>IF($E$19=2,Dados!$AE$56,IF($E$19=3,Dados!$AG$56,IF($E$19=4,Dados!$AI$56,IF($E$19=5,Dados!$AK$56,IF($E$19=6,Dados!$AM$56,IF($E$19=7,Dados!$AO$56,IF($E$19=8,Dados!$AS$56,0)))))))</f>
        <v>0</v>
      </c>
      <c r="CY48" s="304">
        <f>IF($E$19=2,Dados!$AF$56,IF($E$19=3,Dados!$AH$56,IF($E$19=4,Dados!$AJ$56,IF($E$19=5,Dados!$AL$56,IF($E$19=6,Dados!$AN$56,IF($E$19=7,Dados!$AP$56,IF($E$19=8,Dados!$AT$56,0)))))))</f>
        <v>0</v>
      </c>
      <c r="CZ48" s="316">
        <f>IF($E$20=2,Dados!$AE$56,IF($E$20=3,Dados!$AG$56,IF($E$20=4,Dados!$AI$56,IF($E$20=5,Dados!$AK$56,IF($E$20=6,Dados!$AM$56,IF($E$20=7,Dados!$AO$56,IF($E$20=8,Dados!$AS$56,0)))))))</f>
        <v>0</v>
      </c>
      <c r="DA48" s="304">
        <f>IF($E$20=2,Dados!$AF$56,IF($E$20=3,Dados!$AH$56,IF($E$20=4,Dados!$AJ$56,IF($E$20=5,Dados!$AL$56,IF($E$20=6,Dados!$AN$56,IF($E$20=7,Dados!$AP$56,IF($E$20=8,Dados!$AT$56,0)))))))</f>
        <v>0</v>
      </c>
      <c r="DC48" s="316">
        <f>IF($E$25=2,Dados!$AE$56,IF($E$25=3,Dados!$AG$56,IF($E$25=4,Dados!$AI$56,IF($E$25=5,Dados!$AK$56,IF($E$25=6,Dados!$AM$56,IF($E$25=7,Dados!$AO$56,IF($E$25=8,Dados!$AS$56,0)))))))</f>
        <v>0</v>
      </c>
      <c r="DD48" s="304">
        <f>IF($E$25=2,Dados!$AF$56,IF($E$25=3,Dados!$AH$56,IF($E$25=4,Dados!$AJ$56,IF($E$25=5,Dados!$AL$56,IF($E$25=6,Dados!$AN$56,IF($E$25=7,Dados!$AP$56,IF($E$25=8,Dados!$AT$56,0)))))))</f>
        <v>0</v>
      </c>
      <c r="DE48" s="316">
        <f>IF($E$26=2,Dados!$AE$56,IF($E$26=3,Dados!$AG$56,IF($E$26=4,Dados!$AI$56,IF($E$26=5,Dados!$AK$56,IF($E$26=6,Dados!$AM$56,IF($E$26=7,Dados!$AO$56,IF($E$26=8,Dados!$AS$56,0)))))))</f>
        <v>0</v>
      </c>
      <c r="DF48" s="304">
        <f>IF($E$26=2,Dados!$AF$56,IF($E$26=3,Dados!$AH$56,IF($E$26=4,Dados!$AJ$56,IF($E$26=5,Dados!$AL$56,IF($E$26=6,Dados!$AN$56,IF($E$26=7,Dados!$AP$56,IF($E$26=8,Dados!$AT$56,0)))))))</f>
        <v>0</v>
      </c>
      <c r="DG48" s="316">
        <f>IF($E$27=2,Dados!$AE$56,IF($E$27=3,Dados!$AG$56,IF($E$27=4,Dados!$AI$56,IF($E$27=5,Dados!$AK$56,IF($E$27=6,Dados!$AM$56,IF($E$27=7,Dados!$AO$56,IF($E$27=8,Dados!$AS$56,0)))))))</f>
        <v>0</v>
      </c>
      <c r="DH48" s="304">
        <f>IF($E$27=2,Dados!$AF$56,IF($E$27=3,Dados!$AH$56,IF($E$27=4,Dados!$AJ$56,IF($E$27=5,Dados!$AL$56,IF($E$27=6,Dados!$AN$56,IF($E$27=7,Dados!$AP$56,IF($E$27=8,Dados!$AT$56,0)))))))</f>
        <v>0</v>
      </c>
      <c r="DI48" s="316">
        <f>IF($E$28=2,Dados!$AE$56,IF($E$28=3,Dados!$AG$56,IF($E$28=4,Dados!$AI$56,IF($E$28=5,Dados!$AK$56,IF($E$28=6,Dados!$AM$56,IF($E$28=7,Dados!$AO$56,IF($E$28=8,Dados!$AS$56,0)))))))</f>
        <v>0</v>
      </c>
      <c r="DJ48" s="304">
        <f>IF($E$28=2,Dados!$AF$56,IF($E$28=3,Dados!$AH$56,IF($E$28=4,Dados!$AJ$56,IF($E$28=5,Dados!$AL$56,IF($E$28=6,Dados!$AN$56,IF($E$28=7,Dados!$AP$56,IF($E$28=8,Dados!$AT$56,0)))))))</f>
        <v>0</v>
      </c>
      <c r="DK48" s="316">
        <f>IF($E$29=2,Dados!$AE$56,IF($E$29=3,Dados!$AG$56,IF($E$29=4,Dados!$AI$56,IF($E$29=5,Dados!$AK$56,IF($E$29=6,Dados!$AM$56,IF($E$29=7,Dados!$AO$56,IF($E$29=8,Dados!$AS$56,0)))))))</f>
        <v>0</v>
      </c>
      <c r="DL48" s="304">
        <f>IF($E$29=2,Dados!$AF$56,IF($E$29=3,Dados!$AH$56,IF($E$29=4,Dados!$AJ$56,IF($E$29=5,Dados!$AL$56,IF($E$29=6,Dados!$AN$56,IF($E$29=7,Dados!$AP$56,IF($E$29=8,Dados!$AT$56,0)))))))</f>
        <v>0</v>
      </c>
      <c r="DN48" s="316">
        <f>IF($E$34=2,Dados!$AE$56,IF($E$34=3,Dados!$AG$56,IF($E$34=4,Dados!$AI$56,IF($E$34=5,Dados!$AK$56,IF($E$34=6,Dados!$AM$56,IF($E$34=7,Dados!$AO$56,IF($E$34=8,Dados!$AS$56,0)))))))</f>
        <v>0</v>
      </c>
      <c r="DO48" s="304">
        <f>IF($E$34=2,Dados!$AF$56,IF($E$34=3,Dados!$AH$56,IF($E$34=4,Dados!$AJ$56,IF($E$34=5,Dados!$AL$56,IF($E$34=6,Dados!$AN$56,IF($E$34=7,Dados!$AP$56,IF($E$34=8,Dados!$AT$56,0)))))))</f>
        <v>0</v>
      </c>
      <c r="DP48" s="316">
        <f>IF($E$35=2,Dados!$AE$56,IF($E$35=3,Dados!$AG$56,IF($E$35=4,Dados!$AI$56,IF($E$35=5,Dados!$AK$56,IF($E$35=6,Dados!$AM$56,IF($E$35=7,Dados!$AO$56,IF($E$35=8,Dados!$AS$56,0)))))))</f>
        <v>0</v>
      </c>
      <c r="DQ48" s="304">
        <f>IF($E$35=2,Dados!$AF$56,IF($E$35=3,Dados!$AH$56,IF($E$35=4,Dados!$AJ$56,IF($E$35=5,Dados!$AL$56,IF($E$35=6,Dados!$AN$56,IF($E$35=7,Dados!$AP$56,IF($E$35=8,Dados!$AT$56,0)))))))</f>
        <v>0</v>
      </c>
      <c r="DR48" s="316">
        <f>IF($E$36=2,Dados!$AE$56,IF($E$36=3,Dados!$AG$56,IF($E$36=4,Dados!$AI$56,IF($E$36=5,Dados!$AK$56,IF($E$36=6,Dados!$AM$56,IF($E$36=7,Dados!$AO$56,IF($E$36=8,Dados!$AS$56,0)))))))</f>
        <v>0</v>
      </c>
      <c r="DS48" s="304">
        <f>IF($E$36=2,Dados!$AF$56,IF($E$36=3,Dados!$AH$56,IF($E$36=4,Dados!$AJ$56,IF($E$36=5,Dados!$AL$56,IF($E$36=6,Dados!$AN$56,IF($E$36=7,Dados!$AP$56,IF($E$36=8,Dados!$AT$56,0)))))))</f>
        <v>0</v>
      </c>
      <c r="DT48" s="316">
        <f>IF($E$37=2,Dados!$AE$56,IF($E$37=3,Dados!$AG$56,IF($E$37=4,Dados!$AI$56,IF($E$37=5,Dados!$AK$56,IF($E$37=6,Dados!$AM$56,IF($E$37=7,Dados!$AO$56,IF($E$37=8,Dados!$AS$56,0)))))))</f>
        <v>0</v>
      </c>
      <c r="DU48" s="304">
        <f>IF($E$37=2,Dados!$AF$56,IF($E$37=3,Dados!$AH$56,IF($E$37=4,Dados!$AJ$56,IF($E$37=5,Dados!$AL$56,IF($E$37=6,Dados!$AN$56,IF($E$37=7,Dados!$AP$56,IF($E$37=8,Dados!$AT$56,0)))))))</f>
        <v>0</v>
      </c>
      <c r="DV48" s="316">
        <f>IF($E$38=2,Dados!$AE$56,IF($E$38=3,Dados!$AG$56,IF($E$38=4,Dados!$AI$56,IF($E$38=5,Dados!$AK$56,IF($E$38=6,Dados!$AM$56,IF($E$38=7,Dados!$AO$56,IF($E$38=8,Dados!$AS$56,0)))))))</f>
        <v>0</v>
      </c>
      <c r="DW48" s="304">
        <f>IF($E$38=2,Dados!$AF$56,IF($E$38=3,Dados!$AH$56,IF($E$38=4,Dados!$AJ$56,IF($E$38=5,Dados!$AL$56,IF($E$38=6,Dados!$AN$56,IF($E$38=7,Dados!$AP$56,IF($E$38=8,Dados!$AT$56,0)))))))</f>
        <v>0</v>
      </c>
      <c r="DY48" s="316">
        <f>IF($E$43=2,Dados!$AE$56,IF($E$43=3,Dados!$AG$56,IF($E$43=4,Dados!$AI$56,IF($E$43=5,Dados!$AK$56,IF($E$43=6,Dados!$AM$56,IF($E$43=7,Dados!$AO$56,IF($E$43=8,Dados!$AS$56,0)))))))</f>
        <v>0</v>
      </c>
      <c r="DZ48" s="304">
        <f>IF($E$43=2,Dados!$AF$56,IF($E$43=3,Dados!$AH$56,IF($E$43=4,Dados!$AJ$56,IF($E$43=5,Dados!$AL$56,IF($E$43=6,Dados!$AN$56,IF($E$43=7,Dados!$AP$56,IF($E$43=8,Dados!$AT$56,0)))))))</f>
        <v>0</v>
      </c>
      <c r="EA48" s="316">
        <f>IF($E$44=2,Dados!$AE$56,IF($E$44=3,Dados!$AG$56,IF($E$44=4,Dados!$AI$56,IF($E$44=5,Dados!$AK$56,IF($E$44=6,Dados!$AM$56,IF($E$44=7,Dados!$AO$56,IF($E$44=8,Dados!$AS$56,0)))))))</f>
        <v>0</v>
      </c>
      <c r="EB48" s="304">
        <f>IF($E$44=2,Dados!$AF$56,IF($E$44=3,Dados!$AH$56,IF($E$44=4,Dados!$AJ$56,IF($E$44=5,Dados!$AL$56,IF($E$44=6,Dados!$AN$56,IF($E$44=7,Dados!$AP$56,IF($E$44=8,Dados!$AT$56,0)))))))</f>
        <v>0</v>
      </c>
      <c r="EC48" s="316">
        <f>IF($E$45=2,Dados!$AE$56,IF($E$45=3,Dados!$AG$56,IF($E$45=4,Dados!$AI$56,IF($E$45=5,Dados!$AK$56,IF($E$45=6,Dados!$AM$56,IF($E$45=7,Dados!$AO$56,IF($E$45=8,Dados!$AS$56,0)))))))</f>
        <v>0</v>
      </c>
      <c r="ED48" s="304">
        <f>IF($E$45=2,Dados!$AF$56,IF($E$45=3,Dados!$AH$56,IF($E$45=4,Dados!$AJ$56,IF($E$45=5,Dados!$AL$56,IF($E$45=6,Dados!$AN$56,IF($E$45=7,Dados!$AP$56,IF($E$45=8,Dados!$AT$56,0)))))))</f>
        <v>0</v>
      </c>
      <c r="EE48" s="316">
        <f>IF($E$46=2,Dados!$AE$56,IF($E$46=3,Dados!$AG$56,IF($E$46=4,Dados!$AI$56,IF($E$46=5,Dados!$AK$56,IF($E$46=6,Dados!$AM$56,IF($E$46=7,Dados!$AO$56,IF($E$46=8,Dados!$AS$56,0)))))))</f>
        <v>0</v>
      </c>
      <c r="EF48" s="304">
        <f>IF($E$46=2,Dados!$AF$56,IF($E$46=3,Dados!$AH$56,IF($E$46=4,Dados!$AJ$56,IF($E$46=5,Dados!$AL$56,IF($E$46=6,Dados!$AN$56,IF($E$46=7,Dados!$AP$56,IF($E$46=8,Dados!$AT$56,0)))))))</f>
        <v>0</v>
      </c>
      <c r="EG48" s="316">
        <f>IF($E$47=2,Dados!$AE$56,IF($E$47=3,Dados!$AG$56,IF($E$47=4,Dados!$AI$56,IF($E$47=5,Dados!$AK$56,IF($E$47=6,Dados!$AM$56,IF($E$47=7,Dados!$AO$56,IF($E$47=8,Dados!$AS$56,0)))))))</f>
        <v>0</v>
      </c>
      <c r="EH48" s="304">
        <f>IF($E$47=2,Dados!$AF$56,IF($E$47=3,Dados!$AH$56,IF($E$47=4,Dados!$AJ$56,IF($E$47=5,Dados!$AL$56,IF($E$47=6,Dados!$AN$56,IF($E$47=7,Dados!$AP$56,IF($E$47=8,Dados!$AT$56,0)))))))</f>
        <v>0</v>
      </c>
      <c r="EJ48" s="316">
        <f>IF($E$52=2,Dados!$AE$56,IF($E$52=3,Dados!$AG$56,IF($E$52=4,Dados!$AI$56,IF($E$52=5,Dados!$AK$56,IF($E$52=6,Dados!$AM$56,IF($E$52=7,Dados!$AO$56,IF($E$52=8,Dados!$AS$56,0)))))))</f>
        <v>0</v>
      </c>
      <c r="EK48" s="304">
        <f>IF($E$52=2,Dados!$AF$56,IF($E$52=3,Dados!$AH$56,IF($E$52=4,Dados!$AJ$56,IF($E$52=5,Dados!$AL$56,IF($E$52=6,Dados!$AN$56,IF($E$52=7,Dados!$AP$56,IF($E$52=8,Dados!$AT$56,0)))))))</f>
        <v>0</v>
      </c>
      <c r="EL48" s="316">
        <f>IF($E$53=2,Dados!$AE$56,IF($E$53=3,Dados!$AG$56,IF($E$53=4,Dados!$AI$56,IF($E$53=5,Dados!$AK$56,IF($E$53=6,Dados!$AM$56,IF($E$53=7,Dados!$AO$56,IF($E$53=8,Dados!$AS$56,0)))))))</f>
        <v>0</v>
      </c>
      <c r="EM48" s="304">
        <f>IF($E$53=2,Dados!$AF$56,IF($E$53=3,Dados!$AH$56,IF($E$53=4,Dados!$AJ$56,IF($E$53=5,Dados!$AL$56,IF($E$53=6,Dados!$AN$56,IF($E$53=7,Dados!$AP$56,IF($E$53=8,Dados!$AT$56,0)))))))</f>
        <v>0</v>
      </c>
      <c r="EN48" s="316">
        <f>IF($E$54=2,Dados!$AE$56,IF($E$54=3,Dados!$AG$56,IF($E$54=4,Dados!$AI$56,IF($E$54=5,Dados!$AK$56,IF($E$54=6,Dados!$AM$56,IF($E$54=7,Dados!$AO$56,IF($E$54=8,Dados!$AS$56,0)))))))</f>
        <v>0</v>
      </c>
      <c r="EO48" s="304">
        <f>IF($E$54=2,Dados!$AF$56,IF($E$54=3,Dados!$AH$56,IF($E$54=4,Dados!$AJ$56,IF($E$54=5,Dados!$AL$56,IF($E$54=6,Dados!$AN$56,IF($E$54=7,Dados!$AP$56,IF($E$54=8,Dados!$AT$56,0)))))))</f>
        <v>0</v>
      </c>
      <c r="EP48" s="316">
        <f>IF($E$55=2,Dados!$AE$56,IF($E$55=3,Dados!$AG$56,IF($E$55=4,Dados!$AI$56,IF($E$55=5,Dados!$AK$56,IF($E$55=6,Dados!$AM$56,IF($E$55=7,Dados!$AO$56,IF($E$55=8,Dados!$AS$56,0)))))))</f>
        <v>0</v>
      </c>
      <c r="EQ48" s="304">
        <f>IF($E$55=2,Dados!$AF$56,IF($E$55=3,Dados!$AH$56,IF($E$55=4,Dados!$AJ$56,IF($E$55=5,Dados!$AL$56,IF($E$55=6,Dados!$AN$56,IF($E$55=7,Dados!$AP$56,IF($E$55=8,Dados!$AT$56,0)))))))</f>
        <v>0</v>
      </c>
      <c r="ER48" s="316">
        <f>IF($E$56=2,Dados!$AE$56,IF($E$56=3,Dados!$AG$56,IF($E$56=4,Dados!$AI$56,IF($E$56=5,Dados!$AK$56,IF($E$56=6,Dados!$AM$56,IF($E$56=7,Dados!$AO$56,IF($E$56=8,Dados!$AS$56,0)))))))</f>
        <v>0</v>
      </c>
      <c r="ES48" s="304">
        <f>IF($E$56=2,Dados!$AF$56,IF($E$56=3,Dados!$AH$56,IF($E$56=4,Dados!$AJ$56,IF($E$56=5,Dados!$AL$56,IF($E$56=6,Dados!$AN$56,IF($E$56=7,Dados!$AP$56,IF($E$56=8,Dados!$AT$56,0)))))))</f>
        <v>0</v>
      </c>
      <c r="EU48" s="316">
        <f>IF($E$61=2,Dados!$AE$56,IF($E$61=3,Dados!$AG$56,IF($E$61=4,Dados!$AI$56,IF($E$61=5,Dados!$AK$56,IF($E$61=6,Dados!$AM$56,IF($E$61=7,Dados!$AO$56,IF($E$61=8,Dados!$AS$56,0)))))))</f>
        <v>0</v>
      </c>
      <c r="EV48" s="304">
        <f>IF($E$61=2,Dados!$AF$56,IF($E$61=3,Dados!$AH$56,IF($E$61=4,Dados!$AJ$56,IF($E$61=5,Dados!$AL$56,IF($E$61=6,Dados!$AN$56,IF($E$61=7,Dados!$AP$56,IF($E$61=8,Dados!$AT$56,0)))))))</f>
        <v>0</v>
      </c>
      <c r="EW48" s="316">
        <f>IF($E$62=2,Dados!$AE$56,IF($E$62=3,Dados!$AG$56,IF($E$62=4,Dados!$AI$56,IF($E$62=5,Dados!$AK$56,IF($E$62=6,Dados!$AM$56,IF($E$62=7,Dados!$AO$56,IF($E$62=8,Dados!$AS$56,0)))))))</f>
        <v>0</v>
      </c>
      <c r="EX48" s="304">
        <f>IF($E$62=2,Dados!$AF$56,IF($E$62=3,Dados!$AH$56,IF($E$62=4,Dados!$AJ$56,IF($E$62=5,Dados!$AL$56,IF($E$62=6,Dados!$AN$56,IF($E$62=7,Dados!$AP$56,IF($E$62=8,Dados!$AT$56,0)))))))</f>
        <v>0</v>
      </c>
      <c r="EY48" s="316">
        <f>IF($E$63=2,Dados!$AE$56,IF($E$63=3,Dados!$AG$56,IF($E$63=4,Dados!$AI$56,IF($E$63=5,Dados!$AK$56,IF($E$63=6,Dados!$AM$56,IF($E$63=7,Dados!$AO$56,IF($E$63=8,Dados!$AS$56,0)))))))</f>
        <v>0</v>
      </c>
      <c r="EZ48" s="304">
        <f>IF($E$63=2,Dados!$AF$56,IF($E$63=3,Dados!$AH$56,IF($E$63=4,Dados!$AJ$56,IF($E$63=5,Dados!$AL$56,IF($E$63=6,Dados!$AN$56,IF($E$63=7,Dados!$AP$56,IF($E$63=8,Dados!$AT$56,0)))))))</f>
        <v>0</v>
      </c>
      <c r="FA48" s="316">
        <f>IF($E$64=2,Dados!$AE$56,IF($E$64=3,Dados!$AG$56,IF($E$64=4,Dados!$AI$56,IF($E$64=5,Dados!$AK$56,IF($E$64=6,Dados!$AM$56,IF($E$64=7,Dados!$AO$56,IF($E$64=8,Dados!$AS$56,0)))))))</f>
        <v>0</v>
      </c>
      <c r="FB48" s="304">
        <f>IF($E$64=2,Dados!$AF$56,IF($E$64=3,Dados!$AH$56,IF($E$64=4,Dados!$AJ$56,IF($E$64=5,Dados!$AL$56,IF($E$64=6,Dados!$AN$56,IF($E$64=7,Dados!$AP$56,IF($E$64=8,Dados!$AT$56,0)))))))</f>
        <v>0</v>
      </c>
      <c r="FC48" s="316">
        <f>IF($E$65=2,Dados!$AE$56,IF($E$65=3,Dados!$AG$56,IF($E$65=4,Dados!$AI$56,IF($E$65=5,Dados!$AK$56,IF($E$65=6,Dados!$AM$56,IF($E$65=7,Dados!$AO$56,IF($E$65=8,Dados!$AS$56,0)))))))</f>
        <v>0</v>
      </c>
      <c r="FD48" s="304">
        <f>IF($E$65=2,Dados!$AF$56,IF($E$65=3,Dados!$AH$56,IF($E$65=4,Dados!$AJ$56,IF($E$65=5,Dados!$AL$56,IF($E$65=6,Dados!$AN$56,IF($E$65=7,Dados!$AP$56,IF($E$65=8,Dados!$AT$56,0)))))))</f>
        <v>0</v>
      </c>
      <c r="FF48" s="316">
        <f>IF($E$70=2,Dados!$AE$56,IF($E$70=3,Dados!$AG$56,IF($E$70=4,Dados!$AI$56,IF($E$70=5,Dados!$AK$56,IF($E$70=6,Dados!$AM$56,IF($E$70=7,Dados!$AO$56,IF($E$70=8,Dados!$AS$56,0)))))))</f>
        <v>0</v>
      </c>
      <c r="FG48" s="304">
        <f>IF($E$70=2,Dados!$AF$56,IF($E$70=3,Dados!$AH$56,IF($E$70=4,Dados!$AJ$56,IF($E$70=5,Dados!$AL$56,IF($E$70=6,Dados!$AN$56,IF($E$70=7,Dados!$AP$56,IF($E$70=8,Dados!$AT$56,0)))))))</f>
        <v>0</v>
      </c>
      <c r="FH48" s="316">
        <f>IF($E$71=2,Dados!$AE$56,IF($E$71=3,Dados!$AG$56,IF($E$71=4,Dados!$AI$56,IF($E$71=5,Dados!$AK$56,IF($E$71=6,Dados!$AM$56,IF($E$71=7,Dados!$AO$56,IF($E$71=8,Dados!$AS$56,0)))))))</f>
        <v>0</v>
      </c>
      <c r="FI48" s="304">
        <f>IF($E$71=2,Dados!$AF$56,IF($E$71=3,Dados!$AH$56,IF($E$71=4,Dados!$AJ$56,IF($E$71=5,Dados!$AL$56,IF($E$71=6,Dados!$AN$56,IF($E$71=7,Dados!$AP$56,IF($E$71=8,Dados!$AT$56,0)))))))</f>
        <v>0</v>
      </c>
      <c r="FJ48" s="316">
        <f>IF($E$72=2,Dados!$AE$56,IF($E$72=3,Dados!$AG$56,IF($E$72=4,Dados!$AI$56,IF($E$72=5,Dados!$AK$56,IF($E$72=6,Dados!$AM$56,IF($E$72=7,Dados!$AO$56,IF($E$72=8,Dados!$AS$56,0)))))))</f>
        <v>0</v>
      </c>
      <c r="FK48" s="304">
        <f>IF($E$72=2,Dados!$AF$56,IF($E$72=3,Dados!$AH$56,IF($E$72=4,Dados!$AJ$56,IF($E$72=5,Dados!$AL$56,IF($E$72=6,Dados!$AN$56,IF($E$72=7,Dados!$AP$56,IF($E$72=8,Dados!$AT$56,0)))))))</f>
        <v>0</v>
      </c>
      <c r="FL48" s="316">
        <f>IF($E$73=2,Dados!$AE$56,IF($E$73=3,Dados!$AG$56,IF($E$73=4,Dados!$AI$56,IF($E$73=5,Dados!$AK$56,IF($E$73=6,Dados!$AM$56,IF($E$73=7,Dados!$AO$56,IF($E$73=8,Dados!$AS$56,0)))))))</f>
        <v>0</v>
      </c>
      <c r="FM48" s="304">
        <f>IF($E$73=2,Dados!$AF$56,IF($E$73=3,Dados!$AH$56,IF($E$73=4,Dados!$AJ$56,IF($E$73=5,Dados!$AL$56,IF($E$73=6,Dados!$AN$56,IF($E$73=7,Dados!$AP$56,IF($E$73=8,Dados!$AT$56,0)))))))</f>
        <v>0</v>
      </c>
      <c r="FN48" s="316">
        <f>IF($E$74=2,Dados!$AE$56,IF($E$74=3,Dados!$AG$56,IF($E$74=4,Dados!$AI$56,IF($E$74=5,Dados!$AK$56,IF($E$74=6,Dados!$AM$56,IF($E$74=7,Dados!$AO$56,IF($E$74=8,Dados!$AS$56,0)))))))</f>
        <v>0</v>
      </c>
      <c r="FO48" s="304">
        <f>IF($E$74=2,Dados!$AF$56,IF($E$74=3,Dados!$AH$56,IF($E$74=4,Dados!$AJ$56,IF($E$74=5,Dados!$AL$56,IF($E$74=6,Dados!$AN$56,IF($E$74=7,Dados!$AP$56,IF($E$74=8,Dados!$AT$56,0)))))))</f>
        <v>0</v>
      </c>
      <c r="FQ48" s="316">
        <f>IF($E$79=2,Dados!$AE$56,IF($E$79=3,Dados!$AG$56,IF($E$79=4,Dados!$AI$56,IF($E$79=5,Dados!$AK$56,IF($E$79=6,Dados!$AM$56,IF($E$79=7,Dados!$AO$56,IF($E$79=8,Dados!$AS$56,0)))))))</f>
        <v>0</v>
      </c>
      <c r="FR48" s="304">
        <f>IF($E$79=2,Dados!$AF$56,IF($E$79=3,Dados!$AH$56,IF($E$79=4,Dados!$AJ$56,IF($E$79=5,Dados!$AL$56,IF($E$79=6,Dados!$AN$56,IF($E$79=7,Dados!$AP$56,IF($E$79=8,Dados!$AT$56,0)))))))</f>
        <v>0</v>
      </c>
      <c r="FS48" s="316">
        <f>IF($E$80=2,Dados!$AE$56,IF($E$80=3,Dados!$AG$56,IF($E$80=4,Dados!$AI$56,IF($E$80=5,Dados!$AK$56,IF($E$80=6,Dados!$AM$56,IF($E$80=7,Dados!$AO$56,IF($E$80=8,Dados!$AS$56,0)))))))</f>
        <v>0</v>
      </c>
      <c r="FT48" s="304">
        <f>IF($E$80=2,Dados!$AF$56,IF($E$80=3,Dados!$AH$56,IF($E$80=4,Dados!$AJ$56,IF($E$80=5,Dados!$AL$56,IF($E$80=6,Dados!$AN$56,IF($E$80=7,Dados!$AP$56,IF($E$80=8,Dados!$AT$56,0)))))))</f>
        <v>0</v>
      </c>
      <c r="FU48" s="316">
        <f>IF($E$81=2,Dados!$AE$56,IF($E$81=3,Dados!$AG$56,IF($E$81=4,Dados!$AI$56,IF($E$81=5,Dados!$AK$56,IF($E$81=6,Dados!$AM$56,IF($E$81=7,Dados!$AO$56,IF($E$81=8,Dados!$AS$56,0)))))))</f>
        <v>0</v>
      </c>
      <c r="FV48" s="304">
        <f>IF($E$81=2,Dados!$AF$56,IF($E$81=3,Dados!$AH$56,IF($E$81=4,Dados!$AJ$56,IF($E$81=5,Dados!$AL$56,IF($E$81=6,Dados!$AN$56,IF($E$81=7,Dados!$AP$56,IF($E$81=8,Dados!$AT$56,0)))))))</f>
        <v>0</v>
      </c>
      <c r="FW48" s="316">
        <f>IF($E$82=2,Dados!$AE$56,IF($E$82=3,Dados!$AG$56,IF($E$82=4,Dados!$AI$56,IF($E$82=5,Dados!$AK$56,IF($E$82=6,Dados!$AM$56,IF($E$82=7,Dados!$AO$56,IF($E$82=8,Dados!$AS$56,0)))))))</f>
        <v>0</v>
      </c>
      <c r="FX48" s="304">
        <f>IF($E$82=2,Dados!$AF$56,IF($E$82=3,Dados!$AH$56,IF($E$82=4,Dados!$AJ$56,IF($E$82=5,Dados!$AL$56,IF($E$82=6,Dados!$AN$56,IF($E$82=7,Dados!$AP$56,IF($E$82=8,Dados!$AT$56,0)))))))</f>
        <v>0</v>
      </c>
      <c r="FY48" s="316">
        <f>IF($E$83=2,Dados!$AE$56,IF($E$83=3,Dados!$AG$56,IF($E$83=4,Dados!$AI$56,IF($E$83=5,Dados!$AK$56,IF($E$83=6,Dados!$AM$56,IF($E$83=7,Dados!$AO$56,IF($E$83=8,Dados!$AS$56,0)))))))</f>
        <v>0</v>
      </c>
      <c r="FZ48" s="304">
        <f>IF($E$83=2,Dados!$AF$56,IF($E$83=3,Dados!$AH$56,IF($E$83=4,Dados!$AJ$56,IF($E$83=5,Dados!$AL$56,IF($E$83=6,Dados!$AN$56,IF($E$83=7,Dados!$AP$56,IF($E$83=8,Dados!$AT$56,0)))))))</f>
        <v>0</v>
      </c>
      <c r="GB48" s="316">
        <f>IF($E$88=2,Dados!$AE$56,IF($E$88=3,Dados!$AG$56,IF($E$88=4,Dados!$AI$56,IF($E$88=5,Dados!$AK$56,IF($E$88=6,Dados!$AM$56,IF($E$88=7,Dados!$AO$56,IF($E$88=8,Dados!$AS$56,0)))))))</f>
        <v>0</v>
      </c>
      <c r="GC48" s="304">
        <f>IF($E$88=2,Dados!$AF$56,IF($E$88=3,Dados!$AH$56,IF($E$88=4,Dados!$AJ$56,IF($E$88=5,Dados!$AL$56,IF($E$88=6,Dados!$AN$56,IF($E$88=7,Dados!$AP$56,IF($E$88=8,Dados!$AT$56,0)))))))</f>
        <v>0</v>
      </c>
      <c r="GD48" s="316">
        <f>IF($E$89=2,Dados!$AE$56,IF($E$89=3,Dados!$AG$56,IF($E$89=4,Dados!$AI$56,IF($E$89=5,Dados!$AK$56,IF($E$89=6,Dados!$AM$56,IF($E$89=7,Dados!$AO$56,IF($E$89=8,Dados!$AS$56,0)))))))</f>
        <v>0</v>
      </c>
      <c r="GE48" s="304">
        <f>IF($E$89=2,Dados!$AF$56,IF($E$89=3,Dados!$AH$56,IF($E$89=4,Dados!$AJ$56,IF($E$89=5,Dados!$AL$56,IF($E$89=6,Dados!$AN$56,IF($E$89=7,Dados!$AP$56,IF($E$89=8,Dados!$AT$56,0)))))))</f>
        <v>0</v>
      </c>
      <c r="GF48" s="316">
        <f>IF($E$90=2,Dados!$AE$56,IF($E$90=3,Dados!$AG$56,IF($E$90=4,Dados!$AI$56,IF($E$90=5,Dados!$AK$56,IF($E$90=6,Dados!$AM$56,IF($E$90=7,Dados!$AO$56,IF($E$90=8,Dados!$AS$56,0)))))))</f>
        <v>0</v>
      </c>
      <c r="GG48" s="304">
        <f>IF($E$90=2,Dados!$AF$56,IF($E$90=3,Dados!$AH$56,IF($E$90=4,Dados!$AJ$56,IF($E$90=5,Dados!$AL$56,IF($E$90=6,Dados!$AN$56,IF($E$90=7,Dados!$AP$56,IF($E$90=8,Dados!$AT$56,0)))))))</f>
        <v>0</v>
      </c>
      <c r="GH48" s="316">
        <f>IF($E$91=2,Dados!$AE$56,IF($E$91=3,Dados!$AG$56,IF($E$91=4,Dados!$AI$56,IF($E$91=5,Dados!$AK$56,IF($E$91=6,Dados!$AM$56,IF($E$91=7,Dados!$AO$56,IF($E$91=8,Dados!$AS$56,0)))))))</f>
        <v>0</v>
      </c>
      <c r="GI48" s="304">
        <f>IF($E$91=2,Dados!$AF$56,IF($E$91=3,Dados!$AH$56,IF($E$91=4,Dados!$AJ$56,IF($E$91=5,Dados!$AL$56,IF($E$91=6,Dados!$AN$56,IF($E$91=7,Dados!$AP$56,IF($E$91=8,Dados!$AT$56,0)))))))</f>
        <v>0</v>
      </c>
      <c r="GJ48" s="316">
        <f>IF($E$92=2,Dados!$AE$56,IF($E$92=3,Dados!$AG$56,IF($E$92=4,Dados!$AI$56,IF($E$92=5,Dados!$AK$56,IF($E$92=6,Dados!$AM$56,IF($E$92=7,Dados!$AO$56,IF($E$92=8,Dados!$AS$56,0)))))))</f>
        <v>0</v>
      </c>
      <c r="GK48" s="304">
        <f>IF($E$92=2,Dados!$AF$56,IF($E$92=3,Dados!$AH$56,IF($E$92=4,Dados!$AJ$56,IF($E$92=5,Dados!$AL$56,IF($E$92=6,Dados!$AN$56,IF($E$92=7,Dados!$AP$56,IF($E$92=8,Dados!$AT$56,0)))))))</f>
        <v>0</v>
      </c>
      <c r="GM48" s="316">
        <f>IF($E$97=2,Dados!$AE$56,IF($E$97=3,Dados!$AG$56,IF($E$97=4,Dados!$AI$56,IF($E$97=5,Dados!$AK$56,IF($E$97=6,Dados!$AM$56,IF($E$97=7,Dados!$AO$56,IF($E$97=8,Dados!$AS$56,0)))))))</f>
        <v>0</v>
      </c>
      <c r="GN48" s="304">
        <f>IF($E$97=2,Dados!$AF$56,IF($E$97=3,Dados!$AH$56,IF($E$97=4,Dados!$AJ$56,IF($E$97=5,Dados!$AL$56,IF($E$97=6,Dados!$AN$56,IF($E$97=7,Dados!$AP$56,IF($E$97=8,Dados!$AT$56,0)))))))</f>
        <v>0</v>
      </c>
      <c r="GO48" s="316">
        <f>IF($E$98=2,Dados!$AE$56,IF($E$98=3,Dados!$AG$56,IF($E$98=4,Dados!$AI$56,IF($E$98=5,Dados!$AK$56,IF($E$98=6,Dados!$AM$56,IF($E$98=7,Dados!$AO$56,IF($E$98=8,Dados!$AS$56,0)))))))</f>
        <v>0</v>
      </c>
      <c r="GP48" s="304">
        <f>IF($E$98=2,Dados!$AF$56,IF($E$98=3,Dados!$AH$56,IF($E$98=4,Dados!$AJ$56,IF($E$98=5,Dados!$AL$56,IF($E$98=6,Dados!$AN$56,IF($E$98=7,Dados!$AP$56,IF($E$98=8,Dados!$AT$56,0)))))))</f>
        <v>0</v>
      </c>
      <c r="GQ48" s="316">
        <f>IF($E$99=2,Dados!$AE$56,IF($E$99=3,Dados!$AG$56,IF($E$99=4,Dados!$AI$56,IF($E$99=5,Dados!$AK$56,IF($E$99=6,Dados!$AM$56,IF($E$99=7,Dados!$AO$56,IF($E$99=8,Dados!$AS$56,0)))))))</f>
        <v>0</v>
      </c>
      <c r="GR48" s="304">
        <f>IF($E$99=2,Dados!$AF$56,IF($E$99=3,Dados!$AH$56,IF($E$99=4,Dados!$AJ$56,IF($E$99=5,Dados!$AL$56,IF($E$99=6,Dados!$AN$56,IF($E$99=7,Dados!$AP$56,IF($E$99=8,Dados!$AT$56,0)))))))</f>
        <v>0</v>
      </c>
      <c r="GS48" s="316">
        <f>IF($E$100=2,Dados!$AE$56,IF($E$100=3,Dados!$AG$56,IF($E$100=4,Dados!$AI$56,IF($E$100=5,Dados!$AK$56,IF($E$100=6,Dados!$AM$56,IF($E$100=7,Dados!$AO$56,IF($E$100=8,Dados!$AS$56,0)))))))</f>
        <v>0</v>
      </c>
      <c r="GT48" s="304">
        <f>IF($E$100=2,Dados!$AF$56,IF($E$100=3,Dados!$AH$56,IF($E$100=4,Dados!$AJ$56,IF($E$100=5,Dados!$AL$56,IF($E$100=6,Dados!$AN$56,IF($E$100=7,Dados!$AP$56,IF($E$100=8,Dados!$AT$56,0)))))))</f>
        <v>0</v>
      </c>
      <c r="GU48" s="316">
        <f>IF($E$101=2,Dados!$AE$56,IF($E$101=3,Dados!$AG$56,IF($E$101=4,Dados!$AI$56,IF($E$101=5,Dados!$AK$56,IF($E$101=6,Dados!$AM$56,IF($E$101=7,Dados!$AO$56,IF($E$101=8,Dados!$AS$56,0)))))))</f>
        <v>0</v>
      </c>
      <c r="GV48" s="304">
        <f>IF($E$101=2,Dados!$AF$56,IF($E$101=3,Dados!$AH$56,IF($E$101=4,Dados!$AJ$56,IF($E$101=5,Dados!$AL$56,IF($E$101=6,Dados!$AN$56,IF($E$101=7,Dados!$AP$56,IF($E$101=8,Dados!$AT$56,0)))))))</f>
        <v>0</v>
      </c>
      <c r="GX48" s="316">
        <f>IF($E$106=2,Dados!$AE$56,IF($E$106=3,Dados!$AG$56,IF($E$106=4,Dados!$AI$56,IF($E$106=5,Dados!$AK$56,IF($E$106=6,Dados!$AM$56,IF($E$106=7,Dados!$AO$56,IF($E$106=8,Dados!$AS$56,0)))))))</f>
        <v>0</v>
      </c>
      <c r="GY48" s="304">
        <f>IF($E$106=2,Dados!$AF$56,IF($E$106=3,Dados!$AH$56,IF($E$106=4,Dados!$AJ$56,IF($E$106=5,Dados!$AL$56,IF($E$106=6,Dados!$AN$56,IF($E$106=7,Dados!$AP$56,IF($E$106=8,Dados!$AT$56,0)))))))</f>
        <v>0</v>
      </c>
      <c r="GZ48" s="316">
        <f>IF($E$107=2,Dados!$AE$56,IF($E$107=3,Dados!$AG$56,IF($E$107=4,Dados!$AI$56,IF($E$107=5,Dados!$AK$56,IF($E$107=6,Dados!$AM$56,IF($E$107=7,Dados!$AO$56,IF($E$107=8,Dados!$AS$56,0)))))))</f>
        <v>0</v>
      </c>
      <c r="HA48" s="304">
        <f>IF($E$107=2,Dados!$AF$56,IF($E$107=3,Dados!$AH$56,IF($E$107=4,Dados!$AJ$56,IF($E$107=5,Dados!$AL$56,IF($E$107=6,Dados!$AN$56,IF($E$107=7,Dados!$AP$56,IF($E$107=8,Dados!$AT$56,0)))))))</f>
        <v>0</v>
      </c>
      <c r="HB48" s="316">
        <f>IF($E$108=2,Dados!$AE$56,IF($E$108=3,Dados!$AG$56,IF($E$108=4,Dados!$AI$56,IF($E$108=5,Dados!$AK$56,IF($E$108=6,Dados!$AM$56,IF($E$108=7,Dados!$AO$56,IF($E$108=8,Dados!$AS$56,0)))))))</f>
        <v>0</v>
      </c>
      <c r="HC48" s="304">
        <f>IF($E$108=2,Dados!$AF$56,IF($E$108=3,Dados!$AH$56,IF($E$108=4,Dados!$AJ$56,IF($E$108=5,Dados!$AL$56,IF($E$108=6,Dados!$AN$56,IF($E$108=7,Dados!$AP$56,IF($E$108=8,Dados!$AT$56,0)))))))</f>
        <v>0</v>
      </c>
      <c r="HD48" s="316">
        <f>IF($E$109=2,Dados!$AE$56,IF($E$109=3,Dados!$AG$56,IF($E$109=4,Dados!$AI$56,IF($E$109=5,Dados!$AK$56,IF($E$109=6,Dados!$AM$56,IF($E$109=7,Dados!$AO$56,IF($E$109=8,Dados!$AS$56,0)))))))</f>
        <v>0</v>
      </c>
      <c r="HE48" s="304">
        <f>IF($E$109=2,Dados!$AF$56,IF($E$109=3,Dados!$AH$56,IF($E$109=4,Dados!$AJ$56,IF($E$109=5,Dados!$AL$56,IF($E$109=6,Dados!$AN$56,IF($E$109=7,Dados!$AP$56,IF($E$109=8,Dados!$AT$56,0)))))))</f>
        <v>0</v>
      </c>
      <c r="HF48" s="316">
        <f>IF($E$110=2,Dados!$AE$56,IF($E$110=3,Dados!$AG$56,IF($E$110=4,Dados!$AI$56,IF($E$110=5,Dados!$AK$56,IF($E$110=6,Dados!$AM$56,IF($E$110=7,Dados!$AO$56,IF($E$110=8,Dados!$AS$56,0)))))))</f>
        <v>0</v>
      </c>
      <c r="HG48" s="304">
        <f>IF($E$110=2,Dados!$AF$56,IF($E$110=3,Dados!$AH$56,IF($E$110=4,Dados!$AJ$56,IF($E$110=5,Dados!$AL$56,IF($E$110=6,Dados!$AN$56,IF($E$110=7,Dados!$AP$56,IF($E$110=8,Dados!$AT$56,0)))))))</f>
        <v>0</v>
      </c>
    </row>
    <row r="49" spans="3:215" x14ac:dyDescent="0.2">
      <c r="AW49" s="4" t="s">
        <v>787</v>
      </c>
      <c r="AX49" s="94">
        <f>IF($E43=8,$V43,0)</f>
        <v>0</v>
      </c>
      <c r="AY49" s="94">
        <f>IF($E44=8,$V44,0)</f>
        <v>0</v>
      </c>
      <c r="AZ49" s="94">
        <f>IF($E45=8,$V45,0)</f>
        <v>0</v>
      </c>
      <c r="BA49" s="94">
        <f>IF($E46=8,$V46,0)</f>
        <v>0</v>
      </c>
      <c r="BB49" s="94">
        <f>IF($E47=8,$V47,0)</f>
        <v>0</v>
      </c>
      <c r="BC49" s="200">
        <f>SUM(AX49:BB49)</f>
        <v>0</v>
      </c>
      <c r="CF49" s="93">
        <v>44</v>
      </c>
      <c r="CG49" s="316">
        <f>IF($E$7=2,Dados!$AE$57,IF($E$7=3,Dados!$AG$57,IF($E$7=4,Dados!$AI$57,IF($E$7=5,Dados!$AK$57,IF($E$7=6,Dados!$AM$57,IF($E$7=7,Dados!$AO$57,IF($E$7=8,Dados!$AS$57,0)))))))</f>
        <v>0</v>
      </c>
      <c r="CH49" s="304">
        <f>IF($E$7=2,Dados!$AF$57,IF($E$7=3,Dados!$AH$57,IF($E$7=4,Dados!$AJ$57,IF($E$7=5,Dados!$AL$57,IF($E$7=6,Dados!$AN$57,IF($E$7=7,Dados!$AP$57,IF($E$7=8,Dados!$AT$57,0)))))))</f>
        <v>0</v>
      </c>
      <c r="CI49" s="316">
        <f>IF($E$8=2,Dados!$AE$57,IF($E$8=3,Dados!$AG$57,IF($E$8=4,Dados!$AI$57,IF($E$8=5,Dados!$AK$57,IF($E$8=6,Dados!$AM$57,IF($E$8=7,Dados!$AO$57,IF($E$8=8,Dados!$AS$57,0)))))))</f>
        <v>0</v>
      </c>
      <c r="CJ49" s="304">
        <f>IF($E$8=2,Dados!$AF$57,IF($E$8=3,Dados!$AH$57,IF($E$8=4,Dados!$AJ$57,IF($E$8=5,Dados!$AL$57,IF($E$8=6,Dados!$AN$57,IF($E$8=7,Dados!$AP$57,IF($E$8=8,Dados!$AT$57,0)))))))</f>
        <v>0</v>
      </c>
      <c r="CK49" s="316">
        <f>IF($E$9=2,Dados!$AE$57,IF($E$9=3,Dados!$AG$57,IF($E$9=4,Dados!$AI$57,IF($E$9=5,Dados!$AK$57,IF($E$9=6,Dados!$AM$57,IF($E$9=7,Dados!$AO$57,IF($E$9=8,Dados!$AS$57,0)))))))</f>
        <v>0</v>
      </c>
      <c r="CL49" s="304">
        <f>IF($E$9=2,Dados!$AF$57,IF($E$9=3,Dados!$AH$57,IF($E$9=4,Dados!$AJ$57,IF($E$9=5,Dados!$AL$57,IF($E$9=6,Dados!$AN$57,IF($E$9=7,Dados!$AP$57,IF($E$9=8,Dados!$AT$57,0)))))))</f>
        <v>0</v>
      </c>
      <c r="CM49" s="316">
        <f>IF($E$10=2,Dados!$AE$57,IF($E$10=3,Dados!$AG$57,IF($E$10=4,Dados!$AI$57,IF($E$10=5,Dados!$AK$57,IF($E$10=6,Dados!$AM$57,IF($E$10=7,Dados!$AO$57,IF($E$10=8,Dados!$AS$57,0)))))))</f>
        <v>0</v>
      </c>
      <c r="CN49" s="304">
        <f>IF($E$10=2,Dados!$AF$57,IF($E$10=3,Dados!$AH$57,IF($E$10=4,Dados!$AJ$57,IF($E$10=5,Dados!$AL$57,IF($E$10=6,Dados!$AN$57,IF($E$10=7,Dados!$AP$57,IF($E$10=8,Dados!$AT$57,0)))))))</f>
        <v>0</v>
      </c>
      <c r="CO49" s="316">
        <f>IF($E$11=2,Dados!$AE$57,IF($E$11=3,Dados!$AG$57,IF($E$11=4,Dados!$AI$57,IF($E$11=5,Dados!$AK$57,IF($E$11=6,Dados!$AM$57,IF($E$11=7,Dados!$AO$57,IF($E$11=8,Dados!$AS$57,0)))))))</f>
        <v>0</v>
      </c>
      <c r="CP49" s="304">
        <f>IF($E$11=2,Dados!$AF$57,IF($E$11=3,Dados!$AH$57,IF($E$11=4,Dados!$AJ$57,IF($E$11=5,Dados!$AL$57,IF($E$11=6,Dados!$AN$57,IF($E$11=7,Dados!$AP$57,IF($E$11=8,Dados!$AT$57,0)))))))</f>
        <v>0</v>
      </c>
      <c r="CR49" s="316">
        <f>IF($E$16=2,Dados!$AE$57,IF($E$16=3,Dados!$AG$57,IF($E$16=4,Dados!$AI$57,IF($E$16=5,Dados!$AK$57,IF($E$16=6,Dados!$AM$57,IF($E$16=7,Dados!$AO$57,IF($E$16=8,Dados!$AS$57,0)))))))</f>
        <v>0</v>
      </c>
      <c r="CS49" s="304">
        <f>IF($E$16=2,Dados!$AF$57,IF($E$16=3,Dados!$AH$57,IF($E$16=4,Dados!$AJ$57,IF($E$16=5,Dados!$AL$57,IF($E$16=6,Dados!$AN$57,IF($E$16=7,Dados!$AP$57,IF($E$16=8,Dados!$AT$57,0)))))))</f>
        <v>0</v>
      </c>
      <c r="CT49" s="316">
        <f>IF($E$17=2,Dados!$AE$57,IF($E$17=3,Dados!$AG$57,IF($E$17=4,Dados!$AI$57,IF($E$17=5,Dados!$AK$57,IF($E$17=6,Dados!$AM$57,IF($E$17=7,Dados!$AO$57,IF($E$17=8,Dados!$AS$57,0)))))))</f>
        <v>0</v>
      </c>
      <c r="CU49" s="304">
        <f>IF($E$17=2,Dados!$AF$57,IF($E$17=3,Dados!$AH$57,IF($E$17=4,Dados!$AJ$57,IF($E$17=5,Dados!$AL$57,IF($E$17=6,Dados!$AN$57,IF($E$17=7,Dados!$AP$57,IF($E$17=8,Dados!$AT$57,0)))))))</f>
        <v>0</v>
      </c>
      <c r="CV49" s="316">
        <f>IF($E$18=2,Dados!$AE$57,IF($E$18=3,Dados!$AG$57,IF($E$18=4,Dados!$AI$57,IF($E$18=5,Dados!$AK$57,IF($E$18=6,Dados!$AM$57,IF($E$18=7,Dados!$AO$57,IF($E$18=8,Dados!$AS$57,0)))))))</f>
        <v>0</v>
      </c>
      <c r="CW49" s="304">
        <f>IF($E$18=2,Dados!$AF$57,IF($E$18=3,Dados!$AH$57,IF($E$18=4,Dados!$AJ$57,IF($E$18=5,Dados!$AL$57,IF($E$18=6,Dados!$AN$57,IF($E$18=7,Dados!$AP$57,IF($E$18=8,Dados!$AT$57,0)))))))</f>
        <v>0</v>
      </c>
      <c r="CX49" s="316">
        <f>IF($E$19=2,Dados!$AE$57,IF($E$19=3,Dados!$AG$57,IF($E$19=4,Dados!$AI$57,IF($E$19=5,Dados!$AK$57,IF($E$19=6,Dados!$AM$57,IF($E$19=7,Dados!$AO$57,IF($E$19=8,Dados!$AS$57,0)))))))</f>
        <v>0</v>
      </c>
      <c r="CY49" s="304">
        <f>IF($E$19=2,Dados!$AF$57,IF($E$19=3,Dados!$AH$57,IF($E$19=4,Dados!$AJ$57,IF($E$19=5,Dados!$AL$57,IF($E$19=6,Dados!$AN$57,IF($E$19=7,Dados!$AP$57,IF($E$19=8,Dados!$AT$57,0)))))))</f>
        <v>0</v>
      </c>
      <c r="CZ49" s="316">
        <f>IF($E$20=2,Dados!$AE$57,IF($E$20=3,Dados!$AG$57,IF($E$20=4,Dados!$AI$57,IF($E$20=5,Dados!$AK$57,IF($E$20=6,Dados!$AM$57,IF($E$20=7,Dados!$AO$57,IF($E$20=8,Dados!$AS$57,0)))))))</f>
        <v>0</v>
      </c>
      <c r="DA49" s="304">
        <f>IF($E$20=2,Dados!$AF$57,IF($E$20=3,Dados!$AH$57,IF($E$20=4,Dados!$AJ$57,IF($E$20=5,Dados!$AL$57,IF($E$20=6,Dados!$AN$57,IF($E$20=7,Dados!$AP$57,IF($E$20=8,Dados!$AT$57,0)))))))</f>
        <v>0</v>
      </c>
      <c r="DC49" s="316">
        <f>IF($E$25=2,Dados!$AE$57,IF($E$25=3,Dados!$AG$57,IF($E$25=4,Dados!$AI$57,IF($E$25=5,Dados!$AK$57,IF($E$25=6,Dados!$AM$57,IF($E$25=7,Dados!$AO$57,IF($E$25=8,Dados!$AS$57,0)))))))</f>
        <v>0</v>
      </c>
      <c r="DD49" s="304">
        <f>IF($E$25=2,Dados!$AF$57,IF($E$25=3,Dados!$AH$57,IF($E$25=4,Dados!$AJ$57,IF($E$25=5,Dados!$AL$57,IF($E$25=6,Dados!$AN$57,IF($E$25=7,Dados!$AP$57,IF($E$25=8,Dados!$AT$57,0)))))))</f>
        <v>0</v>
      </c>
      <c r="DE49" s="316">
        <f>IF($E$26=2,Dados!$AE$57,IF($E$26=3,Dados!$AG$57,IF($E$26=4,Dados!$AI$57,IF($E$26=5,Dados!$AK$57,IF($E$26=6,Dados!$AM$57,IF($E$26=7,Dados!$AO$57,IF($E$26=8,Dados!$AS$57,0)))))))</f>
        <v>0</v>
      </c>
      <c r="DF49" s="304">
        <f>IF($E$26=2,Dados!$AF$57,IF($E$26=3,Dados!$AH$57,IF($E$26=4,Dados!$AJ$57,IF($E$26=5,Dados!$AL$57,IF($E$26=6,Dados!$AN$57,IF($E$26=7,Dados!$AP$57,IF($E$26=8,Dados!$AT$57,0)))))))</f>
        <v>0</v>
      </c>
      <c r="DG49" s="316">
        <f>IF($E$27=2,Dados!$AE$57,IF($E$27=3,Dados!$AG$57,IF($E$27=4,Dados!$AI$57,IF($E$27=5,Dados!$AK$57,IF($E$27=6,Dados!$AM$57,IF($E$27=7,Dados!$AO$57,IF($E$27=8,Dados!$AS$57,0)))))))</f>
        <v>0</v>
      </c>
      <c r="DH49" s="304">
        <f>IF($E$27=2,Dados!$AF$57,IF($E$27=3,Dados!$AH$57,IF($E$27=4,Dados!$AJ$57,IF($E$27=5,Dados!$AL$57,IF($E$27=6,Dados!$AN$57,IF($E$27=7,Dados!$AP$57,IF($E$27=8,Dados!$AT$57,0)))))))</f>
        <v>0</v>
      </c>
      <c r="DI49" s="316">
        <f>IF($E$28=2,Dados!$AE$57,IF($E$28=3,Dados!$AG$57,IF($E$28=4,Dados!$AI$57,IF($E$28=5,Dados!$AK$57,IF($E$28=6,Dados!$AM$57,IF($E$28=7,Dados!$AO$57,IF($E$28=8,Dados!$AS$57,0)))))))</f>
        <v>0</v>
      </c>
      <c r="DJ49" s="304">
        <f>IF($E$28=2,Dados!$AF$57,IF($E$28=3,Dados!$AH$57,IF($E$28=4,Dados!$AJ$57,IF($E$28=5,Dados!$AL$57,IF($E$28=6,Dados!$AN$57,IF($E$28=7,Dados!$AP$57,IF($E$28=8,Dados!$AT$57,0)))))))</f>
        <v>0</v>
      </c>
      <c r="DK49" s="316">
        <f>IF($E$29=2,Dados!$AE$57,IF($E$29=3,Dados!$AG$57,IF($E$29=4,Dados!$AI$57,IF($E$29=5,Dados!$AK$57,IF($E$29=6,Dados!$AM$57,IF($E$29=7,Dados!$AO$57,IF($E$29=8,Dados!$AS$57,0)))))))</f>
        <v>0</v>
      </c>
      <c r="DL49" s="304">
        <f>IF($E$29=2,Dados!$AF$57,IF($E$29=3,Dados!$AH$57,IF($E$29=4,Dados!$AJ$57,IF($E$29=5,Dados!$AL$57,IF($E$29=6,Dados!$AN$57,IF($E$29=7,Dados!$AP$57,IF($E$29=8,Dados!$AT$57,0)))))))</f>
        <v>0</v>
      </c>
      <c r="DN49" s="316">
        <f>IF($E$34=2,Dados!$AE$57,IF($E$34=3,Dados!$AG$57,IF($E$34=4,Dados!$AI$57,IF($E$34=5,Dados!$AK$57,IF($E$34=6,Dados!$AM$57,IF($E$34=7,Dados!$AO$57,IF($E$34=8,Dados!$AS$57,0)))))))</f>
        <v>0</v>
      </c>
      <c r="DO49" s="304">
        <f>IF($E$34=2,Dados!$AF$57,IF($E$34=3,Dados!$AH$57,IF($E$34=4,Dados!$AJ$57,IF($E$34=5,Dados!$AL$57,IF($E$34=6,Dados!$AN$57,IF($E$34=7,Dados!$AP$57,IF($E$34=8,Dados!$AT$57,0)))))))</f>
        <v>0</v>
      </c>
      <c r="DP49" s="316">
        <f>IF($E$35=2,Dados!$AE$57,IF($E$35=3,Dados!$AG$57,IF($E$35=4,Dados!$AI$57,IF($E$35=5,Dados!$AK$57,IF($E$35=6,Dados!$AM$57,IF($E$35=7,Dados!$AO$57,IF($E$35=8,Dados!$AS$57,0)))))))</f>
        <v>0</v>
      </c>
      <c r="DQ49" s="304">
        <f>IF($E$35=2,Dados!$AF$57,IF($E$35=3,Dados!$AH$57,IF($E$35=4,Dados!$AJ$57,IF($E$35=5,Dados!$AL$57,IF($E$35=6,Dados!$AN$57,IF($E$35=7,Dados!$AP$57,IF($E$35=8,Dados!$AT$57,0)))))))</f>
        <v>0</v>
      </c>
      <c r="DR49" s="316">
        <f>IF($E$36=2,Dados!$AE$57,IF($E$36=3,Dados!$AG$57,IF($E$36=4,Dados!$AI$57,IF($E$36=5,Dados!$AK$57,IF($E$36=6,Dados!$AM$57,IF($E$36=7,Dados!$AO$57,IF($E$36=8,Dados!$AS$57,0)))))))</f>
        <v>0</v>
      </c>
      <c r="DS49" s="304">
        <f>IF($E$36=2,Dados!$AF$57,IF($E$36=3,Dados!$AH$57,IF($E$36=4,Dados!$AJ$57,IF($E$36=5,Dados!$AL$57,IF($E$36=6,Dados!$AN$57,IF($E$36=7,Dados!$AP$57,IF($E$36=8,Dados!$AT$57,0)))))))</f>
        <v>0</v>
      </c>
      <c r="DT49" s="316">
        <f>IF($E$37=2,Dados!$AE$57,IF($E$37=3,Dados!$AG$57,IF($E$37=4,Dados!$AI$57,IF($E$37=5,Dados!$AK$57,IF($E$37=6,Dados!$AM$57,IF($E$37=7,Dados!$AO$57,IF($E$37=8,Dados!$AS$57,0)))))))</f>
        <v>0</v>
      </c>
      <c r="DU49" s="304">
        <f>IF($E$37=2,Dados!$AF$57,IF($E$37=3,Dados!$AH$57,IF($E$37=4,Dados!$AJ$57,IF($E$37=5,Dados!$AL$57,IF($E$37=6,Dados!$AN$57,IF($E$37=7,Dados!$AP$57,IF($E$37=8,Dados!$AT$57,0)))))))</f>
        <v>0</v>
      </c>
      <c r="DV49" s="316">
        <f>IF($E$38=2,Dados!$AE$57,IF($E$38=3,Dados!$AG$57,IF($E$38=4,Dados!$AI$57,IF($E$38=5,Dados!$AK$57,IF($E$38=6,Dados!$AM$57,IF($E$38=7,Dados!$AO$57,IF($E$38=8,Dados!$AS$57,0)))))))</f>
        <v>0</v>
      </c>
      <c r="DW49" s="304">
        <f>IF($E$38=2,Dados!$AF$57,IF($E$38=3,Dados!$AH$57,IF($E$38=4,Dados!$AJ$57,IF($E$38=5,Dados!$AL$57,IF($E$38=6,Dados!$AN$57,IF($E$38=7,Dados!$AP$57,IF($E$38=8,Dados!$AT$57,0)))))))</f>
        <v>0</v>
      </c>
      <c r="DY49" s="316">
        <f>IF($E$43=2,Dados!$AE$57,IF($E$43=3,Dados!$AG$57,IF($E$43=4,Dados!$AI$57,IF($E$43=5,Dados!$AK$57,IF($E$43=6,Dados!$AM$57,IF($E$43=7,Dados!$AO$57,IF($E$43=8,Dados!$AS$57,0)))))))</f>
        <v>0</v>
      </c>
      <c r="DZ49" s="304">
        <f>IF($E$43=2,Dados!$AF$57,IF($E$43=3,Dados!$AH$57,IF($E$43=4,Dados!$AJ$57,IF($E$43=5,Dados!$AL$57,IF($E$43=6,Dados!$AN$57,IF($E$43=7,Dados!$AP$57,IF($E$43=8,Dados!$AT$57,0)))))))</f>
        <v>0</v>
      </c>
      <c r="EA49" s="316">
        <f>IF($E$44=2,Dados!$AE$57,IF($E$44=3,Dados!$AG$57,IF($E$44=4,Dados!$AI$57,IF($E$44=5,Dados!$AK$57,IF($E$44=6,Dados!$AM$57,IF($E$44=7,Dados!$AO$57,IF($E$44=8,Dados!$AS$57,0)))))))</f>
        <v>0</v>
      </c>
      <c r="EB49" s="304">
        <f>IF($E$44=2,Dados!$AF$57,IF($E$44=3,Dados!$AH$57,IF($E$44=4,Dados!$AJ$57,IF($E$44=5,Dados!$AL$57,IF($E$44=6,Dados!$AN$57,IF($E$44=7,Dados!$AP$57,IF($E$44=8,Dados!$AT$57,0)))))))</f>
        <v>0</v>
      </c>
      <c r="EC49" s="316">
        <f>IF($E$45=2,Dados!$AE$57,IF($E$45=3,Dados!$AG$57,IF($E$45=4,Dados!$AI$57,IF($E$45=5,Dados!$AK$57,IF($E$45=6,Dados!$AM$57,IF($E$45=7,Dados!$AO$57,IF($E$45=8,Dados!$AS$57,0)))))))</f>
        <v>0</v>
      </c>
      <c r="ED49" s="304">
        <f>IF($E$45=2,Dados!$AF$57,IF($E$45=3,Dados!$AH$57,IF($E$45=4,Dados!$AJ$57,IF($E$45=5,Dados!$AL$57,IF($E$45=6,Dados!$AN$57,IF($E$45=7,Dados!$AP$57,IF($E$45=8,Dados!$AT$57,0)))))))</f>
        <v>0</v>
      </c>
      <c r="EE49" s="316">
        <f>IF($E$46=2,Dados!$AE$57,IF($E$46=3,Dados!$AG$57,IF($E$46=4,Dados!$AI$57,IF($E$46=5,Dados!$AK$57,IF($E$46=6,Dados!$AM$57,IF($E$46=7,Dados!$AO$57,IF($E$46=8,Dados!$AS$57,0)))))))</f>
        <v>0</v>
      </c>
      <c r="EF49" s="304">
        <f>IF($E$46=2,Dados!$AF$57,IF($E$46=3,Dados!$AH$57,IF($E$46=4,Dados!$AJ$57,IF($E$46=5,Dados!$AL$57,IF($E$46=6,Dados!$AN$57,IF($E$46=7,Dados!$AP$57,IF($E$46=8,Dados!$AT$57,0)))))))</f>
        <v>0</v>
      </c>
      <c r="EG49" s="316">
        <f>IF($E$47=2,Dados!$AE$57,IF($E$47=3,Dados!$AG$57,IF($E$47=4,Dados!$AI$57,IF($E$47=5,Dados!$AK$57,IF($E$47=6,Dados!$AM$57,IF($E$47=7,Dados!$AO$57,IF($E$47=8,Dados!$AS$57,0)))))))</f>
        <v>0</v>
      </c>
      <c r="EH49" s="304">
        <f>IF($E$47=2,Dados!$AF$57,IF($E$47=3,Dados!$AH$57,IF($E$47=4,Dados!$AJ$57,IF($E$47=5,Dados!$AL$57,IF($E$47=6,Dados!$AN$57,IF($E$47=7,Dados!$AP$57,IF($E$47=8,Dados!$AT$57,0)))))))</f>
        <v>0</v>
      </c>
      <c r="EJ49" s="316">
        <f>IF($E$52=2,Dados!$AE$57,IF($E$52=3,Dados!$AG$57,IF($E$52=4,Dados!$AI$57,IF($E$52=5,Dados!$AK$57,IF($E$52=6,Dados!$AM$57,IF($E$52=7,Dados!$AO$57,IF($E$52=8,Dados!$AS$57,0)))))))</f>
        <v>0</v>
      </c>
      <c r="EK49" s="304">
        <f>IF($E$52=2,Dados!$AF$57,IF($E$52=3,Dados!$AH$57,IF($E$52=4,Dados!$AJ$57,IF($E$52=5,Dados!$AL$57,IF($E$52=6,Dados!$AN$57,IF($E$52=7,Dados!$AP$57,IF($E$52=8,Dados!$AT$57,0)))))))</f>
        <v>0</v>
      </c>
      <c r="EL49" s="316">
        <f>IF($E$53=2,Dados!$AE$57,IF($E$53=3,Dados!$AG$57,IF($E$53=4,Dados!$AI$57,IF($E$53=5,Dados!$AK$57,IF($E$53=6,Dados!$AM$57,IF($E$53=7,Dados!$AO$57,IF($E$53=8,Dados!$AS$57,0)))))))</f>
        <v>0</v>
      </c>
      <c r="EM49" s="304">
        <f>IF($E$53=2,Dados!$AF$57,IF($E$53=3,Dados!$AH$57,IF($E$53=4,Dados!$AJ$57,IF($E$53=5,Dados!$AL$57,IF($E$53=6,Dados!$AN$57,IF($E$53=7,Dados!$AP$57,IF($E$53=8,Dados!$AT$57,0)))))))</f>
        <v>0</v>
      </c>
      <c r="EN49" s="316">
        <f>IF($E$54=2,Dados!$AE$57,IF($E$54=3,Dados!$AG$57,IF($E$54=4,Dados!$AI$57,IF($E$54=5,Dados!$AK$57,IF($E$54=6,Dados!$AM$57,IF($E$54=7,Dados!$AO$57,IF($E$54=8,Dados!$AS$57,0)))))))</f>
        <v>0</v>
      </c>
      <c r="EO49" s="304">
        <f>IF($E$54=2,Dados!$AF$57,IF($E$54=3,Dados!$AH$57,IF($E$54=4,Dados!$AJ$57,IF($E$54=5,Dados!$AL$57,IF($E$54=6,Dados!$AN$57,IF($E$54=7,Dados!$AP$57,IF($E$54=8,Dados!$AT$57,0)))))))</f>
        <v>0</v>
      </c>
      <c r="EP49" s="316">
        <f>IF($E$55=2,Dados!$AE$57,IF($E$55=3,Dados!$AG$57,IF($E$55=4,Dados!$AI$57,IF($E$55=5,Dados!$AK$57,IF($E$55=6,Dados!$AM$57,IF($E$55=7,Dados!$AO$57,IF($E$55=8,Dados!$AS$57,0)))))))</f>
        <v>0</v>
      </c>
      <c r="EQ49" s="304">
        <f>IF($E$55=2,Dados!$AF$57,IF($E$55=3,Dados!$AH$57,IF($E$55=4,Dados!$AJ$57,IF($E$55=5,Dados!$AL$57,IF($E$55=6,Dados!$AN$57,IF($E$55=7,Dados!$AP$57,IF($E$55=8,Dados!$AT$57,0)))))))</f>
        <v>0</v>
      </c>
      <c r="ER49" s="316">
        <f>IF($E$56=2,Dados!$AE$57,IF($E$56=3,Dados!$AG$57,IF($E$56=4,Dados!$AI$57,IF($E$56=5,Dados!$AK$57,IF($E$56=6,Dados!$AM$57,IF($E$56=7,Dados!$AO$57,IF($E$56=8,Dados!$AS$57,0)))))))</f>
        <v>0</v>
      </c>
      <c r="ES49" s="304">
        <f>IF($E$56=2,Dados!$AF$57,IF($E$56=3,Dados!$AH$57,IF($E$56=4,Dados!$AJ$57,IF($E$56=5,Dados!$AL$57,IF($E$56=6,Dados!$AN$57,IF($E$56=7,Dados!$AP$57,IF($E$56=8,Dados!$AT$57,0)))))))</f>
        <v>0</v>
      </c>
      <c r="EU49" s="316">
        <f>IF($E$61=2,Dados!$AE$57,IF($E$61=3,Dados!$AG$57,IF($E$61=4,Dados!$AI$57,IF($E$61=5,Dados!$AK$57,IF($E$61=6,Dados!$AM$57,IF($E$61=7,Dados!$AO$57,IF($E$61=8,Dados!$AS$57,0)))))))</f>
        <v>0</v>
      </c>
      <c r="EV49" s="304">
        <f>IF($E$61=2,Dados!$AF$57,IF($E$61=3,Dados!$AH$57,IF($E$61=4,Dados!$AJ$57,IF($E$61=5,Dados!$AL$57,IF($E$61=6,Dados!$AN$57,IF($E$61=7,Dados!$AP$57,IF($E$61=8,Dados!$AT$57,0)))))))</f>
        <v>0</v>
      </c>
      <c r="EW49" s="316">
        <f>IF($E$62=2,Dados!$AE$57,IF($E$62=3,Dados!$AG$57,IF($E$62=4,Dados!$AI$57,IF($E$62=5,Dados!$AK$57,IF($E$62=6,Dados!$AM$57,IF($E$62=7,Dados!$AO$57,IF($E$62=8,Dados!$AS$57,0)))))))</f>
        <v>0</v>
      </c>
      <c r="EX49" s="304">
        <f>IF($E$62=2,Dados!$AF$57,IF($E$62=3,Dados!$AH$57,IF($E$62=4,Dados!$AJ$57,IF($E$62=5,Dados!$AL$57,IF($E$62=6,Dados!$AN$57,IF($E$62=7,Dados!$AP$57,IF($E$62=8,Dados!$AT$57,0)))))))</f>
        <v>0</v>
      </c>
      <c r="EY49" s="316">
        <f>IF($E$63=2,Dados!$AE$57,IF($E$63=3,Dados!$AG$57,IF($E$63=4,Dados!$AI$57,IF($E$63=5,Dados!$AK$57,IF($E$63=6,Dados!$AM$57,IF($E$63=7,Dados!$AO$57,IF($E$63=8,Dados!$AS$57,0)))))))</f>
        <v>0</v>
      </c>
      <c r="EZ49" s="304">
        <f>IF($E$63=2,Dados!$AF$57,IF($E$63=3,Dados!$AH$57,IF($E$63=4,Dados!$AJ$57,IF($E$63=5,Dados!$AL$57,IF($E$63=6,Dados!$AN$57,IF($E$63=7,Dados!$AP$57,IF($E$63=8,Dados!$AT$57,0)))))))</f>
        <v>0</v>
      </c>
      <c r="FA49" s="316">
        <f>IF($E$64=2,Dados!$AE$57,IF($E$64=3,Dados!$AG$57,IF($E$64=4,Dados!$AI$57,IF($E$64=5,Dados!$AK$57,IF($E$64=6,Dados!$AM$57,IF($E$64=7,Dados!$AO$57,IF($E$64=8,Dados!$AS$57,0)))))))</f>
        <v>0</v>
      </c>
      <c r="FB49" s="304">
        <f>IF($E$64=2,Dados!$AF$57,IF($E$64=3,Dados!$AH$57,IF($E$64=4,Dados!$AJ$57,IF($E$64=5,Dados!$AL$57,IF($E$64=6,Dados!$AN$57,IF($E$64=7,Dados!$AP$57,IF($E$64=8,Dados!$AT$57,0)))))))</f>
        <v>0</v>
      </c>
      <c r="FC49" s="316">
        <f>IF($E$65=2,Dados!$AE$57,IF($E$65=3,Dados!$AG$57,IF($E$65=4,Dados!$AI$57,IF($E$65=5,Dados!$AK$57,IF($E$65=6,Dados!$AM$57,IF($E$65=7,Dados!$AO$57,IF($E$65=8,Dados!$AS$57,0)))))))</f>
        <v>0</v>
      </c>
      <c r="FD49" s="304">
        <f>IF($E$65=2,Dados!$AF$57,IF($E$65=3,Dados!$AH$57,IF($E$65=4,Dados!$AJ$57,IF($E$65=5,Dados!$AL$57,IF($E$65=6,Dados!$AN$57,IF($E$65=7,Dados!$AP$57,IF($E$65=8,Dados!$AT$57,0)))))))</f>
        <v>0</v>
      </c>
      <c r="FF49" s="316">
        <f>IF($E$70=2,Dados!$AE$57,IF($E$70=3,Dados!$AG$57,IF($E$70=4,Dados!$AI$57,IF($E$70=5,Dados!$AK$57,IF($E$70=6,Dados!$AM$57,IF($E$70=7,Dados!$AO$57,IF($E$70=8,Dados!$AS$57,0)))))))</f>
        <v>0</v>
      </c>
      <c r="FG49" s="304">
        <f>IF($E$70=2,Dados!$AF$57,IF($E$70=3,Dados!$AH$57,IF($E$70=4,Dados!$AJ$57,IF($E$70=5,Dados!$AL$57,IF($E$70=6,Dados!$AN$57,IF($E$70=7,Dados!$AP$57,IF($E$70=8,Dados!$AT$57,0)))))))</f>
        <v>0</v>
      </c>
      <c r="FH49" s="316">
        <f>IF($E$71=2,Dados!$AE$57,IF($E$71=3,Dados!$AG$57,IF($E$71=4,Dados!$AI$57,IF($E$71=5,Dados!$AK$57,IF($E$71=6,Dados!$AM$57,IF($E$71=7,Dados!$AO$57,IF($E$71=8,Dados!$AS$57,0)))))))</f>
        <v>0</v>
      </c>
      <c r="FI49" s="304">
        <f>IF($E$71=2,Dados!$AF$57,IF($E$71=3,Dados!$AH$57,IF($E$71=4,Dados!$AJ$57,IF($E$71=5,Dados!$AL$57,IF($E$71=6,Dados!$AN$57,IF($E$71=7,Dados!$AP$57,IF($E$71=8,Dados!$AT$57,0)))))))</f>
        <v>0</v>
      </c>
      <c r="FJ49" s="316">
        <f>IF($E$72=2,Dados!$AE$57,IF($E$72=3,Dados!$AG$57,IF($E$72=4,Dados!$AI$57,IF($E$72=5,Dados!$AK$57,IF($E$72=6,Dados!$AM$57,IF($E$72=7,Dados!$AO$57,IF($E$72=8,Dados!$AS$57,0)))))))</f>
        <v>0</v>
      </c>
      <c r="FK49" s="304">
        <f>IF($E$72=2,Dados!$AF$57,IF($E$72=3,Dados!$AH$57,IF($E$72=4,Dados!$AJ$57,IF($E$72=5,Dados!$AL$57,IF($E$72=6,Dados!$AN$57,IF($E$72=7,Dados!$AP$57,IF($E$72=8,Dados!$AT$57,0)))))))</f>
        <v>0</v>
      </c>
      <c r="FL49" s="316">
        <f>IF($E$73=2,Dados!$AE$57,IF($E$73=3,Dados!$AG$57,IF($E$73=4,Dados!$AI$57,IF($E$73=5,Dados!$AK$57,IF($E$73=6,Dados!$AM$57,IF($E$73=7,Dados!$AO$57,IF($E$73=8,Dados!$AS$57,0)))))))</f>
        <v>0</v>
      </c>
      <c r="FM49" s="304">
        <f>IF($E$73=2,Dados!$AF$57,IF($E$73=3,Dados!$AH$57,IF($E$73=4,Dados!$AJ$57,IF($E$73=5,Dados!$AL$57,IF($E$73=6,Dados!$AN$57,IF($E$73=7,Dados!$AP$57,IF($E$73=8,Dados!$AT$57,0)))))))</f>
        <v>0</v>
      </c>
      <c r="FN49" s="316">
        <f>IF($E$74=2,Dados!$AE$57,IF($E$74=3,Dados!$AG$57,IF($E$74=4,Dados!$AI$57,IF($E$74=5,Dados!$AK$57,IF($E$74=6,Dados!$AM$57,IF($E$74=7,Dados!$AO$57,IF($E$74=8,Dados!$AS$57,0)))))))</f>
        <v>0</v>
      </c>
      <c r="FO49" s="304">
        <f>IF($E$74=2,Dados!$AF$57,IF($E$74=3,Dados!$AH$57,IF($E$74=4,Dados!$AJ$57,IF($E$74=5,Dados!$AL$57,IF($E$74=6,Dados!$AN$57,IF($E$74=7,Dados!$AP$57,IF($E$74=8,Dados!$AT$57,0)))))))</f>
        <v>0</v>
      </c>
      <c r="FQ49" s="316">
        <f>IF($E$79=2,Dados!$AE$57,IF($E$79=3,Dados!$AG$57,IF($E$79=4,Dados!$AI$57,IF($E$79=5,Dados!$AK$57,IF($E$79=6,Dados!$AM$57,IF($E$79=7,Dados!$AO$57,IF($E$79=8,Dados!$AS$57,0)))))))</f>
        <v>0</v>
      </c>
      <c r="FR49" s="304">
        <f>IF($E$79=2,Dados!$AF$57,IF($E$79=3,Dados!$AH$57,IF($E$79=4,Dados!$AJ$57,IF($E$79=5,Dados!$AL$57,IF($E$79=6,Dados!$AN$57,IF($E$79=7,Dados!$AP$57,IF($E$79=8,Dados!$AT$57,0)))))))</f>
        <v>0</v>
      </c>
      <c r="FS49" s="316">
        <f>IF($E$80=2,Dados!$AE$57,IF($E$80=3,Dados!$AG$57,IF($E$80=4,Dados!$AI$57,IF($E$80=5,Dados!$AK$57,IF($E$80=6,Dados!$AM$57,IF($E$80=7,Dados!$AO$57,IF($E$80=8,Dados!$AS$57,0)))))))</f>
        <v>0</v>
      </c>
      <c r="FT49" s="304">
        <f>IF($E$80=2,Dados!$AF$57,IF($E$80=3,Dados!$AH$57,IF($E$80=4,Dados!$AJ$57,IF($E$80=5,Dados!$AL$57,IF($E$80=6,Dados!$AN$57,IF($E$80=7,Dados!$AP$57,IF($E$80=8,Dados!$AT$57,0)))))))</f>
        <v>0</v>
      </c>
      <c r="FU49" s="316">
        <f>IF($E$81=2,Dados!$AE$57,IF($E$81=3,Dados!$AG$57,IF($E$81=4,Dados!$AI$57,IF($E$81=5,Dados!$AK$57,IF($E$81=6,Dados!$AM$57,IF($E$81=7,Dados!$AO$57,IF($E$81=8,Dados!$AS$57,0)))))))</f>
        <v>0</v>
      </c>
      <c r="FV49" s="304">
        <f>IF($E$81=2,Dados!$AF$57,IF($E$81=3,Dados!$AH$57,IF($E$81=4,Dados!$AJ$57,IF($E$81=5,Dados!$AL$57,IF($E$81=6,Dados!$AN$57,IF($E$81=7,Dados!$AP$57,IF($E$81=8,Dados!$AT$57,0)))))))</f>
        <v>0</v>
      </c>
      <c r="FW49" s="316">
        <f>IF($E$82=2,Dados!$AE$57,IF($E$82=3,Dados!$AG$57,IF($E$82=4,Dados!$AI$57,IF($E$82=5,Dados!$AK$57,IF($E$82=6,Dados!$AM$57,IF($E$82=7,Dados!$AO$57,IF($E$82=8,Dados!$AS$57,0)))))))</f>
        <v>0</v>
      </c>
      <c r="FX49" s="304">
        <f>IF($E$82=2,Dados!$AF$57,IF($E$82=3,Dados!$AH$57,IF($E$82=4,Dados!$AJ$57,IF($E$82=5,Dados!$AL$57,IF($E$82=6,Dados!$AN$57,IF($E$82=7,Dados!$AP$57,IF($E$82=8,Dados!$AT$57,0)))))))</f>
        <v>0</v>
      </c>
      <c r="FY49" s="316">
        <f>IF($E$83=2,Dados!$AE$57,IF($E$83=3,Dados!$AG$57,IF($E$83=4,Dados!$AI$57,IF($E$83=5,Dados!$AK$57,IF($E$83=6,Dados!$AM$57,IF($E$83=7,Dados!$AO$57,IF($E$83=8,Dados!$AS$57,0)))))))</f>
        <v>0</v>
      </c>
      <c r="FZ49" s="304">
        <f>IF($E$83=2,Dados!$AF$57,IF($E$83=3,Dados!$AH$57,IF($E$83=4,Dados!$AJ$57,IF($E$83=5,Dados!$AL$57,IF($E$83=6,Dados!$AN$57,IF($E$83=7,Dados!$AP$57,IF($E$83=8,Dados!$AT$57,0)))))))</f>
        <v>0</v>
      </c>
      <c r="GB49" s="316">
        <f>IF($E$88=2,Dados!$AE$57,IF($E$88=3,Dados!$AG$57,IF($E$88=4,Dados!$AI$57,IF($E$88=5,Dados!$AK$57,IF($E$88=6,Dados!$AM$57,IF($E$88=7,Dados!$AO$57,IF($E$88=8,Dados!$AS$57,0)))))))</f>
        <v>0</v>
      </c>
      <c r="GC49" s="304">
        <f>IF($E$88=2,Dados!$AF$57,IF($E$88=3,Dados!$AH$57,IF($E$88=4,Dados!$AJ$57,IF($E$88=5,Dados!$AL$57,IF($E$88=6,Dados!$AN$57,IF($E$88=7,Dados!$AP$57,IF($E$88=8,Dados!$AT$57,0)))))))</f>
        <v>0</v>
      </c>
      <c r="GD49" s="316">
        <f>IF($E$89=2,Dados!$AE$57,IF($E$89=3,Dados!$AG$57,IF($E$89=4,Dados!$AI$57,IF($E$89=5,Dados!$AK$57,IF($E$89=6,Dados!$AM$57,IF($E$89=7,Dados!$AO$57,IF($E$89=8,Dados!$AS$57,0)))))))</f>
        <v>0</v>
      </c>
      <c r="GE49" s="304">
        <f>IF($E$89=2,Dados!$AF$57,IF($E$89=3,Dados!$AH$57,IF($E$89=4,Dados!$AJ$57,IF($E$89=5,Dados!$AL$57,IF($E$89=6,Dados!$AN$57,IF($E$89=7,Dados!$AP$57,IF($E$89=8,Dados!$AT$57,0)))))))</f>
        <v>0</v>
      </c>
      <c r="GF49" s="316">
        <f>IF($E$90=2,Dados!$AE$57,IF($E$90=3,Dados!$AG$57,IF($E$90=4,Dados!$AI$57,IF($E$90=5,Dados!$AK$57,IF($E$90=6,Dados!$AM$57,IF($E$90=7,Dados!$AO$57,IF($E$90=8,Dados!$AS$57,0)))))))</f>
        <v>0</v>
      </c>
      <c r="GG49" s="304">
        <f>IF($E$90=2,Dados!$AF$57,IF($E$90=3,Dados!$AH$57,IF($E$90=4,Dados!$AJ$57,IF($E$90=5,Dados!$AL$57,IF($E$90=6,Dados!$AN$57,IF($E$90=7,Dados!$AP$57,IF($E$90=8,Dados!$AT$57,0)))))))</f>
        <v>0</v>
      </c>
      <c r="GH49" s="316">
        <f>IF($E$91=2,Dados!$AE$57,IF($E$91=3,Dados!$AG$57,IF($E$91=4,Dados!$AI$57,IF($E$91=5,Dados!$AK$57,IF($E$91=6,Dados!$AM$57,IF($E$91=7,Dados!$AO$57,IF($E$91=8,Dados!$AS$57,0)))))))</f>
        <v>0</v>
      </c>
      <c r="GI49" s="304">
        <f>IF($E$91=2,Dados!$AF$57,IF($E$91=3,Dados!$AH$57,IF($E$91=4,Dados!$AJ$57,IF($E$91=5,Dados!$AL$57,IF($E$91=6,Dados!$AN$57,IF($E$91=7,Dados!$AP$57,IF($E$91=8,Dados!$AT$57,0)))))))</f>
        <v>0</v>
      </c>
      <c r="GJ49" s="316">
        <f>IF($E$92=2,Dados!$AE$57,IF($E$92=3,Dados!$AG$57,IF($E$92=4,Dados!$AI$57,IF($E$92=5,Dados!$AK$57,IF($E$92=6,Dados!$AM$57,IF($E$92=7,Dados!$AO$57,IF($E$92=8,Dados!$AS$57,0)))))))</f>
        <v>0</v>
      </c>
      <c r="GK49" s="304">
        <f>IF($E$92=2,Dados!$AF$57,IF($E$92=3,Dados!$AH$57,IF($E$92=4,Dados!$AJ$57,IF($E$92=5,Dados!$AL$57,IF($E$92=6,Dados!$AN$57,IF($E$92=7,Dados!$AP$57,IF($E$92=8,Dados!$AT$57,0)))))))</f>
        <v>0</v>
      </c>
      <c r="GM49" s="316">
        <f>IF($E$97=2,Dados!$AE$57,IF($E$97=3,Dados!$AG$57,IF($E$97=4,Dados!$AI$57,IF($E$97=5,Dados!$AK$57,IF($E$97=6,Dados!$AM$57,IF($E$97=7,Dados!$AO$57,IF($E$97=8,Dados!$AS$57,0)))))))</f>
        <v>0</v>
      </c>
      <c r="GN49" s="304">
        <f>IF($E$97=2,Dados!$AF$57,IF($E$97=3,Dados!$AH$57,IF($E$97=4,Dados!$AJ$57,IF($E$97=5,Dados!$AL$57,IF($E$97=6,Dados!$AN$57,IF($E$97=7,Dados!$AP$57,IF($E$97=8,Dados!$AT$57,0)))))))</f>
        <v>0</v>
      </c>
      <c r="GO49" s="316">
        <f>IF($E$98=2,Dados!$AE$57,IF($E$98=3,Dados!$AG$57,IF($E$98=4,Dados!$AI$57,IF($E$98=5,Dados!$AK$57,IF($E$98=6,Dados!$AM$57,IF($E$98=7,Dados!$AO$57,IF($E$98=8,Dados!$AS$57,0)))))))</f>
        <v>0</v>
      </c>
      <c r="GP49" s="304">
        <f>IF($E$98=2,Dados!$AF$57,IF($E$98=3,Dados!$AH$57,IF($E$98=4,Dados!$AJ$57,IF($E$98=5,Dados!$AL$57,IF($E$98=6,Dados!$AN$57,IF($E$98=7,Dados!$AP$57,IF($E$98=8,Dados!$AT$57,0)))))))</f>
        <v>0</v>
      </c>
      <c r="GQ49" s="316">
        <f>IF($E$99=2,Dados!$AE$57,IF($E$99=3,Dados!$AG$57,IF($E$99=4,Dados!$AI$57,IF($E$99=5,Dados!$AK$57,IF($E$99=6,Dados!$AM$57,IF($E$99=7,Dados!$AO$57,IF($E$99=8,Dados!$AS$57,0)))))))</f>
        <v>0</v>
      </c>
      <c r="GR49" s="304">
        <f>IF($E$99=2,Dados!$AF$57,IF($E$99=3,Dados!$AH$57,IF($E$99=4,Dados!$AJ$57,IF($E$99=5,Dados!$AL$57,IF($E$99=6,Dados!$AN$57,IF($E$99=7,Dados!$AP$57,IF($E$99=8,Dados!$AT$57,0)))))))</f>
        <v>0</v>
      </c>
      <c r="GS49" s="316">
        <f>IF($E$100=2,Dados!$AE$57,IF($E$100=3,Dados!$AG$57,IF($E$100=4,Dados!$AI$57,IF($E$100=5,Dados!$AK$57,IF($E$100=6,Dados!$AM$57,IF($E$100=7,Dados!$AO$57,IF($E$100=8,Dados!$AS$57,0)))))))</f>
        <v>0</v>
      </c>
      <c r="GT49" s="304">
        <f>IF($E$100=2,Dados!$AF$57,IF($E$100=3,Dados!$AH$57,IF($E$100=4,Dados!$AJ$57,IF($E$100=5,Dados!$AL$57,IF($E$100=6,Dados!$AN$57,IF($E$100=7,Dados!$AP$57,IF($E$100=8,Dados!$AT$57,0)))))))</f>
        <v>0</v>
      </c>
      <c r="GU49" s="316">
        <f>IF($E$101=2,Dados!$AE$57,IF($E$101=3,Dados!$AG$57,IF($E$101=4,Dados!$AI$57,IF($E$101=5,Dados!$AK$57,IF($E$101=6,Dados!$AM$57,IF($E$101=7,Dados!$AO$57,IF($E$101=8,Dados!$AS$57,0)))))))</f>
        <v>0</v>
      </c>
      <c r="GV49" s="304">
        <f>IF($E$101=2,Dados!$AF$57,IF($E$101=3,Dados!$AH$57,IF($E$101=4,Dados!$AJ$57,IF($E$101=5,Dados!$AL$57,IF($E$101=6,Dados!$AN$57,IF($E$101=7,Dados!$AP$57,IF($E$101=8,Dados!$AT$57,0)))))))</f>
        <v>0</v>
      </c>
      <c r="GX49" s="316">
        <f>IF($E$106=2,Dados!$AE$57,IF($E$106=3,Dados!$AG$57,IF($E$106=4,Dados!$AI$57,IF($E$106=5,Dados!$AK$57,IF($E$106=6,Dados!$AM$57,IF($E$106=7,Dados!$AO$57,IF($E$106=8,Dados!$AS$57,0)))))))</f>
        <v>0</v>
      </c>
      <c r="GY49" s="304">
        <f>IF($E$106=2,Dados!$AF$57,IF($E$106=3,Dados!$AH$57,IF($E$106=4,Dados!$AJ$57,IF($E$106=5,Dados!$AL$57,IF($E$106=6,Dados!$AN$57,IF($E$106=7,Dados!$AP$57,IF($E$106=8,Dados!$AT$57,0)))))))</f>
        <v>0</v>
      </c>
      <c r="GZ49" s="316">
        <f>IF($E$107=2,Dados!$AE$57,IF($E$107=3,Dados!$AG$57,IF($E$107=4,Dados!$AI$57,IF($E$107=5,Dados!$AK$57,IF($E$107=6,Dados!$AM$57,IF($E$107=7,Dados!$AO$57,IF($E$107=8,Dados!$AS$57,0)))))))</f>
        <v>0</v>
      </c>
      <c r="HA49" s="304">
        <f>IF($E$107=2,Dados!$AF$57,IF($E$107=3,Dados!$AH$57,IF($E$107=4,Dados!$AJ$57,IF($E$107=5,Dados!$AL$57,IF($E$107=6,Dados!$AN$57,IF($E$107=7,Dados!$AP$57,IF($E$107=8,Dados!$AT$57,0)))))))</f>
        <v>0</v>
      </c>
      <c r="HB49" s="316">
        <f>IF($E$108=2,Dados!$AE$57,IF($E$108=3,Dados!$AG$57,IF($E$108=4,Dados!$AI$57,IF($E$108=5,Dados!$AK$57,IF($E$108=6,Dados!$AM$57,IF($E$108=7,Dados!$AO$57,IF($E$108=8,Dados!$AS$57,0)))))))</f>
        <v>0</v>
      </c>
      <c r="HC49" s="304">
        <f>IF($E$108=2,Dados!$AF$57,IF($E$108=3,Dados!$AH$57,IF($E$108=4,Dados!$AJ$57,IF($E$108=5,Dados!$AL$57,IF($E$108=6,Dados!$AN$57,IF($E$108=7,Dados!$AP$57,IF($E$108=8,Dados!$AT$57,0)))))))</f>
        <v>0</v>
      </c>
      <c r="HD49" s="316">
        <f>IF($E$109=2,Dados!$AE$57,IF($E$109=3,Dados!$AG$57,IF($E$109=4,Dados!$AI$57,IF($E$109=5,Dados!$AK$57,IF($E$109=6,Dados!$AM$57,IF($E$109=7,Dados!$AO$57,IF($E$109=8,Dados!$AS$57,0)))))))</f>
        <v>0</v>
      </c>
      <c r="HE49" s="304">
        <f>IF($E$109=2,Dados!$AF$57,IF($E$109=3,Dados!$AH$57,IF($E$109=4,Dados!$AJ$57,IF($E$109=5,Dados!$AL$57,IF($E$109=6,Dados!$AN$57,IF($E$109=7,Dados!$AP$57,IF($E$109=8,Dados!$AT$57,0)))))))</f>
        <v>0</v>
      </c>
      <c r="HF49" s="316">
        <f>IF($E$110=2,Dados!$AE$57,IF($E$110=3,Dados!$AG$57,IF($E$110=4,Dados!$AI$57,IF($E$110=5,Dados!$AK$57,IF($E$110=6,Dados!$AM$57,IF($E$110=7,Dados!$AO$57,IF($E$110=8,Dados!$AS$57,0)))))))</f>
        <v>0</v>
      </c>
      <c r="HG49" s="304">
        <f>IF($E$110=2,Dados!$AF$57,IF($E$110=3,Dados!$AH$57,IF($E$110=4,Dados!$AJ$57,IF($E$110=5,Dados!$AL$57,IF($E$110=6,Dados!$AN$57,IF($E$110=7,Dados!$AP$57,IF($E$110=8,Dados!$AT$57,0)))))))</f>
        <v>0</v>
      </c>
    </row>
    <row r="50" spans="3:215" x14ac:dyDescent="0.2">
      <c r="I50" s="126" t="s">
        <v>519</v>
      </c>
      <c r="K50" s="118"/>
      <c r="L50" s="118"/>
      <c r="X50" s="2625" t="s">
        <v>414</v>
      </c>
      <c r="Y50" s="2625"/>
      <c r="Z50" s="183" t="s">
        <v>1246</v>
      </c>
      <c r="CF50" s="93">
        <v>45</v>
      </c>
      <c r="CG50" s="316">
        <f>IF($E$7=2,Dados!$AE$58,IF($E$7=3,Dados!$AG$58,IF($E$7=4,Dados!$AI$58,IF($E$7=5,Dados!$AK$58,IF($E$7=6,Dados!$AM$58,IF($E$7=7,Dados!$AO$58,IF($E$7=8,Dados!$AS$58,0)))))))</f>
        <v>0</v>
      </c>
      <c r="CH50" s="304">
        <f>IF($E$7=2,Dados!$AF$58,IF($E$7=3,Dados!$AH$58,IF($E$7=4,Dados!$AJ$58,IF($E$7=5,Dados!$AL$58,IF($E$7=6,Dados!$AN$58,IF($E$7=7,Dados!$AP$58,IF($E$7=8,Dados!$AT$58,0)))))))</f>
        <v>0</v>
      </c>
      <c r="CI50" s="316">
        <f>IF($E$8=2,Dados!$AE$58,IF($E$8=3,Dados!$AG$58,IF($E$8=4,Dados!$AI$58,IF($E$8=5,Dados!$AK$58,IF($E$8=6,Dados!$AM$58,IF($E$8=7,Dados!$AO$58,IF($E$8=8,Dados!$AS$58,0)))))))</f>
        <v>0</v>
      </c>
      <c r="CJ50" s="304">
        <f>IF($E$8=2,Dados!$AF$58,IF($E$8=3,Dados!$AH$58,IF($E$8=4,Dados!$AJ$58,IF($E$8=5,Dados!$AL$58,IF($E$8=6,Dados!$AN$58,IF($E$8=7,Dados!$AP$58,IF($E$8=8,Dados!$AT$58,0)))))))</f>
        <v>0</v>
      </c>
      <c r="CK50" s="316">
        <f>IF($E$9=2,Dados!$AE$58,IF($E$9=3,Dados!$AG$58,IF($E$9=4,Dados!$AI$58,IF($E$9=5,Dados!$AK$58,IF($E$9=6,Dados!$AM$58,IF($E$9=7,Dados!$AO$58,IF($E$9=8,Dados!$AS$58,0)))))))</f>
        <v>0</v>
      </c>
      <c r="CL50" s="304">
        <f>IF($E$9=2,Dados!$AF$58,IF($E$9=3,Dados!$AH$58,IF($E$9=4,Dados!$AJ$58,IF($E$9=5,Dados!$AL$58,IF($E$9=6,Dados!$AN$58,IF($E$9=7,Dados!$AP$58,IF($E$9=8,Dados!$AT$58,0)))))))</f>
        <v>0</v>
      </c>
      <c r="CM50" s="316">
        <f>IF($E$10=2,Dados!$AE$58,IF($E$10=3,Dados!$AG$58,IF($E$10=4,Dados!$AI$58,IF($E$10=5,Dados!$AK$58,IF($E$10=6,Dados!$AM$58,IF($E$10=7,Dados!$AO$58,IF($E$10=8,Dados!$AS$58,0)))))))</f>
        <v>0</v>
      </c>
      <c r="CN50" s="304">
        <f>IF($E$10=2,Dados!$AF$58,IF($E$10=3,Dados!$AH$58,IF($E$10=4,Dados!$AJ$58,IF($E$10=5,Dados!$AL$58,IF($E$10=6,Dados!$AN$58,IF($E$10=7,Dados!$AP$58,IF($E$10=8,Dados!$AT$58,0)))))))</f>
        <v>0</v>
      </c>
      <c r="CO50" s="316">
        <f>IF($E$11=2,Dados!$AE$58,IF($E$11=3,Dados!$AG$58,IF($E$11=4,Dados!$AI$58,IF($E$11=5,Dados!$AK$58,IF($E$11=6,Dados!$AM$58,IF($E$11=7,Dados!$AO$58,IF($E$11=8,Dados!$AS$58,0)))))))</f>
        <v>0</v>
      </c>
      <c r="CP50" s="304">
        <f>IF($E$11=2,Dados!$AF$58,IF($E$11=3,Dados!$AH$58,IF($E$11=4,Dados!$AJ$58,IF($E$11=5,Dados!$AL$58,IF($E$11=6,Dados!$AN$58,IF($E$11=7,Dados!$AP$58,IF($E$11=8,Dados!$AT$58,0)))))))</f>
        <v>0</v>
      </c>
      <c r="CR50" s="316">
        <f>IF($E$16=2,Dados!$AE$58,IF($E$16=3,Dados!$AG$58,IF($E$16=4,Dados!$AI$58,IF($E$16=5,Dados!$AK$58,IF($E$16=6,Dados!$AM$58,IF($E$16=7,Dados!$AO$58,IF($E$16=8,Dados!$AS$58,0)))))))</f>
        <v>0</v>
      </c>
      <c r="CS50" s="304">
        <f>IF($E$16=2,Dados!$AF$58,IF($E$16=3,Dados!$AH$58,IF($E$16=4,Dados!$AJ$58,IF($E$16=5,Dados!$AL$58,IF($E$16=6,Dados!$AN$58,IF($E$16=7,Dados!$AP$58,IF($E$16=8,Dados!$AT$58,0)))))))</f>
        <v>0</v>
      </c>
      <c r="CT50" s="316">
        <f>IF($E$17=2,Dados!$AE$58,IF($E$17=3,Dados!$AG$58,IF($E$17=4,Dados!$AI$58,IF($E$17=5,Dados!$AK$58,IF($E$17=6,Dados!$AM$58,IF($E$17=7,Dados!$AO$58,IF($E$17=8,Dados!$AS$58,0)))))))</f>
        <v>0</v>
      </c>
      <c r="CU50" s="304">
        <f>IF($E$17=2,Dados!$AF$58,IF($E$17=3,Dados!$AH$58,IF($E$17=4,Dados!$AJ$58,IF($E$17=5,Dados!$AL$58,IF($E$17=6,Dados!$AN$58,IF($E$17=7,Dados!$AP$58,IF($E$17=8,Dados!$AT$58,0)))))))</f>
        <v>0</v>
      </c>
      <c r="CV50" s="316">
        <f>IF($E$18=2,Dados!$AE$58,IF($E$18=3,Dados!$AG$58,IF($E$18=4,Dados!$AI$58,IF($E$18=5,Dados!$AK$58,IF($E$18=6,Dados!$AM$58,IF($E$18=7,Dados!$AO$58,IF($E$18=8,Dados!$AS$58,0)))))))</f>
        <v>0</v>
      </c>
      <c r="CW50" s="304">
        <f>IF($E$18=2,Dados!$AF$58,IF($E$18=3,Dados!$AH$58,IF($E$18=4,Dados!$AJ$58,IF($E$18=5,Dados!$AL$58,IF($E$18=6,Dados!$AN$58,IF($E$18=7,Dados!$AP$58,IF($E$18=8,Dados!$AT$58,0)))))))</f>
        <v>0</v>
      </c>
      <c r="CX50" s="316">
        <f>IF($E$19=2,Dados!$AE$58,IF($E$19=3,Dados!$AG$58,IF($E$19=4,Dados!$AI$58,IF($E$19=5,Dados!$AK$58,IF($E$19=6,Dados!$AM$58,IF($E$19=7,Dados!$AO$58,IF($E$19=8,Dados!$AS$58,0)))))))</f>
        <v>0</v>
      </c>
      <c r="CY50" s="304">
        <f>IF($E$19=2,Dados!$AF$58,IF($E$19=3,Dados!$AH$58,IF($E$19=4,Dados!$AJ$58,IF($E$19=5,Dados!$AL$58,IF($E$19=6,Dados!$AN$58,IF($E$19=7,Dados!$AP$58,IF($E$19=8,Dados!$AT$58,0)))))))</f>
        <v>0</v>
      </c>
      <c r="CZ50" s="316">
        <f>IF($E$20=2,Dados!$AE$58,IF($E$20=3,Dados!$AG$58,IF($E$20=4,Dados!$AI$58,IF($E$20=5,Dados!$AK$58,IF($E$20=6,Dados!$AM$58,IF($E$20=7,Dados!$AO$58,IF($E$20=8,Dados!$AS$58,0)))))))</f>
        <v>0</v>
      </c>
      <c r="DA50" s="304">
        <f>IF($E$20=2,Dados!$AF$58,IF($E$20=3,Dados!$AH$58,IF($E$20=4,Dados!$AJ$58,IF($E$20=5,Dados!$AL$58,IF($E$20=6,Dados!$AN$58,IF($E$20=7,Dados!$AP$58,IF($E$20=8,Dados!$AT$58,0)))))))</f>
        <v>0</v>
      </c>
      <c r="DC50" s="316">
        <f>IF($E$25=2,Dados!$AE$58,IF($E$25=3,Dados!$AG$58,IF($E$25=4,Dados!$AI$58,IF($E$25=5,Dados!$AK$58,IF($E$25=6,Dados!$AM$58,IF($E$25=7,Dados!$AO$58,IF($E$25=8,Dados!$AS$58,0)))))))</f>
        <v>0</v>
      </c>
      <c r="DD50" s="304">
        <f>IF($E$25=2,Dados!$AF$58,IF($E$25=3,Dados!$AH$58,IF($E$25=4,Dados!$AJ$58,IF($E$25=5,Dados!$AL$58,IF($E$25=6,Dados!$AN$58,IF($E$25=7,Dados!$AP$58,IF($E$25=8,Dados!$AT$58,0)))))))</f>
        <v>0</v>
      </c>
      <c r="DE50" s="316">
        <f>IF($E$26=2,Dados!$AE$58,IF($E$26=3,Dados!$AG$58,IF($E$26=4,Dados!$AI$58,IF($E$26=5,Dados!$AK$58,IF($E$26=6,Dados!$AM$58,IF($E$26=7,Dados!$AO$58,IF($E$26=8,Dados!$AS$58,0)))))))</f>
        <v>0</v>
      </c>
      <c r="DF50" s="304">
        <f>IF($E$26=2,Dados!$AF$58,IF($E$26=3,Dados!$AH$58,IF($E$26=4,Dados!$AJ$58,IF($E$26=5,Dados!$AL$58,IF($E$26=6,Dados!$AN$58,IF($E$26=7,Dados!$AP$58,IF($E$26=8,Dados!$AT$58,0)))))))</f>
        <v>0</v>
      </c>
      <c r="DG50" s="316">
        <f>IF($E$27=2,Dados!$AE$58,IF($E$27=3,Dados!$AG$58,IF($E$27=4,Dados!$AI$58,IF($E$27=5,Dados!$AK$58,IF($E$27=6,Dados!$AM$58,IF($E$27=7,Dados!$AO$58,IF($E$27=8,Dados!$AS$58,0)))))))</f>
        <v>0</v>
      </c>
      <c r="DH50" s="304">
        <f>IF($E$27=2,Dados!$AF$58,IF($E$27=3,Dados!$AH$58,IF($E$27=4,Dados!$AJ$58,IF($E$27=5,Dados!$AL$58,IF($E$27=6,Dados!$AN$58,IF($E$27=7,Dados!$AP$58,IF($E$27=8,Dados!$AT$58,0)))))))</f>
        <v>0</v>
      </c>
      <c r="DI50" s="316">
        <f>IF($E$28=2,Dados!$AE$58,IF($E$28=3,Dados!$AG$58,IF($E$28=4,Dados!$AI$58,IF($E$28=5,Dados!$AK$58,IF($E$28=6,Dados!$AM$58,IF($E$28=7,Dados!$AO$58,IF($E$28=8,Dados!$AS$58,0)))))))</f>
        <v>0</v>
      </c>
      <c r="DJ50" s="304">
        <f>IF($E$28=2,Dados!$AF$58,IF($E$28=3,Dados!$AH$58,IF($E$28=4,Dados!$AJ$58,IF($E$28=5,Dados!$AL$58,IF($E$28=6,Dados!$AN$58,IF($E$28=7,Dados!$AP$58,IF($E$28=8,Dados!$AT$58,0)))))))</f>
        <v>0</v>
      </c>
      <c r="DK50" s="316">
        <f>IF($E$29=2,Dados!$AE$58,IF($E$29=3,Dados!$AG$58,IF($E$29=4,Dados!$AI$58,IF($E$29=5,Dados!$AK$58,IF($E$29=6,Dados!$AM$58,IF($E$29=7,Dados!$AO$58,IF($E$29=8,Dados!$AS$58,0)))))))</f>
        <v>0</v>
      </c>
      <c r="DL50" s="304">
        <f>IF($E$29=2,Dados!$AF$58,IF($E$29=3,Dados!$AH$58,IF($E$29=4,Dados!$AJ$58,IF($E$29=5,Dados!$AL$58,IF($E$29=6,Dados!$AN$58,IF($E$29=7,Dados!$AP$58,IF($E$29=8,Dados!$AT$58,0)))))))</f>
        <v>0</v>
      </c>
      <c r="DN50" s="316">
        <f>IF($E$34=2,Dados!$AE$58,IF($E$34=3,Dados!$AG$58,IF($E$34=4,Dados!$AI$58,IF($E$34=5,Dados!$AK$58,IF($E$34=6,Dados!$AM$58,IF($E$34=7,Dados!$AO$58,IF($E$34=8,Dados!$AS$58,0)))))))</f>
        <v>0</v>
      </c>
      <c r="DO50" s="304">
        <f>IF($E$34=2,Dados!$AF$58,IF($E$34=3,Dados!$AH$58,IF($E$34=4,Dados!$AJ$58,IF($E$34=5,Dados!$AL$58,IF($E$34=6,Dados!$AN$58,IF($E$34=7,Dados!$AP$58,IF($E$34=8,Dados!$AT$58,0)))))))</f>
        <v>0</v>
      </c>
      <c r="DP50" s="316">
        <f>IF($E$35=2,Dados!$AE$58,IF($E$35=3,Dados!$AG$58,IF($E$35=4,Dados!$AI$58,IF($E$35=5,Dados!$AK$58,IF($E$35=6,Dados!$AM$58,IF($E$35=7,Dados!$AO$58,IF($E$35=8,Dados!$AS$58,0)))))))</f>
        <v>0</v>
      </c>
      <c r="DQ50" s="304">
        <f>IF($E$35=2,Dados!$AF$58,IF($E$35=3,Dados!$AH$58,IF($E$35=4,Dados!$AJ$58,IF($E$35=5,Dados!$AL$58,IF($E$35=6,Dados!$AN$58,IF($E$35=7,Dados!$AP$58,IF($E$35=8,Dados!$AT$58,0)))))))</f>
        <v>0</v>
      </c>
      <c r="DR50" s="316">
        <f>IF($E$36=2,Dados!$AE$58,IF($E$36=3,Dados!$AG$58,IF($E$36=4,Dados!$AI$58,IF($E$36=5,Dados!$AK$58,IF($E$36=6,Dados!$AM$58,IF($E$36=7,Dados!$AO$58,IF($E$36=8,Dados!$AS$58,0)))))))</f>
        <v>0</v>
      </c>
      <c r="DS50" s="304">
        <f>IF($E$36=2,Dados!$AF$58,IF($E$36=3,Dados!$AH$58,IF($E$36=4,Dados!$AJ$58,IF($E$36=5,Dados!$AL$58,IF($E$36=6,Dados!$AN$58,IF($E$36=7,Dados!$AP$58,IF($E$36=8,Dados!$AT$58,0)))))))</f>
        <v>0</v>
      </c>
      <c r="DT50" s="316">
        <f>IF($E$37=2,Dados!$AE$58,IF($E$37=3,Dados!$AG$58,IF($E$37=4,Dados!$AI$58,IF($E$37=5,Dados!$AK$58,IF($E$37=6,Dados!$AM$58,IF($E$37=7,Dados!$AO$58,IF($E$37=8,Dados!$AS$58,0)))))))</f>
        <v>0</v>
      </c>
      <c r="DU50" s="304">
        <f>IF($E$37=2,Dados!$AF$58,IF($E$37=3,Dados!$AH$58,IF($E$37=4,Dados!$AJ$58,IF($E$37=5,Dados!$AL$58,IF($E$37=6,Dados!$AN$58,IF($E$37=7,Dados!$AP$58,IF($E$37=8,Dados!$AT$58,0)))))))</f>
        <v>0</v>
      </c>
      <c r="DV50" s="316">
        <f>IF($E$38=2,Dados!$AE$58,IF($E$38=3,Dados!$AG$58,IF($E$38=4,Dados!$AI$58,IF($E$38=5,Dados!$AK$58,IF($E$38=6,Dados!$AM$58,IF($E$38=7,Dados!$AO$58,IF($E$38=8,Dados!$AS$58,0)))))))</f>
        <v>0</v>
      </c>
      <c r="DW50" s="304">
        <f>IF($E$38=2,Dados!$AF$58,IF($E$38=3,Dados!$AH$58,IF($E$38=4,Dados!$AJ$58,IF($E$38=5,Dados!$AL$58,IF($E$38=6,Dados!$AN$58,IF($E$38=7,Dados!$AP$58,IF($E$38=8,Dados!$AT$58,0)))))))</f>
        <v>0</v>
      </c>
      <c r="DY50" s="316">
        <f>IF($E$43=2,Dados!$AE$58,IF($E$43=3,Dados!$AG$58,IF($E$43=4,Dados!$AI$58,IF($E$43=5,Dados!$AK$58,IF($E$43=6,Dados!$AM$58,IF($E$43=7,Dados!$AO$58,IF($E$43=8,Dados!$AS$58,0)))))))</f>
        <v>0</v>
      </c>
      <c r="DZ50" s="304">
        <f>IF($E$43=2,Dados!$AF$58,IF($E$43=3,Dados!$AH$58,IF($E$43=4,Dados!$AJ$58,IF($E$43=5,Dados!$AL$58,IF($E$43=6,Dados!$AN$58,IF($E$43=7,Dados!$AP$58,IF($E$43=8,Dados!$AT$58,0)))))))</f>
        <v>0</v>
      </c>
      <c r="EA50" s="316">
        <f>IF($E$44=2,Dados!$AE$58,IF($E$44=3,Dados!$AG$58,IF($E$44=4,Dados!$AI$58,IF($E$44=5,Dados!$AK$58,IF($E$44=6,Dados!$AM$58,IF($E$44=7,Dados!$AO$58,IF($E$44=8,Dados!$AS$58,0)))))))</f>
        <v>0</v>
      </c>
      <c r="EB50" s="304">
        <f>IF($E$44=2,Dados!$AF$58,IF($E$44=3,Dados!$AH$58,IF($E$44=4,Dados!$AJ$58,IF($E$44=5,Dados!$AL$58,IF($E$44=6,Dados!$AN$58,IF($E$44=7,Dados!$AP$58,IF($E$44=8,Dados!$AT$58,0)))))))</f>
        <v>0</v>
      </c>
      <c r="EC50" s="316">
        <f>IF($E$45=2,Dados!$AE$58,IF($E$45=3,Dados!$AG$58,IF($E$45=4,Dados!$AI$58,IF($E$45=5,Dados!$AK$58,IF($E$45=6,Dados!$AM$58,IF($E$45=7,Dados!$AO$58,IF($E$45=8,Dados!$AS$58,0)))))))</f>
        <v>0</v>
      </c>
      <c r="ED50" s="304">
        <f>IF($E$45=2,Dados!$AF$58,IF($E$45=3,Dados!$AH$58,IF($E$45=4,Dados!$AJ$58,IF($E$45=5,Dados!$AL$58,IF($E$45=6,Dados!$AN$58,IF($E$45=7,Dados!$AP$58,IF($E$45=8,Dados!$AT$58,0)))))))</f>
        <v>0</v>
      </c>
      <c r="EE50" s="316">
        <f>IF($E$46=2,Dados!$AE$58,IF($E$46=3,Dados!$AG$58,IF($E$46=4,Dados!$AI$58,IF($E$46=5,Dados!$AK$58,IF($E$46=6,Dados!$AM$58,IF($E$46=7,Dados!$AO$58,IF($E$46=8,Dados!$AS$58,0)))))))</f>
        <v>0</v>
      </c>
      <c r="EF50" s="304">
        <f>IF($E$46=2,Dados!$AF$58,IF($E$46=3,Dados!$AH$58,IF($E$46=4,Dados!$AJ$58,IF($E$46=5,Dados!$AL$58,IF($E$46=6,Dados!$AN$58,IF($E$46=7,Dados!$AP$58,IF($E$46=8,Dados!$AT$58,0)))))))</f>
        <v>0</v>
      </c>
      <c r="EG50" s="316">
        <f>IF($E$47=2,Dados!$AE$58,IF($E$47=3,Dados!$AG$58,IF($E$47=4,Dados!$AI$58,IF($E$47=5,Dados!$AK$58,IF($E$47=6,Dados!$AM$58,IF($E$47=7,Dados!$AO$58,IF($E$47=8,Dados!$AS$58,0)))))))</f>
        <v>0</v>
      </c>
      <c r="EH50" s="304">
        <f>IF($E$47=2,Dados!$AF$58,IF($E$47=3,Dados!$AH$58,IF($E$47=4,Dados!$AJ$58,IF($E$47=5,Dados!$AL$58,IF($E$47=6,Dados!$AN$58,IF($E$47=7,Dados!$AP$58,IF($E$47=8,Dados!$AT$58,0)))))))</f>
        <v>0</v>
      </c>
      <c r="EJ50" s="316">
        <f>IF($E$52=2,Dados!$AE$58,IF($E$52=3,Dados!$AG$58,IF($E$52=4,Dados!$AI$58,IF($E$52=5,Dados!$AK$58,IF($E$52=6,Dados!$AM$58,IF($E$52=7,Dados!$AO$58,IF($E$52=8,Dados!$AS$58,0)))))))</f>
        <v>0</v>
      </c>
      <c r="EK50" s="304">
        <f>IF($E$52=2,Dados!$AF$58,IF($E$52=3,Dados!$AH$58,IF($E$52=4,Dados!$AJ$58,IF($E$52=5,Dados!$AL$58,IF($E$52=6,Dados!$AN$58,IF($E$52=7,Dados!$AP$58,IF($E$52=8,Dados!$AT$58,0)))))))</f>
        <v>0</v>
      </c>
      <c r="EL50" s="316">
        <f>IF($E$53=2,Dados!$AE$58,IF($E$53=3,Dados!$AG$58,IF($E$53=4,Dados!$AI$58,IF($E$53=5,Dados!$AK$58,IF($E$53=6,Dados!$AM$58,IF($E$53=7,Dados!$AO$58,IF($E$53=8,Dados!$AS$58,0)))))))</f>
        <v>0</v>
      </c>
      <c r="EM50" s="304">
        <f>IF($E$53=2,Dados!$AF$58,IF($E$53=3,Dados!$AH$58,IF($E$53=4,Dados!$AJ$58,IF($E$53=5,Dados!$AL$58,IF($E$53=6,Dados!$AN$58,IF($E$53=7,Dados!$AP$58,IF($E$53=8,Dados!$AT$58,0)))))))</f>
        <v>0</v>
      </c>
      <c r="EN50" s="316">
        <f>IF($E$54=2,Dados!$AE$58,IF($E$54=3,Dados!$AG$58,IF($E$54=4,Dados!$AI$58,IF($E$54=5,Dados!$AK$58,IF($E$54=6,Dados!$AM$58,IF($E$54=7,Dados!$AO$58,IF($E$54=8,Dados!$AS$58,0)))))))</f>
        <v>0</v>
      </c>
      <c r="EO50" s="304">
        <f>IF($E$54=2,Dados!$AF$58,IF($E$54=3,Dados!$AH$58,IF($E$54=4,Dados!$AJ$58,IF($E$54=5,Dados!$AL$58,IF($E$54=6,Dados!$AN$58,IF($E$54=7,Dados!$AP$58,IF($E$54=8,Dados!$AT$58,0)))))))</f>
        <v>0</v>
      </c>
      <c r="EP50" s="316">
        <f>IF($E$55=2,Dados!$AE$58,IF($E$55=3,Dados!$AG$58,IF($E$55=4,Dados!$AI$58,IF($E$55=5,Dados!$AK$58,IF($E$55=6,Dados!$AM$58,IF($E$55=7,Dados!$AO$58,IF($E$55=8,Dados!$AS$58,0)))))))</f>
        <v>0</v>
      </c>
      <c r="EQ50" s="304">
        <f>IF($E$55=2,Dados!$AF$58,IF($E$55=3,Dados!$AH$58,IF($E$55=4,Dados!$AJ$58,IF($E$55=5,Dados!$AL$58,IF($E$55=6,Dados!$AN$58,IF($E$55=7,Dados!$AP$58,IF($E$55=8,Dados!$AT$58,0)))))))</f>
        <v>0</v>
      </c>
      <c r="ER50" s="316">
        <f>IF($E$56=2,Dados!$AE$58,IF($E$56=3,Dados!$AG$58,IF($E$56=4,Dados!$AI$58,IF($E$56=5,Dados!$AK$58,IF($E$56=6,Dados!$AM$58,IF($E$56=7,Dados!$AO$58,IF($E$56=8,Dados!$AS$58,0)))))))</f>
        <v>0</v>
      </c>
      <c r="ES50" s="304">
        <f>IF($E$56=2,Dados!$AF$58,IF($E$56=3,Dados!$AH$58,IF($E$56=4,Dados!$AJ$58,IF($E$56=5,Dados!$AL$58,IF($E$56=6,Dados!$AN$58,IF($E$56=7,Dados!$AP$58,IF($E$56=8,Dados!$AT$58,0)))))))</f>
        <v>0</v>
      </c>
      <c r="EU50" s="316">
        <f>IF($E$61=2,Dados!$AE$58,IF($E$61=3,Dados!$AG$58,IF($E$61=4,Dados!$AI$58,IF($E$61=5,Dados!$AK$58,IF($E$61=6,Dados!$AM$58,IF($E$61=7,Dados!$AO$58,IF($E$61=8,Dados!$AS$58,0)))))))</f>
        <v>0</v>
      </c>
      <c r="EV50" s="304">
        <f>IF($E$61=2,Dados!$AF$58,IF($E$61=3,Dados!$AH$58,IF($E$61=4,Dados!$AJ$58,IF($E$61=5,Dados!$AL$58,IF($E$61=6,Dados!$AN$58,IF($E$61=7,Dados!$AP$58,IF($E$61=8,Dados!$AT$58,0)))))))</f>
        <v>0</v>
      </c>
      <c r="EW50" s="316">
        <f>IF($E$62=2,Dados!$AE$58,IF($E$62=3,Dados!$AG$58,IF($E$62=4,Dados!$AI$58,IF($E$62=5,Dados!$AK$58,IF($E$62=6,Dados!$AM$58,IF($E$62=7,Dados!$AO$58,IF($E$62=8,Dados!$AS$58,0)))))))</f>
        <v>0</v>
      </c>
      <c r="EX50" s="304">
        <f>IF($E$62=2,Dados!$AF$58,IF($E$62=3,Dados!$AH$58,IF($E$62=4,Dados!$AJ$58,IF($E$62=5,Dados!$AL$58,IF($E$62=6,Dados!$AN$58,IF($E$62=7,Dados!$AP$58,IF($E$62=8,Dados!$AT$58,0)))))))</f>
        <v>0</v>
      </c>
      <c r="EY50" s="316">
        <f>IF($E$63=2,Dados!$AE$58,IF($E$63=3,Dados!$AG$58,IF($E$63=4,Dados!$AI$58,IF($E$63=5,Dados!$AK$58,IF($E$63=6,Dados!$AM$58,IF($E$63=7,Dados!$AO$58,IF($E$63=8,Dados!$AS$58,0)))))))</f>
        <v>0</v>
      </c>
      <c r="EZ50" s="304">
        <f>IF($E$63=2,Dados!$AF$58,IF($E$63=3,Dados!$AH$58,IF($E$63=4,Dados!$AJ$58,IF($E$63=5,Dados!$AL$58,IF($E$63=6,Dados!$AN$58,IF($E$63=7,Dados!$AP$58,IF($E$63=8,Dados!$AT$58,0)))))))</f>
        <v>0</v>
      </c>
      <c r="FA50" s="316">
        <f>IF($E$64=2,Dados!$AE$58,IF($E$64=3,Dados!$AG$58,IF($E$64=4,Dados!$AI$58,IF($E$64=5,Dados!$AK$58,IF($E$64=6,Dados!$AM$58,IF($E$64=7,Dados!$AO$58,IF($E$64=8,Dados!$AS$58,0)))))))</f>
        <v>0</v>
      </c>
      <c r="FB50" s="304">
        <f>IF($E$64=2,Dados!$AF$58,IF($E$64=3,Dados!$AH$58,IF($E$64=4,Dados!$AJ$58,IF($E$64=5,Dados!$AL$58,IF($E$64=6,Dados!$AN$58,IF($E$64=7,Dados!$AP$58,IF($E$64=8,Dados!$AT$58,0)))))))</f>
        <v>0</v>
      </c>
      <c r="FC50" s="316">
        <f>IF($E$65=2,Dados!$AE$58,IF($E$65=3,Dados!$AG$58,IF($E$65=4,Dados!$AI$58,IF($E$65=5,Dados!$AK$58,IF($E$65=6,Dados!$AM$58,IF($E$65=7,Dados!$AO$58,IF($E$65=8,Dados!$AS$58,0)))))))</f>
        <v>0</v>
      </c>
      <c r="FD50" s="304">
        <f>IF($E$65=2,Dados!$AF$58,IF($E$65=3,Dados!$AH$58,IF($E$65=4,Dados!$AJ$58,IF($E$65=5,Dados!$AL$58,IF($E$65=6,Dados!$AN$58,IF($E$65=7,Dados!$AP$58,IF($E$65=8,Dados!$AT$58,0)))))))</f>
        <v>0</v>
      </c>
      <c r="FF50" s="316">
        <f>IF($E$70=2,Dados!$AE$58,IF($E$70=3,Dados!$AG$58,IF($E$70=4,Dados!$AI$58,IF($E$70=5,Dados!$AK$58,IF($E$70=6,Dados!$AM$58,IF($E$70=7,Dados!$AO$58,IF($E$70=8,Dados!$AS$58,0)))))))</f>
        <v>0</v>
      </c>
      <c r="FG50" s="304">
        <f>IF($E$70=2,Dados!$AF$58,IF($E$70=3,Dados!$AH$58,IF($E$70=4,Dados!$AJ$58,IF($E$70=5,Dados!$AL$58,IF($E$70=6,Dados!$AN$58,IF($E$70=7,Dados!$AP$58,IF($E$70=8,Dados!$AT$58,0)))))))</f>
        <v>0</v>
      </c>
      <c r="FH50" s="316">
        <f>IF($E$71=2,Dados!$AE$58,IF($E$71=3,Dados!$AG$58,IF($E$71=4,Dados!$AI$58,IF($E$71=5,Dados!$AK$58,IF($E$71=6,Dados!$AM$58,IF($E$71=7,Dados!$AO$58,IF($E$71=8,Dados!$AS$58,0)))))))</f>
        <v>0</v>
      </c>
      <c r="FI50" s="304">
        <f>IF($E$71=2,Dados!$AF$58,IF($E$71=3,Dados!$AH$58,IF($E$71=4,Dados!$AJ$58,IF($E$71=5,Dados!$AL$58,IF($E$71=6,Dados!$AN$58,IF($E$71=7,Dados!$AP$58,IF($E$71=8,Dados!$AT$58,0)))))))</f>
        <v>0</v>
      </c>
      <c r="FJ50" s="316">
        <f>IF($E$72=2,Dados!$AE$58,IF($E$72=3,Dados!$AG$58,IF($E$72=4,Dados!$AI$58,IF($E$72=5,Dados!$AK$58,IF($E$72=6,Dados!$AM$58,IF($E$72=7,Dados!$AO$58,IF($E$72=8,Dados!$AS$58,0)))))))</f>
        <v>0</v>
      </c>
      <c r="FK50" s="304">
        <f>IF($E$72=2,Dados!$AF$58,IF($E$72=3,Dados!$AH$58,IF($E$72=4,Dados!$AJ$58,IF($E$72=5,Dados!$AL$58,IF($E$72=6,Dados!$AN$58,IF($E$72=7,Dados!$AP$58,IF($E$72=8,Dados!$AT$58,0)))))))</f>
        <v>0</v>
      </c>
      <c r="FL50" s="316">
        <f>IF($E$73=2,Dados!$AE$58,IF($E$73=3,Dados!$AG$58,IF($E$73=4,Dados!$AI$58,IF($E$73=5,Dados!$AK$58,IF($E$73=6,Dados!$AM$58,IF($E$73=7,Dados!$AO$58,IF($E$73=8,Dados!$AS$58,0)))))))</f>
        <v>0</v>
      </c>
      <c r="FM50" s="304">
        <f>IF($E$73=2,Dados!$AF$58,IF($E$73=3,Dados!$AH$58,IF($E$73=4,Dados!$AJ$58,IF($E$73=5,Dados!$AL$58,IF($E$73=6,Dados!$AN$58,IF($E$73=7,Dados!$AP$58,IF($E$73=8,Dados!$AT$58,0)))))))</f>
        <v>0</v>
      </c>
      <c r="FN50" s="316">
        <f>IF($E$74=2,Dados!$AE$58,IF($E$74=3,Dados!$AG$58,IF($E$74=4,Dados!$AI$58,IF($E$74=5,Dados!$AK$58,IF($E$74=6,Dados!$AM$58,IF($E$74=7,Dados!$AO$58,IF($E$74=8,Dados!$AS$58,0)))))))</f>
        <v>0</v>
      </c>
      <c r="FO50" s="304">
        <f>IF($E$74=2,Dados!$AF$58,IF($E$74=3,Dados!$AH$58,IF($E$74=4,Dados!$AJ$58,IF($E$74=5,Dados!$AL$58,IF($E$74=6,Dados!$AN$58,IF($E$74=7,Dados!$AP$58,IF($E$74=8,Dados!$AT$58,0)))))))</f>
        <v>0</v>
      </c>
      <c r="FQ50" s="316">
        <f>IF($E$79=2,Dados!$AE$58,IF($E$79=3,Dados!$AG$58,IF($E$79=4,Dados!$AI$58,IF($E$79=5,Dados!$AK$58,IF($E$79=6,Dados!$AM$58,IF($E$79=7,Dados!$AO$58,IF($E$79=8,Dados!$AS$58,0)))))))</f>
        <v>0</v>
      </c>
      <c r="FR50" s="304">
        <f>IF($E$79=2,Dados!$AF$58,IF($E$79=3,Dados!$AH$58,IF($E$79=4,Dados!$AJ$58,IF($E$79=5,Dados!$AL$58,IF($E$79=6,Dados!$AN$58,IF($E$79=7,Dados!$AP$58,IF($E$79=8,Dados!$AT$58,0)))))))</f>
        <v>0</v>
      </c>
      <c r="FS50" s="316">
        <f>IF($E$80=2,Dados!$AE$58,IF($E$80=3,Dados!$AG$58,IF($E$80=4,Dados!$AI$58,IF($E$80=5,Dados!$AK$58,IF($E$80=6,Dados!$AM$58,IF($E$80=7,Dados!$AO$58,IF($E$80=8,Dados!$AS$58,0)))))))</f>
        <v>0</v>
      </c>
      <c r="FT50" s="304">
        <f>IF($E$80=2,Dados!$AF$58,IF($E$80=3,Dados!$AH$58,IF($E$80=4,Dados!$AJ$58,IF($E$80=5,Dados!$AL$58,IF($E$80=6,Dados!$AN$58,IF($E$80=7,Dados!$AP$58,IF($E$80=8,Dados!$AT$58,0)))))))</f>
        <v>0</v>
      </c>
      <c r="FU50" s="316">
        <f>IF($E$81=2,Dados!$AE$58,IF($E$81=3,Dados!$AG$58,IF($E$81=4,Dados!$AI$58,IF($E$81=5,Dados!$AK$58,IF($E$81=6,Dados!$AM$58,IF($E$81=7,Dados!$AO$58,IF($E$81=8,Dados!$AS$58,0)))))))</f>
        <v>0</v>
      </c>
      <c r="FV50" s="304">
        <f>IF($E$81=2,Dados!$AF$58,IF($E$81=3,Dados!$AH$58,IF($E$81=4,Dados!$AJ$58,IF($E$81=5,Dados!$AL$58,IF($E$81=6,Dados!$AN$58,IF($E$81=7,Dados!$AP$58,IF($E$81=8,Dados!$AT$58,0)))))))</f>
        <v>0</v>
      </c>
      <c r="FW50" s="316">
        <f>IF($E$82=2,Dados!$AE$58,IF($E$82=3,Dados!$AG$58,IF($E$82=4,Dados!$AI$58,IF($E$82=5,Dados!$AK$58,IF($E$82=6,Dados!$AM$58,IF($E$82=7,Dados!$AO$58,IF($E$82=8,Dados!$AS$58,0)))))))</f>
        <v>0</v>
      </c>
      <c r="FX50" s="304">
        <f>IF($E$82=2,Dados!$AF$58,IF($E$82=3,Dados!$AH$58,IF($E$82=4,Dados!$AJ$58,IF($E$82=5,Dados!$AL$58,IF($E$82=6,Dados!$AN$58,IF($E$82=7,Dados!$AP$58,IF($E$82=8,Dados!$AT$58,0)))))))</f>
        <v>0</v>
      </c>
      <c r="FY50" s="316">
        <f>IF($E$83=2,Dados!$AE$58,IF($E$83=3,Dados!$AG$58,IF($E$83=4,Dados!$AI$58,IF($E$83=5,Dados!$AK$58,IF($E$83=6,Dados!$AM$58,IF($E$83=7,Dados!$AO$58,IF($E$83=8,Dados!$AS$58,0)))))))</f>
        <v>0</v>
      </c>
      <c r="FZ50" s="304">
        <f>IF($E$83=2,Dados!$AF$58,IF($E$83=3,Dados!$AH$58,IF($E$83=4,Dados!$AJ$58,IF($E$83=5,Dados!$AL$58,IF($E$83=6,Dados!$AN$58,IF($E$83=7,Dados!$AP$58,IF($E$83=8,Dados!$AT$58,0)))))))</f>
        <v>0</v>
      </c>
      <c r="GB50" s="316">
        <f>IF($E$88=2,Dados!$AE$58,IF($E$88=3,Dados!$AG$58,IF($E$88=4,Dados!$AI$58,IF($E$88=5,Dados!$AK$58,IF($E$88=6,Dados!$AM$58,IF($E$88=7,Dados!$AO$58,IF($E$88=8,Dados!$AS$58,0)))))))</f>
        <v>0</v>
      </c>
      <c r="GC50" s="304">
        <f>IF($E$88=2,Dados!$AF$58,IF($E$88=3,Dados!$AH$58,IF($E$88=4,Dados!$AJ$58,IF($E$88=5,Dados!$AL$58,IF($E$88=6,Dados!$AN$58,IF($E$88=7,Dados!$AP$58,IF($E$88=8,Dados!$AT$58,0)))))))</f>
        <v>0</v>
      </c>
      <c r="GD50" s="316">
        <f>IF($E$89=2,Dados!$AE$58,IF($E$89=3,Dados!$AG$58,IF($E$89=4,Dados!$AI$58,IF($E$89=5,Dados!$AK$58,IF($E$89=6,Dados!$AM$58,IF($E$89=7,Dados!$AO$58,IF($E$89=8,Dados!$AS$58,0)))))))</f>
        <v>0</v>
      </c>
      <c r="GE50" s="304">
        <f>IF($E$89=2,Dados!$AF$58,IF($E$89=3,Dados!$AH$58,IF($E$89=4,Dados!$AJ$58,IF($E$89=5,Dados!$AL$58,IF($E$89=6,Dados!$AN$58,IF($E$89=7,Dados!$AP$58,IF($E$89=8,Dados!$AT$58,0)))))))</f>
        <v>0</v>
      </c>
      <c r="GF50" s="316">
        <f>IF($E$90=2,Dados!$AE$58,IF($E$90=3,Dados!$AG$58,IF($E$90=4,Dados!$AI$58,IF($E$90=5,Dados!$AK$58,IF($E$90=6,Dados!$AM$58,IF($E$90=7,Dados!$AO$58,IF($E$90=8,Dados!$AS$58,0)))))))</f>
        <v>0</v>
      </c>
      <c r="GG50" s="304">
        <f>IF($E$90=2,Dados!$AF$58,IF($E$90=3,Dados!$AH$58,IF($E$90=4,Dados!$AJ$58,IF($E$90=5,Dados!$AL$58,IF($E$90=6,Dados!$AN$58,IF($E$90=7,Dados!$AP$58,IF($E$90=8,Dados!$AT$58,0)))))))</f>
        <v>0</v>
      </c>
      <c r="GH50" s="316">
        <f>IF($E$91=2,Dados!$AE$58,IF($E$91=3,Dados!$AG$58,IF($E$91=4,Dados!$AI$58,IF($E$91=5,Dados!$AK$58,IF($E$91=6,Dados!$AM$58,IF($E$91=7,Dados!$AO$58,IF($E$91=8,Dados!$AS$58,0)))))))</f>
        <v>0</v>
      </c>
      <c r="GI50" s="304">
        <f>IF($E$91=2,Dados!$AF$58,IF($E$91=3,Dados!$AH$58,IF($E$91=4,Dados!$AJ$58,IF($E$91=5,Dados!$AL$58,IF($E$91=6,Dados!$AN$58,IF($E$91=7,Dados!$AP$58,IF($E$91=8,Dados!$AT$58,0)))))))</f>
        <v>0</v>
      </c>
      <c r="GJ50" s="316">
        <f>IF($E$92=2,Dados!$AE$58,IF($E$92=3,Dados!$AG$58,IF($E$92=4,Dados!$AI$58,IF($E$92=5,Dados!$AK$58,IF($E$92=6,Dados!$AM$58,IF($E$92=7,Dados!$AO$58,IF($E$92=8,Dados!$AS$58,0)))))))</f>
        <v>0</v>
      </c>
      <c r="GK50" s="304">
        <f>IF($E$92=2,Dados!$AF$58,IF($E$92=3,Dados!$AH$58,IF($E$92=4,Dados!$AJ$58,IF($E$92=5,Dados!$AL$58,IF($E$92=6,Dados!$AN$58,IF($E$92=7,Dados!$AP$58,IF($E$92=8,Dados!$AT$58,0)))))))</f>
        <v>0</v>
      </c>
      <c r="GM50" s="316">
        <f>IF($E$97=2,Dados!$AE$58,IF($E$97=3,Dados!$AG$58,IF($E$97=4,Dados!$AI$58,IF($E$97=5,Dados!$AK$58,IF($E$97=6,Dados!$AM$58,IF($E$97=7,Dados!$AO$58,IF($E$97=8,Dados!$AS$58,0)))))))</f>
        <v>0</v>
      </c>
      <c r="GN50" s="304">
        <f>IF($E$97=2,Dados!$AF$58,IF($E$97=3,Dados!$AH$58,IF($E$97=4,Dados!$AJ$58,IF($E$97=5,Dados!$AL$58,IF($E$97=6,Dados!$AN$58,IF($E$97=7,Dados!$AP$58,IF($E$97=8,Dados!$AT$58,0)))))))</f>
        <v>0</v>
      </c>
      <c r="GO50" s="316">
        <f>IF($E$98=2,Dados!$AE$58,IF($E$98=3,Dados!$AG$58,IF($E$98=4,Dados!$AI$58,IF($E$98=5,Dados!$AK$58,IF($E$98=6,Dados!$AM$58,IF($E$98=7,Dados!$AO$58,IF($E$98=8,Dados!$AS$58,0)))))))</f>
        <v>0</v>
      </c>
      <c r="GP50" s="304">
        <f>IF($E$98=2,Dados!$AF$58,IF($E$98=3,Dados!$AH$58,IF($E$98=4,Dados!$AJ$58,IF($E$98=5,Dados!$AL$58,IF($E$98=6,Dados!$AN$58,IF($E$98=7,Dados!$AP$58,IF($E$98=8,Dados!$AT$58,0)))))))</f>
        <v>0</v>
      </c>
      <c r="GQ50" s="316">
        <f>IF($E$99=2,Dados!$AE$58,IF($E$99=3,Dados!$AG$58,IF($E$99=4,Dados!$AI$58,IF($E$99=5,Dados!$AK$58,IF($E$99=6,Dados!$AM$58,IF($E$99=7,Dados!$AO$58,IF($E$99=8,Dados!$AS$58,0)))))))</f>
        <v>0</v>
      </c>
      <c r="GR50" s="304">
        <f>IF($E$99=2,Dados!$AF$58,IF($E$99=3,Dados!$AH$58,IF($E$99=4,Dados!$AJ$58,IF($E$99=5,Dados!$AL$58,IF($E$99=6,Dados!$AN$58,IF($E$99=7,Dados!$AP$58,IF($E$99=8,Dados!$AT$58,0)))))))</f>
        <v>0</v>
      </c>
      <c r="GS50" s="316">
        <f>IF($E$100=2,Dados!$AE$58,IF($E$100=3,Dados!$AG$58,IF($E$100=4,Dados!$AI$58,IF($E$100=5,Dados!$AK$58,IF($E$100=6,Dados!$AM$58,IF($E$100=7,Dados!$AO$58,IF($E$100=8,Dados!$AS$58,0)))))))</f>
        <v>0</v>
      </c>
      <c r="GT50" s="304">
        <f>IF($E$100=2,Dados!$AF$58,IF($E$100=3,Dados!$AH$58,IF($E$100=4,Dados!$AJ$58,IF($E$100=5,Dados!$AL$58,IF($E$100=6,Dados!$AN$58,IF($E$100=7,Dados!$AP$58,IF($E$100=8,Dados!$AT$58,0)))))))</f>
        <v>0</v>
      </c>
      <c r="GU50" s="316">
        <f>IF($E$101=2,Dados!$AE$58,IF($E$101=3,Dados!$AG$58,IF($E$101=4,Dados!$AI$58,IF($E$101=5,Dados!$AK$58,IF($E$101=6,Dados!$AM$58,IF($E$101=7,Dados!$AO$58,IF($E$101=8,Dados!$AS$58,0)))))))</f>
        <v>0</v>
      </c>
      <c r="GV50" s="304">
        <f>IF($E$101=2,Dados!$AF$58,IF($E$101=3,Dados!$AH$58,IF($E$101=4,Dados!$AJ$58,IF($E$101=5,Dados!$AL$58,IF($E$101=6,Dados!$AN$58,IF($E$101=7,Dados!$AP$58,IF($E$101=8,Dados!$AT$58,0)))))))</f>
        <v>0</v>
      </c>
      <c r="GX50" s="316">
        <f>IF($E$106=2,Dados!$AE$58,IF($E$106=3,Dados!$AG$58,IF($E$106=4,Dados!$AI$58,IF($E$106=5,Dados!$AK$58,IF($E$106=6,Dados!$AM$58,IF($E$106=7,Dados!$AO$58,IF($E$106=8,Dados!$AS$58,0)))))))</f>
        <v>0</v>
      </c>
      <c r="GY50" s="304">
        <f>IF($E$106=2,Dados!$AF$58,IF($E$106=3,Dados!$AH$58,IF($E$106=4,Dados!$AJ$58,IF($E$106=5,Dados!$AL$58,IF($E$106=6,Dados!$AN$58,IF($E$106=7,Dados!$AP$58,IF($E$106=8,Dados!$AT$58,0)))))))</f>
        <v>0</v>
      </c>
      <c r="GZ50" s="316">
        <f>IF($E$107=2,Dados!$AE$58,IF($E$107=3,Dados!$AG$58,IF($E$107=4,Dados!$AI$58,IF($E$107=5,Dados!$AK$58,IF($E$107=6,Dados!$AM$58,IF($E$107=7,Dados!$AO$58,IF($E$107=8,Dados!$AS$58,0)))))))</f>
        <v>0</v>
      </c>
      <c r="HA50" s="304">
        <f>IF($E$107=2,Dados!$AF$58,IF($E$107=3,Dados!$AH$58,IF($E$107=4,Dados!$AJ$58,IF($E$107=5,Dados!$AL$58,IF($E$107=6,Dados!$AN$58,IF($E$107=7,Dados!$AP$58,IF($E$107=8,Dados!$AT$58,0)))))))</f>
        <v>0</v>
      </c>
      <c r="HB50" s="316">
        <f>IF($E$108=2,Dados!$AE$58,IF($E$108=3,Dados!$AG$58,IF($E$108=4,Dados!$AI$58,IF($E$108=5,Dados!$AK$58,IF($E$108=6,Dados!$AM$58,IF($E$108=7,Dados!$AO$58,IF($E$108=8,Dados!$AS$58,0)))))))</f>
        <v>0</v>
      </c>
      <c r="HC50" s="304">
        <f>IF($E$108=2,Dados!$AF$58,IF($E$108=3,Dados!$AH$58,IF($E$108=4,Dados!$AJ$58,IF($E$108=5,Dados!$AL$58,IF($E$108=6,Dados!$AN$58,IF($E$108=7,Dados!$AP$58,IF($E$108=8,Dados!$AT$58,0)))))))</f>
        <v>0</v>
      </c>
      <c r="HD50" s="316">
        <f>IF($E$109=2,Dados!$AE$58,IF($E$109=3,Dados!$AG$58,IF($E$109=4,Dados!$AI$58,IF($E$109=5,Dados!$AK$58,IF($E$109=6,Dados!$AM$58,IF($E$109=7,Dados!$AO$58,IF($E$109=8,Dados!$AS$58,0)))))))</f>
        <v>0</v>
      </c>
      <c r="HE50" s="304">
        <f>IF($E$109=2,Dados!$AF$58,IF($E$109=3,Dados!$AH$58,IF($E$109=4,Dados!$AJ$58,IF($E$109=5,Dados!$AL$58,IF($E$109=6,Dados!$AN$58,IF($E$109=7,Dados!$AP$58,IF($E$109=8,Dados!$AT$58,0)))))))</f>
        <v>0</v>
      </c>
      <c r="HF50" s="316">
        <f>IF($E$110=2,Dados!$AE$58,IF($E$110=3,Dados!$AG$58,IF($E$110=4,Dados!$AI$58,IF($E$110=5,Dados!$AK$58,IF($E$110=6,Dados!$AM$58,IF($E$110=7,Dados!$AO$58,IF($E$110=8,Dados!$AS$58,0)))))))</f>
        <v>0</v>
      </c>
      <c r="HG50" s="304">
        <f>IF($E$110=2,Dados!$AF$58,IF($E$110=3,Dados!$AH$58,IF($E$110=4,Dados!$AJ$58,IF($E$110=5,Dados!$AL$58,IF($E$110=6,Dados!$AN$58,IF($E$110=7,Dados!$AP$58,IF($E$110=8,Dados!$AT$58,0)))))))</f>
        <v>0</v>
      </c>
    </row>
    <row r="51" spans="3:215" x14ac:dyDescent="0.2">
      <c r="D51" s="99" t="s">
        <v>511</v>
      </c>
      <c r="E51" s="116" t="s">
        <v>39</v>
      </c>
      <c r="F51" s="2630" t="s">
        <v>79</v>
      </c>
      <c r="G51" s="2631"/>
      <c r="H51" s="117" t="s">
        <v>637</v>
      </c>
      <c r="I51" s="99" t="s">
        <v>42</v>
      </c>
      <c r="J51" s="117" t="s">
        <v>431</v>
      </c>
      <c r="K51" s="117" t="s">
        <v>432</v>
      </c>
      <c r="L51" s="117" t="s">
        <v>518</v>
      </c>
      <c r="M51" s="117" t="s">
        <v>433</v>
      </c>
      <c r="N51" s="99" t="s">
        <v>426</v>
      </c>
      <c r="O51" s="98" t="s">
        <v>417</v>
      </c>
      <c r="P51" s="99" t="s">
        <v>418</v>
      </c>
      <c r="Q51" s="99" t="s">
        <v>434</v>
      </c>
      <c r="R51" s="99" t="s">
        <v>301</v>
      </c>
      <c r="S51" s="99" t="s">
        <v>436</v>
      </c>
      <c r="T51" s="98" t="s">
        <v>411</v>
      </c>
      <c r="U51" s="99" t="s">
        <v>412</v>
      </c>
      <c r="V51" s="99" t="s">
        <v>435</v>
      </c>
      <c r="W51" s="99" t="s">
        <v>437</v>
      </c>
      <c r="X51" s="99" t="s">
        <v>292</v>
      </c>
      <c r="Y51" s="99" t="s">
        <v>80</v>
      </c>
      <c r="Z51" s="99" t="s">
        <v>1247</v>
      </c>
      <c r="AX51" s="287">
        <v>1</v>
      </c>
      <c r="AY51" s="287">
        <v>2</v>
      </c>
      <c r="AZ51" s="287">
        <v>3</v>
      </c>
      <c r="BA51" s="287">
        <v>4</v>
      </c>
      <c r="BB51" s="287">
        <v>5</v>
      </c>
      <c r="BC51" s="288" t="s">
        <v>2</v>
      </c>
      <c r="CF51" s="93">
        <v>46</v>
      </c>
      <c r="CG51" s="316">
        <f>IF($E$7=2,Dados!$AE$59,IF($E$7=3,Dados!$AG$59,IF($E$7=4,Dados!$AI$59,IF($E$7=5,Dados!$AK$59,IF($E$7=6,Dados!$AM$59,IF($E$7=7,Dados!$AO$59,IF($E$7=8,Dados!$AS$59,0)))))))</f>
        <v>0</v>
      </c>
      <c r="CH51" s="304">
        <f>IF($E$7=2,Dados!$AF$59,IF($E$7=3,Dados!$AH$59,IF($E$7=4,Dados!$AJ$59,IF($E$7=5,Dados!$AL$59,IF($E$7=6,Dados!$AN$59,IF($E$7=7,Dados!$AP$59,IF($E$7=8,Dados!$AT$59,0)))))))</f>
        <v>0</v>
      </c>
      <c r="CI51" s="316">
        <f>IF($E$8=2,Dados!$AE$59,IF($E$8=3,Dados!$AG$59,IF($E$8=4,Dados!$AI$59,IF($E$8=5,Dados!$AK$59,IF($E$8=6,Dados!$AM$59,IF($E$8=7,Dados!$AO$59,IF($E$8=8,Dados!$AS$59,0)))))))</f>
        <v>0</v>
      </c>
      <c r="CJ51" s="304">
        <f>IF($E$8=2,Dados!$AF$59,IF($E$8=3,Dados!$AH$59,IF($E$8=4,Dados!$AJ$59,IF($E$8=5,Dados!$AL$59,IF($E$8=6,Dados!$AN$59,IF($E$8=7,Dados!$AP$59,IF($E$8=8,Dados!$AT$59,0)))))))</f>
        <v>0</v>
      </c>
      <c r="CK51" s="316">
        <f>IF($E$9=2,Dados!$AE$59,IF($E$9=3,Dados!$AG$59,IF($E$9=4,Dados!$AI$59,IF($E$9=5,Dados!$AK$59,IF($E$9=6,Dados!$AM$59,IF($E$9=7,Dados!$AO$59,IF($E$9=8,Dados!$AS$59,0)))))))</f>
        <v>0</v>
      </c>
      <c r="CL51" s="304">
        <f>IF($E$9=2,Dados!$AF$59,IF($E$9=3,Dados!$AH$59,IF($E$9=4,Dados!$AJ$59,IF($E$9=5,Dados!$AL$59,IF($E$9=6,Dados!$AN$59,IF($E$9=7,Dados!$AP$59,IF($E$9=8,Dados!$AT$59,0)))))))</f>
        <v>0</v>
      </c>
      <c r="CM51" s="316">
        <f>IF($E$10=2,Dados!$AE$59,IF($E$10=3,Dados!$AG$59,IF($E$10=4,Dados!$AI$59,IF($E$10=5,Dados!$AK$59,IF($E$10=6,Dados!$AM$59,IF($E$10=7,Dados!$AO$59,IF($E$10=8,Dados!$AS$59,0)))))))</f>
        <v>0</v>
      </c>
      <c r="CN51" s="304">
        <f>IF($E$10=2,Dados!$AF$59,IF($E$10=3,Dados!$AH$59,IF($E$10=4,Dados!$AJ$59,IF($E$10=5,Dados!$AL$59,IF($E$10=6,Dados!$AN$59,IF($E$10=7,Dados!$AP$59,IF($E$10=8,Dados!$AT$59,0)))))))</f>
        <v>0</v>
      </c>
      <c r="CO51" s="316">
        <f>IF($E$11=2,Dados!$AE$59,IF($E$11=3,Dados!$AG$59,IF($E$11=4,Dados!$AI$59,IF($E$11=5,Dados!$AK$59,IF($E$11=6,Dados!$AM$59,IF($E$11=7,Dados!$AO$59,IF($E$11=8,Dados!$AS$59,0)))))))</f>
        <v>0</v>
      </c>
      <c r="CP51" s="304">
        <f>IF($E$11=2,Dados!$AF$59,IF($E$11=3,Dados!$AH$59,IF($E$11=4,Dados!$AJ$59,IF($E$11=5,Dados!$AL$59,IF($E$11=6,Dados!$AN$59,IF($E$11=7,Dados!$AP$59,IF($E$11=8,Dados!$AT$59,0)))))))</f>
        <v>0</v>
      </c>
      <c r="CR51" s="316">
        <f>IF($E$16=2,Dados!$AE$59,IF($E$16=3,Dados!$AG$59,IF($E$16=4,Dados!$AI$59,IF($E$16=5,Dados!$AK$59,IF($E$16=6,Dados!$AM$59,IF($E$16=7,Dados!$AO$59,IF($E$16=8,Dados!$AS$59,0)))))))</f>
        <v>0</v>
      </c>
      <c r="CS51" s="304">
        <f>IF($E$16=2,Dados!$AF$59,IF($E$16=3,Dados!$AH$59,IF($E$16=4,Dados!$AJ$59,IF($E$16=5,Dados!$AL$59,IF($E$16=6,Dados!$AN$59,IF($E$16=7,Dados!$AP$59,IF($E$16=8,Dados!$AT$59,0)))))))</f>
        <v>0</v>
      </c>
      <c r="CT51" s="316">
        <f>IF($E$17=2,Dados!$AE$59,IF($E$17=3,Dados!$AG$59,IF($E$17=4,Dados!$AI$59,IF($E$17=5,Dados!$AK$59,IF($E$17=6,Dados!$AM$59,IF($E$17=7,Dados!$AO$59,IF($E$17=8,Dados!$AS$59,0)))))))</f>
        <v>0</v>
      </c>
      <c r="CU51" s="304">
        <f>IF($E$17=2,Dados!$AF$59,IF($E$17=3,Dados!$AH$59,IF($E$17=4,Dados!$AJ$59,IF($E$17=5,Dados!$AL$59,IF($E$17=6,Dados!$AN$59,IF($E$17=7,Dados!$AP$59,IF($E$17=8,Dados!$AT$59,0)))))))</f>
        <v>0</v>
      </c>
      <c r="CV51" s="316">
        <f>IF($E$18=2,Dados!$AE$59,IF($E$18=3,Dados!$AG$59,IF($E$18=4,Dados!$AI$59,IF($E$18=5,Dados!$AK$59,IF($E$18=6,Dados!$AM$59,IF($E$18=7,Dados!$AO$59,IF($E$18=8,Dados!$AS$59,0)))))))</f>
        <v>0</v>
      </c>
      <c r="CW51" s="304">
        <f>IF($E$18=2,Dados!$AF$59,IF($E$18=3,Dados!$AH$59,IF($E$18=4,Dados!$AJ$59,IF($E$18=5,Dados!$AL$59,IF($E$18=6,Dados!$AN$59,IF($E$18=7,Dados!$AP$59,IF($E$18=8,Dados!$AT$59,0)))))))</f>
        <v>0</v>
      </c>
      <c r="CX51" s="316">
        <f>IF($E$19=2,Dados!$AE$59,IF($E$19=3,Dados!$AG$59,IF($E$19=4,Dados!$AI$59,IF($E$19=5,Dados!$AK$59,IF($E$19=6,Dados!$AM$59,IF($E$19=7,Dados!$AO$59,IF($E$19=8,Dados!$AS$59,0)))))))</f>
        <v>0</v>
      </c>
      <c r="CY51" s="304">
        <f>IF($E$19=2,Dados!$AF$59,IF($E$19=3,Dados!$AH$59,IF($E$19=4,Dados!$AJ$59,IF($E$19=5,Dados!$AL$59,IF($E$19=6,Dados!$AN$59,IF($E$19=7,Dados!$AP$59,IF($E$19=8,Dados!$AT$59,0)))))))</f>
        <v>0</v>
      </c>
      <c r="CZ51" s="316">
        <f>IF($E$20=2,Dados!$AE$59,IF($E$20=3,Dados!$AG$59,IF($E$20=4,Dados!$AI$59,IF($E$20=5,Dados!$AK$59,IF($E$20=6,Dados!$AM$59,IF($E$20=7,Dados!$AO$59,IF($E$20=8,Dados!$AS$59,0)))))))</f>
        <v>0</v>
      </c>
      <c r="DA51" s="304">
        <f>IF($E$20=2,Dados!$AF$59,IF($E$20=3,Dados!$AH$59,IF($E$20=4,Dados!$AJ$59,IF($E$20=5,Dados!$AL$59,IF($E$20=6,Dados!$AN$59,IF($E$20=7,Dados!$AP$59,IF($E$20=8,Dados!$AT$59,0)))))))</f>
        <v>0</v>
      </c>
      <c r="DC51" s="316">
        <f>IF($E$25=2,Dados!$AE$59,IF($E$25=3,Dados!$AG$59,IF($E$25=4,Dados!$AI$59,IF($E$25=5,Dados!$AK$59,IF($E$25=6,Dados!$AM$59,IF($E$25=7,Dados!$AO$59,IF($E$25=8,Dados!$AS$59,0)))))))</f>
        <v>0</v>
      </c>
      <c r="DD51" s="304">
        <f>IF($E$25=2,Dados!$AF$59,IF($E$25=3,Dados!$AH$59,IF($E$25=4,Dados!$AJ$59,IF($E$25=5,Dados!$AL$59,IF($E$25=6,Dados!$AN$59,IF($E$25=7,Dados!$AP$59,IF($E$25=8,Dados!$AT$59,0)))))))</f>
        <v>0</v>
      </c>
      <c r="DE51" s="316">
        <f>IF($E$26=2,Dados!$AE$59,IF($E$26=3,Dados!$AG$59,IF($E$26=4,Dados!$AI$59,IF($E$26=5,Dados!$AK$59,IF($E$26=6,Dados!$AM$59,IF($E$26=7,Dados!$AO$59,IF($E$26=8,Dados!$AS$59,0)))))))</f>
        <v>0</v>
      </c>
      <c r="DF51" s="304">
        <f>IF($E$26=2,Dados!$AF$59,IF($E$26=3,Dados!$AH$59,IF($E$26=4,Dados!$AJ$59,IF($E$26=5,Dados!$AL$59,IF($E$26=6,Dados!$AN$59,IF($E$26=7,Dados!$AP$59,IF($E$26=8,Dados!$AT$59,0)))))))</f>
        <v>0</v>
      </c>
      <c r="DG51" s="316">
        <f>IF($E$27=2,Dados!$AE$59,IF($E$27=3,Dados!$AG$59,IF($E$27=4,Dados!$AI$59,IF($E$27=5,Dados!$AK$59,IF($E$27=6,Dados!$AM$59,IF($E$27=7,Dados!$AO$59,IF($E$27=8,Dados!$AS$59,0)))))))</f>
        <v>0</v>
      </c>
      <c r="DH51" s="304">
        <f>IF($E$27=2,Dados!$AF$59,IF($E$27=3,Dados!$AH$59,IF($E$27=4,Dados!$AJ$59,IF($E$27=5,Dados!$AL$59,IF($E$27=6,Dados!$AN$59,IF($E$27=7,Dados!$AP$59,IF($E$27=8,Dados!$AT$59,0)))))))</f>
        <v>0</v>
      </c>
      <c r="DI51" s="316">
        <f>IF($E$28=2,Dados!$AE$59,IF($E$28=3,Dados!$AG$59,IF($E$28=4,Dados!$AI$59,IF($E$28=5,Dados!$AK$59,IF($E$28=6,Dados!$AM$59,IF($E$28=7,Dados!$AO$59,IF($E$28=8,Dados!$AS$59,0)))))))</f>
        <v>0</v>
      </c>
      <c r="DJ51" s="304">
        <f>IF($E$28=2,Dados!$AF$59,IF($E$28=3,Dados!$AH$59,IF($E$28=4,Dados!$AJ$59,IF($E$28=5,Dados!$AL$59,IF($E$28=6,Dados!$AN$59,IF($E$28=7,Dados!$AP$59,IF($E$28=8,Dados!$AT$59,0)))))))</f>
        <v>0</v>
      </c>
      <c r="DK51" s="316">
        <f>IF($E$29=2,Dados!$AE$59,IF($E$29=3,Dados!$AG$59,IF($E$29=4,Dados!$AI$59,IF($E$29=5,Dados!$AK$59,IF($E$29=6,Dados!$AM$59,IF($E$29=7,Dados!$AO$59,IF($E$29=8,Dados!$AS$59,0)))))))</f>
        <v>0</v>
      </c>
      <c r="DL51" s="304">
        <f>IF($E$29=2,Dados!$AF$59,IF($E$29=3,Dados!$AH$59,IF($E$29=4,Dados!$AJ$59,IF($E$29=5,Dados!$AL$59,IF($E$29=6,Dados!$AN$59,IF($E$29=7,Dados!$AP$59,IF($E$29=8,Dados!$AT$59,0)))))))</f>
        <v>0</v>
      </c>
      <c r="DN51" s="316">
        <f>IF($E$34=2,Dados!$AE$59,IF($E$34=3,Dados!$AG$59,IF($E$34=4,Dados!$AI$59,IF($E$34=5,Dados!$AK$59,IF($E$34=6,Dados!$AM$59,IF($E$34=7,Dados!$AO$59,IF($E$34=8,Dados!$AS$59,0)))))))</f>
        <v>0</v>
      </c>
      <c r="DO51" s="304">
        <f>IF($E$34=2,Dados!$AF$59,IF($E$34=3,Dados!$AH$59,IF($E$34=4,Dados!$AJ$59,IF($E$34=5,Dados!$AL$59,IF($E$34=6,Dados!$AN$59,IF($E$34=7,Dados!$AP$59,IF($E$34=8,Dados!$AT$59,0)))))))</f>
        <v>0</v>
      </c>
      <c r="DP51" s="316">
        <f>IF($E$35=2,Dados!$AE$59,IF($E$35=3,Dados!$AG$59,IF($E$35=4,Dados!$AI$59,IF($E$35=5,Dados!$AK$59,IF($E$35=6,Dados!$AM$59,IF($E$35=7,Dados!$AO$59,IF($E$35=8,Dados!$AS$59,0)))))))</f>
        <v>0</v>
      </c>
      <c r="DQ51" s="304">
        <f>IF($E$35=2,Dados!$AF$59,IF($E$35=3,Dados!$AH$59,IF($E$35=4,Dados!$AJ$59,IF($E$35=5,Dados!$AL$59,IF($E$35=6,Dados!$AN$59,IF($E$35=7,Dados!$AP$59,IF($E$35=8,Dados!$AT$59,0)))))))</f>
        <v>0</v>
      </c>
      <c r="DR51" s="316">
        <f>IF($E$36=2,Dados!$AE$59,IF($E$36=3,Dados!$AG$59,IF($E$36=4,Dados!$AI$59,IF($E$36=5,Dados!$AK$59,IF($E$36=6,Dados!$AM$59,IF($E$36=7,Dados!$AO$59,IF($E$36=8,Dados!$AS$59,0)))))))</f>
        <v>0</v>
      </c>
      <c r="DS51" s="304">
        <f>IF($E$36=2,Dados!$AF$59,IF($E$36=3,Dados!$AH$59,IF($E$36=4,Dados!$AJ$59,IF($E$36=5,Dados!$AL$59,IF($E$36=6,Dados!$AN$59,IF($E$36=7,Dados!$AP$59,IF($E$36=8,Dados!$AT$59,0)))))))</f>
        <v>0</v>
      </c>
      <c r="DT51" s="316">
        <f>IF($E$37=2,Dados!$AE$59,IF($E$37=3,Dados!$AG$59,IF($E$37=4,Dados!$AI$59,IF($E$37=5,Dados!$AK$59,IF($E$37=6,Dados!$AM$59,IF($E$37=7,Dados!$AO$59,IF($E$37=8,Dados!$AS$59,0)))))))</f>
        <v>0</v>
      </c>
      <c r="DU51" s="304">
        <f>IF($E$37=2,Dados!$AF$59,IF($E$37=3,Dados!$AH$59,IF($E$37=4,Dados!$AJ$59,IF($E$37=5,Dados!$AL$59,IF($E$37=6,Dados!$AN$59,IF($E$37=7,Dados!$AP$59,IF($E$37=8,Dados!$AT$59,0)))))))</f>
        <v>0</v>
      </c>
      <c r="DV51" s="316">
        <f>IF($E$38=2,Dados!$AE$59,IF($E$38=3,Dados!$AG$59,IF($E$38=4,Dados!$AI$59,IF($E$38=5,Dados!$AK$59,IF($E$38=6,Dados!$AM$59,IF($E$38=7,Dados!$AO$59,IF($E$38=8,Dados!$AS$59,0)))))))</f>
        <v>0</v>
      </c>
      <c r="DW51" s="304">
        <f>IF($E$38=2,Dados!$AF$59,IF($E$38=3,Dados!$AH$59,IF($E$38=4,Dados!$AJ$59,IF($E$38=5,Dados!$AL$59,IF($E$38=6,Dados!$AN$59,IF($E$38=7,Dados!$AP$59,IF($E$38=8,Dados!$AT$59,0)))))))</f>
        <v>0</v>
      </c>
      <c r="DY51" s="316">
        <f>IF($E$43=2,Dados!$AE$59,IF($E$43=3,Dados!$AG$59,IF($E$43=4,Dados!$AI$59,IF($E$43=5,Dados!$AK$59,IF($E$43=6,Dados!$AM$59,IF($E$43=7,Dados!$AO$59,IF($E$43=8,Dados!$AS$59,0)))))))</f>
        <v>0</v>
      </c>
      <c r="DZ51" s="304">
        <f>IF($E$43=2,Dados!$AF$59,IF($E$43=3,Dados!$AH$59,IF($E$43=4,Dados!$AJ$59,IF($E$43=5,Dados!$AL$59,IF($E$43=6,Dados!$AN$59,IF($E$43=7,Dados!$AP$59,IF($E$43=8,Dados!$AT$59,0)))))))</f>
        <v>0</v>
      </c>
      <c r="EA51" s="316">
        <f>IF($E$44=2,Dados!$AE$59,IF($E$44=3,Dados!$AG$59,IF($E$44=4,Dados!$AI$59,IF($E$44=5,Dados!$AK$59,IF($E$44=6,Dados!$AM$59,IF($E$44=7,Dados!$AO$59,IF($E$44=8,Dados!$AS$59,0)))))))</f>
        <v>0</v>
      </c>
      <c r="EB51" s="304">
        <f>IF($E$44=2,Dados!$AF$59,IF($E$44=3,Dados!$AH$59,IF($E$44=4,Dados!$AJ$59,IF($E$44=5,Dados!$AL$59,IF($E$44=6,Dados!$AN$59,IF($E$44=7,Dados!$AP$59,IF($E$44=8,Dados!$AT$59,0)))))))</f>
        <v>0</v>
      </c>
      <c r="EC51" s="316">
        <f>IF($E$45=2,Dados!$AE$59,IF($E$45=3,Dados!$AG$59,IF($E$45=4,Dados!$AI$59,IF($E$45=5,Dados!$AK$59,IF($E$45=6,Dados!$AM$59,IF($E$45=7,Dados!$AO$59,IF($E$45=8,Dados!$AS$59,0)))))))</f>
        <v>0</v>
      </c>
      <c r="ED51" s="304">
        <f>IF($E$45=2,Dados!$AF$59,IF($E$45=3,Dados!$AH$59,IF($E$45=4,Dados!$AJ$59,IF($E$45=5,Dados!$AL$59,IF($E$45=6,Dados!$AN$59,IF($E$45=7,Dados!$AP$59,IF($E$45=8,Dados!$AT$59,0)))))))</f>
        <v>0</v>
      </c>
      <c r="EE51" s="316">
        <f>IF($E$46=2,Dados!$AE$59,IF($E$46=3,Dados!$AG$59,IF($E$46=4,Dados!$AI$59,IF($E$46=5,Dados!$AK$59,IF($E$46=6,Dados!$AM$59,IF($E$46=7,Dados!$AO$59,IF($E$46=8,Dados!$AS$59,0)))))))</f>
        <v>0</v>
      </c>
      <c r="EF51" s="304">
        <f>IF($E$46=2,Dados!$AF$59,IF($E$46=3,Dados!$AH$59,IF($E$46=4,Dados!$AJ$59,IF($E$46=5,Dados!$AL$59,IF($E$46=6,Dados!$AN$59,IF($E$46=7,Dados!$AP$59,IF($E$46=8,Dados!$AT$59,0)))))))</f>
        <v>0</v>
      </c>
      <c r="EG51" s="316">
        <f>IF($E$47=2,Dados!$AE$59,IF($E$47=3,Dados!$AG$59,IF($E$47=4,Dados!$AI$59,IF($E$47=5,Dados!$AK$59,IF($E$47=6,Dados!$AM$59,IF($E$47=7,Dados!$AO$59,IF($E$47=8,Dados!$AS$59,0)))))))</f>
        <v>0</v>
      </c>
      <c r="EH51" s="304">
        <f>IF($E$47=2,Dados!$AF$59,IF($E$47=3,Dados!$AH$59,IF($E$47=4,Dados!$AJ$59,IF($E$47=5,Dados!$AL$59,IF($E$47=6,Dados!$AN$59,IF($E$47=7,Dados!$AP$59,IF($E$47=8,Dados!$AT$59,0)))))))</f>
        <v>0</v>
      </c>
      <c r="EJ51" s="316">
        <f>IF($E$52=2,Dados!$AE$59,IF($E$52=3,Dados!$AG$59,IF($E$52=4,Dados!$AI$59,IF($E$52=5,Dados!$AK$59,IF($E$52=6,Dados!$AM$59,IF($E$52=7,Dados!$AO$59,IF($E$52=8,Dados!$AS$59,0)))))))</f>
        <v>0</v>
      </c>
      <c r="EK51" s="304">
        <f>IF($E$52=2,Dados!$AF$59,IF($E$52=3,Dados!$AH$59,IF($E$52=4,Dados!$AJ$59,IF($E$52=5,Dados!$AL$59,IF($E$52=6,Dados!$AN$59,IF($E$52=7,Dados!$AP$59,IF($E$52=8,Dados!$AT$59,0)))))))</f>
        <v>0</v>
      </c>
      <c r="EL51" s="316">
        <f>IF($E$53=2,Dados!$AE$59,IF($E$53=3,Dados!$AG$59,IF($E$53=4,Dados!$AI$59,IF($E$53=5,Dados!$AK$59,IF($E$53=6,Dados!$AM$59,IF($E$53=7,Dados!$AO$59,IF($E$53=8,Dados!$AS$59,0)))))))</f>
        <v>0</v>
      </c>
      <c r="EM51" s="304">
        <f>IF($E$53=2,Dados!$AF$59,IF($E$53=3,Dados!$AH$59,IF($E$53=4,Dados!$AJ$59,IF($E$53=5,Dados!$AL$59,IF($E$53=6,Dados!$AN$59,IF($E$53=7,Dados!$AP$59,IF($E$53=8,Dados!$AT$59,0)))))))</f>
        <v>0</v>
      </c>
      <c r="EN51" s="316">
        <f>IF($E$54=2,Dados!$AE$59,IF($E$54=3,Dados!$AG$59,IF($E$54=4,Dados!$AI$59,IF($E$54=5,Dados!$AK$59,IF($E$54=6,Dados!$AM$59,IF($E$54=7,Dados!$AO$59,IF($E$54=8,Dados!$AS$59,0)))))))</f>
        <v>0</v>
      </c>
      <c r="EO51" s="304">
        <f>IF($E$54=2,Dados!$AF$59,IF($E$54=3,Dados!$AH$59,IF($E$54=4,Dados!$AJ$59,IF($E$54=5,Dados!$AL$59,IF($E$54=6,Dados!$AN$59,IF($E$54=7,Dados!$AP$59,IF($E$54=8,Dados!$AT$59,0)))))))</f>
        <v>0</v>
      </c>
      <c r="EP51" s="316">
        <f>IF($E$55=2,Dados!$AE$59,IF($E$55=3,Dados!$AG$59,IF($E$55=4,Dados!$AI$59,IF($E$55=5,Dados!$AK$59,IF($E$55=6,Dados!$AM$59,IF($E$55=7,Dados!$AO$59,IF($E$55=8,Dados!$AS$59,0)))))))</f>
        <v>0</v>
      </c>
      <c r="EQ51" s="304">
        <f>IF($E$55=2,Dados!$AF$59,IF($E$55=3,Dados!$AH$59,IF($E$55=4,Dados!$AJ$59,IF($E$55=5,Dados!$AL$59,IF($E$55=6,Dados!$AN$59,IF($E$55=7,Dados!$AP$59,IF($E$55=8,Dados!$AT$59,0)))))))</f>
        <v>0</v>
      </c>
      <c r="ER51" s="316">
        <f>IF($E$56=2,Dados!$AE$59,IF($E$56=3,Dados!$AG$59,IF($E$56=4,Dados!$AI$59,IF($E$56=5,Dados!$AK$59,IF($E$56=6,Dados!$AM$59,IF($E$56=7,Dados!$AO$59,IF($E$56=8,Dados!$AS$59,0)))))))</f>
        <v>0</v>
      </c>
      <c r="ES51" s="304">
        <f>IF($E$56=2,Dados!$AF$59,IF($E$56=3,Dados!$AH$59,IF($E$56=4,Dados!$AJ$59,IF($E$56=5,Dados!$AL$59,IF($E$56=6,Dados!$AN$59,IF($E$56=7,Dados!$AP$59,IF($E$56=8,Dados!$AT$59,0)))))))</f>
        <v>0</v>
      </c>
      <c r="EU51" s="316">
        <f>IF($E$61=2,Dados!$AE$59,IF($E$61=3,Dados!$AG$59,IF($E$61=4,Dados!$AI$59,IF($E$61=5,Dados!$AK$59,IF($E$61=6,Dados!$AM$59,IF($E$61=7,Dados!$AO$59,IF($E$61=8,Dados!$AS$59,0)))))))</f>
        <v>0</v>
      </c>
      <c r="EV51" s="304">
        <f>IF($E$61=2,Dados!$AF$59,IF($E$61=3,Dados!$AH$59,IF($E$61=4,Dados!$AJ$59,IF($E$61=5,Dados!$AL$59,IF($E$61=6,Dados!$AN$59,IF($E$61=7,Dados!$AP$59,IF($E$61=8,Dados!$AT$59,0)))))))</f>
        <v>0</v>
      </c>
      <c r="EW51" s="316">
        <f>IF($E$62=2,Dados!$AE$59,IF($E$62=3,Dados!$AG$59,IF($E$62=4,Dados!$AI$59,IF($E$62=5,Dados!$AK$59,IF($E$62=6,Dados!$AM$59,IF($E$62=7,Dados!$AO$59,IF($E$62=8,Dados!$AS$59,0)))))))</f>
        <v>0</v>
      </c>
      <c r="EX51" s="304">
        <f>IF($E$62=2,Dados!$AF$59,IF($E$62=3,Dados!$AH$59,IF($E$62=4,Dados!$AJ$59,IF($E$62=5,Dados!$AL$59,IF($E$62=6,Dados!$AN$59,IF($E$62=7,Dados!$AP$59,IF($E$62=8,Dados!$AT$59,0)))))))</f>
        <v>0</v>
      </c>
      <c r="EY51" s="316">
        <f>IF($E$63=2,Dados!$AE$59,IF($E$63=3,Dados!$AG$59,IF($E$63=4,Dados!$AI$59,IF($E$63=5,Dados!$AK$59,IF($E$63=6,Dados!$AM$59,IF($E$63=7,Dados!$AO$59,IF($E$63=8,Dados!$AS$59,0)))))))</f>
        <v>0</v>
      </c>
      <c r="EZ51" s="304">
        <f>IF($E$63=2,Dados!$AF$59,IF($E$63=3,Dados!$AH$59,IF($E$63=4,Dados!$AJ$59,IF($E$63=5,Dados!$AL$59,IF($E$63=6,Dados!$AN$59,IF($E$63=7,Dados!$AP$59,IF($E$63=8,Dados!$AT$59,0)))))))</f>
        <v>0</v>
      </c>
      <c r="FA51" s="316">
        <f>IF($E$64=2,Dados!$AE$59,IF($E$64=3,Dados!$AG$59,IF($E$64=4,Dados!$AI$59,IF($E$64=5,Dados!$AK$59,IF($E$64=6,Dados!$AM$59,IF($E$64=7,Dados!$AO$59,IF($E$64=8,Dados!$AS$59,0)))))))</f>
        <v>0</v>
      </c>
      <c r="FB51" s="304">
        <f>IF($E$64=2,Dados!$AF$59,IF($E$64=3,Dados!$AH$59,IF($E$64=4,Dados!$AJ$59,IF($E$64=5,Dados!$AL$59,IF($E$64=6,Dados!$AN$59,IF($E$64=7,Dados!$AP$59,IF($E$64=8,Dados!$AT$59,0)))))))</f>
        <v>0</v>
      </c>
      <c r="FC51" s="316">
        <f>IF($E$65=2,Dados!$AE$59,IF($E$65=3,Dados!$AG$59,IF($E$65=4,Dados!$AI$59,IF($E$65=5,Dados!$AK$59,IF($E$65=6,Dados!$AM$59,IF($E$65=7,Dados!$AO$59,IF($E$65=8,Dados!$AS$59,0)))))))</f>
        <v>0</v>
      </c>
      <c r="FD51" s="304">
        <f>IF($E$65=2,Dados!$AF$59,IF($E$65=3,Dados!$AH$59,IF($E$65=4,Dados!$AJ$59,IF($E$65=5,Dados!$AL$59,IF($E$65=6,Dados!$AN$59,IF($E$65=7,Dados!$AP$59,IF($E$65=8,Dados!$AT$59,0)))))))</f>
        <v>0</v>
      </c>
      <c r="FF51" s="316">
        <f>IF($E$70=2,Dados!$AE$59,IF($E$70=3,Dados!$AG$59,IF($E$70=4,Dados!$AI$59,IF($E$70=5,Dados!$AK$59,IF($E$70=6,Dados!$AM$59,IF($E$70=7,Dados!$AO$59,IF($E$70=8,Dados!$AS$59,0)))))))</f>
        <v>0</v>
      </c>
      <c r="FG51" s="304">
        <f>IF($E$70=2,Dados!$AF$59,IF($E$70=3,Dados!$AH$59,IF($E$70=4,Dados!$AJ$59,IF($E$70=5,Dados!$AL$59,IF($E$70=6,Dados!$AN$59,IF($E$70=7,Dados!$AP$59,IF($E$70=8,Dados!$AT$59,0)))))))</f>
        <v>0</v>
      </c>
      <c r="FH51" s="316">
        <f>IF($E$71=2,Dados!$AE$59,IF($E$71=3,Dados!$AG$59,IF($E$71=4,Dados!$AI$59,IF($E$71=5,Dados!$AK$59,IF($E$71=6,Dados!$AM$59,IF($E$71=7,Dados!$AO$59,IF($E$71=8,Dados!$AS$59,0)))))))</f>
        <v>0</v>
      </c>
      <c r="FI51" s="304">
        <f>IF($E$71=2,Dados!$AF$59,IF($E$71=3,Dados!$AH$59,IF($E$71=4,Dados!$AJ$59,IF($E$71=5,Dados!$AL$59,IF($E$71=6,Dados!$AN$59,IF($E$71=7,Dados!$AP$59,IF($E$71=8,Dados!$AT$59,0)))))))</f>
        <v>0</v>
      </c>
      <c r="FJ51" s="316">
        <f>IF($E$72=2,Dados!$AE$59,IF($E$72=3,Dados!$AG$59,IF($E$72=4,Dados!$AI$59,IF($E$72=5,Dados!$AK$59,IF($E$72=6,Dados!$AM$59,IF($E$72=7,Dados!$AO$59,IF($E$72=8,Dados!$AS$59,0)))))))</f>
        <v>0</v>
      </c>
      <c r="FK51" s="304">
        <f>IF($E$72=2,Dados!$AF$59,IF($E$72=3,Dados!$AH$59,IF($E$72=4,Dados!$AJ$59,IF($E$72=5,Dados!$AL$59,IF($E$72=6,Dados!$AN$59,IF($E$72=7,Dados!$AP$59,IF($E$72=8,Dados!$AT$59,0)))))))</f>
        <v>0</v>
      </c>
      <c r="FL51" s="316">
        <f>IF($E$73=2,Dados!$AE$59,IF($E$73=3,Dados!$AG$59,IF($E$73=4,Dados!$AI$59,IF($E$73=5,Dados!$AK$59,IF($E$73=6,Dados!$AM$59,IF($E$73=7,Dados!$AO$59,IF($E$73=8,Dados!$AS$59,0)))))))</f>
        <v>0</v>
      </c>
      <c r="FM51" s="304">
        <f>IF($E$73=2,Dados!$AF$59,IF($E$73=3,Dados!$AH$59,IF($E$73=4,Dados!$AJ$59,IF($E$73=5,Dados!$AL$59,IF($E$73=6,Dados!$AN$59,IF($E$73=7,Dados!$AP$59,IF($E$73=8,Dados!$AT$59,0)))))))</f>
        <v>0</v>
      </c>
      <c r="FN51" s="316">
        <f>IF($E$74=2,Dados!$AE$59,IF($E$74=3,Dados!$AG$59,IF($E$74=4,Dados!$AI$59,IF($E$74=5,Dados!$AK$59,IF($E$74=6,Dados!$AM$59,IF($E$74=7,Dados!$AO$59,IF($E$74=8,Dados!$AS$59,0)))))))</f>
        <v>0</v>
      </c>
      <c r="FO51" s="304">
        <f>IF($E$74=2,Dados!$AF$59,IF($E$74=3,Dados!$AH$59,IF($E$74=4,Dados!$AJ$59,IF($E$74=5,Dados!$AL$59,IF($E$74=6,Dados!$AN$59,IF($E$74=7,Dados!$AP$59,IF($E$74=8,Dados!$AT$59,0)))))))</f>
        <v>0</v>
      </c>
      <c r="FQ51" s="316">
        <f>IF($E$79=2,Dados!$AE$59,IF($E$79=3,Dados!$AG$59,IF($E$79=4,Dados!$AI$59,IF($E$79=5,Dados!$AK$59,IF($E$79=6,Dados!$AM$59,IF($E$79=7,Dados!$AO$59,IF($E$79=8,Dados!$AS$59,0)))))))</f>
        <v>0</v>
      </c>
      <c r="FR51" s="304">
        <f>IF($E$79=2,Dados!$AF$59,IF($E$79=3,Dados!$AH$59,IF($E$79=4,Dados!$AJ$59,IF($E$79=5,Dados!$AL$59,IF($E$79=6,Dados!$AN$59,IF($E$79=7,Dados!$AP$59,IF($E$79=8,Dados!$AT$59,0)))))))</f>
        <v>0</v>
      </c>
      <c r="FS51" s="316">
        <f>IF($E$80=2,Dados!$AE$59,IF($E$80=3,Dados!$AG$59,IF($E$80=4,Dados!$AI$59,IF($E$80=5,Dados!$AK$59,IF($E$80=6,Dados!$AM$59,IF($E$80=7,Dados!$AO$59,IF($E$80=8,Dados!$AS$59,0)))))))</f>
        <v>0</v>
      </c>
      <c r="FT51" s="304">
        <f>IF($E$80=2,Dados!$AF$59,IF($E$80=3,Dados!$AH$59,IF($E$80=4,Dados!$AJ$59,IF($E$80=5,Dados!$AL$59,IF($E$80=6,Dados!$AN$59,IF($E$80=7,Dados!$AP$59,IF($E$80=8,Dados!$AT$59,0)))))))</f>
        <v>0</v>
      </c>
      <c r="FU51" s="316">
        <f>IF($E$81=2,Dados!$AE$59,IF($E$81=3,Dados!$AG$59,IF($E$81=4,Dados!$AI$59,IF($E$81=5,Dados!$AK$59,IF($E$81=6,Dados!$AM$59,IF($E$81=7,Dados!$AO$59,IF($E$81=8,Dados!$AS$59,0)))))))</f>
        <v>0</v>
      </c>
      <c r="FV51" s="304">
        <f>IF($E$81=2,Dados!$AF$59,IF($E$81=3,Dados!$AH$59,IF($E$81=4,Dados!$AJ$59,IF($E$81=5,Dados!$AL$59,IF($E$81=6,Dados!$AN$59,IF($E$81=7,Dados!$AP$59,IF($E$81=8,Dados!$AT$59,0)))))))</f>
        <v>0</v>
      </c>
      <c r="FW51" s="316">
        <f>IF($E$82=2,Dados!$AE$59,IF($E$82=3,Dados!$AG$59,IF($E$82=4,Dados!$AI$59,IF($E$82=5,Dados!$AK$59,IF($E$82=6,Dados!$AM$59,IF($E$82=7,Dados!$AO$59,IF($E$82=8,Dados!$AS$59,0)))))))</f>
        <v>0</v>
      </c>
      <c r="FX51" s="304">
        <f>IF($E$82=2,Dados!$AF$59,IF($E$82=3,Dados!$AH$59,IF($E$82=4,Dados!$AJ$59,IF($E$82=5,Dados!$AL$59,IF($E$82=6,Dados!$AN$59,IF($E$82=7,Dados!$AP$59,IF($E$82=8,Dados!$AT$59,0)))))))</f>
        <v>0</v>
      </c>
      <c r="FY51" s="316">
        <f>IF($E$83=2,Dados!$AE$59,IF($E$83=3,Dados!$AG$59,IF($E$83=4,Dados!$AI$59,IF($E$83=5,Dados!$AK$59,IF($E$83=6,Dados!$AM$59,IF($E$83=7,Dados!$AO$59,IF($E$83=8,Dados!$AS$59,0)))))))</f>
        <v>0</v>
      </c>
      <c r="FZ51" s="304">
        <f>IF($E$83=2,Dados!$AF$59,IF($E$83=3,Dados!$AH$59,IF($E$83=4,Dados!$AJ$59,IF($E$83=5,Dados!$AL$59,IF($E$83=6,Dados!$AN$59,IF($E$83=7,Dados!$AP$59,IF($E$83=8,Dados!$AT$59,0)))))))</f>
        <v>0</v>
      </c>
      <c r="GB51" s="316">
        <f>IF($E$88=2,Dados!$AE$59,IF($E$88=3,Dados!$AG$59,IF($E$88=4,Dados!$AI$59,IF($E$88=5,Dados!$AK$59,IF($E$88=6,Dados!$AM$59,IF($E$88=7,Dados!$AO$59,IF($E$88=8,Dados!$AS$59,0)))))))</f>
        <v>0</v>
      </c>
      <c r="GC51" s="304">
        <f>IF($E$88=2,Dados!$AF$59,IF($E$88=3,Dados!$AH$59,IF($E$88=4,Dados!$AJ$59,IF($E$88=5,Dados!$AL$59,IF($E$88=6,Dados!$AN$59,IF($E$88=7,Dados!$AP$59,IF($E$88=8,Dados!$AT$59,0)))))))</f>
        <v>0</v>
      </c>
      <c r="GD51" s="316">
        <f>IF($E$89=2,Dados!$AE$59,IF($E$89=3,Dados!$AG$59,IF($E$89=4,Dados!$AI$59,IF($E$89=5,Dados!$AK$59,IF($E$89=6,Dados!$AM$59,IF($E$89=7,Dados!$AO$59,IF($E$89=8,Dados!$AS$59,0)))))))</f>
        <v>0</v>
      </c>
      <c r="GE51" s="304">
        <f>IF($E$89=2,Dados!$AF$59,IF($E$89=3,Dados!$AH$59,IF($E$89=4,Dados!$AJ$59,IF($E$89=5,Dados!$AL$59,IF($E$89=6,Dados!$AN$59,IF($E$89=7,Dados!$AP$59,IF($E$89=8,Dados!$AT$59,0)))))))</f>
        <v>0</v>
      </c>
      <c r="GF51" s="316">
        <f>IF($E$90=2,Dados!$AE$59,IF($E$90=3,Dados!$AG$59,IF($E$90=4,Dados!$AI$59,IF($E$90=5,Dados!$AK$59,IF($E$90=6,Dados!$AM$59,IF($E$90=7,Dados!$AO$59,IF($E$90=8,Dados!$AS$59,0)))))))</f>
        <v>0</v>
      </c>
      <c r="GG51" s="304">
        <f>IF($E$90=2,Dados!$AF$59,IF($E$90=3,Dados!$AH$59,IF($E$90=4,Dados!$AJ$59,IF($E$90=5,Dados!$AL$59,IF($E$90=6,Dados!$AN$59,IF($E$90=7,Dados!$AP$59,IF($E$90=8,Dados!$AT$59,0)))))))</f>
        <v>0</v>
      </c>
      <c r="GH51" s="316">
        <f>IF($E$91=2,Dados!$AE$59,IF($E$91=3,Dados!$AG$59,IF($E$91=4,Dados!$AI$59,IF($E$91=5,Dados!$AK$59,IF($E$91=6,Dados!$AM$59,IF($E$91=7,Dados!$AO$59,IF($E$91=8,Dados!$AS$59,0)))))))</f>
        <v>0</v>
      </c>
      <c r="GI51" s="304">
        <f>IF($E$91=2,Dados!$AF$59,IF($E$91=3,Dados!$AH$59,IF($E$91=4,Dados!$AJ$59,IF($E$91=5,Dados!$AL$59,IF($E$91=6,Dados!$AN$59,IF($E$91=7,Dados!$AP$59,IF($E$91=8,Dados!$AT$59,0)))))))</f>
        <v>0</v>
      </c>
      <c r="GJ51" s="316">
        <f>IF($E$92=2,Dados!$AE$59,IF($E$92=3,Dados!$AG$59,IF($E$92=4,Dados!$AI$59,IF($E$92=5,Dados!$AK$59,IF($E$92=6,Dados!$AM$59,IF($E$92=7,Dados!$AO$59,IF($E$92=8,Dados!$AS$59,0)))))))</f>
        <v>0</v>
      </c>
      <c r="GK51" s="304">
        <f>IF($E$92=2,Dados!$AF$59,IF($E$92=3,Dados!$AH$59,IF($E$92=4,Dados!$AJ$59,IF($E$92=5,Dados!$AL$59,IF($E$92=6,Dados!$AN$59,IF($E$92=7,Dados!$AP$59,IF($E$92=8,Dados!$AT$59,0)))))))</f>
        <v>0</v>
      </c>
      <c r="GM51" s="316">
        <f>IF($E$97=2,Dados!$AE$59,IF($E$97=3,Dados!$AG$59,IF($E$97=4,Dados!$AI$59,IF($E$97=5,Dados!$AK$59,IF($E$97=6,Dados!$AM$59,IF($E$97=7,Dados!$AO$59,IF($E$97=8,Dados!$AS$59,0)))))))</f>
        <v>0</v>
      </c>
      <c r="GN51" s="304">
        <f>IF($E$97=2,Dados!$AF$59,IF($E$97=3,Dados!$AH$59,IF($E$97=4,Dados!$AJ$59,IF($E$97=5,Dados!$AL$59,IF($E$97=6,Dados!$AN$59,IF($E$97=7,Dados!$AP$59,IF($E$97=8,Dados!$AT$59,0)))))))</f>
        <v>0</v>
      </c>
      <c r="GO51" s="316">
        <f>IF($E$98=2,Dados!$AE$59,IF($E$98=3,Dados!$AG$59,IF($E$98=4,Dados!$AI$59,IF($E$98=5,Dados!$AK$59,IF($E$98=6,Dados!$AM$59,IF($E$98=7,Dados!$AO$59,IF($E$98=8,Dados!$AS$59,0)))))))</f>
        <v>0</v>
      </c>
      <c r="GP51" s="304">
        <f>IF($E$98=2,Dados!$AF$59,IF($E$98=3,Dados!$AH$59,IF($E$98=4,Dados!$AJ$59,IF($E$98=5,Dados!$AL$59,IF($E$98=6,Dados!$AN$59,IF($E$98=7,Dados!$AP$59,IF($E$98=8,Dados!$AT$59,0)))))))</f>
        <v>0</v>
      </c>
      <c r="GQ51" s="316">
        <f>IF($E$99=2,Dados!$AE$59,IF($E$99=3,Dados!$AG$59,IF($E$99=4,Dados!$AI$59,IF($E$99=5,Dados!$AK$59,IF($E$99=6,Dados!$AM$59,IF($E$99=7,Dados!$AO$59,IF($E$99=8,Dados!$AS$59,0)))))))</f>
        <v>0</v>
      </c>
      <c r="GR51" s="304">
        <f>IF($E$99=2,Dados!$AF$59,IF($E$99=3,Dados!$AH$59,IF($E$99=4,Dados!$AJ$59,IF($E$99=5,Dados!$AL$59,IF($E$99=6,Dados!$AN$59,IF($E$99=7,Dados!$AP$59,IF($E$99=8,Dados!$AT$59,0)))))))</f>
        <v>0</v>
      </c>
      <c r="GS51" s="316">
        <f>IF($E$100=2,Dados!$AE$59,IF($E$100=3,Dados!$AG$59,IF($E$100=4,Dados!$AI$59,IF($E$100=5,Dados!$AK$59,IF($E$100=6,Dados!$AM$59,IF($E$100=7,Dados!$AO$59,IF($E$100=8,Dados!$AS$59,0)))))))</f>
        <v>0</v>
      </c>
      <c r="GT51" s="304">
        <f>IF($E$100=2,Dados!$AF$59,IF($E$100=3,Dados!$AH$59,IF($E$100=4,Dados!$AJ$59,IF($E$100=5,Dados!$AL$59,IF($E$100=6,Dados!$AN$59,IF($E$100=7,Dados!$AP$59,IF($E$100=8,Dados!$AT$59,0)))))))</f>
        <v>0</v>
      </c>
      <c r="GU51" s="316">
        <f>IF($E$101=2,Dados!$AE$59,IF($E$101=3,Dados!$AG$59,IF($E$101=4,Dados!$AI$59,IF($E$101=5,Dados!$AK$59,IF($E$101=6,Dados!$AM$59,IF($E$101=7,Dados!$AO$59,IF($E$101=8,Dados!$AS$59,0)))))))</f>
        <v>0</v>
      </c>
      <c r="GV51" s="304">
        <f>IF($E$101=2,Dados!$AF$59,IF($E$101=3,Dados!$AH$59,IF($E$101=4,Dados!$AJ$59,IF($E$101=5,Dados!$AL$59,IF($E$101=6,Dados!$AN$59,IF($E$101=7,Dados!$AP$59,IF($E$101=8,Dados!$AT$59,0)))))))</f>
        <v>0</v>
      </c>
      <c r="GX51" s="316">
        <f>IF($E$106=2,Dados!$AE$59,IF($E$106=3,Dados!$AG$59,IF($E$106=4,Dados!$AI$59,IF($E$106=5,Dados!$AK$59,IF($E$106=6,Dados!$AM$59,IF($E$106=7,Dados!$AO$59,IF($E$106=8,Dados!$AS$59,0)))))))</f>
        <v>0</v>
      </c>
      <c r="GY51" s="304">
        <f>IF($E$106=2,Dados!$AF$59,IF($E$106=3,Dados!$AH$59,IF($E$106=4,Dados!$AJ$59,IF($E$106=5,Dados!$AL$59,IF($E$106=6,Dados!$AN$59,IF($E$106=7,Dados!$AP$59,IF($E$106=8,Dados!$AT$59,0)))))))</f>
        <v>0</v>
      </c>
      <c r="GZ51" s="316">
        <f>IF($E$107=2,Dados!$AE$59,IF($E$107=3,Dados!$AG$59,IF($E$107=4,Dados!$AI$59,IF($E$107=5,Dados!$AK$59,IF($E$107=6,Dados!$AM$59,IF($E$107=7,Dados!$AO$59,IF($E$107=8,Dados!$AS$59,0)))))))</f>
        <v>0</v>
      </c>
      <c r="HA51" s="304">
        <f>IF($E$107=2,Dados!$AF$59,IF($E$107=3,Dados!$AH$59,IF($E$107=4,Dados!$AJ$59,IF($E$107=5,Dados!$AL$59,IF($E$107=6,Dados!$AN$59,IF($E$107=7,Dados!$AP$59,IF($E$107=8,Dados!$AT$59,0)))))))</f>
        <v>0</v>
      </c>
      <c r="HB51" s="316">
        <f>IF($E$108=2,Dados!$AE$59,IF($E$108=3,Dados!$AG$59,IF($E$108=4,Dados!$AI$59,IF($E$108=5,Dados!$AK$59,IF($E$108=6,Dados!$AM$59,IF($E$108=7,Dados!$AO$59,IF($E$108=8,Dados!$AS$59,0)))))))</f>
        <v>0</v>
      </c>
      <c r="HC51" s="304">
        <f>IF($E$108=2,Dados!$AF$59,IF($E$108=3,Dados!$AH$59,IF($E$108=4,Dados!$AJ$59,IF($E$108=5,Dados!$AL$59,IF($E$108=6,Dados!$AN$59,IF($E$108=7,Dados!$AP$59,IF($E$108=8,Dados!$AT$59,0)))))))</f>
        <v>0</v>
      </c>
      <c r="HD51" s="316">
        <f>IF($E$109=2,Dados!$AE$59,IF($E$109=3,Dados!$AG$59,IF($E$109=4,Dados!$AI$59,IF($E$109=5,Dados!$AK$59,IF($E$109=6,Dados!$AM$59,IF($E$109=7,Dados!$AO$59,IF($E$109=8,Dados!$AS$59,0)))))))</f>
        <v>0</v>
      </c>
      <c r="HE51" s="304">
        <f>IF($E$109=2,Dados!$AF$59,IF($E$109=3,Dados!$AH$59,IF($E$109=4,Dados!$AJ$59,IF($E$109=5,Dados!$AL$59,IF($E$109=6,Dados!$AN$59,IF($E$109=7,Dados!$AP$59,IF($E$109=8,Dados!$AT$59,0)))))))</f>
        <v>0</v>
      </c>
      <c r="HF51" s="316">
        <f>IF($E$110=2,Dados!$AE$59,IF($E$110=3,Dados!$AG$59,IF($E$110=4,Dados!$AI$59,IF($E$110=5,Dados!$AK$59,IF($E$110=6,Dados!$AM$59,IF($E$110=7,Dados!$AO$59,IF($E$110=8,Dados!$AS$59,0)))))))</f>
        <v>0</v>
      </c>
      <c r="HG51" s="304">
        <f>IF($E$110=2,Dados!$AF$59,IF($E$110=3,Dados!$AH$59,IF($E$110=4,Dados!$AJ$59,IF($E$110=5,Dados!$AL$59,IF($E$110=6,Dados!$AN$59,IF($E$110=7,Dados!$AP$59,IF($E$110=8,Dados!$AT$59,0)))))))</f>
        <v>0</v>
      </c>
    </row>
    <row r="52" spans="3:215" ht="15.75" customHeight="1" x14ac:dyDescent="0.25">
      <c r="C52" s="156">
        <f>IF(R52=1,0,S52)</f>
        <v>0</v>
      </c>
      <c r="D52" s="2720"/>
      <c r="E52" s="179">
        <v>1</v>
      </c>
      <c r="F52" s="2719">
        <v>1</v>
      </c>
      <c r="G52" s="2633"/>
      <c r="H52" s="283"/>
      <c r="I52" s="229"/>
      <c r="J52" s="314"/>
      <c r="K52" s="157"/>
      <c r="L52" s="305"/>
      <c r="M52" s="127">
        <f>IF(I52=1,K52,IF(I52=2,K52/J52,IF(I52=3,K52*L52,0)))</f>
        <v>0</v>
      </c>
      <c r="N52" s="3">
        <v>1</v>
      </c>
      <c r="O52" s="30">
        <v>1</v>
      </c>
      <c r="P52" s="837">
        <f>IF(N52=1,0,VLOOKUP(N52,Rebanho!$AN$45:$AV$72,4)*O52)</f>
        <v>0</v>
      </c>
      <c r="Q52" s="838">
        <f>VLOOKUP(N52,Rebanho!$AN$45:$AV$72,7)*O52</f>
        <v>0</v>
      </c>
      <c r="R52" s="93">
        <v>1</v>
      </c>
      <c r="S52" s="29"/>
      <c r="T52" s="102">
        <f>VLOOKUP(R52,'Mão-de-obra'!$CJ$10:$CL$29,3)</f>
        <v>0</v>
      </c>
      <c r="U52" s="102">
        <f>T52*S52</f>
        <v>0</v>
      </c>
      <c r="V52" s="127">
        <f>IF(I52=1,M52*P52,IF(I52=2,M52*Q52*L52,IF(I52=3,M52,0)))</f>
        <v>0</v>
      </c>
      <c r="W52" s="129">
        <f>U52+V52</f>
        <v>0</v>
      </c>
      <c r="X52" s="196">
        <v>1</v>
      </c>
      <c r="Y52" s="93">
        <v>1</v>
      </c>
      <c r="Z52" s="127">
        <f>IF(P52=0,0,((W52/P52+U52/P52)*O52))</f>
        <v>0</v>
      </c>
      <c r="AW52" s="3" t="s">
        <v>302</v>
      </c>
      <c r="AX52" s="94">
        <f>IF($E52=2,$V52,0)</f>
        <v>0</v>
      </c>
      <c r="AY52" s="94">
        <f>IF($E53=2,$V53,0)</f>
        <v>0</v>
      </c>
      <c r="AZ52" s="94">
        <f>IF($E54=2,$V54,0)</f>
        <v>0</v>
      </c>
      <c r="BA52" s="94">
        <f>IF($E55=2,$V55,0)</f>
        <v>0</v>
      </c>
      <c r="BB52" s="94">
        <f>IF($E56=2,$V56,0)</f>
        <v>0</v>
      </c>
      <c r="BC52" s="200">
        <f t="shared" ref="BC52:BC57" si="13">SUM(AX52:BB52)</f>
        <v>0</v>
      </c>
      <c r="CF52" s="93">
        <v>47</v>
      </c>
      <c r="CG52" s="316">
        <f>IF($E$7=2,Dados!$AE$60,IF($E$7=3,Dados!$AG$60,IF($E$7=4,Dados!$AI$60,IF($E$7=5,Dados!$AK$60,IF($E$7=6,Dados!$AM$60,IF($E$7=7,Dados!$AO$60,IF($E$7=8,Dados!$AS$60,0)))))))</f>
        <v>0</v>
      </c>
      <c r="CH52" s="304">
        <f>IF($E$7=2,Dados!$AF$60,IF($E$7=3,Dados!$AH$60,IF($E$7=4,Dados!$AJ$60,IF($E$7=5,Dados!$AL$60,IF($E$7=6,Dados!$AN$60,IF($E$7=7,Dados!$AP$60,IF($E$7=8,Dados!$AT$60,0)))))))</f>
        <v>0</v>
      </c>
      <c r="CI52" s="316">
        <f>IF($E$8=2,Dados!$AE$60,IF($E$8=3,Dados!$AG$60,IF($E$8=4,Dados!$AI$60,IF($E$8=5,Dados!$AK$60,IF($E$8=6,Dados!$AM$60,IF($E$8=7,Dados!$AO$60,IF($E$8=8,Dados!$AS$60,0)))))))</f>
        <v>0</v>
      </c>
      <c r="CJ52" s="304">
        <f>IF($E$8=2,Dados!$AF$60,IF($E$8=3,Dados!$AH$60,IF($E$8=4,Dados!$AJ$60,IF($E$8=5,Dados!$AL$60,IF($E$8=6,Dados!$AN$60,IF($E$8=7,Dados!$AP$60,IF($E$8=8,Dados!$AT$60,0)))))))</f>
        <v>0</v>
      </c>
      <c r="CK52" s="316">
        <f>IF($E$9=2,Dados!$AE$60,IF($E$9=3,Dados!$AG$60,IF($E$9=4,Dados!$AI$60,IF($E$9=5,Dados!$AK$60,IF($E$9=6,Dados!$AM$60,IF($E$9=7,Dados!$AO$60,IF($E$9=8,Dados!$AS$60,0)))))))</f>
        <v>0</v>
      </c>
      <c r="CL52" s="304">
        <f>IF($E$9=2,Dados!$AF$60,IF($E$9=3,Dados!$AH$60,IF($E$9=4,Dados!$AJ$60,IF($E$9=5,Dados!$AL$60,IF($E$9=6,Dados!$AN$60,IF($E$9=7,Dados!$AP$60,IF($E$9=8,Dados!$AT$60,0)))))))</f>
        <v>0</v>
      </c>
      <c r="CM52" s="316">
        <f>IF($E$10=2,Dados!$AE$60,IF($E$10=3,Dados!$AG$60,IF($E$10=4,Dados!$AI$60,IF($E$10=5,Dados!$AK$60,IF($E$10=6,Dados!$AM$60,IF($E$10=7,Dados!$AO$60,IF($E$10=8,Dados!$AS$60,0)))))))</f>
        <v>0</v>
      </c>
      <c r="CN52" s="304">
        <f>IF($E$10=2,Dados!$AF$60,IF($E$10=3,Dados!$AH$60,IF($E$10=4,Dados!$AJ$60,IF($E$10=5,Dados!$AL$60,IF($E$10=6,Dados!$AN$60,IF($E$10=7,Dados!$AP$60,IF($E$10=8,Dados!$AT$60,0)))))))</f>
        <v>0</v>
      </c>
      <c r="CO52" s="316">
        <f>IF($E$11=2,Dados!$AE$60,IF($E$11=3,Dados!$AG$60,IF($E$11=4,Dados!$AI$60,IF($E$11=5,Dados!$AK$60,IF($E$11=6,Dados!$AM$60,IF($E$11=7,Dados!$AO$60,IF($E$11=8,Dados!$AS$60,0)))))))</f>
        <v>0</v>
      </c>
      <c r="CP52" s="304">
        <f>IF($E$11=2,Dados!$AF$60,IF($E$11=3,Dados!$AH$60,IF($E$11=4,Dados!$AJ$60,IF($E$11=5,Dados!$AL$60,IF($E$11=6,Dados!$AN$60,IF($E$11=7,Dados!$AP$60,IF($E$11=8,Dados!$AT$60,0)))))))</f>
        <v>0</v>
      </c>
      <c r="CR52" s="316">
        <f>IF($E$16=2,Dados!$AE$60,IF($E$16=3,Dados!$AG$60,IF($E$16=4,Dados!$AI$60,IF($E$16=5,Dados!$AK$60,IF($E$16=6,Dados!$AM$60,IF($E$16=7,Dados!$AO$60,IF($E$16=8,Dados!$AS$60,0)))))))</f>
        <v>0</v>
      </c>
      <c r="CS52" s="304">
        <f>IF($E$16=2,Dados!$AF$60,IF($E$16=3,Dados!$AH$60,IF($E$16=4,Dados!$AJ$60,IF($E$16=5,Dados!$AL$60,IF($E$16=6,Dados!$AN$60,IF($E$16=7,Dados!$AP$60,IF($E$16=8,Dados!$AT$60,0)))))))</f>
        <v>0</v>
      </c>
      <c r="CT52" s="316">
        <f>IF($E$17=2,Dados!$AE$60,IF($E$17=3,Dados!$AG$60,IF($E$17=4,Dados!$AI$60,IF($E$17=5,Dados!$AK$60,IF($E$17=6,Dados!$AM$60,IF($E$17=7,Dados!$AO$60,IF($E$17=8,Dados!$AS$60,0)))))))</f>
        <v>0</v>
      </c>
      <c r="CU52" s="304">
        <f>IF($E$17=2,Dados!$AF$60,IF($E$17=3,Dados!$AH$60,IF($E$17=4,Dados!$AJ$60,IF($E$17=5,Dados!$AL$60,IF($E$17=6,Dados!$AN$60,IF($E$17=7,Dados!$AP$60,IF($E$17=8,Dados!$AT$60,0)))))))</f>
        <v>0</v>
      </c>
      <c r="CV52" s="316">
        <f>IF($E$18=2,Dados!$AE$60,IF($E$18=3,Dados!$AG$60,IF($E$18=4,Dados!$AI$60,IF($E$18=5,Dados!$AK$60,IF($E$18=6,Dados!$AM$60,IF($E$18=7,Dados!$AO$60,IF($E$18=8,Dados!$AS$60,0)))))))</f>
        <v>0</v>
      </c>
      <c r="CW52" s="304">
        <f>IF($E$18=2,Dados!$AF$60,IF($E$18=3,Dados!$AH$60,IF($E$18=4,Dados!$AJ$60,IF($E$18=5,Dados!$AL$60,IF($E$18=6,Dados!$AN$60,IF($E$18=7,Dados!$AP$60,IF($E$18=8,Dados!$AT$60,0)))))))</f>
        <v>0</v>
      </c>
      <c r="CX52" s="316">
        <f>IF($E$19=2,Dados!$AE$60,IF($E$19=3,Dados!$AG$60,IF($E$19=4,Dados!$AI$60,IF($E$19=5,Dados!$AK$60,IF($E$19=6,Dados!$AM$60,IF($E$19=7,Dados!$AO$60,IF($E$19=8,Dados!$AS$60,0)))))))</f>
        <v>0</v>
      </c>
      <c r="CY52" s="304">
        <f>IF($E$19=2,Dados!$AF$60,IF($E$19=3,Dados!$AH$60,IF($E$19=4,Dados!$AJ$60,IF($E$19=5,Dados!$AL$60,IF($E$19=6,Dados!$AN$60,IF($E$19=7,Dados!$AP$60,IF($E$19=8,Dados!$AT$60,0)))))))</f>
        <v>0</v>
      </c>
      <c r="CZ52" s="316">
        <f>IF($E$20=2,Dados!$AE$60,IF($E$20=3,Dados!$AG$60,IF($E$20=4,Dados!$AI$60,IF($E$20=5,Dados!$AK$60,IF($E$20=6,Dados!$AM$60,IF($E$20=7,Dados!$AO$60,IF($E$20=8,Dados!$AS$60,0)))))))</f>
        <v>0</v>
      </c>
      <c r="DA52" s="304">
        <f>IF($E$20=2,Dados!$AF$60,IF($E$20=3,Dados!$AH$60,IF($E$20=4,Dados!$AJ$60,IF($E$20=5,Dados!$AL$60,IF($E$20=6,Dados!$AN$60,IF($E$20=7,Dados!$AP$60,IF($E$20=8,Dados!$AT$60,0)))))))</f>
        <v>0</v>
      </c>
      <c r="DC52" s="316">
        <f>IF($E$25=2,Dados!$AE$60,IF($E$25=3,Dados!$AG$60,IF($E$25=4,Dados!$AI$60,IF($E$25=5,Dados!$AK$60,IF($E$25=6,Dados!$AM$60,IF($E$25=7,Dados!$AO$60,IF($E$25=8,Dados!$AS$60,0)))))))</f>
        <v>0</v>
      </c>
      <c r="DD52" s="304">
        <f>IF($E$25=2,Dados!$AF$60,IF($E$25=3,Dados!$AH$60,IF($E$25=4,Dados!$AJ$60,IF($E$25=5,Dados!$AL$60,IF($E$25=6,Dados!$AN$60,IF($E$25=7,Dados!$AP$60,IF($E$25=8,Dados!$AT$60,0)))))))</f>
        <v>0</v>
      </c>
      <c r="DE52" s="316">
        <f>IF($E$26=2,Dados!$AE$60,IF($E$26=3,Dados!$AG$60,IF($E$26=4,Dados!$AI$60,IF($E$26=5,Dados!$AK$60,IF($E$26=6,Dados!$AM$60,IF($E$26=7,Dados!$AO$60,IF($E$26=8,Dados!$AS$60,0)))))))</f>
        <v>0</v>
      </c>
      <c r="DF52" s="304">
        <f>IF($E$26=2,Dados!$AF$60,IF($E$26=3,Dados!$AH$60,IF($E$26=4,Dados!$AJ$60,IF($E$26=5,Dados!$AL$60,IF($E$26=6,Dados!$AN$60,IF($E$26=7,Dados!$AP$60,IF($E$26=8,Dados!$AT$60,0)))))))</f>
        <v>0</v>
      </c>
      <c r="DG52" s="316">
        <f>IF($E$27=2,Dados!$AE$60,IF($E$27=3,Dados!$AG$60,IF($E$27=4,Dados!$AI$60,IF($E$27=5,Dados!$AK$60,IF($E$27=6,Dados!$AM$60,IF($E$27=7,Dados!$AO$60,IF($E$27=8,Dados!$AS$60,0)))))))</f>
        <v>0</v>
      </c>
      <c r="DH52" s="304">
        <f>IF($E$27=2,Dados!$AF$60,IF($E$27=3,Dados!$AH$60,IF($E$27=4,Dados!$AJ$60,IF($E$27=5,Dados!$AL$60,IF($E$27=6,Dados!$AN$60,IF($E$27=7,Dados!$AP$60,IF($E$27=8,Dados!$AT$60,0)))))))</f>
        <v>0</v>
      </c>
      <c r="DI52" s="316">
        <f>IF($E$28=2,Dados!$AE$60,IF($E$28=3,Dados!$AG$60,IF($E$28=4,Dados!$AI$60,IF($E$28=5,Dados!$AK$60,IF($E$28=6,Dados!$AM$60,IF($E$28=7,Dados!$AO$60,IF($E$28=8,Dados!$AS$60,0)))))))</f>
        <v>0</v>
      </c>
      <c r="DJ52" s="304">
        <f>IF($E$28=2,Dados!$AF$60,IF($E$28=3,Dados!$AH$60,IF($E$28=4,Dados!$AJ$60,IF($E$28=5,Dados!$AL$60,IF($E$28=6,Dados!$AN$60,IF($E$28=7,Dados!$AP$60,IF($E$28=8,Dados!$AT$60,0)))))))</f>
        <v>0</v>
      </c>
      <c r="DK52" s="316">
        <f>IF($E$29=2,Dados!$AE$60,IF($E$29=3,Dados!$AG$60,IF($E$29=4,Dados!$AI$60,IF($E$29=5,Dados!$AK$60,IF($E$29=6,Dados!$AM$60,IF($E$29=7,Dados!$AO$60,IF($E$29=8,Dados!$AS$60,0)))))))</f>
        <v>0</v>
      </c>
      <c r="DL52" s="304">
        <f>IF($E$29=2,Dados!$AF$60,IF($E$29=3,Dados!$AH$60,IF($E$29=4,Dados!$AJ$60,IF($E$29=5,Dados!$AL$60,IF($E$29=6,Dados!$AN$60,IF($E$29=7,Dados!$AP$60,IF($E$29=8,Dados!$AT$60,0)))))))</f>
        <v>0</v>
      </c>
      <c r="DN52" s="316">
        <f>IF($E$34=2,Dados!$AE$60,IF($E$34=3,Dados!$AG$60,IF($E$34=4,Dados!$AI$60,IF($E$34=5,Dados!$AK$60,IF($E$34=6,Dados!$AM$60,IF($E$34=7,Dados!$AO$60,IF($E$34=8,Dados!$AS$60,0)))))))</f>
        <v>0</v>
      </c>
      <c r="DO52" s="304">
        <f>IF($E$34=2,Dados!$AF$60,IF($E$34=3,Dados!$AH$60,IF($E$34=4,Dados!$AJ$60,IF($E$34=5,Dados!$AL$60,IF($E$34=6,Dados!$AN$60,IF($E$34=7,Dados!$AP$60,IF($E$34=8,Dados!$AT$60,0)))))))</f>
        <v>0</v>
      </c>
      <c r="DP52" s="316">
        <f>IF($E$35=2,Dados!$AE$60,IF($E$35=3,Dados!$AG$60,IF($E$35=4,Dados!$AI$60,IF($E$35=5,Dados!$AK$60,IF($E$35=6,Dados!$AM$60,IF($E$35=7,Dados!$AO$60,IF($E$35=8,Dados!$AS$60,0)))))))</f>
        <v>0</v>
      </c>
      <c r="DQ52" s="304">
        <f>IF($E$35=2,Dados!$AF$60,IF($E$35=3,Dados!$AH$60,IF($E$35=4,Dados!$AJ$60,IF($E$35=5,Dados!$AL$60,IF($E$35=6,Dados!$AN$60,IF($E$35=7,Dados!$AP$60,IF($E$35=8,Dados!$AT$60,0)))))))</f>
        <v>0</v>
      </c>
      <c r="DR52" s="316">
        <f>IF($E$36=2,Dados!$AE$60,IF($E$36=3,Dados!$AG$60,IF($E$36=4,Dados!$AI$60,IF($E$36=5,Dados!$AK$60,IF($E$36=6,Dados!$AM$60,IF($E$36=7,Dados!$AO$60,IF($E$36=8,Dados!$AS$60,0)))))))</f>
        <v>0</v>
      </c>
      <c r="DS52" s="304">
        <f>IF($E$36=2,Dados!$AF$60,IF($E$36=3,Dados!$AH$60,IF($E$36=4,Dados!$AJ$60,IF($E$36=5,Dados!$AL$60,IF($E$36=6,Dados!$AN$60,IF($E$36=7,Dados!$AP$60,IF($E$36=8,Dados!$AT$60,0)))))))</f>
        <v>0</v>
      </c>
      <c r="DT52" s="316">
        <f>IF($E$37=2,Dados!$AE$60,IF($E$37=3,Dados!$AG$60,IF($E$37=4,Dados!$AI$60,IF($E$37=5,Dados!$AK$60,IF($E$37=6,Dados!$AM$60,IF($E$37=7,Dados!$AO$60,IF($E$37=8,Dados!$AS$60,0)))))))</f>
        <v>0</v>
      </c>
      <c r="DU52" s="304">
        <f>IF($E$37=2,Dados!$AF$60,IF($E$37=3,Dados!$AH$60,IF($E$37=4,Dados!$AJ$60,IF($E$37=5,Dados!$AL$60,IF($E$37=6,Dados!$AN$60,IF($E$37=7,Dados!$AP$60,IF($E$37=8,Dados!$AT$60,0)))))))</f>
        <v>0</v>
      </c>
      <c r="DV52" s="316">
        <f>IF($E$38=2,Dados!$AE$60,IF($E$38=3,Dados!$AG$60,IF($E$38=4,Dados!$AI$60,IF($E$38=5,Dados!$AK$60,IF($E$38=6,Dados!$AM$60,IF($E$38=7,Dados!$AO$60,IF($E$38=8,Dados!$AS$60,0)))))))</f>
        <v>0</v>
      </c>
      <c r="DW52" s="304">
        <f>IF($E$38=2,Dados!$AF$60,IF($E$38=3,Dados!$AH$60,IF($E$38=4,Dados!$AJ$60,IF($E$38=5,Dados!$AL$60,IF($E$38=6,Dados!$AN$60,IF($E$38=7,Dados!$AP$60,IF($E$38=8,Dados!$AT$60,0)))))))</f>
        <v>0</v>
      </c>
      <c r="DY52" s="316">
        <f>IF($E$43=2,Dados!$AE$60,IF($E$43=3,Dados!$AG$60,IF($E$43=4,Dados!$AI$60,IF($E$43=5,Dados!$AK$60,IF($E$43=6,Dados!$AM$60,IF($E$43=7,Dados!$AO$60,IF($E$43=8,Dados!$AS$60,0)))))))</f>
        <v>0</v>
      </c>
      <c r="DZ52" s="304">
        <f>IF($E$43=2,Dados!$AF$60,IF($E$43=3,Dados!$AH$60,IF($E$43=4,Dados!$AJ$60,IF($E$43=5,Dados!$AL$60,IF($E$43=6,Dados!$AN$60,IF($E$43=7,Dados!$AP$60,IF($E$43=8,Dados!$AT$60,0)))))))</f>
        <v>0</v>
      </c>
      <c r="EA52" s="316">
        <f>IF($E$44=2,Dados!$AE$60,IF($E$44=3,Dados!$AG$60,IF($E$44=4,Dados!$AI$60,IF($E$44=5,Dados!$AK$60,IF($E$44=6,Dados!$AM$60,IF($E$44=7,Dados!$AO$60,IF($E$44=8,Dados!$AS$60,0)))))))</f>
        <v>0</v>
      </c>
      <c r="EB52" s="304">
        <f>IF($E$44=2,Dados!$AF$60,IF($E$44=3,Dados!$AH$60,IF($E$44=4,Dados!$AJ$60,IF($E$44=5,Dados!$AL$60,IF($E$44=6,Dados!$AN$60,IF($E$44=7,Dados!$AP$60,IF($E$44=8,Dados!$AT$60,0)))))))</f>
        <v>0</v>
      </c>
      <c r="EC52" s="316">
        <f>IF($E$45=2,Dados!$AE$60,IF($E$45=3,Dados!$AG$60,IF($E$45=4,Dados!$AI$60,IF($E$45=5,Dados!$AK$60,IF($E$45=6,Dados!$AM$60,IF($E$45=7,Dados!$AO$60,IF($E$45=8,Dados!$AS$60,0)))))))</f>
        <v>0</v>
      </c>
      <c r="ED52" s="304">
        <f>IF($E$45=2,Dados!$AF$60,IF($E$45=3,Dados!$AH$60,IF($E$45=4,Dados!$AJ$60,IF($E$45=5,Dados!$AL$60,IF($E$45=6,Dados!$AN$60,IF($E$45=7,Dados!$AP$60,IF($E$45=8,Dados!$AT$60,0)))))))</f>
        <v>0</v>
      </c>
      <c r="EE52" s="316">
        <f>IF($E$46=2,Dados!$AE$60,IF($E$46=3,Dados!$AG$60,IF($E$46=4,Dados!$AI$60,IF($E$46=5,Dados!$AK$60,IF($E$46=6,Dados!$AM$60,IF($E$46=7,Dados!$AO$60,IF($E$46=8,Dados!$AS$60,0)))))))</f>
        <v>0</v>
      </c>
      <c r="EF52" s="304">
        <f>IF($E$46=2,Dados!$AF$60,IF($E$46=3,Dados!$AH$60,IF($E$46=4,Dados!$AJ$60,IF($E$46=5,Dados!$AL$60,IF($E$46=6,Dados!$AN$60,IF($E$46=7,Dados!$AP$60,IF($E$46=8,Dados!$AT$60,0)))))))</f>
        <v>0</v>
      </c>
      <c r="EG52" s="316">
        <f>IF($E$47=2,Dados!$AE$60,IF($E$47=3,Dados!$AG$60,IF($E$47=4,Dados!$AI$60,IF($E$47=5,Dados!$AK$60,IF($E$47=6,Dados!$AM$60,IF($E$47=7,Dados!$AO$60,IF($E$47=8,Dados!$AS$60,0)))))))</f>
        <v>0</v>
      </c>
      <c r="EH52" s="304">
        <f>IF($E$47=2,Dados!$AF$60,IF($E$47=3,Dados!$AH$60,IF($E$47=4,Dados!$AJ$60,IF($E$47=5,Dados!$AL$60,IF($E$47=6,Dados!$AN$60,IF($E$47=7,Dados!$AP$60,IF($E$47=8,Dados!$AT$60,0)))))))</f>
        <v>0</v>
      </c>
      <c r="EJ52" s="316">
        <f>IF($E$52=2,Dados!$AE$60,IF($E$52=3,Dados!$AG$60,IF($E$52=4,Dados!$AI$60,IF($E$52=5,Dados!$AK$60,IF($E$52=6,Dados!$AM$60,IF($E$52=7,Dados!$AO$60,IF($E$52=8,Dados!$AS$60,0)))))))</f>
        <v>0</v>
      </c>
      <c r="EK52" s="304">
        <f>IF($E$52=2,Dados!$AF$60,IF($E$52=3,Dados!$AH$60,IF($E$52=4,Dados!$AJ$60,IF($E$52=5,Dados!$AL$60,IF($E$52=6,Dados!$AN$60,IF($E$52=7,Dados!$AP$60,IF($E$52=8,Dados!$AT$60,0)))))))</f>
        <v>0</v>
      </c>
      <c r="EL52" s="316">
        <f>IF($E$53=2,Dados!$AE$60,IF($E$53=3,Dados!$AG$60,IF($E$53=4,Dados!$AI$60,IF($E$53=5,Dados!$AK$60,IF($E$53=6,Dados!$AM$60,IF($E$53=7,Dados!$AO$60,IF($E$53=8,Dados!$AS$60,0)))))))</f>
        <v>0</v>
      </c>
      <c r="EM52" s="304">
        <f>IF($E$53=2,Dados!$AF$60,IF($E$53=3,Dados!$AH$60,IF($E$53=4,Dados!$AJ$60,IF($E$53=5,Dados!$AL$60,IF($E$53=6,Dados!$AN$60,IF($E$53=7,Dados!$AP$60,IF($E$53=8,Dados!$AT$60,0)))))))</f>
        <v>0</v>
      </c>
      <c r="EN52" s="316">
        <f>IF($E$54=2,Dados!$AE$60,IF($E$54=3,Dados!$AG$60,IF($E$54=4,Dados!$AI$60,IF($E$54=5,Dados!$AK$60,IF($E$54=6,Dados!$AM$60,IF($E$54=7,Dados!$AO$60,IF($E$54=8,Dados!$AS$60,0)))))))</f>
        <v>0</v>
      </c>
      <c r="EO52" s="304">
        <f>IF($E$54=2,Dados!$AF$60,IF($E$54=3,Dados!$AH$60,IF($E$54=4,Dados!$AJ$60,IF($E$54=5,Dados!$AL$60,IF($E$54=6,Dados!$AN$60,IF($E$54=7,Dados!$AP$60,IF($E$54=8,Dados!$AT$60,0)))))))</f>
        <v>0</v>
      </c>
      <c r="EP52" s="316">
        <f>IF($E$55=2,Dados!$AE$60,IF($E$55=3,Dados!$AG$60,IF($E$55=4,Dados!$AI$60,IF($E$55=5,Dados!$AK$60,IF($E$55=6,Dados!$AM$60,IF($E$55=7,Dados!$AO$60,IF($E$55=8,Dados!$AS$60,0)))))))</f>
        <v>0</v>
      </c>
      <c r="EQ52" s="304">
        <f>IF($E$55=2,Dados!$AF$60,IF($E$55=3,Dados!$AH$60,IF($E$55=4,Dados!$AJ$60,IF($E$55=5,Dados!$AL$60,IF($E$55=6,Dados!$AN$60,IF($E$55=7,Dados!$AP$60,IF($E$55=8,Dados!$AT$60,0)))))))</f>
        <v>0</v>
      </c>
      <c r="ER52" s="316">
        <f>IF($E$56=2,Dados!$AE$60,IF($E$56=3,Dados!$AG$60,IF($E$56=4,Dados!$AI$60,IF($E$56=5,Dados!$AK$60,IF($E$56=6,Dados!$AM$60,IF($E$56=7,Dados!$AO$60,IF($E$56=8,Dados!$AS$60,0)))))))</f>
        <v>0</v>
      </c>
      <c r="ES52" s="304">
        <f>IF($E$56=2,Dados!$AF$60,IF($E$56=3,Dados!$AH$60,IF($E$56=4,Dados!$AJ$60,IF($E$56=5,Dados!$AL$60,IF($E$56=6,Dados!$AN$60,IF($E$56=7,Dados!$AP$60,IF($E$56=8,Dados!$AT$60,0)))))))</f>
        <v>0</v>
      </c>
      <c r="EU52" s="316">
        <f>IF($E$61=2,Dados!$AE$60,IF($E$61=3,Dados!$AG$60,IF($E$61=4,Dados!$AI$60,IF($E$61=5,Dados!$AK$60,IF($E$61=6,Dados!$AM$60,IF($E$61=7,Dados!$AO$60,IF($E$61=8,Dados!$AS$60,0)))))))</f>
        <v>0</v>
      </c>
      <c r="EV52" s="304">
        <f>IF($E$61=2,Dados!$AF$60,IF($E$61=3,Dados!$AH$60,IF($E$61=4,Dados!$AJ$60,IF($E$61=5,Dados!$AL$60,IF($E$61=6,Dados!$AN$60,IF($E$61=7,Dados!$AP$60,IF($E$61=8,Dados!$AT$60,0)))))))</f>
        <v>0</v>
      </c>
      <c r="EW52" s="316">
        <f>IF($E$62=2,Dados!$AE$60,IF($E$62=3,Dados!$AG$60,IF($E$62=4,Dados!$AI$60,IF($E$62=5,Dados!$AK$60,IF($E$62=6,Dados!$AM$60,IF($E$62=7,Dados!$AO$60,IF($E$62=8,Dados!$AS$60,0)))))))</f>
        <v>0</v>
      </c>
      <c r="EX52" s="304">
        <f>IF($E$62=2,Dados!$AF$60,IF($E$62=3,Dados!$AH$60,IF($E$62=4,Dados!$AJ$60,IF($E$62=5,Dados!$AL$60,IF($E$62=6,Dados!$AN$60,IF($E$62=7,Dados!$AP$60,IF($E$62=8,Dados!$AT$60,0)))))))</f>
        <v>0</v>
      </c>
      <c r="EY52" s="316">
        <f>IF($E$63=2,Dados!$AE$60,IF($E$63=3,Dados!$AG$60,IF($E$63=4,Dados!$AI$60,IF($E$63=5,Dados!$AK$60,IF($E$63=6,Dados!$AM$60,IF($E$63=7,Dados!$AO$60,IF($E$63=8,Dados!$AS$60,0)))))))</f>
        <v>0</v>
      </c>
      <c r="EZ52" s="304">
        <f>IF($E$63=2,Dados!$AF$60,IF($E$63=3,Dados!$AH$60,IF($E$63=4,Dados!$AJ$60,IF($E$63=5,Dados!$AL$60,IF($E$63=6,Dados!$AN$60,IF($E$63=7,Dados!$AP$60,IF($E$63=8,Dados!$AT$60,0)))))))</f>
        <v>0</v>
      </c>
      <c r="FA52" s="316">
        <f>IF($E$64=2,Dados!$AE$60,IF($E$64=3,Dados!$AG$60,IF($E$64=4,Dados!$AI$60,IF($E$64=5,Dados!$AK$60,IF($E$64=6,Dados!$AM$60,IF($E$64=7,Dados!$AO$60,IF($E$64=8,Dados!$AS$60,0)))))))</f>
        <v>0</v>
      </c>
      <c r="FB52" s="304">
        <f>IF($E$64=2,Dados!$AF$60,IF($E$64=3,Dados!$AH$60,IF($E$64=4,Dados!$AJ$60,IF($E$64=5,Dados!$AL$60,IF($E$64=6,Dados!$AN$60,IF($E$64=7,Dados!$AP$60,IF($E$64=8,Dados!$AT$60,0)))))))</f>
        <v>0</v>
      </c>
      <c r="FC52" s="316">
        <f>IF($E$65=2,Dados!$AE$60,IF($E$65=3,Dados!$AG$60,IF($E$65=4,Dados!$AI$60,IF($E$65=5,Dados!$AK$60,IF($E$65=6,Dados!$AM$60,IF($E$65=7,Dados!$AO$60,IF($E$65=8,Dados!$AS$60,0)))))))</f>
        <v>0</v>
      </c>
      <c r="FD52" s="304">
        <f>IF($E$65=2,Dados!$AF$60,IF($E$65=3,Dados!$AH$60,IF($E$65=4,Dados!$AJ$60,IF($E$65=5,Dados!$AL$60,IF($E$65=6,Dados!$AN$60,IF($E$65=7,Dados!$AP$60,IF($E$65=8,Dados!$AT$60,0)))))))</f>
        <v>0</v>
      </c>
      <c r="FF52" s="316">
        <f>IF($E$70=2,Dados!$AE$60,IF($E$70=3,Dados!$AG$60,IF($E$70=4,Dados!$AI$60,IF($E$70=5,Dados!$AK$60,IF($E$70=6,Dados!$AM$60,IF($E$70=7,Dados!$AO$60,IF($E$70=8,Dados!$AS$60,0)))))))</f>
        <v>0</v>
      </c>
      <c r="FG52" s="304">
        <f>IF($E$70=2,Dados!$AF$60,IF($E$70=3,Dados!$AH$60,IF($E$70=4,Dados!$AJ$60,IF($E$70=5,Dados!$AL$60,IF($E$70=6,Dados!$AN$60,IF($E$70=7,Dados!$AP$60,IF($E$70=8,Dados!$AT$60,0)))))))</f>
        <v>0</v>
      </c>
      <c r="FH52" s="316">
        <f>IF($E$71=2,Dados!$AE$60,IF($E$71=3,Dados!$AG$60,IF($E$71=4,Dados!$AI$60,IF($E$71=5,Dados!$AK$60,IF($E$71=6,Dados!$AM$60,IF($E$71=7,Dados!$AO$60,IF($E$71=8,Dados!$AS$60,0)))))))</f>
        <v>0</v>
      </c>
      <c r="FI52" s="304">
        <f>IF($E$71=2,Dados!$AF$60,IF($E$71=3,Dados!$AH$60,IF($E$71=4,Dados!$AJ$60,IF($E$71=5,Dados!$AL$60,IF($E$71=6,Dados!$AN$60,IF($E$71=7,Dados!$AP$60,IF($E$71=8,Dados!$AT$60,0)))))))</f>
        <v>0</v>
      </c>
      <c r="FJ52" s="316">
        <f>IF($E$72=2,Dados!$AE$60,IF($E$72=3,Dados!$AG$60,IF($E$72=4,Dados!$AI$60,IF($E$72=5,Dados!$AK$60,IF($E$72=6,Dados!$AM$60,IF($E$72=7,Dados!$AO$60,IF($E$72=8,Dados!$AS$60,0)))))))</f>
        <v>0</v>
      </c>
      <c r="FK52" s="304">
        <f>IF($E$72=2,Dados!$AF$60,IF($E$72=3,Dados!$AH$60,IF($E$72=4,Dados!$AJ$60,IF($E$72=5,Dados!$AL$60,IF($E$72=6,Dados!$AN$60,IF($E$72=7,Dados!$AP$60,IF($E$72=8,Dados!$AT$60,0)))))))</f>
        <v>0</v>
      </c>
      <c r="FL52" s="316">
        <f>IF($E$73=2,Dados!$AE$60,IF($E$73=3,Dados!$AG$60,IF($E$73=4,Dados!$AI$60,IF($E$73=5,Dados!$AK$60,IF($E$73=6,Dados!$AM$60,IF($E$73=7,Dados!$AO$60,IF($E$73=8,Dados!$AS$60,0)))))))</f>
        <v>0</v>
      </c>
      <c r="FM52" s="304">
        <f>IF($E$73=2,Dados!$AF$60,IF($E$73=3,Dados!$AH$60,IF($E$73=4,Dados!$AJ$60,IF($E$73=5,Dados!$AL$60,IF($E$73=6,Dados!$AN$60,IF($E$73=7,Dados!$AP$60,IF($E$73=8,Dados!$AT$60,0)))))))</f>
        <v>0</v>
      </c>
      <c r="FN52" s="316">
        <f>IF($E$74=2,Dados!$AE$60,IF($E$74=3,Dados!$AG$60,IF($E$74=4,Dados!$AI$60,IF($E$74=5,Dados!$AK$60,IF($E$74=6,Dados!$AM$60,IF($E$74=7,Dados!$AO$60,IF($E$74=8,Dados!$AS$60,0)))))))</f>
        <v>0</v>
      </c>
      <c r="FO52" s="304">
        <f>IF($E$74=2,Dados!$AF$60,IF($E$74=3,Dados!$AH$60,IF($E$74=4,Dados!$AJ$60,IF($E$74=5,Dados!$AL$60,IF($E$74=6,Dados!$AN$60,IF($E$74=7,Dados!$AP$60,IF($E$74=8,Dados!$AT$60,0)))))))</f>
        <v>0</v>
      </c>
      <c r="FQ52" s="316">
        <f>IF($E$79=2,Dados!$AE$60,IF($E$79=3,Dados!$AG$60,IF($E$79=4,Dados!$AI$60,IF($E$79=5,Dados!$AK$60,IF($E$79=6,Dados!$AM$60,IF($E$79=7,Dados!$AO$60,IF($E$79=8,Dados!$AS$60,0)))))))</f>
        <v>0</v>
      </c>
      <c r="FR52" s="304">
        <f>IF($E$79=2,Dados!$AF$60,IF($E$79=3,Dados!$AH$60,IF($E$79=4,Dados!$AJ$60,IF($E$79=5,Dados!$AL$60,IF($E$79=6,Dados!$AN$60,IF($E$79=7,Dados!$AP$60,IF($E$79=8,Dados!$AT$60,0)))))))</f>
        <v>0</v>
      </c>
      <c r="FS52" s="316">
        <f>IF($E$80=2,Dados!$AE$60,IF($E$80=3,Dados!$AG$60,IF($E$80=4,Dados!$AI$60,IF($E$80=5,Dados!$AK$60,IF($E$80=6,Dados!$AM$60,IF($E$80=7,Dados!$AO$60,IF($E$80=8,Dados!$AS$60,0)))))))</f>
        <v>0</v>
      </c>
      <c r="FT52" s="304">
        <f>IF($E$80=2,Dados!$AF$60,IF($E$80=3,Dados!$AH$60,IF($E$80=4,Dados!$AJ$60,IF($E$80=5,Dados!$AL$60,IF($E$80=6,Dados!$AN$60,IF($E$80=7,Dados!$AP$60,IF($E$80=8,Dados!$AT$60,0)))))))</f>
        <v>0</v>
      </c>
      <c r="FU52" s="316">
        <f>IF($E$81=2,Dados!$AE$60,IF($E$81=3,Dados!$AG$60,IF($E$81=4,Dados!$AI$60,IF($E$81=5,Dados!$AK$60,IF($E$81=6,Dados!$AM$60,IF($E$81=7,Dados!$AO$60,IF($E$81=8,Dados!$AS$60,0)))))))</f>
        <v>0</v>
      </c>
      <c r="FV52" s="304">
        <f>IF($E$81=2,Dados!$AF$60,IF($E$81=3,Dados!$AH$60,IF($E$81=4,Dados!$AJ$60,IF($E$81=5,Dados!$AL$60,IF($E$81=6,Dados!$AN$60,IF($E$81=7,Dados!$AP$60,IF($E$81=8,Dados!$AT$60,0)))))))</f>
        <v>0</v>
      </c>
      <c r="FW52" s="316">
        <f>IF($E$82=2,Dados!$AE$60,IF($E$82=3,Dados!$AG$60,IF($E$82=4,Dados!$AI$60,IF($E$82=5,Dados!$AK$60,IF($E$82=6,Dados!$AM$60,IF($E$82=7,Dados!$AO$60,IF($E$82=8,Dados!$AS$60,0)))))))</f>
        <v>0</v>
      </c>
      <c r="FX52" s="304">
        <f>IF($E$82=2,Dados!$AF$60,IF($E$82=3,Dados!$AH$60,IF($E$82=4,Dados!$AJ$60,IF($E$82=5,Dados!$AL$60,IF($E$82=6,Dados!$AN$60,IF($E$82=7,Dados!$AP$60,IF($E$82=8,Dados!$AT$60,0)))))))</f>
        <v>0</v>
      </c>
      <c r="FY52" s="316">
        <f>IF($E$83=2,Dados!$AE$60,IF($E$83=3,Dados!$AG$60,IF($E$83=4,Dados!$AI$60,IF($E$83=5,Dados!$AK$60,IF($E$83=6,Dados!$AM$60,IF($E$83=7,Dados!$AO$60,IF($E$83=8,Dados!$AS$60,0)))))))</f>
        <v>0</v>
      </c>
      <c r="FZ52" s="304">
        <f>IF($E$83=2,Dados!$AF$60,IF($E$83=3,Dados!$AH$60,IF($E$83=4,Dados!$AJ$60,IF($E$83=5,Dados!$AL$60,IF($E$83=6,Dados!$AN$60,IF($E$83=7,Dados!$AP$60,IF($E$83=8,Dados!$AT$60,0)))))))</f>
        <v>0</v>
      </c>
      <c r="GB52" s="316">
        <f>IF($E$88=2,Dados!$AE$60,IF($E$88=3,Dados!$AG$60,IF($E$88=4,Dados!$AI$60,IF($E$88=5,Dados!$AK$60,IF($E$88=6,Dados!$AM$60,IF($E$88=7,Dados!$AO$60,IF($E$88=8,Dados!$AS$60,0)))))))</f>
        <v>0</v>
      </c>
      <c r="GC52" s="304">
        <f>IF($E$88=2,Dados!$AF$60,IF($E$88=3,Dados!$AH$60,IF($E$88=4,Dados!$AJ$60,IF($E$88=5,Dados!$AL$60,IF($E$88=6,Dados!$AN$60,IF($E$88=7,Dados!$AP$60,IF($E$88=8,Dados!$AT$60,0)))))))</f>
        <v>0</v>
      </c>
      <c r="GD52" s="316">
        <f>IF($E$89=2,Dados!$AE$60,IF($E$89=3,Dados!$AG$60,IF($E$89=4,Dados!$AI$60,IF($E$89=5,Dados!$AK$60,IF($E$89=6,Dados!$AM$60,IF($E$89=7,Dados!$AO$60,IF($E$89=8,Dados!$AS$60,0)))))))</f>
        <v>0</v>
      </c>
      <c r="GE52" s="304">
        <f>IF($E$89=2,Dados!$AF$60,IF($E$89=3,Dados!$AH$60,IF($E$89=4,Dados!$AJ$60,IF($E$89=5,Dados!$AL$60,IF($E$89=6,Dados!$AN$60,IF($E$89=7,Dados!$AP$60,IF($E$89=8,Dados!$AT$60,0)))))))</f>
        <v>0</v>
      </c>
      <c r="GF52" s="316">
        <f>IF($E$90=2,Dados!$AE$60,IF($E$90=3,Dados!$AG$60,IF($E$90=4,Dados!$AI$60,IF($E$90=5,Dados!$AK$60,IF($E$90=6,Dados!$AM$60,IF($E$90=7,Dados!$AO$60,IF($E$90=8,Dados!$AS$60,0)))))))</f>
        <v>0</v>
      </c>
      <c r="GG52" s="304">
        <f>IF($E$90=2,Dados!$AF$60,IF($E$90=3,Dados!$AH$60,IF($E$90=4,Dados!$AJ$60,IF($E$90=5,Dados!$AL$60,IF($E$90=6,Dados!$AN$60,IF($E$90=7,Dados!$AP$60,IF($E$90=8,Dados!$AT$60,0)))))))</f>
        <v>0</v>
      </c>
      <c r="GH52" s="316">
        <f>IF($E$91=2,Dados!$AE$60,IF($E$91=3,Dados!$AG$60,IF($E$91=4,Dados!$AI$60,IF($E$91=5,Dados!$AK$60,IF($E$91=6,Dados!$AM$60,IF($E$91=7,Dados!$AO$60,IF($E$91=8,Dados!$AS$60,0)))))))</f>
        <v>0</v>
      </c>
      <c r="GI52" s="304">
        <f>IF($E$91=2,Dados!$AF$60,IF($E$91=3,Dados!$AH$60,IF($E$91=4,Dados!$AJ$60,IF($E$91=5,Dados!$AL$60,IF($E$91=6,Dados!$AN$60,IF($E$91=7,Dados!$AP$60,IF($E$91=8,Dados!$AT$60,0)))))))</f>
        <v>0</v>
      </c>
      <c r="GJ52" s="316">
        <f>IF($E$92=2,Dados!$AE$60,IF($E$92=3,Dados!$AG$60,IF($E$92=4,Dados!$AI$60,IF($E$92=5,Dados!$AK$60,IF($E$92=6,Dados!$AM$60,IF($E$92=7,Dados!$AO$60,IF($E$92=8,Dados!$AS$60,0)))))))</f>
        <v>0</v>
      </c>
      <c r="GK52" s="304">
        <f>IF($E$92=2,Dados!$AF$60,IF($E$92=3,Dados!$AH$60,IF($E$92=4,Dados!$AJ$60,IF($E$92=5,Dados!$AL$60,IF($E$92=6,Dados!$AN$60,IF($E$92=7,Dados!$AP$60,IF($E$92=8,Dados!$AT$60,0)))))))</f>
        <v>0</v>
      </c>
      <c r="GM52" s="316">
        <f>IF($E$97=2,Dados!$AE$60,IF($E$97=3,Dados!$AG$60,IF($E$97=4,Dados!$AI$60,IF($E$97=5,Dados!$AK$60,IF($E$97=6,Dados!$AM$60,IF($E$97=7,Dados!$AO$60,IF($E$97=8,Dados!$AS$60,0)))))))</f>
        <v>0</v>
      </c>
      <c r="GN52" s="304">
        <f>IF($E$97=2,Dados!$AF$60,IF($E$97=3,Dados!$AH$60,IF($E$97=4,Dados!$AJ$60,IF($E$97=5,Dados!$AL$60,IF($E$97=6,Dados!$AN$60,IF($E$97=7,Dados!$AP$60,IF($E$97=8,Dados!$AT$60,0)))))))</f>
        <v>0</v>
      </c>
      <c r="GO52" s="316">
        <f>IF($E$98=2,Dados!$AE$60,IF($E$98=3,Dados!$AG$60,IF($E$98=4,Dados!$AI$60,IF($E$98=5,Dados!$AK$60,IF($E$98=6,Dados!$AM$60,IF($E$98=7,Dados!$AO$60,IF($E$98=8,Dados!$AS$60,0)))))))</f>
        <v>0</v>
      </c>
      <c r="GP52" s="304">
        <f>IF($E$98=2,Dados!$AF$60,IF($E$98=3,Dados!$AH$60,IF($E$98=4,Dados!$AJ$60,IF($E$98=5,Dados!$AL$60,IF($E$98=6,Dados!$AN$60,IF($E$98=7,Dados!$AP$60,IF($E$98=8,Dados!$AT$60,0)))))))</f>
        <v>0</v>
      </c>
      <c r="GQ52" s="316">
        <f>IF($E$99=2,Dados!$AE$60,IF($E$99=3,Dados!$AG$60,IF($E$99=4,Dados!$AI$60,IF($E$99=5,Dados!$AK$60,IF($E$99=6,Dados!$AM$60,IF($E$99=7,Dados!$AO$60,IF($E$99=8,Dados!$AS$60,0)))))))</f>
        <v>0</v>
      </c>
      <c r="GR52" s="304">
        <f>IF($E$99=2,Dados!$AF$60,IF($E$99=3,Dados!$AH$60,IF($E$99=4,Dados!$AJ$60,IF($E$99=5,Dados!$AL$60,IF($E$99=6,Dados!$AN$60,IF($E$99=7,Dados!$AP$60,IF($E$99=8,Dados!$AT$60,0)))))))</f>
        <v>0</v>
      </c>
      <c r="GS52" s="316">
        <f>IF($E$100=2,Dados!$AE$60,IF($E$100=3,Dados!$AG$60,IF($E$100=4,Dados!$AI$60,IF($E$100=5,Dados!$AK$60,IF($E$100=6,Dados!$AM$60,IF($E$100=7,Dados!$AO$60,IF($E$100=8,Dados!$AS$60,0)))))))</f>
        <v>0</v>
      </c>
      <c r="GT52" s="304">
        <f>IF($E$100=2,Dados!$AF$60,IF($E$100=3,Dados!$AH$60,IF($E$100=4,Dados!$AJ$60,IF($E$100=5,Dados!$AL$60,IF($E$100=6,Dados!$AN$60,IF($E$100=7,Dados!$AP$60,IF($E$100=8,Dados!$AT$60,0)))))))</f>
        <v>0</v>
      </c>
      <c r="GU52" s="316">
        <f>IF($E$101=2,Dados!$AE$60,IF($E$101=3,Dados!$AG$60,IF($E$101=4,Dados!$AI$60,IF($E$101=5,Dados!$AK$60,IF($E$101=6,Dados!$AM$60,IF($E$101=7,Dados!$AO$60,IF($E$101=8,Dados!$AS$60,0)))))))</f>
        <v>0</v>
      </c>
      <c r="GV52" s="304">
        <f>IF($E$101=2,Dados!$AF$60,IF($E$101=3,Dados!$AH$60,IF($E$101=4,Dados!$AJ$60,IF($E$101=5,Dados!$AL$60,IF($E$101=6,Dados!$AN$60,IF($E$101=7,Dados!$AP$60,IF($E$101=8,Dados!$AT$60,0)))))))</f>
        <v>0</v>
      </c>
      <c r="GX52" s="316">
        <f>IF($E$106=2,Dados!$AE$60,IF($E$106=3,Dados!$AG$60,IF($E$106=4,Dados!$AI$60,IF($E$106=5,Dados!$AK$60,IF($E$106=6,Dados!$AM$60,IF($E$106=7,Dados!$AO$60,IF($E$106=8,Dados!$AS$60,0)))))))</f>
        <v>0</v>
      </c>
      <c r="GY52" s="304">
        <f>IF($E$106=2,Dados!$AF$60,IF($E$106=3,Dados!$AH$60,IF($E$106=4,Dados!$AJ$60,IF($E$106=5,Dados!$AL$60,IF($E$106=6,Dados!$AN$60,IF($E$106=7,Dados!$AP$60,IF($E$106=8,Dados!$AT$60,0)))))))</f>
        <v>0</v>
      </c>
      <c r="GZ52" s="316">
        <f>IF($E$107=2,Dados!$AE$60,IF($E$107=3,Dados!$AG$60,IF($E$107=4,Dados!$AI$60,IF($E$107=5,Dados!$AK$60,IF($E$107=6,Dados!$AM$60,IF($E$107=7,Dados!$AO$60,IF($E$107=8,Dados!$AS$60,0)))))))</f>
        <v>0</v>
      </c>
      <c r="HA52" s="304">
        <f>IF($E$107=2,Dados!$AF$60,IF($E$107=3,Dados!$AH$60,IF($E$107=4,Dados!$AJ$60,IF($E$107=5,Dados!$AL$60,IF($E$107=6,Dados!$AN$60,IF($E$107=7,Dados!$AP$60,IF($E$107=8,Dados!$AT$60,0)))))))</f>
        <v>0</v>
      </c>
      <c r="HB52" s="316">
        <f>IF($E$108=2,Dados!$AE$60,IF($E$108=3,Dados!$AG$60,IF($E$108=4,Dados!$AI$60,IF($E$108=5,Dados!$AK$60,IF($E$108=6,Dados!$AM$60,IF($E$108=7,Dados!$AO$60,IF($E$108=8,Dados!$AS$60,0)))))))</f>
        <v>0</v>
      </c>
      <c r="HC52" s="304">
        <f>IF($E$108=2,Dados!$AF$60,IF($E$108=3,Dados!$AH$60,IF($E$108=4,Dados!$AJ$60,IF($E$108=5,Dados!$AL$60,IF($E$108=6,Dados!$AN$60,IF($E$108=7,Dados!$AP$60,IF($E$108=8,Dados!$AT$60,0)))))))</f>
        <v>0</v>
      </c>
      <c r="HD52" s="316">
        <f>IF($E$109=2,Dados!$AE$60,IF($E$109=3,Dados!$AG$60,IF($E$109=4,Dados!$AI$60,IF($E$109=5,Dados!$AK$60,IF($E$109=6,Dados!$AM$60,IF($E$109=7,Dados!$AO$60,IF($E$109=8,Dados!$AS$60,0)))))))</f>
        <v>0</v>
      </c>
      <c r="HE52" s="304">
        <f>IF($E$109=2,Dados!$AF$60,IF($E$109=3,Dados!$AH$60,IF($E$109=4,Dados!$AJ$60,IF($E$109=5,Dados!$AL$60,IF($E$109=6,Dados!$AN$60,IF($E$109=7,Dados!$AP$60,IF($E$109=8,Dados!$AT$60,0)))))))</f>
        <v>0</v>
      </c>
      <c r="HF52" s="316">
        <f>IF($E$110=2,Dados!$AE$60,IF($E$110=3,Dados!$AG$60,IF($E$110=4,Dados!$AI$60,IF($E$110=5,Dados!$AK$60,IF($E$110=6,Dados!$AM$60,IF($E$110=7,Dados!$AO$60,IF($E$110=8,Dados!$AS$60,0)))))))</f>
        <v>0</v>
      </c>
      <c r="HG52" s="304">
        <f>IF($E$110=2,Dados!$AF$60,IF($E$110=3,Dados!$AH$60,IF($E$110=4,Dados!$AJ$60,IF($E$110=5,Dados!$AL$60,IF($E$110=6,Dados!$AN$60,IF($E$110=7,Dados!$AP$60,IF($E$110=8,Dados!$AT$60,0)))))))</f>
        <v>0</v>
      </c>
    </row>
    <row r="53" spans="3:215" ht="15.75" customHeight="1" x14ac:dyDescent="0.2">
      <c r="C53" s="156">
        <f>IF(R53=1,0,S53)</f>
        <v>0</v>
      </c>
      <c r="D53" s="2721"/>
      <c r="E53" s="180">
        <v>1</v>
      </c>
      <c r="F53" s="2718">
        <v>1</v>
      </c>
      <c r="G53" s="2719"/>
      <c r="H53" s="284"/>
      <c r="I53" s="229"/>
      <c r="J53" s="314"/>
      <c r="K53" s="157"/>
      <c r="L53" s="305"/>
      <c r="M53" s="127">
        <f>IF(I53=1,K53,IF(I53=2,K53/J53,IF(I53=3,K53*L53,0)))</f>
        <v>0</v>
      </c>
      <c r="N53" s="3">
        <v>1</v>
      </c>
      <c r="O53" s="30">
        <v>1</v>
      </c>
      <c r="P53" s="837">
        <f>IF(N53=1,0,VLOOKUP(N53,Rebanho!$AN$45:$AV$72,4)*O53)</f>
        <v>0</v>
      </c>
      <c r="Q53" s="838">
        <f>VLOOKUP(N53,Rebanho!$AN$45:$AV$72,7)*O53</f>
        <v>0</v>
      </c>
      <c r="R53" s="3">
        <v>1</v>
      </c>
      <c r="S53" s="29"/>
      <c r="T53" s="102">
        <f>VLOOKUP(R53,'Mão-de-obra'!$CJ$10:$CL$29,3)</f>
        <v>0</v>
      </c>
      <c r="U53" s="102">
        <f>T53*S53</f>
        <v>0</v>
      </c>
      <c r="V53" s="127">
        <f>IF(I53=1,M53*P53,IF(I53=2,M53*Q53*L53,IF(I53=3,M53,0)))</f>
        <v>0</v>
      </c>
      <c r="W53" s="129">
        <f>U53+V53</f>
        <v>0</v>
      </c>
      <c r="X53" s="93">
        <v>1</v>
      </c>
      <c r="Y53" s="93">
        <v>1</v>
      </c>
      <c r="Z53" s="127">
        <f t="shared" ref="Z53:Z56" si="14">IF(P53=0,0,((W53/P53+U53/P53)*O53))</f>
        <v>0</v>
      </c>
      <c r="AW53" s="3" t="s">
        <v>466</v>
      </c>
      <c r="AX53" s="94">
        <f>IF($E52=3,$V52,0)</f>
        <v>0</v>
      </c>
      <c r="AY53" s="94">
        <f>IF($E53=3,$V53,0)</f>
        <v>0</v>
      </c>
      <c r="AZ53" s="94">
        <f>IF($E54=3,$V54,0)</f>
        <v>0</v>
      </c>
      <c r="BA53" s="94">
        <f>IF($E55=3,$V55,0)</f>
        <v>0</v>
      </c>
      <c r="BB53" s="94">
        <f>IF($E56=3,$V56,0)</f>
        <v>0</v>
      </c>
      <c r="BC53" s="200">
        <f t="shared" si="13"/>
        <v>0</v>
      </c>
      <c r="CF53" s="93">
        <v>48</v>
      </c>
      <c r="CG53" s="316">
        <f>IF($E$7=2,Dados!$AE$61,IF($E$7=3,Dados!$AG$61,IF($E$7=4,Dados!$AI$61,IF($E$7=5,Dados!$AK$61,IF($E$7=6,Dados!$AM$61,IF($E$7=7,Dados!$AO$61,IF($E$7=8,Dados!$AS$61,0)))))))</f>
        <v>0</v>
      </c>
      <c r="CH53" s="304">
        <f>IF($E$7=2,Dados!$AF$61,IF($E$7=3,Dados!$AH$61,IF($E$7=4,Dados!$AJ$61,IF($E$7=5,Dados!$AL$61,IF($E$7=6,Dados!$AN$61,IF($E$7=7,Dados!$AP$61,IF($E$7=8,Dados!$AT$61,0)))))))</f>
        <v>0</v>
      </c>
      <c r="CI53" s="316">
        <f>IF($E$8=2,Dados!$AE$61,IF($E$8=3,Dados!$AG$61,IF($E$8=4,Dados!$AI$61,IF($E$8=5,Dados!$AK$61,IF($E$8=6,Dados!$AM$61,IF($E$8=7,Dados!$AO$61,IF($E$8=8,Dados!$AS$61,0)))))))</f>
        <v>0</v>
      </c>
      <c r="CJ53" s="304">
        <f>IF($E$8=2,Dados!$AF$61,IF($E$8=3,Dados!$AH$61,IF($E$8=4,Dados!$AJ$61,IF($E$8=5,Dados!$AL$61,IF($E$8=6,Dados!$AN$61,IF($E$8=7,Dados!$AP$61,IF($E$8=8,Dados!$AT$61,0)))))))</f>
        <v>0</v>
      </c>
      <c r="CK53" s="316">
        <f>IF($E$9=2,Dados!$AE$61,IF($E$9=3,Dados!$AG$61,IF($E$9=4,Dados!$AI$61,IF($E$9=5,Dados!$AK$61,IF($E$9=6,Dados!$AM$61,IF($E$9=7,Dados!$AO$61,IF($E$9=8,Dados!$AS$61,0)))))))</f>
        <v>0</v>
      </c>
      <c r="CL53" s="304">
        <f>IF($E$9=2,Dados!$AF$61,IF($E$9=3,Dados!$AH$61,IF($E$9=4,Dados!$AJ$61,IF($E$9=5,Dados!$AL$61,IF($E$9=6,Dados!$AN$61,IF($E$9=7,Dados!$AP$61,IF($E$9=8,Dados!$AT$61,0)))))))</f>
        <v>0</v>
      </c>
      <c r="CM53" s="316">
        <f>IF($E$10=2,Dados!$AE$61,IF($E$10=3,Dados!$AG$61,IF($E$10=4,Dados!$AI$61,IF($E$10=5,Dados!$AK$61,IF($E$10=6,Dados!$AM$61,IF($E$10=7,Dados!$AO$61,IF($E$10=8,Dados!$AS$61,0)))))))</f>
        <v>0</v>
      </c>
      <c r="CN53" s="304">
        <f>IF($E$10=2,Dados!$AF$61,IF($E$10=3,Dados!$AH$61,IF($E$10=4,Dados!$AJ$61,IF($E$10=5,Dados!$AL$61,IF($E$10=6,Dados!$AN$61,IF($E$10=7,Dados!$AP$61,IF($E$10=8,Dados!$AT$61,0)))))))</f>
        <v>0</v>
      </c>
      <c r="CO53" s="316">
        <f>IF($E$11=2,Dados!$AE$61,IF($E$11=3,Dados!$AG$61,IF($E$11=4,Dados!$AI$61,IF($E$11=5,Dados!$AK$61,IF($E$11=6,Dados!$AM$61,IF($E$11=7,Dados!$AO$61,IF($E$11=8,Dados!$AS$61,0)))))))</f>
        <v>0</v>
      </c>
      <c r="CP53" s="304">
        <f>IF($E$11=2,Dados!$AF$61,IF($E$11=3,Dados!$AH$61,IF($E$11=4,Dados!$AJ$61,IF($E$11=5,Dados!$AL$61,IF($E$11=6,Dados!$AN$61,IF($E$11=7,Dados!$AP$61,IF($E$11=8,Dados!$AT$61,0)))))))</f>
        <v>0</v>
      </c>
      <c r="CR53" s="316">
        <f>IF($E$16=2,Dados!$AE$61,IF($E$16=3,Dados!$AG$61,IF($E$16=4,Dados!$AI$61,IF($E$16=5,Dados!$AK$61,IF($E$16=6,Dados!$AM$61,IF($E$16=7,Dados!$AO$61,IF($E$16=8,Dados!$AS$61,0)))))))</f>
        <v>0</v>
      </c>
      <c r="CS53" s="304">
        <f>IF($E$16=2,Dados!$AF$61,IF($E$16=3,Dados!$AH$61,IF($E$16=4,Dados!$AJ$61,IF($E$16=5,Dados!$AL$61,IF($E$16=6,Dados!$AN$61,IF($E$16=7,Dados!$AP$61,IF($E$16=8,Dados!$AT$61,0)))))))</f>
        <v>0</v>
      </c>
      <c r="CT53" s="316">
        <f>IF($E$17=2,Dados!$AE$61,IF($E$17=3,Dados!$AG$61,IF($E$17=4,Dados!$AI$61,IF($E$17=5,Dados!$AK$61,IF($E$17=6,Dados!$AM$61,IF($E$17=7,Dados!$AO$61,IF($E$17=8,Dados!$AS$61,0)))))))</f>
        <v>0</v>
      </c>
      <c r="CU53" s="304">
        <f>IF($E$17=2,Dados!$AF$61,IF($E$17=3,Dados!$AH$61,IF($E$17=4,Dados!$AJ$61,IF($E$17=5,Dados!$AL$61,IF($E$17=6,Dados!$AN$61,IF($E$17=7,Dados!$AP$61,IF($E$17=8,Dados!$AT$61,0)))))))</f>
        <v>0</v>
      </c>
      <c r="CV53" s="316">
        <f>IF($E$18=2,Dados!$AE$61,IF($E$18=3,Dados!$AG$61,IF($E$18=4,Dados!$AI$61,IF($E$18=5,Dados!$AK$61,IF($E$18=6,Dados!$AM$61,IF($E$18=7,Dados!$AO$61,IF($E$18=8,Dados!$AS$61,0)))))))</f>
        <v>0</v>
      </c>
      <c r="CW53" s="304">
        <f>IF($E$18=2,Dados!$AF$61,IF($E$18=3,Dados!$AH$61,IF($E$18=4,Dados!$AJ$61,IF($E$18=5,Dados!$AL$61,IF($E$18=6,Dados!$AN$61,IF($E$18=7,Dados!$AP$61,IF($E$18=8,Dados!$AT$61,0)))))))</f>
        <v>0</v>
      </c>
      <c r="CX53" s="316">
        <f>IF($E$19=2,Dados!$AE$61,IF($E$19=3,Dados!$AG$61,IF($E$19=4,Dados!$AI$61,IF($E$19=5,Dados!$AK$61,IF($E$19=6,Dados!$AM$61,IF($E$19=7,Dados!$AO$61,IF($E$19=8,Dados!$AS$61,0)))))))</f>
        <v>0</v>
      </c>
      <c r="CY53" s="304">
        <f>IF($E$19=2,Dados!$AF$61,IF($E$19=3,Dados!$AH$61,IF($E$19=4,Dados!$AJ$61,IF($E$19=5,Dados!$AL$61,IF($E$19=6,Dados!$AN$61,IF($E$19=7,Dados!$AP$61,IF($E$19=8,Dados!$AT$61,0)))))))</f>
        <v>0</v>
      </c>
      <c r="CZ53" s="316">
        <f>IF($E$20=2,Dados!$AE$61,IF($E$20=3,Dados!$AG$61,IF($E$20=4,Dados!$AI$61,IF($E$20=5,Dados!$AK$61,IF($E$20=6,Dados!$AM$61,IF($E$20=7,Dados!$AO$61,IF($E$20=8,Dados!$AS$61,0)))))))</f>
        <v>0</v>
      </c>
      <c r="DA53" s="304">
        <f>IF($E$20=2,Dados!$AF$61,IF($E$20=3,Dados!$AH$61,IF($E$20=4,Dados!$AJ$61,IF($E$20=5,Dados!$AL$61,IF($E$20=6,Dados!$AN$61,IF($E$20=7,Dados!$AP$61,IF($E$20=8,Dados!$AT$61,0)))))))</f>
        <v>0</v>
      </c>
      <c r="DC53" s="316">
        <f>IF($E$25=2,Dados!$AE$61,IF($E$25=3,Dados!$AG$61,IF($E$25=4,Dados!$AI$61,IF($E$25=5,Dados!$AK$61,IF($E$25=6,Dados!$AM$61,IF($E$25=7,Dados!$AO$61,IF($E$25=8,Dados!$AS$61,0)))))))</f>
        <v>0</v>
      </c>
      <c r="DD53" s="304">
        <f>IF($E$25=2,Dados!$AF$61,IF($E$25=3,Dados!$AH$61,IF($E$25=4,Dados!$AJ$61,IF($E$25=5,Dados!$AL$61,IF($E$25=6,Dados!$AN$61,IF($E$25=7,Dados!$AP$61,IF($E$25=8,Dados!$AT$61,0)))))))</f>
        <v>0</v>
      </c>
      <c r="DE53" s="316">
        <f>IF($E$26=2,Dados!$AE$61,IF($E$26=3,Dados!$AG$61,IF($E$26=4,Dados!$AI$61,IF($E$26=5,Dados!$AK$61,IF($E$26=6,Dados!$AM$61,IF($E$26=7,Dados!$AO$61,IF($E$26=8,Dados!$AS$61,0)))))))</f>
        <v>0</v>
      </c>
      <c r="DF53" s="304">
        <f>IF($E$26=2,Dados!$AF$61,IF($E$26=3,Dados!$AH$61,IF($E$26=4,Dados!$AJ$61,IF($E$26=5,Dados!$AL$61,IF($E$26=6,Dados!$AN$61,IF($E$26=7,Dados!$AP$61,IF($E$26=8,Dados!$AT$61,0)))))))</f>
        <v>0</v>
      </c>
      <c r="DG53" s="316">
        <f>IF($E$27=2,Dados!$AE$61,IF($E$27=3,Dados!$AG$61,IF($E$27=4,Dados!$AI$61,IF($E$27=5,Dados!$AK$61,IF($E$27=6,Dados!$AM$61,IF($E$27=7,Dados!$AO$61,IF($E$27=8,Dados!$AS$61,0)))))))</f>
        <v>0</v>
      </c>
      <c r="DH53" s="304">
        <f>IF($E$27=2,Dados!$AF$61,IF($E$27=3,Dados!$AH$61,IF($E$27=4,Dados!$AJ$61,IF($E$27=5,Dados!$AL$61,IF($E$27=6,Dados!$AN$61,IF($E$27=7,Dados!$AP$61,IF($E$27=8,Dados!$AT$61,0)))))))</f>
        <v>0</v>
      </c>
      <c r="DI53" s="316">
        <f>IF($E$28=2,Dados!$AE$61,IF($E$28=3,Dados!$AG$61,IF($E$28=4,Dados!$AI$61,IF($E$28=5,Dados!$AK$61,IF($E$28=6,Dados!$AM$61,IF($E$28=7,Dados!$AO$61,IF($E$28=8,Dados!$AS$61,0)))))))</f>
        <v>0</v>
      </c>
      <c r="DJ53" s="304">
        <f>IF($E$28=2,Dados!$AF$61,IF($E$28=3,Dados!$AH$61,IF($E$28=4,Dados!$AJ$61,IF($E$28=5,Dados!$AL$61,IF($E$28=6,Dados!$AN$61,IF($E$28=7,Dados!$AP$61,IF($E$28=8,Dados!$AT$61,0)))))))</f>
        <v>0</v>
      </c>
      <c r="DK53" s="316">
        <f>IF($E$29=2,Dados!$AE$61,IF($E$29=3,Dados!$AG$61,IF($E$29=4,Dados!$AI$61,IF($E$29=5,Dados!$AK$61,IF($E$29=6,Dados!$AM$61,IF($E$29=7,Dados!$AO$61,IF($E$29=8,Dados!$AS$61,0)))))))</f>
        <v>0</v>
      </c>
      <c r="DL53" s="304">
        <f>IF($E$29=2,Dados!$AF$61,IF($E$29=3,Dados!$AH$61,IF($E$29=4,Dados!$AJ$61,IF($E$29=5,Dados!$AL$61,IF($E$29=6,Dados!$AN$61,IF($E$29=7,Dados!$AP$61,IF($E$29=8,Dados!$AT$61,0)))))))</f>
        <v>0</v>
      </c>
      <c r="DN53" s="316">
        <f>IF($E$34=2,Dados!$AE$61,IF($E$34=3,Dados!$AG$61,IF($E$34=4,Dados!$AI$61,IF($E$34=5,Dados!$AK$61,IF($E$34=6,Dados!$AM$61,IF($E$34=7,Dados!$AO$61,IF($E$34=8,Dados!$AS$61,0)))))))</f>
        <v>0</v>
      </c>
      <c r="DO53" s="304">
        <f>IF($E$34=2,Dados!$AF$61,IF($E$34=3,Dados!$AH$61,IF($E$34=4,Dados!$AJ$61,IF($E$34=5,Dados!$AL$61,IF($E$34=6,Dados!$AN$61,IF($E$34=7,Dados!$AP$61,IF($E$34=8,Dados!$AT$61,0)))))))</f>
        <v>0</v>
      </c>
      <c r="DP53" s="316">
        <f>IF($E$35=2,Dados!$AE$61,IF($E$35=3,Dados!$AG$61,IF($E$35=4,Dados!$AI$61,IF($E$35=5,Dados!$AK$61,IF($E$35=6,Dados!$AM$61,IF($E$35=7,Dados!$AO$61,IF($E$35=8,Dados!$AS$61,0)))))))</f>
        <v>0</v>
      </c>
      <c r="DQ53" s="304">
        <f>IF($E$35=2,Dados!$AF$61,IF($E$35=3,Dados!$AH$61,IF($E$35=4,Dados!$AJ$61,IF($E$35=5,Dados!$AL$61,IF($E$35=6,Dados!$AN$61,IF($E$35=7,Dados!$AP$61,IF($E$35=8,Dados!$AT$61,0)))))))</f>
        <v>0</v>
      </c>
      <c r="DR53" s="316">
        <f>IF($E$36=2,Dados!$AE$61,IF($E$36=3,Dados!$AG$61,IF($E$36=4,Dados!$AI$61,IF($E$36=5,Dados!$AK$61,IF($E$36=6,Dados!$AM$61,IF($E$36=7,Dados!$AO$61,IF($E$36=8,Dados!$AS$61,0)))))))</f>
        <v>0</v>
      </c>
      <c r="DS53" s="304">
        <f>IF($E$36=2,Dados!$AF$61,IF($E$36=3,Dados!$AH$61,IF($E$36=4,Dados!$AJ$61,IF($E$36=5,Dados!$AL$61,IF($E$36=6,Dados!$AN$61,IF($E$36=7,Dados!$AP$61,IF($E$36=8,Dados!$AT$61,0)))))))</f>
        <v>0</v>
      </c>
      <c r="DT53" s="316">
        <f>IF($E$37=2,Dados!$AE$61,IF($E$37=3,Dados!$AG$61,IF($E$37=4,Dados!$AI$61,IF($E$37=5,Dados!$AK$61,IF($E$37=6,Dados!$AM$61,IF($E$37=7,Dados!$AO$61,IF($E$37=8,Dados!$AS$61,0)))))))</f>
        <v>0</v>
      </c>
      <c r="DU53" s="304">
        <f>IF($E$37=2,Dados!$AF$61,IF($E$37=3,Dados!$AH$61,IF($E$37=4,Dados!$AJ$61,IF($E$37=5,Dados!$AL$61,IF($E$37=6,Dados!$AN$61,IF($E$37=7,Dados!$AP$61,IF($E$37=8,Dados!$AT$61,0)))))))</f>
        <v>0</v>
      </c>
      <c r="DV53" s="316">
        <f>IF($E$38=2,Dados!$AE$61,IF($E$38=3,Dados!$AG$61,IF($E$38=4,Dados!$AI$61,IF($E$38=5,Dados!$AK$61,IF($E$38=6,Dados!$AM$61,IF($E$38=7,Dados!$AO$61,IF($E$38=8,Dados!$AS$61,0)))))))</f>
        <v>0</v>
      </c>
      <c r="DW53" s="304">
        <f>IF($E$38=2,Dados!$AF$61,IF($E$38=3,Dados!$AH$61,IF($E$38=4,Dados!$AJ$61,IF($E$38=5,Dados!$AL$61,IF($E$38=6,Dados!$AN$61,IF($E$38=7,Dados!$AP$61,IF($E$38=8,Dados!$AT$61,0)))))))</f>
        <v>0</v>
      </c>
      <c r="DY53" s="316">
        <f>IF($E$43=2,Dados!$AE$61,IF($E$43=3,Dados!$AG$61,IF($E$43=4,Dados!$AI$61,IF($E$43=5,Dados!$AK$61,IF($E$43=6,Dados!$AM$61,IF($E$43=7,Dados!$AO$61,IF($E$43=8,Dados!$AS$61,0)))))))</f>
        <v>0</v>
      </c>
      <c r="DZ53" s="304">
        <f>IF($E$43=2,Dados!$AF$61,IF($E$43=3,Dados!$AH$61,IF($E$43=4,Dados!$AJ$61,IF($E$43=5,Dados!$AL$61,IF($E$43=6,Dados!$AN$61,IF($E$43=7,Dados!$AP$61,IF($E$43=8,Dados!$AT$61,0)))))))</f>
        <v>0</v>
      </c>
      <c r="EA53" s="316">
        <f>IF($E$44=2,Dados!$AE$61,IF($E$44=3,Dados!$AG$61,IF($E$44=4,Dados!$AI$61,IF($E$44=5,Dados!$AK$61,IF($E$44=6,Dados!$AM$61,IF($E$44=7,Dados!$AO$61,IF($E$44=8,Dados!$AS$61,0)))))))</f>
        <v>0</v>
      </c>
      <c r="EB53" s="304">
        <f>IF($E$44=2,Dados!$AF$61,IF($E$44=3,Dados!$AH$61,IF($E$44=4,Dados!$AJ$61,IF($E$44=5,Dados!$AL$61,IF($E$44=6,Dados!$AN$61,IF($E$44=7,Dados!$AP$61,IF($E$44=8,Dados!$AT$61,0)))))))</f>
        <v>0</v>
      </c>
      <c r="EC53" s="316">
        <f>IF($E$45=2,Dados!$AE$61,IF($E$45=3,Dados!$AG$61,IF($E$45=4,Dados!$AI$61,IF($E$45=5,Dados!$AK$61,IF($E$45=6,Dados!$AM$61,IF($E$45=7,Dados!$AO$61,IF($E$45=8,Dados!$AS$61,0)))))))</f>
        <v>0</v>
      </c>
      <c r="ED53" s="304">
        <f>IF($E$45=2,Dados!$AF$61,IF($E$45=3,Dados!$AH$61,IF($E$45=4,Dados!$AJ$61,IF($E$45=5,Dados!$AL$61,IF($E$45=6,Dados!$AN$61,IF($E$45=7,Dados!$AP$61,IF($E$45=8,Dados!$AT$61,0)))))))</f>
        <v>0</v>
      </c>
      <c r="EE53" s="316">
        <f>IF($E$46=2,Dados!$AE$61,IF($E$46=3,Dados!$AG$61,IF($E$46=4,Dados!$AI$61,IF($E$46=5,Dados!$AK$61,IF($E$46=6,Dados!$AM$61,IF($E$46=7,Dados!$AO$61,IF($E$46=8,Dados!$AS$61,0)))))))</f>
        <v>0</v>
      </c>
      <c r="EF53" s="304">
        <f>IF($E$46=2,Dados!$AF$61,IF($E$46=3,Dados!$AH$61,IF($E$46=4,Dados!$AJ$61,IF($E$46=5,Dados!$AL$61,IF($E$46=6,Dados!$AN$61,IF($E$46=7,Dados!$AP$61,IF($E$46=8,Dados!$AT$61,0)))))))</f>
        <v>0</v>
      </c>
      <c r="EG53" s="316">
        <f>IF($E$47=2,Dados!$AE$61,IF($E$47=3,Dados!$AG$61,IF($E$47=4,Dados!$AI$61,IF($E$47=5,Dados!$AK$61,IF($E$47=6,Dados!$AM$61,IF($E$47=7,Dados!$AO$61,IF($E$47=8,Dados!$AS$61,0)))))))</f>
        <v>0</v>
      </c>
      <c r="EH53" s="304">
        <f>IF($E$47=2,Dados!$AF$61,IF($E$47=3,Dados!$AH$61,IF($E$47=4,Dados!$AJ$61,IF($E$47=5,Dados!$AL$61,IF($E$47=6,Dados!$AN$61,IF($E$47=7,Dados!$AP$61,IF($E$47=8,Dados!$AT$61,0)))))))</f>
        <v>0</v>
      </c>
      <c r="EJ53" s="316">
        <f>IF($E$52=2,Dados!$AE$61,IF($E$52=3,Dados!$AG$61,IF($E$52=4,Dados!$AI$61,IF($E$52=5,Dados!$AK$61,IF($E$52=6,Dados!$AM$61,IF($E$52=7,Dados!$AO$61,IF($E$52=8,Dados!$AS$61,0)))))))</f>
        <v>0</v>
      </c>
      <c r="EK53" s="304">
        <f>IF($E$52=2,Dados!$AF$61,IF($E$52=3,Dados!$AH$61,IF($E$52=4,Dados!$AJ$61,IF($E$52=5,Dados!$AL$61,IF($E$52=6,Dados!$AN$61,IF($E$52=7,Dados!$AP$61,IF($E$52=8,Dados!$AT$61,0)))))))</f>
        <v>0</v>
      </c>
      <c r="EL53" s="316">
        <f>IF($E$53=2,Dados!$AE$61,IF($E$53=3,Dados!$AG$61,IF($E$53=4,Dados!$AI$61,IF($E$53=5,Dados!$AK$61,IF($E$53=6,Dados!$AM$61,IF($E$53=7,Dados!$AO$61,IF($E$53=8,Dados!$AS$61,0)))))))</f>
        <v>0</v>
      </c>
      <c r="EM53" s="304">
        <f>IF($E$53=2,Dados!$AF$61,IF($E$53=3,Dados!$AH$61,IF($E$53=4,Dados!$AJ$61,IF($E$53=5,Dados!$AL$61,IF($E$53=6,Dados!$AN$61,IF($E$53=7,Dados!$AP$61,IF($E$53=8,Dados!$AT$61,0)))))))</f>
        <v>0</v>
      </c>
      <c r="EN53" s="316">
        <f>IF($E$54=2,Dados!$AE$61,IF($E$54=3,Dados!$AG$61,IF($E$54=4,Dados!$AI$61,IF($E$54=5,Dados!$AK$61,IF($E$54=6,Dados!$AM$61,IF($E$54=7,Dados!$AO$61,IF($E$54=8,Dados!$AS$61,0)))))))</f>
        <v>0</v>
      </c>
      <c r="EO53" s="304">
        <f>IF($E$54=2,Dados!$AF$61,IF($E$54=3,Dados!$AH$61,IF($E$54=4,Dados!$AJ$61,IF($E$54=5,Dados!$AL$61,IF($E$54=6,Dados!$AN$61,IF($E$54=7,Dados!$AP$61,IF($E$54=8,Dados!$AT$61,0)))))))</f>
        <v>0</v>
      </c>
      <c r="EP53" s="316">
        <f>IF($E$55=2,Dados!$AE$61,IF($E$55=3,Dados!$AG$61,IF($E$55=4,Dados!$AI$61,IF($E$55=5,Dados!$AK$61,IF($E$55=6,Dados!$AM$61,IF($E$55=7,Dados!$AO$61,IF($E$55=8,Dados!$AS$61,0)))))))</f>
        <v>0</v>
      </c>
      <c r="EQ53" s="304">
        <f>IF($E$55=2,Dados!$AF$61,IF($E$55=3,Dados!$AH$61,IF($E$55=4,Dados!$AJ$61,IF($E$55=5,Dados!$AL$61,IF($E$55=6,Dados!$AN$61,IF($E$55=7,Dados!$AP$61,IF($E$55=8,Dados!$AT$61,0)))))))</f>
        <v>0</v>
      </c>
      <c r="ER53" s="316">
        <f>IF($E$56=2,Dados!$AE$61,IF($E$56=3,Dados!$AG$61,IF($E$56=4,Dados!$AI$61,IF($E$56=5,Dados!$AK$61,IF($E$56=6,Dados!$AM$61,IF($E$56=7,Dados!$AO$61,IF($E$56=8,Dados!$AS$61,0)))))))</f>
        <v>0</v>
      </c>
      <c r="ES53" s="304">
        <f>IF($E$56=2,Dados!$AF$61,IF($E$56=3,Dados!$AH$61,IF($E$56=4,Dados!$AJ$61,IF($E$56=5,Dados!$AL$61,IF($E$56=6,Dados!$AN$61,IF($E$56=7,Dados!$AP$61,IF($E$56=8,Dados!$AT$61,0)))))))</f>
        <v>0</v>
      </c>
      <c r="EU53" s="316">
        <f>IF($E$61=2,Dados!$AE$61,IF($E$61=3,Dados!$AG$61,IF($E$61=4,Dados!$AI$61,IF($E$61=5,Dados!$AK$61,IF($E$61=6,Dados!$AM$61,IF($E$61=7,Dados!$AO$61,IF($E$61=8,Dados!$AS$61,0)))))))</f>
        <v>0</v>
      </c>
      <c r="EV53" s="304">
        <f>IF($E$61=2,Dados!$AF$61,IF($E$61=3,Dados!$AH$61,IF($E$61=4,Dados!$AJ$61,IF($E$61=5,Dados!$AL$61,IF($E$61=6,Dados!$AN$61,IF($E$61=7,Dados!$AP$61,IF($E$61=8,Dados!$AT$61,0)))))))</f>
        <v>0</v>
      </c>
      <c r="EW53" s="316">
        <f>IF($E$62=2,Dados!$AE$61,IF($E$62=3,Dados!$AG$61,IF($E$62=4,Dados!$AI$61,IF($E$62=5,Dados!$AK$61,IF($E$62=6,Dados!$AM$61,IF($E$62=7,Dados!$AO$61,IF($E$62=8,Dados!$AS$61,0)))))))</f>
        <v>0</v>
      </c>
      <c r="EX53" s="304">
        <f>IF($E$62=2,Dados!$AF$61,IF($E$62=3,Dados!$AH$61,IF($E$62=4,Dados!$AJ$61,IF($E$62=5,Dados!$AL$61,IF($E$62=6,Dados!$AN$61,IF($E$62=7,Dados!$AP$61,IF($E$62=8,Dados!$AT$61,0)))))))</f>
        <v>0</v>
      </c>
      <c r="EY53" s="316">
        <f>IF($E$63=2,Dados!$AE$61,IF($E$63=3,Dados!$AG$61,IF($E$63=4,Dados!$AI$61,IF($E$63=5,Dados!$AK$61,IF($E$63=6,Dados!$AM$61,IF($E$63=7,Dados!$AO$61,IF($E$63=8,Dados!$AS$61,0)))))))</f>
        <v>0</v>
      </c>
      <c r="EZ53" s="304">
        <f>IF($E$63=2,Dados!$AF$61,IF($E$63=3,Dados!$AH$61,IF($E$63=4,Dados!$AJ$61,IF($E$63=5,Dados!$AL$61,IF($E$63=6,Dados!$AN$61,IF($E$63=7,Dados!$AP$61,IF($E$63=8,Dados!$AT$61,0)))))))</f>
        <v>0</v>
      </c>
      <c r="FA53" s="316">
        <f>IF($E$64=2,Dados!$AE$61,IF($E$64=3,Dados!$AG$61,IF($E$64=4,Dados!$AI$61,IF($E$64=5,Dados!$AK$61,IF($E$64=6,Dados!$AM$61,IF($E$64=7,Dados!$AO$61,IF($E$64=8,Dados!$AS$61,0)))))))</f>
        <v>0</v>
      </c>
      <c r="FB53" s="304">
        <f>IF($E$64=2,Dados!$AF$61,IF($E$64=3,Dados!$AH$61,IF($E$64=4,Dados!$AJ$61,IF($E$64=5,Dados!$AL$61,IF($E$64=6,Dados!$AN$61,IF($E$64=7,Dados!$AP$61,IF($E$64=8,Dados!$AT$61,0)))))))</f>
        <v>0</v>
      </c>
      <c r="FC53" s="316">
        <f>IF($E$65=2,Dados!$AE$61,IF($E$65=3,Dados!$AG$61,IF($E$65=4,Dados!$AI$61,IF($E$65=5,Dados!$AK$61,IF($E$65=6,Dados!$AM$61,IF($E$65=7,Dados!$AO$61,IF($E$65=8,Dados!$AS$61,0)))))))</f>
        <v>0</v>
      </c>
      <c r="FD53" s="304">
        <f>IF($E$65=2,Dados!$AF$61,IF($E$65=3,Dados!$AH$61,IF($E$65=4,Dados!$AJ$61,IF($E$65=5,Dados!$AL$61,IF($E$65=6,Dados!$AN$61,IF($E$65=7,Dados!$AP$61,IF($E$65=8,Dados!$AT$61,0)))))))</f>
        <v>0</v>
      </c>
      <c r="FF53" s="316">
        <f>IF($E$70=2,Dados!$AE$61,IF($E$70=3,Dados!$AG$61,IF($E$70=4,Dados!$AI$61,IF($E$70=5,Dados!$AK$61,IF($E$70=6,Dados!$AM$61,IF($E$70=7,Dados!$AO$61,IF($E$70=8,Dados!$AS$61,0)))))))</f>
        <v>0</v>
      </c>
      <c r="FG53" s="304">
        <f>IF($E$70=2,Dados!$AF$61,IF($E$70=3,Dados!$AH$61,IF($E$70=4,Dados!$AJ$61,IF($E$70=5,Dados!$AL$61,IF($E$70=6,Dados!$AN$61,IF($E$70=7,Dados!$AP$61,IF($E$70=8,Dados!$AT$61,0)))))))</f>
        <v>0</v>
      </c>
      <c r="FH53" s="316">
        <f>IF($E$71=2,Dados!$AE$61,IF($E$71=3,Dados!$AG$61,IF($E$71=4,Dados!$AI$61,IF($E$71=5,Dados!$AK$61,IF($E$71=6,Dados!$AM$61,IF($E$71=7,Dados!$AO$61,IF($E$71=8,Dados!$AS$61,0)))))))</f>
        <v>0</v>
      </c>
      <c r="FI53" s="304">
        <f>IF($E$71=2,Dados!$AF$61,IF($E$71=3,Dados!$AH$61,IF($E$71=4,Dados!$AJ$61,IF($E$71=5,Dados!$AL$61,IF($E$71=6,Dados!$AN$61,IF($E$71=7,Dados!$AP$61,IF($E$71=8,Dados!$AT$61,0)))))))</f>
        <v>0</v>
      </c>
      <c r="FJ53" s="316">
        <f>IF($E$72=2,Dados!$AE$61,IF($E$72=3,Dados!$AG$61,IF($E$72=4,Dados!$AI$61,IF($E$72=5,Dados!$AK$61,IF($E$72=6,Dados!$AM$61,IF($E$72=7,Dados!$AO$61,IF($E$72=8,Dados!$AS$61,0)))))))</f>
        <v>0</v>
      </c>
      <c r="FK53" s="304">
        <f>IF($E$72=2,Dados!$AF$61,IF($E$72=3,Dados!$AH$61,IF($E$72=4,Dados!$AJ$61,IF($E$72=5,Dados!$AL$61,IF($E$72=6,Dados!$AN$61,IF($E$72=7,Dados!$AP$61,IF($E$72=8,Dados!$AT$61,0)))))))</f>
        <v>0</v>
      </c>
      <c r="FL53" s="316">
        <f>IF($E$73=2,Dados!$AE$61,IF($E$73=3,Dados!$AG$61,IF($E$73=4,Dados!$AI$61,IF($E$73=5,Dados!$AK$61,IF($E$73=6,Dados!$AM$61,IF($E$73=7,Dados!$AO$61,IF($E$73=8,Dados!$AS$61,0)))))))</f>
        <v>0</v>
      </c>
      <c r="FM53" s="304">
        <f>IF($E$73=2,Dados!$AF$61,IF($E$73=3,Dados!$AH$61,IF($E$73=4,Dados!$AJ$61,IF($E$73=5,Dados!$AL$61,IF($E$73=6,Dados!$AN$61,IF($E$73=7,Dados!$AP$61,IF($E$73=8,Dados!$AT$61,0)))))))</f>
        <v>0</v>
      </c>
      <c r="FN53" s="316">
        <f>IF($E$74=2,Dados!$AE$61,IF($E$74=3,Dados!$AG$61,IF($E$74=4,Dados!$AI$61,IF($E$74=5,Dados!$AK$61,IF($E$74=6,Dados!$AM$61,IF($E$74=7,Dados!$AO$61,IF($E$74=8,Dados!$AS$61,0)))))))</f>
        <v>0</v>
      </c>
      <c r="FO53" s="304">
        <f>IF($E$74=2,Dados!$AF$61,IF($E$74=3,Dados!$AH$61,IF($E$74=4,Dados!$AJ$61,IF($E$74=5,Dados!$AL$61,IF($E$74=6,Dados!$AN$61,IF($E$74=7,Dados!$AP$61,IF($E$74=8,Dados!$AT$61,0)))))))</f>
        <v>0</v>
      </c>
      <c r="FQ53" s="316">
        <f>IF($E$79=2,Dados!$AE$61,IF($E$79=3,Dados!$AG$61,IF($E$79=4,Dados!$AI$61,IF($E$79=5,Dados!$AK$61,IF($E$79=6,Dados!$AM$61,IF($E$79=7,Dados!$AO$61,IF($E$79=8,Dados!$AS$61,0)))))))</f>
        <v>0</v>
      </c>
      <c r="FR53" s="304">
        <f>IF($E$79=2,Dados!$AF$61,IF($E$79=3,Dados!$AH$61,IF($E$79=4,Dados!$AJ$61,IF($E$79=5,Dados!$AL$61,IF($E$79=6,Dados!$AN$61,IF($E$79=7,Dados!$AP$61,IF($E$79=8,Dados!$AT$61,0)))))))</f>
        <v>0</v>
      </c>
      <c r="FS53" s="316">
        <f>IF($E$80=2,Dados!$AE$61,IF($E$80=3,Dados!$AG$61,IF($E$80=4,Dados!$AI$61,IF($E$80=5,Dados!$AK$61,IF($E$80=6,Dados!$AM$61,IF($E$80=7,Dados!$AO$61,IF($E$80=8,Dados!$AS$61,0)))))))</f>
        <v>0</v>
      </c>
      <c r="FT53" s="304">
        <f>IF($E$80=2,Dados!$AF$61,IF($E$80=3,Dados!$AH$61,IF($E$80=4,Dados!$AJ$61,IF($E$80=5,Dados!$AL$61,IF($E$80=6,Dados!$AN$61,IF($E$80=7,Dados!$AP$61,IF($E$80=8,Dados!$AT$61,0)))))))</f>
        <v>0</v>
      </c>
      <c r="FU53" s="316">
        <f>IF($E$81=2,Dados!$AE$61,IF($E$81=3,Dados!$AG$61,IF($E$81=4,Dados!$AI$61,IF($E$81=5,Dados!$AK$61,IF($E$81=6,Dados!$AM$61,IF($E$81=7,Dados!$AO$61,IF($E$81=8,Dados!$AS$61,0)))))))</f>
        <v>0</v>
      </c>
      <c r="FV53" s="304">
        <f>IF($E$81=2,Dados!$AF$61,IF($E$81=3,Dados!$AH$61,IF($E$81=4,Dados!$AJ$61,IF($E$81=5,Dados!$AL$61,IF($E$81=6,Dados!$AN$61,IF($E$81=7,Dados!$AP$61,IF($E$81=8,Dados!$AT$61,0)))))))</f>
        <v>0</v>
      </c>
      <c r="FW53" s="316">
        <f>IF($E$82=2,Dados!$AE$61,IF($E$82=3,Dados!$AG$61,IF($E$82=4,Dados!$AI$61,IF($E$82=5,Dados!$AK$61,IF($E$82=6,Dados!$AM$61,IF($E$82=7,Dados!$AO$61,IF($E$82=8,Dados!$AS$61,0)))))))</f>
        <v>0</v>
      </c>
      <c r="FX53" s="304">
        <f>IF($E$82=2,Dados!$AF$61,IF($E$82=3,Dados!$AH$61,IF($E$82=4,Dados!$AJ$61,IF($E$82=5,Dados!$AL$61,IF($E$82=6,Dados!$AN$61,IF($E$82=7,Dados!$AP$61,IF($E$82=8,Dados!$AT$61,0)))))))</f>
        <v>0</v>
      </c>
      <c r="FY53" s="316">
        <f>IF($E$83=2,Dados!$AE$61,IF($E$83=3,Dados!$AG$61,IF($E$83=4,Dados!$AI$61,IF($E$83=5,Dados!$AK$61,IF($E$83=6,Dados!$AM$61,IF($E$83=7,Dados!$AO$61,IF($E$83=8,Dados!$AS$61,0)))))))</f>
        <v>0</v>
      </c>
      <c r="FZ53" s="304">
        <f>IF($E$83=2,Dados!$AF$61,IF($E$83=3,Dados!$AH$61,IF($E$83=4,Dados!$AJ$61,IF($E$83=5,Dados!$AL$61,IF($E$83=6,Dados!$AN$61,IF($E$83=7,Dados!$AP$61,IF($E$83=8,Dados!$AT$61,0)))))))</f>
        <v>0</v>
      </c>
      <c r="GB53" s="316">
        <f>IF($E$88=2,Dados!$AE$61,IF($E$88=3,Dados!$AG$61,IF($E$88=4,Dados!$AI$61,IF($E$88=5,Dados!$AK$61,IF($E$88=6,Dados!$AM$61,IF($E$88=7,Dados!$AO$61,IF($E$88=8,Dados!$AS$61,0)))))))</f>
        <v>0</v>
      </c>
      <c r="GC53" s="304">
        <f>IF($E$88=2,Dados!$AF$61,IF($E$88=3,Dados!$AH$61,IF($E$88=4,Dados!$AJ$61,IF($E$88=5,Dados!$AL$61,IF($E$88=6,Dados!$AN$61,IF($E$88=7,Dados!$AP$61,IF($E$88=8,Dados!$AT$61,0)))))))</f>
        <v>0</v>
      </c>
      <c r="GD53" s="316">
        <f>IF($E$89=2,Dados!$AE$61,IF($E$89=3,Dados!$AG$61,IF($E$89=4,Dados!$AI$61,IF($E$89=5,Dados!$AK$61,IF($E$89=6,Dados!$AM$61,IF($E$89=7,Dados!$AO$61,IF($E$89=8,Dados!$AS$61,0)))))))</f>
        <v>0</v>
      </c>
      <c r="GE53" s="304">
        <f>IF($E$89=2,Dados!$AF$61,IF($E$89=3,Dados!$AH$61,IF($E$89=4,Dados!$AJ$61,IF($E$89=5,Dados!$AL$61,IF($E$89=6,Dados!$AN$61,IF($E$89=7,Dados!$AP$61,IF($E$89=8,Dados!$AT$61,0)))))))</f>
        <v>0</v>
      </c>
      <c r="GF53" s="316">
        <f>IF($E$90=2,Dados!$AE$61,IF($E$90=3,Dados!$AG$61,IF($E$90=4,Dados!$AI$61,IF($E$90=5,Dados!$AK$61,IF($E$90=6,Dados!$AM$61,IF($E$90=7,Dados!$AO$61,IF($E$90=8,Dados!$AS$61,0)))))))</f>
        <v>0</v>
      </c>
      <c r="GG53" s="304">
        <f>IF($E$90=2,Dados!$AF$61,IF($E$90=3,Dados!$AH$61,IF($E$90=4,Dados!$AJ$61,IF($E$90=5,Dados!$AL$61,IF($E$90=6,Dados!$AN$61,IF($E$90=7,Dados!$AP$61,IF($E$90=8,Dados!$AT$61,0)))))))</f>
        <v>0</v>
      </c>
      <c r="GH53" s="316">
        <f>IF($E$91=2,Dados!$AE$61,IF($E$91=3,Dados!$AG$61,IF($E$91=4,Dados!$AI$61,IF($E$91=5,Dados!$AK$61,IF($E$91=6,Dados!$AM$61,IF($E$91=7,Dados!$AO$61,IF($E$91=8,Dados!$AS$61,0)))))))</f>
        <v>0</v>
      </c>
      <c r="GI53" s="304">
        <f>IF($E$91=2,Dados!$AF$61,IF($E$91=3,Dados!$AH$61,IF($E$91=4,Dados!$AJ$61,IF($E$91=5,Dados!$AL$61,IF($E$91=6,Dados!$AN$61,IF($E$91=7,Dados!$AP$61,IF($E$91=8,Dados!$AT$61,0)))))))</f>
        <v>0</v>
      </c>
      <c r="GJ53" s="316">
        <f>IF($E$92=2,Dados!$AE$61,IF($E$92=3,Dados!$AG$61,IF($E$92=4,Dados!$AI$61,IF($E$92=5,Dados!$AK$61,IF($E$92=6,Dados!$AM$61,IF($E$92=7,Dados!$AO$61,IF($E$92=8,Dados!$AS$61,0)))))))</f>
        <v>0</v>
      </c>
      <c r="GK53" s="304">
        <f>IF($E$92=2,Dados!$AF$61,IF($E$92=3,Dados!$AH$61,IF($E$92=4,Dados!$AJ$61,IF($E$92=5,Dados!$AL$61,IF($E$92=6,Dados!$AN$61,IF($E$92=7,Dados!$AP$61,IF($E$92=8,Dados!$AT$61,0)))))))</f>
        <v>0</v>
      </c>
      <c r="GM53" s="316">
        <f>IF($E$97=2,Dados!$AE$61,IF($E$97=3,Dados!$AG$61,IF($E$97=4,Dados!$AI$61,IF($E$97=5,Dados!$AK$61,IF($E$97=6,Dados!$AM$61,IF($E$97=7,Dados!$AO$61,IF($E$97=8,Dados!$AS$61,0)))))))</f>
        <v>0</v>
      </c>
      <c r="GN53" s="304">
        <f>IF($E$97=2,Dados!$AF$61,IF($E$97=3,Dados!$AH$61,IF($E$97=4,Dados!$AJ$61,IF($E$97=5,Dados!$AL$61,IF($E$97=6,Dados!$AN$61,IF($E$97=7,Dados!$AP$61,IF($E$97=8,Dados!$AT$61,0)))))))</f>
        <v>0</v>
      </c>
      <c r="GO53" s="316">
        <f>IF($E$98=2,Dados!$AE$61,IF($E$98=3,Dados!$AG$61,IF($E$98=4,Dados!$AI$61,IF($E$98=5,Dados!$AK$61,IF($E$98=6,Dados!$AM$61,IF($E$98=7,Dados!$AO$61,IF($E$98=8,Dados!$AS$61,0)))))))</f>
        <v>0</v>
      </c>
      <c r="GP53" s="304">
        <f>IF($E$98=2,Dados!$AF$61,IF($E$98=3,Dados!$AH$61,IF($E$98=4,Dados!$AJ$61,IF($E$98=5,Dados!$AL$61,IF($E$98=6,Dados!$AN$61,IF($E$98=7,Dados!$AP$61,IF($E$98=8,Dados!$AT$61,0)))))))</f>
        <v>0</v>
      </c>
      <c r="GQ53" s="316">
        <f>IF($E$99=2,Dados!$AE$61,IF($E$99=3,Dados!$AG$61,IF($E$99=4,Dados!$AI$61,IF($E$99=5,Dados!$AK$61,IF($E$99=6,Dados!$AM$61,IF($E$99=7,Dados!$AO$61,IF($E$99=8,Dados!$AS$61,0)))))))</f>
        <v>0</v>
      </c>
      <c r="GR53" s="304">
        <f>IF($E$99=2,Dados!$AF$61,IF($E$99=3,Dados!$AH$61,IF($E$99=4,Dados!$AJ$61,IF($E$99=5,Dados!$AL$61,IF($E$99=6,Dados!$AN$61,IF($E$99=7,Dados!$AP$61,IF($E$99=8,Dados!$AT$61,0)))))))</f>
        <v>0</v>
      </c>
      <c r="GS53" s="316">
        <f>IF($E$100=2,Dados!$AE$61,IF($E$100=3,Dados!$AG$61,IF($E$100=4,Dados!$AI$61,IF($E$100=5,Dados!$AK$61,IF($E$100=6,Dados!$AM$61,IF($E$100=7,Dados!$AO$61,IF($E$100=8,Dados!$AS$61,0)))))))</f>
        <v>0</v>
      </c>
      <c r="GT53" s="304">
        <f>IF($E$100=2,Dados!$AF$61,IF($E$100=3,Dados!$AH$61,IF($E$100=4,Dados!$AJ$61,IF($E$100=5,Dados!$AL$61,IF($E$100=6,Dados!$AN$61,IF($E$100=7,Dados!$AP$61,IF($E$100=8,Dados!$AT$61,0)))))))</f>
        <v>0</v>
      </c>
      <c r="GU53" s="316">
        <f>IF($E$101=2,Dados!$AE$61,IF($E$101=3,Dados!$AG$61,IF($E$101=4,Dados!$AI$61,IF($E$101=5,Dados!$AK$61,IF($E$101=6,Dados!$AM$61,IF($E$101=7,Dados!$AO$61,IF($E$101=8,Dados!$AS$61,0)))))))</f>
        <v>0</v>
      </c>
      <c r="GV53" s="304">
        <f>IF($E$101=2,Dados!$AF$61,IF($E$101=3,Dados!$AH$61,IF($E$101=4,Dados!$AJ$61,IF($E$101=5,Dados!$AL$61,IF($E$101=6,Dados!$AN$61,IF($E$101=7,Dados!$AP$61,IF($E$101=8,Dados!$AT$61,0)))))))</f>
        <v>0</v>
      </c>
      <c r="GX53" s="316">
        <f>IF($E$106=2,Dados!$AE$61,IF($E$106=3,Dados!$AG$61,IF($E$106=4,Dados!$AI$61,IF($E$106=5,Dados!$AK$61,IF($E$106=6,Dados!$AM$61,IF($E$106=7,Dados!$AO$61,IF($E$106=8,Dados!$AS$61,0)))))))</f>
        <v>0</v>
      </c>
      <c r="GY53" s="304">
        <f>IF($E$106=2,Dados!$AF$61,IF($E$106=3,Dados!$AH$61,IF($E$106=4,Dados!$AJ$61,IF($E$106=5,Dados!$AL$61,IF($E$106=6,Dados!$AN$61,IF($E$106=7,Dados!$AP$61,IF($E$106=8,Dados!$AT$61,0)))))))</f>
        <v>0</v>
      </c>
      <c r="GZ53" s="316">
        <f>IF($E$107=2,Dados!$AE$61,IF($E$107=3,Dados!$AG$61,IF($E$107=4,Dados!$AI$61,IF($E$107=5,Dados!$AK$61,IF($E$107=6,Dados!$AM$61,IF($E$107=7,Dados!$AO$61,IF($E$107=8,Dados!$AS$61,0)))))))</f>
        <v>0</v>
      </c>
      <c r="HA53" s="304">
        <f>IF($E$107=2,Dados!$AF$61,IF($E$107=3,Dados!$AH$61,IF($E$107=4,Dados!$AJ$61,IF($E$107=5,Dados!$AL$61,IF($E$107=6,Dados!$AN$61,IF($E$107=7,Dados!$AP$61,IF($E$107=8,Dados!$AT$61,0)))))))</f>
        <v>0</v>
      </c>
      <c r="HB53" s="316">
        <f>IF($E$108=2,Dados!$AE$61,IF($E$108=3,Dados!$AG$61,IF($E$108=4,Dados!$AI$61,IF($E$108=5,Dados!$AK$61,IF($E$108=6,Dados!$AM$61,IF($E$108=7,Dados!$AO$61,IF($E$108=8,Dados!$AS$61,0)))))))</f>
        <v>0</v>
      </c>
      <c r="HC53" s="304">
        <f>IF($E$108=2,Dados!$AF$61,IF($E$108=3,Dados!$AH$61,IF($E$108=4,Dados!$AJ$61,IF($E$108=5,Dados!$AL$61,IF($E$108=6,Dados!$AN$61,IF($E$108=7,Dados!$AP$61,IF($E$108=8,Dados!$AT$61,0)))))))</f>
        <v>0</v>
      </c>
      <c r="HD53" s="316">
        <f>IF($E$109=2,Dados!$AE$61,IF($E$109=3,Dados!$AG$61,IF($E$109=4,Dados!$AI$61,IF($E$109=5,Dados!$AK$61,IF($E$109=6,Dados!$AM$61,IF($E$109=7,Dados!$AO$61,IF($E$109=8,Dados!$AS$61,0)))))))</f>
        <v>0</v>
      </c>
      <c r="HE53" s="304">
        <f>IF($E$109=2,Dados!$AF$61,IF($E$109=3,Dados!$AH$61,IF($E$109=4,Dados!$AJ$61,IF($E$109=5,Dados!$AL$61,IF($E$109=6,Dados!$AN$61,IF($E$109=7,Dados!$AP$61,IF($E$109=8,Dados!$AT$61,0)))))))</f>
        <v>0</v>
      </c>
      <c r="HF53" s="316">
        <f>IF($E$110=2,Dados!$AE$61,IF($E$110=3,Dados!$AG$61,IF($E$110=4,Dados!$AI$61,IF($E$110=5,Dados!$AK$61,IF($E$110=6,Dados!$AM$61,IF($E$110=7,Dados!$AO$61,IF($E$110=8,Dados!$AS$61,0)))))))</f>
        <v>0</v>
      </c>
      <c r="HG53" s="304">
        <f>IF($E$110=2,Dados!$AF$61,IF($E$110=3,Dados!$AH$61,IF($E$110=4,Dados!$AJ$61,IF($E$110=5,Dados!$AL$61,IF($E$110=6,Dados!$AN$61,IF($E$110=7,Dados!$AP$61,IF($E$110=8,Dados!$AT$61,0)))))))</f>
        <v>0</v>
      </c>
    </row>
    <row r="54" spans="3:215" ht="15.75" customHeight="1" x14ac:dyDescent="0.2">
      <c r="C54" s="156">
        <f>IF(R54=1,0,S54)</f>
        <v>0</v>
      </c>
      <c r="D54" s="2721"/>
      <c r="E54" s="180">
        <v>1</v>
      </c>
      <c r="F54" s="2718">
        <v>1</v>
      </c>
      <c r="G54" s="2719"/>
      <c r="H54" s="284"/>
      <c r="I54" s="229"/>
      <c r="J54" s="314"/>
      <c r="K54" s="157"/>
      <c r="L54" s="305"/>
      <c r="M54" s="127">
        <f>IF(I54=1,K54,IF(I54=2,K54/J54,IF(I54=3,K54*L54,0)))</f>
        <v>0</v>
      </c>
      <c r="N54" s="3">
        <v>1</v>
      </c>
      <c r="O54" s="30">
        <v>1</v>
      </c>
      <c r="P54" s="837">
        <f>IF(N54=1,0,VLOOKUP(N54,Rebanho!$AN$45:$AV$72,4)*O54)</f>
        <v>0</v>
      </c>
      <c r="Q54" s="838">
        <f>VLOOKUP(N54,Rebanho!$AN$45:$AV$72,7)*O54</f>
        <v>0</v>
      </c>
      <c r="R54" s="3">
        <v>1</v>
      </c>
      <c r="S54" s="29"/>
      <c r="T54" s="102">
        <f>VLOOKUP(R54,'Mão-de-obra'!$CJ$10:$CL$29,3)</f>
        <v>0</v>
      </c>
      <c r="U54" s="102">
        <f>T54*S54</f>
        <v>0</v>
      </c>
      <c r="V54" s="127">
        <f>IF(I54=1,M54*P54,IF(I54=2,M54*Q54*L54,IF(I54=3,M54,0)))</f>
        <v>0</v>
      </c>
      <c r="W54" s="129">
        <f>U54+V54</f>
        <v>0</v>
      </c>
      <c r="X54" s="93">
        <v>1</v>
      </c>
      <c r="Y54" s="93">
        <v>1</v>
      </c>
      <c r="Z54" s="127">
        <f t="shared" si="14"/>
        <v>0</v>
      </c>
      <c r="AU54" s="93">
        <v>6</v>
      </c>
      <c r="AW54" s="3" t="s">
        <v>76</v>
      </c>
      <c r="AX54" s="94">
        <f>IF($E52=4,$V52,0)</f>
        <v>0</v>
      </c>
      <c r="AY54" s="94">
        <f>IF($E53=4,$V53,0)</f>
        <v>0</v>
      </c>
      <c r="AZ54" s="94">
        <f>IF($E54=4,$V54,0)</f>
        <v>0</v>
      </c>
      <c r="BA54" s="94">
        <f>IF($E55=4,$V55,0)</f>
        <v>0</v>
      </c>
      <c r="BB54" s="94">
        <f>IF($E56=4,$V56,0)</f>
        <v>0</v>
      </c>
      <c r="BC54" s="200">
        <f t="shared" si="13"/>
        <v>0</v>
      </c>
      <c r="CF54" s="93">
        <v>49</v>
      </c>
      <c r="CG54" s="316">
        <f>IF($E$7=2,Dados!$AE$62,IF($E$7=3,Dados!$AG$62,IF($E$7=4,Dados!$AI$62,IF($E$7=5,Dados!$AK$62,IF($E$7=6,Dados!$AM$62,IF($E$7=7,Dados!$AO$62,IF($E$7=8,Dados!$AS$62,0)))))))</f>
        <v>0</v>
      </c>
      <c r="CH54" s="304">
        <f>IF($E$7=2,Dados!$AF$62,IF($E$7=3,Dados!$AH$62,IF($E$7=4,Dados!$AJ$62,IF($E$7=5,Dados!$AL$62,IF($E$7=6,Dados!$AN$62,IF($E$7=7,Dados!$AP$62,IF($E$7=8,Dados!$AT$62,0)))))))</f>
        <v>0</v>
      </c>
      <c r="CI54" s="316">
        <f>IF($E$8=2,Dados!$AE$62,IF($E$8=3,Dados!$AG$62,IF($E$8=4,Dados!$AI$62,IF($E$8=5,Dados!$AK$62,IF($E$8=6,Dados!$AM$62,IF($E$8=7,Dados!$AO$62,IF($E$8=8,Dados!$AS$62,0)))))))</f>
        <v>0</v>
      </c>
      <c r="CJ54" s="304">
        <f>IF($E$8=2,Dados!$AF$62,IF($E$8=3,Dados!$AH$62,IF($E$8=4,Dados!$AJ$62,IF($E$8=5,Dados!$AL$62,IF($E$8=6,Dados!$AN$62,IF($E$8=7,Dados!$AP$62,IF($E$8=8,Dados!$AT$62,0)))))))</f>
        <v>0</v>
      </c>
      <c r="CK54" s="316">
        <f>IF($E$9=2,Dados!$AE$62,IF($E$9=3,Dados!$AG$62,IF($E$9=4,Dados!$AI$62,IF($E$9=5,Dados!$AK$62,IF($E$9=6,Dados!$AM$62,IF($E$9=7,Dados!$AO$62,IF($E$9=8,Dados!$AS$62,0)))))))</f>
        <v>0</v>
      </c>
      <c r="CL54" s="304">
        <f>IF($E$9=2,Dados!$AF$62,IF($E$9=3,Dados!$AH$62,IF($E$9=4,Dados!$AJ$62,IF($E$9=5,Dados!$AL$62,IF($E$9=6,Dados!$AN$62,IF($E$9=7,Dados!$AP$62,IF($E$9=8,Dados!$AT$62,0)))))))</f>
        <v>0</v>
      </c>
      <c r="CM54" s="316">
        <f>IF($E$10=2,Dados!$AE$62,IF($E$10=3,Dados!$AG$62,IF($E$10=4,Dados!$AI$62,IF($E$10=5,Dados!$AK$62,IF($E$10=6,Dados!$AM$62,IF($E$10=7,Dados!$AO$62,IF($E$10=8,Dados!$AS$62,0)))))))</f>
        <v>0</v>
      </c>
      <c r="CN54" s="304">
        <f>IF($E$10=2,Dados!$AF$62,IF($E$10=3,Dados!$AH$62,IF($E$10=4,Dados!$AJ$62,IF($E$10=5,Dados!$AL$62,IF($E$10=6,Dados!$AN$62,IF($E$10=7,Dados!$AP$62,IF($E$10=8,Dados!$AT$62,0)))))))</f>
        <v>0</v>
      </c>
      <c r="CO54" s="316">
        <f>IF($E$11=2,Dados!$AE$62,IF($E$11=3,Dados!$AG$62,IF($E$11=4,Dados!$AI$62,IF($E$11=5,Dados!$AK$62,IF($E$11=6,Dados!$AM$62,IF($E$11=7,Dados!$AO$62,IF($E$11=8,Dados!$AS$62,0)))))))</f>
        <v>0</v>
      </c>
      <c r="CP54" s="304">
        <f>IF($E$11=2,Dados!$AF$62,IF($E$11=3,Dados!$AH$62,IF($E$11=4,Dados!$AJ$62,IF($E$11=5,Dados!$AL$62,IF($E$11=6,Dados!$AN$62,IF($E$11=7,Dados!$AP$62,IF($E$11=8,Dados!$AT$62,0)))))))</f>
        <v>0</v>
      </c>
      <c r="CR54" s="316">
        <f>IF($E$16=2,Dados!$AE$62,IF($E$16=3,Dados!$AG$62,IF($E$16=4,Dados!$AI$62,IF($E$16=5,Dados!$AK$62,IF($E$16=6,Dados!$AM$62,IF($E$16=7,Dados!$AO$62,IF($E$16=8,Dados!$AS$62,0)))))))</f>
        <v>0</v>
      </c>
      <c r="CS54" s="304">
        <f>IF($E$16=2,Dados!$AF$62,IF($E$16=3,Dados!$AH$62,IF($E$16=4,Dados!$AJ$62,IF($E$16=5,Dados!$AL$62,IF($E$16=6,Dados!$AN$62,IF($E$16=7,Dados!$AP$62,IF($E$16=8,Dados!$AT$62,0)))))))</f>
        <v>0</v>
      </c>
      <c r="CT54" s="316">
        <f>IF($E$17=2,Dados!$AE$62,IF($E$17=3,Dados!$AG$62,IF($E$17=4,Dados!$AI$62,IF($E$17=5,Dados!$AK$62,IF($E$17=6,Dados!$AM$62,IF($E$17=7,Dados!$AO$62,IF($E$17=8,Dados!$AS$62,0)))))))</f>
        <v>0</v>
      </c>
      <c r="CU54" s="304">
        <f>IF($E$17=2,Dados!$AF$62,IF($E$17=3,Dados!$AH$62,IF($E$17=4,Dados!$AJ$62,IF($E$17=5,Dados!$AL$62,IF($E$17=6,Dados!$AN$62,IF($E$17=7,Dados!$AP$62,IF($E$17=8,Dados!$AT$62,0)))))))</f>
        <v>0</v>
      </c>
      <c r="CV54" s="316">
        <f>IF($E$18=2,Dados!$AE$62,IF($E$18=3,Dados!$AG$62,IF($E$18=4,Dados!$AI$62,IF($E$18=5,Dados!$AK$62,IF($E$18=6,Dados!$AM$62,IF($E$18=7,Dados!$AO$62,IF($E$18=8,Dados!$AS$62,0)))))))</f>
        <v>0</v>
      </c>
      <c r="CW54" s="304">
        <f>IF($E$18=2,Dados!$AF$62,IF($E$18=3,Dados!$AH$62,IF($E$18=4,Dados!$AJ$62,IF($E$18=5,Dados!$AL$62,IF($E$18=6,Dados!$AN$62,IF($E$18=7,Dados!$AP$62,IF($E$18=8,Dados!$AT$62,0)))))))</f>
        <v>0</v>
      </c>
      <c r="CX54" s="316">
        <f>IF($E$19=2,Dados!$AE$62,IF($E$19=3,Dados!$AG$62,IF($E$19=4,Dados!$AI$62,IF($E$19=5,Dados!$AK$62,IF($E$19=6,Dados!$AM$62,IF($E$19=7,Dados!$AO$62,IF($E$19=8,Dados!$AS$62,0)))))))</f>
        <v>0</v>
      </c>
      <c r="CY54" s="304">
        <f>IF($E$19=2,Dados!$AF$62,IF($E$19=3,Dados!$AH$62,IF($E$19=4,Dados!$AJ$62,IF($E$19=5,Dados!$AL$62,IF($E$19=6,Dados!$AN$62,IF($E$19=7,Dados!$AP$62,IF($E$19=8,Dados!$AT$62,0)))))))</f>
        <v>0</v>
      </c>
      <c r="CZ54" s="316">
        <f>IF($E$20=2,Dados!$AE$62,IF($E$20=3,Dados!$AG$62,IF($E$20=4,Dados!$AI$62,IF($E$20=5,Dados!$AK$62,IF($E$20=6,Dados!$AM$62,IF($E$20=7,Dados!$AO$62,IF($E$20=8,Dados!$AS$62,0)))))))</f>
        <v>0</v>
      </c>
      <c r="DA54" s="304">
        <f>IF($E$20=2,Dados!$AF$62,IF($E$20=3,Dados!$AH$62,IF($E$20=4,Dados!$AJ$62,IF($E$20=5,Dados!$AL$62,IF($E$20=6,Dados!$AN$62,IF($E$20=7,Dados!$AP$62,IF($E$20=8,Dados!$AT$62,0)))))))</f>
        <v>0</v>
      </c>
      <c r="DC54" s="316">
        <f>IF($E$25=2,Dados!$AE$62,IF($E$25=3,Dados!$AG$62,IF($E$25=4,Dados!$AI$62,IF($E$25=5,Dados!$AK$62,IF($E$25=6,Dados!$AM$62,IF($E$25=7,Dados!$AO$62,IF($E$25=8,Dados!$AS$62,0)))))))</f>
        <v>0</v>
      </c>
      <c r="DD54" s="304">
        <f>IF($E$25=2,Dados!$AF$62,IF($E$25=3,Dados!$AH$62,IF($E$25=4,Dados!$AJ$62,IF($E$25=5,Dados!$AL$62,IF($E$25=6,Dados!$AN$62,IF($E$25=7,Dados!$AP$62,IF($E$25=8,Dados!$AT$62,0)))))))</f>
        <v>0</v>
      </c>
      <c r="DE54" s="316">
        <f>IF($E$26=2,Dados!$AE$62,IF($E$26=3,Dados!$AG$62,IF($E$26=4,Dados!$AI$62,IF($E$26=5,Dados!$AK$62,IF($E$26=6,Dados!$AM$62,IF($E$26=7,Dados!$AO$62,IF($E$26=8,Dados!$AS$62,0)))))))</f>
        <v>0</v>
      </c>
      <c r="DF54" s="304">
        <f>IF($E$26=2,Dados!$AF$62,IF($E$26=3,Dados!$AH$62,IF($E$26=4,Dados!$AJ$62,IF($E$26=5,Dados!$AL$62,IF($E$26=6,Dados!$AN$62,IF($E$26=7,Dados!$AP$62,IF($E$26=8,Dados!$AT$62,0)))))))</f>
        <v>0</v>
      </c>
      <c r="DG54" s="316">
        <f>IF($E$27=2,Dados!$AE$62,IF($E$27=3,Dados!$AG$62,IF($E$27=4,Dados!$AI$62,IF($E$27=5,Dados!$AK$62,IF($E$27=6,Dados!$AM$62,IF($E$27=7,Dados!$AO$62,IF($E$27=8,Dados!$AS$62,0)))))))</f>
        <v>0</v>
      </c>
      <c r="DH54" s="304">
        <f>IF($E$27=2,Dados!$AF$62,IF($E$27=3,Dados!$AH$62,IF($E$27=4,Dados!$AJ$62,IF($E$27=5,Dados!$AL$62,IF($E$27=6,Dados!$AN$62,IF($E$27=7,Dados!$AP$62,IF($E$27=8,Dados!$AT$62,0)))))))</f>
        <v>0</v>
      </c>
      <c r="DI54" s="316">
        <f>IF($E$28=2,Dados!$AE$62,IF($E$28=3,Dados!$AG$62,IF($E$28=4,Dados!$AI$62,IF($E$28=5,Dados!$AK$62,IF($E$28=6,Dados!$AM$62,IF($E$28=7,Dados!$AO$62,IF($E$28=8,Dados!$AS$62,0)))))))</f>
        <v>0</v>
      </c>
      <c r="DJ54" s="304">
        <f>IF($E$28=2,Dados!$AF$62,IF($E$28=3,Dados!$AH$62,IF($E$28=4,Dados!$AJ$62,IF($E$28=5,Dados!$AL$62,IF($E$28=6,Dados!$AN$62,IF($E$28=7,Dados!$AP$62,IF($E$28=8,Dados!$AT$62,0)))))))</f>
        <v>0</v>
      </c>
      <c r="DK54" s="316">
        <f>IF($E$29=2,Dados!$AE$62,IF($E$29=3,Dados!$AG$62,IF($E$29=4,Dados!$AI$62,IF($E$29=5,Dados!$AK$62,IF($E$29=6,Dados!$AM$62,IF($E$29=7,Dados!$AO$62,IF($E$29=8,Dados!$AS$62,0)))))))</f>
        <v>0</v>
      </c>
      <c r="DL54" s="304">
        <f>IF($E$29=2,Dados!$AF$62,IF($E$29=3,Dados!$AH$62,IF($E$29=4,Dados!$AJ$62,IF($E$29=5,Dados!$AL$62,IF($E$29=6,Dados!$AN$62,IF($E$29=7,Dados!$AP$62,IF($E$29=8,Dados!$AT$62,0)))))))</f>
        <v>0</v>
      </c>
      <c r="DN54" s="316">
        <f>IF($E$34=2,Dados!$AE$62,IF($E$34=3,Dados!$AG$62,IF($E$34=4,Dados!$AI$62,IF($E$34=5,Dados!$AK$62,IF($E$34=6,Dados!$AM$62,IF($E$34=7,Dados!$AO$62,IF($E$34=8,Dados!$AS$62,0)))))))</f>
        <v>0</v>
      </c>
      <c r="DO54" s="304">
        <f>IF($E$34=2,Dados!$AF$62,IF($E$34=3,Dados!$AH$62,IF($E$34=4,Dados!$AJ$62,IF($E$34=5,Dados!$AL$62,IF($E$34=6,Dados!$AN$62,IF($E$34=7,Dados!$AP$62,IF($E$34=8,Dados!$AT$62,0)))))))</f>
        <v>0</v>
      </c>
      <c r="DP54" s="316">
        <f>IF($E$35=2,Dados!$AE$62,IF($E$35=3,Dados!$AG$62,IF($E$35=4,Dados!$AI$62,IF($E$35=5,Dados!$AK$62,IF($E$35=6,Dados!$AM$62,IF($E$35=7,Dados!$AO$62,IF($E$35=8,Dados!$AS$62,0)))))))</f>
        <v>0</v>
      </c>
      <c r="DQ54" s="304">
        <f>IF($E$35=2,Dados!$AF$62,IF($E$35=3,Dados!$AH$62,IF($E$35=4,Dados!$AJ$62,IF($E$35=5,Dados!$AL$62,IF($E$35=6,Dados!$AN$62,IF($E$35=7,Dados!$AP$62,IF($E$35=8,Dados!$AT$62,0)))))))</f>
        <v>0</v>
      </c>
      <c r="DR54" s="316">
        <f>IF($E$36=2,Dados!$AE$62,IF($E$36=3,Dados!$AG$62,IF($E$36=4,Dados!$AI$62,IF($E$36=5,Dados!$AK$62,IF($E$36=6,Dados!$AM$62,IF($E$36=7,Dados!$AO$62,IF($E$36=8,Dados!$AS$62,0)))))))</f>
        <v>0</v>
      </c>
      <c r="DS54" s="304">
        <f>IF($E$36=2,Dados!$AF$62,IF($E$36=3,Dados!$AH$62,IF($E$36=4,Dados!$AJ$62,IF($E$36=5,Dados!$AL$62,IF($E$36=6,Dados!$AN$62,IF($E$36=7,Dados!$AP$62,IF($E$36=8,Dados!$AT$62,0)))))))</f>
        <v>0</v>
      </c>
      <c r="DT54" s="316">
        <f>IF($E$37=2,Dados!$AE$62,IF($E$37=3,Dados!$AG$62,IF($E$37=4,Dados!$AI$62,IF($E$37=5,Dados!$AK$62,IF($E$37=6,Dados!$AM$62,IF($E$37=7,Dados!$AO$62,IF($E$37=8,Dados!$AS$62,0)))))))</f>
        <v>0</v>
      </c>
      <c r="DU54" s="304">
        <f>IF($E$37=2,Dados!$AF$62,IF($E$37=3,Dados!$AH$62,IF($E$37=4,Dados!$AJ$62,IF($E$37=5,Dados!$AL$62,IF($E$37=6,Dados!$AN$62,IF($E$37=7,Dados!$AP$62,IF($E$37=8,Dados!$AT$62,0)))))))</f>
        <v>0</v>
      </c>
      <c r="DV54" s="316">
        <f>IF($E$38=2,Dados!$AE$62,IF($E$38=3,Dados!$AG$62,IF($E$38=4,Dados!$AI$62,IF($E$38=5,Dados!$AK$62,IF($E$38=6,Dados!$AM$62,IF($E$38=7,Dados!$AO$62,IF($E$38=8,Dados!$AS$62,0)))))))</f>
        <v>0</v>
      </c>
      <c r="DW54" s="304">
        <f>IF($E$38=2,Dados!$AF$62,IF($E$38=3,Dados!$AH$62,IF($E$38=4,Dados!$AJ$62,IF($E$38=5,Dados!$AL$62,IF($E$38=6,Dados!$AN$62,IF($E$38=7,Dados!$AP$62,IF($E$38=8,Dados!$AT$62,0)))))))</f>
        <v>0</v>
      </c>
      <c r="DY54" s="316">
        <f>IF($E$43=2,Dados!$AE$62,IF($E$43=3,Dados!$AG$62,IF($E$43=4,Dados!$AI$62,IF($E$43=5,Dados!$AK$62,IF($E$43=6,Dados!$AM$62,IF($E$43=7,Dados!$AO$62,IF($E$43=8,Dados!$AS$62,0)))))))</f>
        <v>0</v>
      </c>
      <c r="DZ54" s="304">
        <f>IF($E$43=2,Dados!$AF$62,IF($E$43=3,Dados!$AH$62,IF($E$43=4,Dados!$AJ$62,IF($E$43=5,Dados!$AL$62,IF($E$43=6,Dados!$AN$62,IF($E$43=7,Dados!$AP$62,IF($E$43=8,Dados!$AT$62,0)))))))</f>
        <v>0</v>
      </c>
      <c r="EA54" s="316">
        <f>IF($E$44=2,Dados!$AE$62,IF($E$44=3,Dados!$AG$62,IF($E$44=4,Dados!$AI$62,IF($E$44=5,Dados!$AK$62,IF($E$44=6,Dados!$AM$62,IF($E$44=7,Dados!$AO$62,IF($E$44=8,Dados!$AS$62,0)))))))</f>
        <v>0</v>
      </c>
      <c r="EB54" s="304">
        <f>IF($E$44=2,Dados!$AF$62,IF($E$44=3,Dados!$AH$62,IF($E$44=4,Dados!$AJ$62,IF($E$44=5,Dados!$AL$62,IF($E$44=6,Dados!$AN$62,IF($E$44=7,Dados!$AP$62,IF($E$44=8,Dados!$AT$62,0)))))))</f>
        <v>0</v>
      </c>
      <c r="EC54" s="316">
        <f>IF($E$45=2,Dados!$AE$62,IF($E$45=3,Dados!$AG$62,IF($E$45=4,Dados!$AI$62,IF($E$45=5,Dados!$AK$62,IF($E$45=6,Dados!$AM$62,IF($E$45=7,Dados!$AO$62,IF($E$45=8,Dados!$AS$62,0)))))))</f>
        <v>0</v>
      </c>
      <c r="ED54" s="304">
        <f>IF($E$45=2,Dados!$AF$62,IF($E$45=3,Dados!$AH$62,IF($E$45=4,Dados!$AJ$62,IF($E$45=5,Dados!$AL$62,IF($E$45=6,Dados!$AN$62,IF($E$45=7,Dados!$AP$62,IF($E$45=8,Dados!$AT$62,0)))))))</f>
        <v>0</v>
      </c>
      <c r="EE54" s="316">
        <f>IF($E$46=2,Dados!$AE$62,IF($E$46=3,Dados!$AG$62,IF($E$46=4,Dados!$AI$62,IF($E$46=5,Dados!$AK$62,IF($E$46=6,Dados!$AM$62,IF($E$46=7,Dados!$AO$62,IF($E$46=8,Dados!$AS$62,0)))))))</f>
        <v>0</v>
      </c>
      <c r="EF54" s="304">
        <f>IF($E$46=2,Dados!$AF$62,IF($E$46=3,Dados!$AH$62,IF($E$46=4,Dados!$AJ$62,IF($E$46=5,Dados!$AL$62,IF($E$46=6,Dados!$AN$62,IF($E$46=7,Dados!$AP$62,IF($E$46=8,Dados!$AT$62,0)))))))</f>
        <v>0</v>
      </c>
      <c r="EG54" s="316">
        <f>IF($E$47=2,Dados!$AE$62,IF($E$47=3,Dados!$AG$62,IF($E$47=4,Dados!$AI$62,IF($E$47=5,Dados!$AK$62,IF($E$47=6,Dados!$AM$62,IF($E$47=7,Dados!$AO$62,IF($E$47=8,Dados!$AS$62,0)))))))</f>
        <v>0</v>
      </c>
      <c r="EH54" s="304">
        <f>IF($E$47=2,Dados!$AF$62,IF($E$47=3,Dados!$AH$62,IF($E$47=4,Dados!$AJ$62,IF($E$47=5,Dados!$AL$62,IF($E$47=6,Dados!$AN$62,IF($E$47=7,Dados!$AP$62,IF($E$47=8,Dados!$AT$62,0)))))))</f>
        <v>0</v>
      </c>
      <c r="EJ54" s="316">
        <f>IF($E$52=2,Dados!$AE$62,IF($E$52=3,Dados!$AG$62,IF($E$52=4,Dados!$AI$62,IF($E$52=5,Dados!$AK$62,IF($E$52=6,Dados!$AM$62,IF($E$52=7,Dados!$AO$62,IF($E$52=8,Dados!$AS$62,0)))))))</f>
        <v>0</v>
      </c>
      <c r="EK54" s="304">
        <f>IF($E$52=2,Dados!$AF$62,IF($E$52=3,Dados!$AH$62,IF($E$52=4,Dados!$AJ$62,IF($E$52=5,Dados!$AL$62,IF($E$52=6,Dados!$AN$62,IF($E$52=7,Dados!$AP$62,IF($E$52=8,Dados!$AT$62,0)))))))</f>
        <v>0</v>
      </c>
      <c r="EL54" s="316">
        <f>IF($E$53=2,Dados!$AE$62,IF($E$53=3,Dados!$AG$62,IF($E$53=4,Dados!$AI$62,IF($E$53=5,Dados!$AK$62,IF($E$53=6,Dados!$AM$62,IF($E$53=7,Dados!$AO$62,IF($E$53=8,Dados!$AS$62,0)))))))</f>
        <v>0</v>
      </c>
      <c r="EM54" s="304">
        <f>IF($E$53=2,Dados!$AF$62,IF($E$53=3,Dados!$AH$62,IF($E$53=4,Dados!$AJ$62,IF($E$53=5,Dados!$AL$62,IF($E$53=6,Dados!$AN$62,IF($E$53=7,Dados!$AP$62,IF($E$53=8,Dados!$AT$62,0)))))))</f>
        <v>0</v>
      </c>
      <c r="EN54" s="316">
        <f>IF($E$54=2,Dados!$AE$62,IF($E$54=3,Dados!$AG$62,IF($E$54=4,Dados!$AI$62,IF($E$54=5,Dados!$AK$62,IF($E$54=6,Dados!$AM$62,IF($E$54=7,Dados!$AO$62,IF($E$54=8,Dados!$AS$62,0)))))))</f>
        <v>0</v>
      </c>
      <c r="EO54" s="304">
        <f>IF($E$54=2,Dados!$AF$62,IF($E$54=3,Dados!$AH$62,IF($E$54=4,Dados!$AJ$62,IF($E$54=5,Dados!$AL$62,IF($E$54=6,Dados!$AN$62,IF($E$54=7,Dados!$AP$62,IF($E$54=8,Dados!$AT$62,0)))))))</f>
        <v>0</v>
      </c>
      <c r="EP54" s="316">
        <f>IF($E$55=2,Dados!$AE$62,IF($E$55=3,Dados!$AG$62,IF($E$55=4,Dados!$AI$62,IF($E$55=5,Dados!$AK$62,IF($E$55=6,Dados!$AM$62,IF($E$55=7,Dados!$AO$62,IF($E$55=8,Dados!$AS$62,0)))))))</f>
        <v>0</v>
      </c>
      <c r="EQ54" s="304">
        <f>IF($E$55=2,Dados!$AF$62,IF($E$55=3,Dados!$AH$62,IF($E$55=4,Dados!$AJ$62,IF($E$55=5,Dados!$AL$62,IF($E$55=6,Dados!$AN$62,IF($E$55=7,Dados!$AP$62,IF($E$55=8,Dados!$AT$62,0)))))))</f>
        <v>0</v>
      </c>
      <c r="ER54" s="316">
        <f>IF($E$56=2,Dados!$AE$62,IF($E$56=3,Dados!$AG$62,IF($E$56=4,Dados!$AI$62,IF($E$56=5,Dados!$AK$62,IF($E$56=6,Dados!$AM$62,IF($E$56=7,Dados!$AO$62,IF($E$56=8,Dados!$AS$62,0)))))))</f>
        <v>0</v>
      </c>
      <c r="ES54" s="304">
        <f>IF($E$56=2,Dados!$AF$62,IF($E$56=3,Dados!$AH$62,IF($E$56=4,Dados!$AJ$62,IF($E$56=5,Dados!$AL$62,IF($E$56=6,Dados!$AN$62,IF($E$56=7,Dados!$AP$62,IF($E$56=8,Dados!$AT$62,0)))))))</f>
        <v>0</v>
      </c>
      <c r="EU54" s="316">
        <f>IF($E$61=2,Dados!$AE$62,IF($E$61=3,Dados!$AG$62,IF($E$61=4,Dados!$AI$62,IF($E$61=5,Dados!$AK$62,IF($E$61=6,Dados!$AM$62,IF($E$61=7,Dados!$AO$62,IF($E$61=8,Dados!$AS$62,0)))))))</f>
        <v>0</v>
      </c>
      <c r="EV54" s="304">
        <f>IF($E$61=2,Dados!$AF$62,IF($E$61=3,Dados!$AH$62,IF($E$61=4,Dados!$AJ$62,IF($E$61=5,Dados!$AL$62,IF($E$61=6,Dados!$AN$62,IF($E$61=7,Dados!$AP$62,IF($E$61=8,Dados!$AT$62,0)))))))</f>
        <v>0</v>
      </c>
      <c r="EW54" s="316">
        <f>IF($E$62=2,Dados!$AE$62,IF($E$62=3,Dados!$AG$62,IF($E$62=4,Dados!$AI$62,IF($E$62=5,Dados!$AK$62,IF($E$62=6,Dados!$AM$62,IF($E$62=7,Dados!$AO$62,IF($E$62=8,Dados!$AS$62,0)))))))</f>
        <v>0</v>
      </c>
      <c r="EX54" s="304">
        <f>IF($E$62=2,Dados!$AF$62,IF($E$62=3,Dados!$AH$62,IF($E$62=4,Dados!$AJ$62,IF($E$62=5,Dados!$AL$62,IF($E$62=6,Dados!$AN$62,IF($E$62=7,Dados!$AP$62,IF($E$62=8,Dados!$AT$62,0)))))))</f>
        <v>0</v>
      </c>
      <c r="EY54" s="316">
        <f>IF($E$63=2,Dados!$AE$62,IF($E$63=3,Dados!$AG$62,IF($E$63=4,Dados!$AI$62,IF($E$63=5,Dados!$AK$62,IF($E$63=6,Dados!$AM$62,IF($E$63=7,Dados!$AO$62,IF($E$63=8,Dados!$AS$62,0)))))))</f>
        <v>0</v>
      </c>
      <c r="EZ54" s="304">
        <f>IF($E$63=2,Dados!$AF$62,IF($E$63=3,Dados!$AH$62,IF($E$63=4,Dados!$AJ$62,IF($E$63=5,Dados!$AL$62,IF($E$63=6,Dados!$AN$62,IF($E$63=7,Dados!$AP$62,IF($E$63=8,Dados!$AT$62,0)))))))</f>
        <v>0</v>
      </c>
      <c r="FA54" s="316">
        <f>IF($E$64=2,Dados!$AE$62,IF($E$64=3,Dados!$AG$62,IF($E$64=4,Dados!$AI$62,IF($E$64=5,Dados!$AK$62,IF($E$64=6,Dados!$AM$62,IF($E$64=7,Dados!$AO$62,IF($E$64=8,Dados!$AS$62,0)))))))</f>
        <v>0</v>
      </c>
      <c r="FB54" s="304">
        <f>IF($E$64=2,Dados!$AF$62,IF($E$64=3,Dados!$AH$62,IF($E$64=4,Dados!$AJ$62,IF($E$64=5,Dados!$AL$62,IF($E$64=6,Dados!$AN$62,IF($E$64=7,Dados!$AP$62,IF($E$64=8,Dados!$AT$62,0)))))))</f>
        <v>0</v>
      </c>
      <c r="FC54" s="316">
        <f>IF($E$65=2,Dados!$AE$62,IF($E$65=3,Dados!$AG$62,IF($E$65=4,Dados!$AI$62,IF($E$65=5,Dados!$AK$62,IF($E$65=6,Dados!$AM$62,IF($E$65=7,Dados!$AO$62,IF($E$65=8,Dados!$AS$62,0)))))))</f>
        <v>0</v>
      </c>
      <c r="FD54" s="304">
        <f>IF($E$65=2,Dados!$AF$62,IF($E$65=3,Dados!$AH$62,IF($E$65=4,Dados!$AJ$62,IF($E$65=5,Dados!$AL$62,IF($E$65=6,Dados!$AN$62,IF($E$65=7,Dados!$AP$62,IF($E$65=8,Dados!$AT$62,0)))))))</f>
        <v>0</v>
      </c>
      <c r="FF54" s="316">
        <f>IF($E$70=2,Dados!$AE$62,IF($E$70=3,Dados!$AG$62,IF($E$70=4,Dados!$AI$62,IF($E$70=5,Dados!$AK$62,IF($E$70=6,Dados!$AM$62,IF($E$70=7,Dados!$AO$62,IF($E$70=8,Dados!$AS$62,0)))))))</f>
        <v>0</v>
      </c>
      <c r="FG54" s="304">
        <f>IF($E$70=2,Dados!$AF$62,IF($E$70=3,Dados!$AH$62,IF($E$70=4,Dados!$AJ$62,IF($E$70=5,Dados!$AL$62,IF($E$70=6,Dados!$AN$62,IF($E$70=7,Dados!$AP$62,IF($E$70=8,Dados!$AT$62,0)))))))</f>
        <v>0</v>
      </c>
      <c r="FH54" s="316">
        <f>IF($E$71=2,Dados!$AE$62,IF($E$71=3,Dados!$AG$62,IF($E$71=4,Dados!$AI$62,IF($E$71=5,Dados!$AK$62,IF($E$71=6,Dados!$AM$62,IF($E$71=7,Dados!$AO$62,IF($E$71=8,Dados!$AS$62,0)))))))</f>
        <v>0</v>
      </c>
      <c r="FI54" s="304">
        <f>IF($E$71=2,Dados!$AF$62,IF($E$71=3,Dados!$AH$62,IF($E$71=4,Dados!$AJ$62,IF($E$71=5,Dados!$AL$62,IF($E$71=6,Dados!$AN$62,IF($E$71=7,Dados!$AP$62,IF($E$71=8,Dados!$AT$62,0)))))))</f>
        <v>0</v>
      </c>
      <c r="FJ54" s="316">
        <f>IF($E$72=2,Dados!$AE$62,IF($E$72=3,Dados!$AG$62,IF($E$72=4,Dados!$AI$62,IF($E$72=5,Dados!$AK$62,IF($E$72=6,Dados!$AM$62,IF($E$72=7,Dados!$AO$62,IF($E$72=8,Dados!$AS$62,0)))))))</f>
        <v>0</v>
      </c>
      <c r="FK54" s="304">
        <f>IF($E$72=2,Dados!$AF$62,IF($E$72=3,Dados!$AH$62,IF($E$72=4,Dados!$AJ$62,IF($E$72=5,Dados!$AL$62,IF($E$72=6,Dados!$AN$62,IF($E$72=7,Dados!$AP$62,IF($E$72=8,Dados!$AT$62,0)))))))</f>
        <v>0</v>
      </c>
      <c r="FL54" s="316">
        <f>IF($E$73=2,Dados!$AE$62,IF($E$73=3,Dados!$AG$62,IF($E$73=4,Dados!$AI$62,IF($E$73=5,Dados!$AK$62,IF($E$73=6,Dados!$AM$62,IF($E$73=7,Dados!$AO$62,IF($E$73=8,Dados!$AS$62,0)))))))</f>
        <v>0</v>
      </c>
      <c r="FM54" s="304">
        <f>IF($E$73=2,Dados!$AF$62,IF($E$73=3,Dados!$AH$62,IF($E$73=4,Dados!$AJ$62,IF($E$73=5,Dados!$AL$62,IF($E$73=6,Dados!$AN$62,IF($E$73=7,Dados!$AP$62,IF($E$73=8,Dados!$AT$62,0)))))))</f>
        <v>0</v>
      </c>
      <c r="FN54" s="316">
        <f>IF($E$74=2,Dados!$AE$62,IF($E$74=3,Dados!$AG$62,IF($E$74=4,Dados!$AI$62,IF($E$74=5,Dados!$AK$62,IF($E$74=6,Dados!$AM$62,IF($E$74=7,Dados!$AO$62,IF($E$74=8,Dados!$AS$62,0)))))))</f>
        <v>0</v>
      </c>
      <c r="FO54" s="304">
        <f>IF($E$74=2,Dados!$AF$62,IF($E$74=3,Dados!$AH$62,IF($E$74=4,Dados!$AJ$62,IF($E$74=5,Dados!$AL$62,IF($E$74=6,Dados!$AN$62,IF($E$74=7,Dados!$AP$62,IF($E$74=8,Dados!$AT$62,0)))))))</f>
        <v>0</v>
      </c>
      <c r="FQ54" s="316">
        <f>IF($E$79=2,Dados!$AE$62,IF($E$79=3,Dados!$AG$62,IF($E$79=4,Dados!$AI$62,IF($E$79=5,Dados!$AK$62,IF($E$79=6,Dados!$AM$62,IF($E$79=7,Dados!$AO$62,IF($E$79=8,Dados!$AS$62,0)))))))</f>
        <v>0</v>
      </c>
      <c r="FR54" s="304">
        <f>IF($E$79=2,Dados!$AF$62,IF($E$79=3,Dados!$AH$62,IF($E$79=4,Dados!$AJ$62,IF($E$79=5,Dados!$AL$62,IF($E$79=6,Dados!$AN$62,IF($E$79=7,Dados!$AP$62,IF($E$79=8,Dados!$AT$62,0)))))))</f>
        <v>0</v>
      </c>
      <c r="FS54" s="316">
        <f>IF($E$80=2,Dados!$AE$62,IF($E$80=3,Dados!$AG$62,IF($E$80=4,Dados!$AI$62,IF($E$80=5,Dados!$AK$62,IF($E$80=6,Dados!$AM$62,IF($E$80=7,Dados!$AO$62,IF($E$80=8,Dados!$AS$62,0)))))))</f>
        <v>0</v>
      </c>
      <c r="FT54" s="304">
        <f>IF($E$80=2,Dados!$AF$62,IF($E$80=3,Dados!$AH$62,IF($E$80=4,Dados!$AJ$62,IF($E$80=5,Dados!$AL$62,IF($E$80=6,Dados!$AN$62,IF($E$80=7,Dados!$AP$62,IF($E$80=8,Dados!$AT$62,0)))))))</f>
        <v>0</v>
      </c>
      <c r="FU54" s="316">
        <f>IF($E$81=2,Dados!$AE$62,IF($E$81=3,Dados!$AG$62,IF($E$81=4,Dados!$AI$62,IF($E$81=5,Dados!$AK$62,IF($E$81=6,Dados!$AM$62,IF($E$81=7,Dados!$AO$62,IF($E$81=8,Dados!$AS$62,0)))))))</f>
        <v>0</v>
      </c>
      <c r="FV54" s="304">
        <f>IF($E$81=2,Dados!$AF$62,IF($E$81=3,Dados!$AH$62,IF($E$81=4,Dados!$AJ$62,IF($E$81=5,Dados!$AL$62,IF($E$81=6,Dados!$AN$62,IF($E$81=7,Dados!$AP$62,IF($E$81=8,Dados!$AT$62,0)))))))</f>
        <v>0</v>
      </c>
      <c r="FW54" s="316">
        <f>IF($E$82=2,Dados!$AE$62,IF($E$82=3,Dados!$AG$62,IF($E$82=4,Dados!$AI$62,IF($E$82=5,Dados!$AK$62,IF($E$82=6,Dados!$AM$62,IF($E$82=7,Dados!$AO$62,IF($E$82=8,Dados!$AS$62,0)))))))</f>
        <v>0</v>
      </c>
      <c r="FX54" s="304">
        <f>IF($E$82=2,Dados!$AF$62,IF($E$82=3,Dados!$AH$62,IF($E$82=4,Dados!$AJ$62,IF($E$82=5,Dados!$AL$62,IF($E$82=6,Dados!$AN$62,IF($E$82=7,Dados!$AP$62,IF($E$82=8,Dados!$AT$62,0)))))))</f>
        <v>0</v>
      </c>
      <c r="FY54" s="316">
        <f>IF($E$83=2,Dados!$AE$62,IF($E$83=3,Dados!$AG$62,IF($E$83=4,Dados!$AI$62,IF($E$83=5,Dados!$AK$62,IF($E$83=6,Dados!$AM$62,IF($E$83=7,Dados!$AO$62,IF($E$83=8,Dados!$AS$62,0)))))))</f>
        <v>0</v>
      </c>
      <c r="FZ54" s="304">
        <f>IF($E$83=2,Dados!$AF$62,IF($E$83=3,Dados!$AH$62,IF($E$83=4,Dados!$AJ$62,IF($E$83=5,Dados!$AL$62,IF($E$83=6,Dados!$AN$62,IF($E$83=7,Dados!$AP$62,IF($E$83=8,Dados!$AT$62,0)))))))</f>
        <v>0</v>
      </c>
      <c r="GB54" s="316">
        <f>IF($E$88=2,Dados!$AE$62,IF($E$88=3,Dados!$AG$62,IF($E$88=4,Dados!$AI$62,IF($E$88=5,Dados!$AK$62,IF($E$88=6,Dados!$AM$62,IF($E$88=7,Dados!$AO$62,IF($E$88=8,Dados!$AS$62,0)))))))</f>
        <v>0</v>
      </c>
      <c r="GC54" s="304">
        <f>IF($E$88=2,Dados!$AF$62,IF($E$88=3,Dados!$AH$62,IF($E$88=4,Dados!$AJ$62,IF($E$88=5,Dados!$AL$62,IF($E$88=6,Dados!$AN$62,IF($E$88=7,Dados!$AP$62,IF($E$88=8,Dados!$AT$62,0)))))))</f>
        <v>0</v>
      </c>
      <c r="GD54" s="316">
        <f>IF($E$89=2,Dados!$AE$62,IF($E$89=3,Dados!$AG$62,IF($E$89=4,Dados!$AI$62,IF($E$89=5,Dados!$AK$62,IF($E$89=6,Dados!$AM$62,IF($E$89=7,Dados!$AO$62,IF($E$89=8,Dados!$AS$62,0)))))))</f>
        <v>0</v>
      </c>
      <c r="GE54" s="304">
        <f>IF($E$89=2,Dados!$AF$62,IF($E$89=3,Dados!$AH$62,IF($E$89=4,Dados!$AJ$62,IF($E$89=5,Dados!$AL$62,IF($E$89=6,Dados!$AN$62,IF($E$89=7,Dados!$AP$62,IF($E$89=8,Dados!$AT$62,0)))))))</f>
        <v>0</v>
      </c>
      <c r="GF54" s="316">
        <f>IF($E$90=2,Dados!$AE$62,IF($E$90=3,Dados!$AG$62,IF($E$90=4,Dados!$AI$62,IF($E$90=5,Dados!$AK$62,IF($E$90=6,Dados!$AM$62,IF($E$90=7,Dados!$AO$62,IF($E$90=8,Dados!$AS$62,0)))))))</f>
        <v>0</v>
      </c>
      <c r="GG54" s="304">
        <f>IF($E$90=2,Dados!$AF$62,IF($E$90=3,Dados!$AH$62,IF($E$90=4,Dados!$AJ$62,IF($E$90=5,Dados!$AL$62,IF($E$90=6,Dados!$AN$62,IF($E$90=7,Dados!$AP$62,IF($E$90=8,Dados!$AT$62,0)))))))</f>
        <v>0</v>
      </c>
      <c r="GH54" s="316">
        <f>IF($E$91=2,Dados!$AE$62,IF($E$91=3,Dados!$AG$62,IF($E$91=4,Dados!$AI$62,IF($E$91=5,Dados!$AK$62,IF($E$91=6,Dados!$AM$62,IF($E$91=7,Dados!$AO$62,IF($E$91=8,Dados!$AS$62,0)))))))</f>
        <v>0</v>
      </c>
      <c r="GI54" s="304">
        <f>IF($E$91=2,Dados!$AF$62,IF($E$91=3,Dados!$AH$62,IF($E$91=4,Dados!$AJ$62,IF($E$91=5,Dados!$AL$62,IF($E$91=6,Dados!$AN$62,IF($E$91=7,Dados!$AP$62,IF($E$91=8,Dados!$AT$62,0)))))))</f>
        <v>0</v>
      </c>
      <c r="GJ54" s="316">
        <f>IF($E$92=2,Dados!$AE$62,IF($E$92=3,Dados!$AG$62,IF($E$92=4,Dados!$AI$62,IF($E$92=5,Dados!$AK$62,IF($E$92=6,Dados!$AM$62,IF($E$92=7,Dados!$AO$62,IF($E$92=8,Dados!$AS$62,0)))))))</f>
        <v>0</v>
      </c>
      <c r="GK54" s="304">
        <f>IF($E$92=2,Dados!$AF$62,IF($E$92=3,Dados!$AH$62,IF($E$92=4,Dados!$AJ$62,IF($E$92=5,Dados!$AL$62,IF($E$92=6,Dados!$AN$62,IF($E$92=7,Dados!$AP$62,IF($E$92=8,Dados!$AT$62,0)))))))</f>
        <v>0</v>
      </c>
      <c r="GM54" s="316">
        <f>IF($E$97=2,Dados!$AE$62,IF($E$97=3,Dados!$AG$62,IF($E$97=4,Dados!$AI$62,IF($E$97=5,Dados!$AK$62,IF($E$97=6,Dados!$AM$62,IF($E$97=7,Dados!$AO$62,IF($E$97=8,Dados!$AS$62,0)))))))</f>
        <v>0</v>
      </c>
      <c r="GN54" s="304">
        <f>IF($E$97=2,Dados!$AF$62,IF($E$97=3,Dados!$AH$62,IF($E$97=4,Dados!$AJ$62,IF($E$97=5,Dados!$AL$62,IF($E$97=6,Dados!$AN$62,IF($E$97=7,Dados!$AP$62,IF($E$97=8,Dados!$AT$62,0)))))))</f>
        <v>0</v>
      </c>
      <c r="GO54" s="316">
        <f>IF($E$98=2,Dados!$AE$62,IF($E$98=3,Dados!$AG$62,IF($E$98=4,Dados!$AI$62,IF($E$98=5,Dados!$AK$62,IF($E$98=6,Dados!$AM$62,IF($E$98=7,Dados!$AO$62,IF($E$98=8,Dados!$AS$62,0)))))))</f>
        <v>0</v>
      </c>
      <c r="GP54" s="304">
        <f>IF($E$98=2,Dados!$AF$62,IF($E$98=3,Dados!$AH$62,IF($E$98=4,Dados!$AJ$62,IF($E$98=5,Dados!$AL$62,IF($E$98=6,Dados!$AN$62,IF($E$98=7,Dados!$AP$62,IF($E$98=8,Dados!$AT$62,0)))))))</f>
        <v>0</v>
      </c>
      <c r="GQ54" s="316">
        <f>IF($E$99=2,Dados!$AE$62,IF($E$99=3,Dados!$AG$62,IF($E$99=4,Dados!$AI$62,IF($E$99=5,Dados!$AK$62,IF($E$99=6,Dados!$AM$62,IF($E$99=7,Dados!$AO$62,IF($E$99=8,Dados!$AS$62,0)))))))</f>
        <v>0</v>
      </c>
      <c r="GR54" s="304">
        <f>IF($E$99=2,Dados!$AF$62,IF($E$99=3,Dados!$AH$62,IF($E$99=4,Dados!$AJ$62,IF($E$99=5,Dados!$AL$62,IF($E$99=6,Dados!$AN$62,IF($E$99=7,Dados!$AP$62,IF($E$99=8,Dados!$AT$62,0)))))))</f>
        <v>0</v>
      </c>
      <c r="GS54" s="316">
        <f>IF($E$100=2,Dados!$AE$62,IF($E$100=3,Dados!$AG$62,IF($E$100=4,Dados!$AI$62,IF($E$100=5,Dados!$AK$62,IF($E$100=6,Dados!$AM$62,IF($E$100=7,Dados!$AO$62,IF($E$100=8,Dados!$AS$62,0)))))))</f>
        <v>0</v>
      </c>
      <c r="GT54" s="304">
        <f>IF($E$100=2,Dados!$AF$62,IF($E$100=3,Dados!$AH$62,IF($E$100=4,Dados!$AJ$62,IF($E$100=5,Dados!$AL$62,IF($E$100=6,Dados!$AN$62,IF($E$100=7,Dados!$AP$62,IF($E$100=8,Dados!$AT$62,0)))))))</f>
        <v>0</v>
      </c>
      <c r="GU54" s="316">
        <f>IF($E$101=2,Dados!$AE$62,IF($E$101=3,Dados!$AG$62,IF($E$101=4,Dados!$AI$62,IF($E$101=5,Dados!$AK$62,IF($E$101=6,Dados!$AM$62,IF($E$101=7,Dados!$AO$62,IF($E$101=8,Dados!$AS$62,0)))))))</f>
        <v>0</v>
      </c>
      <c r="GV54" s="304">
        <f>IF($E$101=2,Dados!$AF$62,IF($E$101=3,Dados!$AH$62,IF($E$101=4,Dados!$AJ$62,IF($E$101=5,Dados!$AL$62,IF($E$101=6,Dados!$AN$62,IF($E$101=7,Dados!$AP$62,IF($E$101=8,Dados!$AT$62,0)))))))</f>
        <v>0</v>
      </c>
      <c r="GX54" s="316">
        <f>IF($E$106=2,Dados!$AE$62,IF($E$106=3,Dados!$AG$62,IF($E$106=4,Dados!$AI$62,IF($E$106=5,Dados!$AK$62,IF($E$106=6,Dados!$AM$62,IF($E$106=7,Dados!$AO$62,IF($E$106=8,Dados!$AS$62,0)))))))</f>
        <v>0</v>
      </c>
      <c r="GY54" s="304">
        <f>IF($E$106=2,Dados!$AF$62,IF($E$106=3,Dados!$AH$62,IF($E$106=4,Dados!$AJ$62,IF($E$106=5,Dados!$AL$62,IF($E$106=6,Dados!$AN$62,IF($E$106=7,Dados!$AP$62,IF($E$106=8,Dados!$AT$62,0)))))))</f>
        <v>0</v>
      </c>
      <c r="GZ54" s="316">
        <f>IF($E$107=2,Dados!$AE$62,IF($E$107=3,Dados!$AG$62,IF($E$107=4,Dados!$AI$62,IF($E$107=5,Dados!$AK$62,IF($E$107=6,Dados!$AM$62,IF($E$107=7,Dados!$AO$62,IF($E$107=8,Dados!$AS$62,0)))))))</f>
        <v>0</v>
      </c>
      <c r="HA54" s="304">
        <f>IF($E$107=2,Dados!$AF$62,IF($E$107=3,Dados!$AH$62,IF($E$107=4,Dados!$AJ$62,IF($E$107=5,Dados!$AL$62,IF($E$107=6,Dados!$AN$62,IF($E$107=7,Dados!$AP$62,IF($E$107=8,Dados!$AT$62,0)))))))</f>
        <v>0</v>
      </c>
      <c r="HB54" s="316">
        <f>IF($E$108=2,Dados!$AE$62,IF($E$108=3,Dados!$AG$62,IF($E$108=4,Dados!$AI$62,IF($E$108=5,Dados!$AK$62,IF($E$108=6,Dados!$AM$62,IF($E$108=7,Dados!$AO$62,IF($E$108=8,Dados!$AS$62,0)))))))</f>
        <v>0</v>
      </c>
      <c r="HC54" s="304">
        <f>IF($E$108=2,Dados!$AF$62,IF($E$108=3,Dados!$AH$62,IF($E$108=4,Dados!$AJ$62,IF($E$108=5,Dados!$AL$62,IF($E$108=6,Dados!$AN$62,IF($E$108=7,Dados!$AP$62,IF($E$108=8,Dados!$AT$62,0)))))))</f>
        <v>0</v>
      </c>
      <c r="HD54" s="316">
        <f>IF($E$109=2,Dados!$AE$62,IF($E$109=3,Dados!$AG$62,IF($E$109=4,Dados!$AI$62,IF($E$109=5,Dados!$AK$62,IF($E$109=6,Dados!$AM$62,IF($E$109=7,Dados!$AO$62,IF($E$109=8,Dados!$AS$62,0)))))))</f>
        <v>0</v>
      </c>
      <c r="HE54" s="304">
        <f>IF($E$109=2,Dados!$AF$62,IF($E$109=3,Dados!$AH$62,IF($E$109=4,Dados!$AJ$62,IF($E$109=5,Dados!$AL$62,IF($E$109=6,Dados!$AN$62,IF($E$109=7,Dados!$AP$62,IF($E$109=8,Dados!$AT$62,0)))))))</f>
        <v>0</v>
      </c>
      <c r="HF54" s="316">
        <f>IF($E$110=2,Dados!$AE$62,IF($E$110=3,Dados!$AG$62,IF($E$110=4,Dados!$AI$62,IF($E$110=5,Dados!$AK$62,IF($E$110=6,Dados!$AM$62,IF($E$110=7,Dados!$AO$62,IF($E$110=8,Dados!$AS$62,0)))))))</f>
        <v>0</v>
      </c>
      <c r="HG54" s="304">
        <f>IF($E$110=2,Dados!$AF$62,IF($E$110=3,Dados!$AH$62,IF($E$110=4,Dados!$AJ$62,IF($E$110=5,Dados!$AL$62,IF($E$110=6,Dados!$AN$62,IF($E$110=7,Dados!$AP$62,IF($E$110=8,Dados!$AT$62,0)))))))</f>
        <v>0</v>
      </c>
    </row>
    <row r="55" spans="3:215" ht="15.75" customHeight="1" x14ac:dyDescent="0.2">
      <c r="C55" s="156">
        <f>IF(R55=1,0,S55)</f>
        <v>0</v>
      </c>
      <c r="D55" s="2721"/>
      <c r="E55" s="180">
        <v>1</v>
      </c>
      <c r="F55" s="2718">
        <v>1</v>
      </c>
      <c r="G55" s="2719"/>
      <c r="H55" s="284"/>
      <c r="I55" s="229"/>
      <c r="J55" s="314"/>
      <c r="K55" s="157"/>
      <c r="L55" s="305"/>
      <c r="M55" s="127">
        <f>IF(I55=1,K55,IF(I55=2,K55/J55,IF(I55=3,K55*L55,0)))</f>
        <v>0</v>
      </c>
      <c r="N55" s="128">
        <v>1</v>
      </c>
      <c r="O55" s="30">
        <v>1</v>
      </c>
      <c r="P55" s="837">
        <f>IF(N55=1,0,VLOOKUP(N55,Rebanho!$AN$45:$AV$72,4)*O55)</f>
        <v>0</v>
      </c>
      <c r="Q55" s="838">
        <f>VLOOKUP(N55,Rebanho!$AN$45:$AV$72,7)*O55</f>
        <v>0</v>
      </c>
      <c r="R55" s="3">
        <v>1</v>
      </c>
      <c r="S55" s="29"/>
      <c r="T55" s="102">
        <f>VLOOKUP(R55,'Mão-de-obra'!$CJ$10:$CL$29,3)</f>
        <v>0</v>
      </c>
      <c r="U55" s="102">
        <f>T55*S55</f>
        <v>0</v>
      </c>
      <c r="V55" s="127">
        <f>IF(I55=1,M55*P55,IF(I55=2,M55*Q55*L55,IF(I55=3,M55,0)))</f>
        <v>0</v>
      </c>
      <c r="W55" s="129">
        <f>U55+V55</f>
        <v>0</v>
      </c>
      <c r="X55" s="93">
        <v>1</v>
      </c>
      <c r="Y55" s="93">
        <v>1</v>
      </c>
      <c r="Z55" s="127">
        <f t="shared" si="14"/>
        <v>0</v>
      </c>
      <c r="AW55" s="3" t="s">
        <v>528</v>
      </c>
      <c r="AX55" s="94">
        <f>IF($E52=5,$V52,0)</f>
        <v>0</v>
      </c>
      <c r="AY55" s="94">
        <f>IF($E53=5,$V53,0)</f>
        <v>0</v>
      </c>
      <c r="AZ55" s="94">
        <f>IF($E54=5,$V54,0)</f>
        <v>0</v>
      </c>
      <c r="BA55" s="94">
        <f>IF($E55=5,$V55,0)</f>
        <v>0</v>
      </c>
      <c r="BB55" s="94">
        <f>IF($E56=5,$V56,0)</f>
        <v>0</v>
      </c>
      <c r="BC55" s="200">
        <f t="shared" si="13"/>
        <v>0</v>
      </c>
      <c r="CF55" s="93">
        <v>50</v>
      </c>
      <c r="CG55" s="316">
        <f>IF($E$7=2,Dados!$AE$63,IF($E$7=3,Dados!$AG$63,IF($E$7=4,Dados!$AI$63,IF($E$7=5,Dados!$AK$63,IF($E$7=6,Dados!$AM$63,IF($E$7=7,Dados!$AO$63,IF($E$7=8,Dados!$AS$63,0)))))))</f>
        <v>0</v>
      </c>
      <c r="CH55" s="304">
        <f>IF($E$7=2,Dados!$AF$63,IF($E$7=3,Dados!$AH$63,IF($E$7=4,Dados!$AJ$63,IF($E$7=5,Dados!$AL$63,IF($E$7=6,Dados!$AN$63,IF($E$7=7,Dados!$AP$63,IF($E$7=8,Dados!$AT$63,0)))))))</f>
        <v>0</v>
      </c>
      <c r="CI55" s="316">
        <f>IF($E$8=2,Dados!$AE$63,IF($E$8=3,Dados!$AG$63,IF($E$8=4,Dados!$AI$63,IF($E$8=5,Dados!$AK$63,IF($E$8=6,Dados!$AM$63,IF($E$8=7,Dados!$AO$63,IF($E$8=8,Dados!$AS$63,0)))))))</f>
        <v>0</v>
      </c>
      <c r="CJ55" s="304">
        <f>IF($E$8=2,Dados!$AF$63,IF($E$8=3,Dados!$AH$63,IF($E$8=4,Dados!$AJ$63,IF($E$8=5,Dados!$AL$63,IF($E$8=6,Dados!$AN$63,IF($E$8=7,Dados!$AP$63,IF($E$8=8,Dados!$AT$63,0)))))))</f>
        <v>0</v>
      </c>
      <c r="CK55" s="316">
        <f>IF($E$9=2,Dados!$AE$63,IF($E$9=3,Dados!$AG$63,IF($E$9=4,Dados!$AI$63,IF($E$9=5,Dados!$AK$63,IF($E$9=6,Dados!$AM$63,IF($E$9=7,Dados!$AO$63,IF($E$9=8,Dados!$AS$63,0)))))))</f>
        <v>0</v>
      </c>
      <c r="CL55" s="304">
        <f>IF($E$9=2,Dados!$AF$63,IF($E$9=3,Dados!$AH$63,IF($E$9=4,Dados!$AJ$63,IF($E$9=5,Dados!$AL$63,IF($E$9=6,Dados!$AN$63,IF($E$9=7,Dados!$AP$63,IF($E$9=8,Dados!$AT$63,0)))))))</f>
        <v>0</v>
      </c>
      <c r="CM55" s="316">
        <f>IF($E$10=2,Dados!$AE$63,IF($E$10=3,Dados!$AG$63,IF($E$10=4,Dados!$AI$63,IF($E$10=5,Dados!$AK$63,IF($E$10=6,Dados!$AM$63,IF($E$10=7,Dados!$AO$63,IF($E$10=8,Dados!$AS$63,0)))))))</f>
        <v>0</v>
      </c>
      <c r="CN55" s="304">
        <f>IF($E$10=2,Dados!$AF$63,IF($E$10=3,Dados!$AH$63,IF($E$10=4,Dados!$AJ$63,IF($E$10=5,Dados!$AL$63,IF($E$10=6,Dados!$AN$63,IF($E$10=7,Dados!$AP$63,IF($E$10=8,Dados!$AT$63,0)))))))</f>
        <v>0</v>
      </c>
      <c r="CO55" s="316">
        <f>IF($E$11=2,Dados!$AE$63,IF($E$11=3,Dados!$AG$63,IF($E$11=4,Dados!$AI$63,IF($E$11=5,Dados!$AK$63,IF($E$11=6,Dados!$AM$63,IF($E$11=7,Dados!$AO$63,IF($E$11=8,Dados!$AS$63,0)))))))</f>
        <v>0</v>
      </c>
      <c r="CP55" s="304">
        <f>IF($E$11=2,Dados!$AF$63,IF($E$11=3,Dados!$AH$63,IF($E$11=4,Dados!$AJ$63,IF($E$11=5,Dados!$AL$63,IF($E$11=6,Dados!$AN$63,IF($E$11=7,Dados!$AP$63,IF($E$11=8,Dados!$AT$63,0)))))))</f>
        <v>0</v>
      </c>
      <c r="CR55" s="316">
        <f>IF($E$16=2,Dados!$AE$63,IF($E$16=3,Dados!$AG$63,IF($E$16=4,Dados!$AI$63,IF($E$16=5,Dados!$AK$63,IF($E$16=6,Dados!$AM$63,IF($E$16=7,Dados!$AO$63,IF($E$16=8,Dados!$AS$63,0)))))))</f>
        <v>0</v>
      </c>
      <c r="CS55" s="304">
        <f>IF($E$16=2,Dados!$AF$63,IF($E$16=3,Dados!$AH$63,IF($E$16=4,Dados!$AJ$63,IF($E$16=5,Dados!$AL$63,IF($E$16=6,Dados!$AN$63,IF($E$16=7,Dados!$AP$63,IF($E$16=8,Dados!$AT$63,0)))))))</f>
        <v>0</v>
      </c>
      <c r="CT55" s="316">
        <f>IF($E$17=2,Dados!$AE$63,IF($E$17=3,Dados!$AG$63,IF($E$17=4,Dados!$AI$63,IF($E$17=5,Dados!$AK$63,IF($E$17=6,Dados!$AM$63,IF($E$17=7,Dados!$AO$63,IF($E$17=8,Dados!$AS$63,0)))))))</f>
        <v>0</v>
      </c>
      <c r="CU55" s="304">
        <f>IF($E$17=2,Dados!$AF$63,IF($E$17=3,Dados!$AH$63,IF($E$17=4,Dados!$AJ$63,IF($E$17=5,Dados!$AL$63,IF($E$17=6,Dados!$AN$63,IF($E$17=7,Dados!$AP$63,IF($E$17=8,Dados!$AT$63,0)))))))</f>
        <v>0</v>
      </c>
      <c r="CV55" s="316">
        <f>IF($E$18=2,Dados!$AE$63,IF($E$18=3,Dados!$AG$63,IF($E$18=4,Dados!$AI$63,IF($E$18=5,Dados!$AK$63,IF($E$18=6,Dados!$AM$63,IF($E$18=7,Dados!$AO$63,IF($E$18=8,Dados!$AS$63,0)))))))</f>
        <v>0</v>
      </c>
      <c r="CW55" s="304">
        <f>IF($E$18=2,Dados!$AF$63,IF($E$18=3,Dados!$AH$63,IF($E$18=4,Dados!$AJ$63,IF($E$18=5,Dados!$AL$63,IF($E$18=6,Dados!$AN$63,IF($E$18=7,Dados!$AP$63,IF($E$18=8,Dados!$AT$63,0)))))))</f>
        <v>0</v>
      </c>
      <c r="CX55" s="316">
        <f>IF($E$19=2,Dados!$AE$63,IF($E$19=3,Dados!$AG$63,IF($E$19=4,Dados!$AI$63,IF($E$19=5,Dados!$AK$63,IF($E$19=6,Dados!$AM$63,IF($E$19=7,Dados!$AO$63,IF($E$19=8,Dados!$AS$63,0)))))))</f>
        <v>0</v>
      </c>
      <c r="CY55" s="304">
        <f>IF($E$19=2,Dados!$AF$63,IF($E$19=3,Dados!$AH$63,IF($E$19=4,Dados!$AJ$63,IF($E$19=5,Dados!$AL$63,IF($E$19=6,Dados!$AN$63,IF($E$19=7,Dados!$AP$63,IF($E$19=8,Dados!$AT$63,0)))))))</f>
        <v>0</v>
      </c>
      <c r="CZ55" s="316">
        <f>IF($E$20=2,Dados!$AE$63,IF($E$20=3,Dados!$AG$63,IF($E$20=4,Dados!$AI$63,IF($E$20=5,Dados!$AK$63,IF($E$20=6,Dados!$AM$63,IF($E$20=7,Dados!$AO$63,IF($E$20=8,Dados!$AS$63,0)))))))</f>
        <v>0</v>
      </c>
      <c r="DA55" s="304">
        <f>IF($E$20=2,Dados!$AF$63,IF($E$20=3,Dados!$AH$63,IF($E$20=4,Dados!$AJ$63,IF($E$20=5,Dados!$AL$63,IF($E$20=6,Dados!$AN$63,IF($E$20=7,Dados!$AP$63,IF($E$20=8,Dados!$AT$63,0)))))))</f>
        <v>0</v>
      </c>
      <c r="DC55" s="316">
        <f>IF($E$25=2,Dados!$AE$63,IF($E$25=3,Dados!$AG$63,IF($E$25=4,Dados!$AI$63,IF($E$25=5,Dados!$AK$63,IF($E$25=6,Dados!$AM$63,IF($E$25=7,Dados!$AO$63,IF($E$25=8,Dados!$AS$63,0)))))))</f>
        <v>0</v>
      </c>
      <c r="DD55" s="304">
        <f>IF($E$25=2,Dados!$AF$63,IF($E$25=3,Dados!$AH$63,IF($E$25=4,Dados!$AJ$63,IF($E$25=5,Dados!$AL$63,IF($E$25=6,Dados!$AN$63,IF($E$25=7,Dados!$AP$63,IF($E$25=8,Dados!$AT$63,0)))))))</f>
        <v>0</v>
      </c>
      <c r="DE55" s="316">
        <f>IF($E$26=2,Dados!$AE$63,IF($E$26=3,Dados!$AG$63,IF($E$26=4,Dados!$AI$63,IF($E$26=5,Dados!$AK$63,IF($E$26=6,Dados!$AM$63,IF($E$26=7,Dados!$AO$63,IF($E$26=8,Dados!$AS$63,0)))))))</f>
        <v>0</v>
      </c>
      <c r="DF55" s="304">
        <f>IF($E$26=2,Dados!$AF$63,IF($E$26=3,Dados!$AH$63,IF($E$26=4,Dados!$AJ$63,IF($E$26=5,Dados!$AL$63,IF($E$26=6,Dados!$AN$63,IF($E$26=7,Dados!$AP$63,IF($E$26=8,Dados!$AT$63,0)))))))</f>
        <v>0</v>
      </c>
      <c r="DG55" s="316">
        <f>IF($E$27=2,Dados!$AE$63,IF($E$27=3,Dados!$AG$63,IF($E$27=4,Dados!$AI$63,IF($E$27=5,Dados!$AK$63,IF($E$27=6,Dados!$AM$63,IF($E$27=7,Dados!$AO$63,IF($E$27=8,Dados!$AS$63,0)))))))</f>
        <v>0</v>
      </c>
      <c r="DH55" s="304">
        <f>IF($E$27=2,Dados!$AF$63,IF($E$27=3,Dados!$AH$63,IF($E$27=4,Dados!$AJ$63,IF($E$27=5,Dados!$AL$63,IF($E$27=6,Dados!$AN$63,IF($E$27=7,Dados!$AP$63,IF($E$27=8,Dados!$AT$63,0)))))))</f>
        <v>0</v>
      </c>
      <c r="DI55" s="316">
        <f>IF($E$28=2,Dados!$AE$63,IF($E$28=3,Dados!$AG$63,IF($E$28=4,Dados!$AI$63,IF($E$28=5,Dados!$AK$63,IF($E$28=6,Dados!$AM$63,IF($E$28=7,Dados!$AO$63,IF($E$28=8,Dados!$AS$63,0)))))))</f>
        <v>0</v>
      </c>
      <c r="DJ55" s="304">
        <f>IF($E$28=2,Dados!$AF$63,IF($E$28=3,Dados!$AH$63,IF($E$28=4,Dados!$AJ$63,IF($E$28=5,Dados!$AL$63,IF($E$28=6,Dados!$AN$63,IF($E$28=7,Dados!$AP$63,IF($E$28=8,Dados!$AT$63,0)))))))</f>
        <v>0</v>
      </c>
      <c r="DK55" s="316">
        <f>IF($E$29=2,Dados!$AE$63,IF($E$29=3,Dados!$AG$63,IF($E$29=4,Dados!$AI$63,IF($E$29=5,Dados!$AK$63,IF($E$29=6,Dados!$AM$63,IF($E$29=7,Dados!$AO$63,IF($E$29=8,Dados!$AS$63,0)))))))</f>
        <v>0</v>
      </c>
      <c r="DL55" s="304">
        <f>IF($E$29=2,Dados!$AF$63,IF($E$29=3,Dados!$AH$63,IF($E$29=4,Dados!$AJ$63,IF($E$29=5,Dados!$AL$63,IF($E$29=6,Dados!$AN$63,IF($E$29=7,Dados!$AP$63,IF($E$29=8,Dados!$AT$63,0)))))))</f>
        <v>0</v>
      </c>
      <c r="DN55" s="316">
        <f>IF($E$34=2,Dados!$AE$63,IF($E$34=3,Dados!$AG$63,IF($E$34=4,Dados!$AI$63,IF($E$34=5,Dados!$AK$63,IF($E$34=6,Dados!$AM$63,IF($E$34=7,Dados!$AO$63,IF($E$34=8,Dados!$AS$63,0)))))))</f>
        <v>0</v>
      </c>
      <c r="DO55" s="304">
        <f>IF($E$34=2,Dados!$AF$63,IF($E$34=3,Dados!$AH$63,IF($E$34=4,Dados!$AJ$63,IF($E$34=5,Dados!$AL$63,IF($E$34=6,Dados!$AN$63,IF($E$34=7,Dados!$AP$63,IF($E$34=8,Dados!$AT$63,0)))))))</f>
        <v>0</v>
      </c>
      <c r="DP55" s="316">
        <f>IF($E$35=2,Dados!$AE$63,IF($E$35=3,Dados!$AG$63,IF($E$35=4,Dados!$AI$63,IF($E$35=5,Dados!$AK$63,IF($E$35=6,Dados!$AM$63,IF($E$35=7,Dados!$AO$63,IF($E$35=8,Dados!$AS$63,0)))))))</f>
        <v>0</v>
      </c>
      <c r="DQ55" s="304">
        <f>IF($E$35=2,Dados!$AF$63,IF($E$35=3,Dados!$AH$63,IF($E$35=4,Dados!$AJ$63,IF($E$35=5,Dados!$AL$63,IF($E$35=6,Dados!$AN$63,IF($E$35=7,Dados!$AP$63,IF($E$35=8,Dados!$AT$63,0)))))))</f>
        <v>0</v>
      </c>
      <c r="DR55" s="316">
        <f>IF($E$36=2,Dados!$AE$63,IF($E$36=3,Dados!$AG$63,IF($E$36=4,Dados!$AI$63,IF($E$36=5,Dados!$AK$63,IF($E$36=6,Dados!$AM$63,IF($E$36=7,Dados!$AO$63,IF($E$36=8,Dados!$AS$63,0)))))))</f>
        <v>0</v>
      </c>
      <c r="DS55" s="304">
        <f>IF($E$36=2,Dados!$AF$63,IF($E$36=3,Dados!$AH$63,IF($E$36=4,Dados!$AJ$63,IF($E$36=5,Dados!$AL$63,IF($E$36=6,Dados!$AN$63,IF($E$36=7,Dados!$AP$63,IF($E$36=8,Dados!$AT$63,0)))))))</f>
        <v>0</v>
      </c>
      <c r="DT55" s="316">
        <f>IF($E$37=2,Dados!$AE$63,IF($E$37=3,Dados!$AG$63,IF($E$37=4,Dados!$AI$63,IF($E$37=5,Dados!$AK$63,IF($E$37=6,Dados!$AM$63,IF($E$37=7,Dados!$AO$63,IF($E$37=8,Dados!$AS$63,0)))))))</f>
        <v>0</v>
      </c>
      <c r="DU55" s="304">
        <f>IF($E$37=2,Dados!$AF$63,IF($E$37=3,Dados!$AH$63,IF($E$37=4,Dados!$AJ$63,IF($E$37=5,Dados!$AL$63,IF($E$37=6,Dados!$AN$63,IF($E$37=7,Dados!$AP$63,IF($E$37=8,Dados!$AT$63,0)))))))</f>
        <v>0</v>
      </c>
      <c r="DV55" s="316">
        <f>IF($E$38=2,Dados!$AE$63,IF($E$38=3,Dados!$AG$63,IF($E$38=4,Dados!$AI$63,IF($E$38=5,Dados!$AK$63,IF($E$38=6,Dados!$AM$63,IF($E$38=7,Dados!$AO$63,IF($E$38=8,Dados!$AS$63,0)))))))</f>
        <v>0</v>
      </c>
      <c r="DW55" s="304">
        <f>IF($E$38=2,Dados!$AF$63,IF($E$38=3,Dados!$AH$63,IF($E$38=4,Dados!$AJ$63,IF($E$38=5,Dados!$AL$63,IF($E$38=6,Dados!$AN$63,IF($E$38=7,Dados!$AP$63,IF($E$38=8,Dados!$AT$63,0)))))))</f>
        <v>0</v>
      </c>
      <c r="DY55" s="316">
        <f>IF($E$43=2,Dados!$AE$63,IF($E$43=3,Dados!$AG$63,IF($E$43=4,Dados!$AI$63,IF($E$43=5,Dados!$AK$63,IF($E$43=6,Dados!$AM$63,IF($E$43=7,Dados!$AO$63,IF($E$43=8,Dados!$AS$63,0)))))))</f>
        <v>0</v>
      </c>
      <c r="DZ55" s="304">
        <f>IF($E$43=2,Dados!$AF$63,IF($E$43=3,Dados!$AH$63,IF($E$43=4,Dados!$AJ$63,IF($E$43=5,Dados!$AL$63,IF($E$43=6,Dados!$AN$63,IF($E$43=7,Dados!$AP$63,IF($E$43=8,Dados!$AT$63,0)))))))</f>
        <v>0</v>
      </c>
      <c r="EA55" s="316">
        <f>IF($E$44=2,Dados!$AE$63,IF($E$44=3,Dados!$AG$63,IF($E$44=4,Dados!$AI$63,IF($E$44=5,Dados!$AK$63,IF($E$44=6,Dados!$AM$63,IF($E$44=7,Dados!$AO$63,IF($E$44=8,Dados!$AS$63,0)))))))</f>
        <v>0</v>
      </c>
      <c r="EB55" s="304">
        <f>IF($E$44=2,Dados!$AF$63,IF($E$44=3,Dados!$AH$63,IF($E$44=4,Dados!$AJ$63,IF($E$44=5,Dados!$AL$63,IF($E$44=6,Dados!$AN$63,IF($E$44=7,Dados!$AP$63,IF($E$44=8,Dados!$AT$63,0)))))))</f>
        <v>0</v>
      </c>
      <c r="EC55" s="316">
        <f>IF($E$45=2,Dados!$AE$63,IF($E$45=3,Dados!$AG$63,IF($E$45=4,Dados!$AI$63,IF($E$45=5,Dados!$AK$63,IF($E$45=6,Dados!$AM$63,IF($E$45=7,Dados!$AO$63,IF($E$45=8,Dados!$AS$63,0)))))))</f>
        <v>0</v>
      </c>
      <c r="ED55" s="304">
        <f>IF($E$45=2,Dados!$AF$63,IF($E$45=3,Dados!$AH$63,IF($E$45=4,Dados!$AJ$63,IF($E$45=5,Dados!$AL$63,IF($E$45=6,Dados!$AN$63,IF($E$45=7,Dados!$AP$63,IF($E$45=8,Dados!$AT$63,0)))))))</f>
        <v>0</v>
      </c>
      <c r="EE55" s="316">
        <f>IF($E$46=2,Dados!$AE$63,IF($E$46=3,Dados!$AG$63,IF($E$46=4,Dados!$AI$63,IF($E$46=5,Dados!$AK$63,IF($E$46=6,Dados!$AM$63,IF($E$46=7,Dados!$AO$63,IF($E$46=8,Dados!$AS$63,0)))))))</f>
        <v>0</v>
      </c>
      <c r="EF55" s="304">
        <f>IF($E$46=2,Dados!$AF$63,IF($E$46=3,Dados!$AH$63,IF($E$46=4,Dados!$AJ$63,IF($E$46=5,Dados!$AL$63,IF($E$46=6,Dados!$AN$63,IF($E$46=7,Dados!$AP$63,IF($E$46=8,Dados!$AT$63,0)))))))</f>
        <v>0</v>
      </c>
      <c r="EG55" s="316">
        <f>IF($E$47=2,Dados!$AE$63,IF($E$47=3,Dados!$AG$63,IF($E$47=4,Dados!$AI$63,IF($E$47=5,Dados!$AK$63,IF($E$47=6,Dados!$AM$63,IF($E$47=7,Dados!$AO$63,IF($E$47=8,Dados!$AS$63,0)))))))</f>
        <v>0</v>
      </c>
      <c r="EH55" s="304">
        <f>IF($E$47=2,Dados!$AF$63,IF($E$47=3,Dados!$AH$63,IF($E$47=4,Dados!$AJ$63,IF($E$47=5,Dados!$AL$63,IF($E$47=6,Dados!$AN$63,IF($E$47=7,Dados!$AP$63,IF($E$47=8,Dados!$AT$63,0)))))))</f>
        <v>0</v>
      </c>
      <c r="EJ55" s="316">
        <f>IF($E$52=2,Dados!$AE$63,IF($E$52=3,Dados!$AG$63,IF($E$52=4,Dados!$AI$63,IF($E$52=5,Dados!$AK$63,IF($E$52=6,Dados!$AM$63,IF($E$52=7,Dados!$AO$63,IF($E$52=8,Dados!$AS$63,0)))))))</f>
        <v>0</v>
      </c>
      <c r="EK55" s="304">
        <f>IF($E$52=2,Dados!$AF$63,IF($E$52=3,Dados!$AH$63,IF($E$52=4,Dados!$AJ$63,IF($E$52=5,Dados!$AL$63,IF($E$52=6,Dados!$AN$63,IF($E$52=7,Dados!$AP$63,IF($E$52=8,Dados!$AT$63,0)))))))</f>
        <v>0</v>
      </c>
      <c r="EL55" s="316">
        <f>IF($E$53=2,Dados!$AE$63,IF($E$53=3,Dados!$AG$63,IF($E$53=4,Dados!$AI$63,IF($E$53=5,Dados!$AK$63,IF($E$53=6,Dados!$AM$63,IF($E$53=7,Dados!$AO$63,IF($E$53=8,Dados!$AS$63,0)))))))</f>
        <v>0</v>
      </c>
      <c r="EM55" s="304">
        <f>IF($E$53=2,Dados!$AF$63,IF($E$53=3,Dados!$AH$63,IF($E$53=4,Dados!$AJ$63,IF($E$53=5,Dados!$AL$63,IF($E$53=6,Dados!$AN$63,IF($E$53=7,Dados!$AP$63,IF($E$53=8,Dados!$AT$63,0)))))))</f>
        <v>0</v>
      </c>
      <c r="EN55" s="316">
        <f>IF($E$54=2,Dados!$AE$63,IF($E$54=3,Dados!$AG$63,IF($E$54=4,Dados!$AI$63,IF($E$54=5,Dados!$AK$63,IF($E$54=6,Dados!$AM$63,IF($E$54=7,Dados!$AO$63,IF($E$54=8,Dados!$AS$63,0)))))))</f>
        <v>0</v>
      </c>
      <c r="EO55" s="304">
        <f>IF($E$54=2,Dados!$AF$63,IF($E$54=3,Dados!$AH$63,IF($E$54=4,Dados!$AJ$63,IF($E$54=5,Dados!$AL$63,IF($E$54=6,Dados!$AN$63,IF($E$54=7,Dados!$AP$63,IF($E$54=8,Dados!$AT$63,0)))))))</f>
        <v>0</v>
      </c>
      <c r="EP55" s="316">
        <f>IF($E$55=2,Dados!$AE$63,IF($E$55=3,Dados!$AG$63,IF($E$55=4,Dados!$AI$63,IF($E$55=5,Dados!$AK$63,IF($E$55=6,Dados!$AM$63,IF($E$55=7,Dados!$AO$63,IF($E$55=8,Dados!$AS$63,0)))))))</f>
        <v>0</v>
      </c>
      <c r="EQ55" s="304">
        <f>IF($E$55=2,Dados!$AF$63,IF($E$55=3,Dados!$AH$63,IF($E$55=4,Dados!$AJ$63,IF($E$55=5,Dados!$AL$63,IF($E$55=6,Dados!$AN$63,IF($E$55=7,Dados!$AP$63,IF($E$55=8,Dados!$AT$63,0)))))))</f>
        <v>0</v>
      </c>
      <c r="ER55" s="316">
        <f>IF($E$56=2,Dados!$AE$63,IF($E$56=3,Dados!$AG$63,IF($E$56=4,Dados!$AI$63,IF($E$56=5,Dados!$AK$63,IF($E$56=6,Dados!$AM$63,IF($E$56=7,Dados!$AO$63,IF($E$56=8,Dados!$AS$63,0)))))))</f>
        <v>0</v>
      </c>
      <c r="ES55" s="304">
        <f>IF($E$56=2,Dados!$AF$63,IF($E$56=3,Dados!$AH$63,IF($E$56=4,Dados!$AJ$63,IF($E$56=5,Dados!$AL$63,IF($E$56=6,Dados!$AN$63,IF($E$56=7,Dados!$AP$63,IF($E$56=8,Dados!$AT$63,0)))))))</f>
        <v>0</v>
      </c>
      <c r="EU55" s="316">
        <f>IF($E$61=2,Dados!$AE$63,IF($E$61=3,Dados!$AG$63,IF($E$61=4,Dados!$AI$63,IF($E$61=5,Dados!$AK$63,IF($E$61=6,Dados!$AM$63,IF($E$61=7,Dados!$AO$63,IF($E$61=8,Dados!$AS$63,0)))))))</f>
        <v>0</v>
      </c>
      <c r="EV55" s="304">
        <f>IF($E$61=2,Dados!$AF$63,IF($E$61=3,Dados!$AH$63,IF($E$61=4,Dados!$AJ$63,IF($E$61=5,Dados!$AL$63,IF($E$61=6,Dados!$AN$63,IF($E$61=7,Dados!$AP$63,IF($E$61=8,Dados!$AT$63,0)))))))</f>
        <v>0</v>
      </c>
      <c r="EW55" s="316">
        <f>IF($E$62=2,Dados!$AE$63,IF($E$62=3,Dados!$AG$63,IF($E$62=4,Dados!$AI$63,IF($E$62=5,Dados!$AK$63,IF($E$62=6,Dados!$AM$63,IF($E$62=7,Dados!$AO$63,IF($E$62=8,Dados!$AS$63,0)))))))</f>
        <v>0</v>
      </c>
      <c r="EX55" s="304">
        <f>IF($E$62=2,Dados!$AF$63,IF($E$62=3,Dados!$AH$63,IF($E$62=4,Dados!$AJ$63,IF($E$62=5,Dados!$AL$63,IF($E$62=6,Dados!$AN$63,IF($E$62=7,Dados!$AP$63,IF($E$62=8,Dados!$AT$63,0)))))))</f>
        <v>0</v>
      </c>
      <c r="EY55" s="316">
        <f>IF($E$63=2,Dados!$AE$63,IF($E$63=3,Dados!$AG$63,IF($E$63=4,Dados!$AI$63,IF($E$63=5,Dados!$AK$63,IF($E$63=6,Dados!$AM$63,IF($E$63=7,Dados!$AO$63,IF($E$63=8,Dados!$AS$63,0)))))))</f>
        <v>0</v>
      </c>
      <c r="EZ55" s="304">
        <f>IF($E$63=2,Dados!$AF$63,IF($E$63=3,Dados!$AH$63,IF($E$63=4,Dados!$AJ$63,IF($E$63=5,Dados!$AL$63,IF($E$63=6,Dados!$AN$63,IF($E$63=7,Dados!$AP$63,IF($E$63=8,Dados!$AT$63,0)))))))</f>
        <v>0</v>
      </c>
      <c r="FA55" s="316">
        <f>IF($E$64=2,Dados!$AE$63,IF($E$64=3,Dados!$AG$63,IF($E$64=4,Dados!$AI$63,IF($E$64=5,Dados!$AK$63,IF($E$64=6,Dados!$AM$63,IF($E$64=7,Dados!$AO$63,IF($E$64=8,Dados!$AS$63,0)))))))</f>
        <v>0</v>
      </c>
      <c r="FB55" s="304">
        <f>IF($E$64=2,Dados!$AF$63,IF($E$64=3,Dados!$AH$63,IF($E$64=4,Dados!$AJ$63,IF($E$64=5,Dados!$AL$63,IF($E$64=6,Dados!$AN$63,IF($E$64=7,Dados!$AP$63,IF($E$64=8,Dados!$AT$63,0)))))))</f>
        <v>0</v>
      </c>
      <c r="FC55" s="316">
        <f>IF($E$65=2,Dados!$AE$63,IF($E$65=3,Dados!$AG$63,IF($E$65=4,Dados!$AI$63,IF($E$65=5,Dados!$AK$63,IF($E$65=6,Dados!$AM$63,IF($E$65=7,Dados!$AO$63,IF($E$65=8,Dados!$AS$63,0)))))))</f>
        <v>0</v>
      </c>
      <c r="FD55" s="304">
        <f>IF($E$65=2,Dados!$AF$63,IF($E$65=3,Dados!$AH$63,IF($E$65=4,Dados!$AJ$63,IF($E$65=5,Dados!$AL$63,IF($E$65=6,Dados!$AN$63,IF($E$65=7,Dados!$AP$63,IF($E$65=8,Dados!$AT$63,0)))))))</f>
        <v>0</v>
      </c>
      <c r="FF55" s="316">
        <f>IF($E$70=2,Dados!$AE$63,IF($E$70=3,Dados!$AG$63,IF($E$70=4,Dados!$AI$63,IF($E$70=5,Dados!$AK$63,IF($E$70=6,Dados!$AM$63,IF($E$70=7,Dados!$AO$63,IF($E$70=8,Dados!$AS$63,0)))))))</f>
        <v>0</v>
      </c>
      <c r="FG55" s="304">
        <f>IF($E$70=2,Dados!$AF$63,IF($E$70=3,Dados!$AH$63,IF($E$70=4,Dados!$AJ$63,IF($E$70=5,Dados!$AL$63,IF($E$70=6,Dados!$AN$63,IF($E$70=7,Dados!$AP$63,IF($E$70=8,Dados!$AT$63,0)))))))</f>
        <v>0</v>
      </c>
      <c r="FH55" s="316">
        <f>IF($E$71=2,Dados!$AE$63,IF($E$71=3,Dados!$AG$63,IF($E$71=4,Dados!$AI$63,IF($E$71=5,Dados!$AK$63,IF($E$71=6,Dados!$AM$63,IF($E$71=7,Dados!$AO$63,IF($E$71=8,Dados!$AS$63,0)))))))</f>
        <v>0</v>
      </c>
      <c r="FI55" s="304">
        <f>IF($E$71=2,Dados!$AF$63,IF($E$71=3,Dados!$AH$63,IF($E$71=4,Dados!$AJ$63,IF($E$71=5,Dados!$AL$63,IF($E$71=6,Dados!$AN$63,IF($E$71=7,Dados!$AP$63,IF($E$71=8,Dados!$AT$63,0)))))))</f>
        <v>0</v>
      </c>
      <c r="FJ55" s="316">
        <f>IF($E$72=2,Dados!$AE$63,IF($E$72=3,Dados!$AG$63,IF($E$72=4,Dados!$AI$63,IF($E$72=5,Dados!$AK$63,IF($E$72=6,Dados!$AM$63,IF($E$72=7,Dados!$AO$63,IF($E$72=8,Dados!$AS$63,0)))))))</f>
        <v>0</v>
      </c>
      <c r="FK55" s="304">
        <f>IF($E$72=2,Dados!$AF$63,IF($E$72=3,Dados!$AH$63,IF($E$72=4,Dados!$AJ$63,IF($E$72=5,Dados!$AL$63,IF($E$72=6,Dados!$AN$63,IF($E$72=7,Dados!$AP$63,IF($E$72=8,Dados!$AT$63,0)))))))</f>
        <v>0</v>
      </c>
      <c r="FL55" s="316">
        <f>IF($E$73=2,Dados!$AE$63,IF($E$73=3,Dados!$AG$63,IF($E$73=4,Dados!$AI$63,IF($E$73=5,Dados!$AK$63,IF($E$73=6,Dados!$AM$63,IF($E$73=7,Dados!$AO$63,IF($E$73=8,Dados!$AS$63,0)))))))</f>
        <v>0</v>
      </c>
      <c r="FM55" s="304">
        <f>IF($E$73=2,Dados!$AF$63,IF($E$73=3,Dados!$AH$63,IF($E$73=4,Dados!$AJ$63,IF($E$73=5,Dados!$AL$63,IF($E$73=6,Dados!$AN$63,IF($E$73=7,Dados!$AP$63,IF($E$73=8,Dados!$AT$63,0)))))))</f>
        <v>0</v>
      </c>
      <c r="FN55" s="316">
        <f>IF($E$74=2,Dados!$AE$63,IF($E$74=3,Dados!$AG$63,IF($E$74=4,Dados!$AI$63,IF($E$74=5,Dados!$AK$63,IF($E$74=6,Dados!$AM$63,IF($E$74=7,Dados!$AO$63,IF($E$74=8,Dados!$AS$63,0)))))))</f>
        <v>0</v>
      </c>
      <c r="FO55" s="304">
        <f>IF($E$74=2,Dados!$AF$63,IF($E$74=3,Dados!$AH$63,IF($E$74=4,Dados!$AJ$63,IF($E$74=5,Dados!$AL$63,IF($E$74=6,Dados!$AN$63,IF($E$74=7,Dados!$AP$63,IF($E$74=8,Dados!$AT$63,0)))))))</f>
        <v>0</v>
      </c>
      <c r="FQ55" s="316">
        <f>IF($E$79=2,Dados!$AE$63,IF($E$79=3,Dados!$AG$63,IF($E$79=4,Dados!$AI$63,IF($E$79=5,Dados!$AK$63,IF($E$79=6,Dados!$AM$63,IF($E$79=7,Dados!$AO$63,IF($E$79=8,Dados!$AS$63,0)))))))</f>
        <v>0</v>
      </c>
      <c r="FR55" s="304">
        <f>IF($E$79=2,Dados!$AF$63,IF($E$79=3,Dados!$AH$63,IF($E$79=4,Dados!$AJ$63,IF($E$79=5,Dados!$AL$63,IF($E$79=6,Dados!$AN$63,IF($E$79=7,Dados!$AP$63,IF($E$79=8,Dados!$AT$63,0)))))))</f>
        <v>0</v>
      </c>
      <c r="FS55" s="316">
        <f>IF($E$80=2,Dados!$AE$63,IF($E$80=3,Dados!$AG$63,IF($E$80=4,Dados!$AI$63,IF($E$80=5,Dados!$AK$63,IF($E$80=6,Dados!$AM$63,IF($E$80=7,Dados!$AO$63,IF($E$80=8,Dados!$AS$63,0)))))))</f>
        <v>0</v>
      </c>
      <c r="FT55" s="304">
        <f>IF($E$80=2,Dados!$AF$63,IF($E$80=3,Dados!$AH$63,IF($E$80=4,Dados!$AJ$63,IF($E$80=5,Dados!$AL$63,IF($E$80=6,Dados!$AN$63,IF($E$80=7,Dados!$AP$63,IF($E$80=8,Dados!$AT$63,0)))))))</f>
        <v>0</v>
      </c>
      <c r="FU55" s="316">
        <f>IF($E$81=2,Dados!$AE$63,IF($E$81=3,Dados!$AG$63,IF($E$81=4,Dados!$AI$63,IF($E$81=5,Dados!$AK$63,IF($E$81=6,Dados!$AM$63,IF($E$81=7,Dados!$AO$63,IF($E$81=8,Dados!$AS$63,0)))))))</f>
        <v>0</v>
      </c>
      <c r="FV55" s="304">
        <f>IF($E$81=2,Dados!$AF$63,IF($E$81=3,Dados!$AH$63,IF($E$81=4,Dados!$AJ$63,IF($E$81=5,Dados!$AL$63,IF($E$81=6,Dados!$AN$63,IF($E$81=7,Dados!$AP$63,IF($E$81=8,Dados!$AT$63,0)))))))</f>
        <v>0</v>
      </c>
      <c r="FW55" s="316">
        <f>IF($E$82=2,Dados!$AE$63,IF($E$82=3,Dados!$AG$63,IF($E$82=4,Dados!$AI$63,IF($E$82=5,Dados!$AK$63,IF($E$82=6,Dados!$AM$63,IF($E$82=7,Dados!$AO$63,IF($E$82=8,Dados!$AS$63,0)))))))</f>
        <v>0</v>
      </c>
      <c r="FX55" s="304">
        <f>IF($E$82=2,Dados!$AF$63,IF($E$82=3,Dados!$AH$63,IF($E$82=4,Dados!$AJ$63,IF($E$82=5,Dados!$AL$63,IF($E$82=6,Dados!$AN$63,IF($E$82=7,Dados!$AP$63,IF($E$82=8,Dados!$AT$63,0)))))))</f>
        <v>0</v>
      </c>
      <c r="FY55" s="316">
        <f>IF($E$83=2,Dados!$AE$63,IF($E$83=3,Dados!$AG$63,IF($E$83=4,Dados!$AI$63,IF($E$83=5,Dados!$AK$63,IF($E$83=6,Dados!$AM$63,IF($E$83=7,Dados!$AO$63,IF($E$83=8,Dados!$AS$63,0)))))))</f>
        <v>0</v>
      </c>
      <c r="FZ55" s="304">
        <f>IF($E$83=2,Dados!$AF$63,IF($E$83=3,Dados!$AH$63,IF($E$83=4,Dados!$AJ$63,IF($E$83=5,Dados!$AL$63,IF($E$83=6,Dados!$AN$63,IF($E$83=7,Dados!$AP$63,IF($E$83=8,Dados!$AT$63,0)))))))</f>
        <v>0</v>
      </c>
      <c r="GB55" s="316">
        <f>IF($E$88=2,Dados!$AE$63,IF($E$88=3,Dados!$AG$63,IF($E$88=4,Dados!$AI$63,IF($E$88=5,Dados!$AK$63,IF($E$88=6,Dados!$AM$63,IF($E$88=7,Dados!$AO$63,IF($E$88=8,Dados!$AS$63,0)))))))</f>
        <v>0</v>
      </c>
      <c r="GC55" s="304">
        <f>IF($E$88=2,Dados!$AF$63,IF($E$88=3,Dados!$AH$63,IF($E$88=4,Dados!$AJ$63,IF($E$88=5,Dados!$AL$63,IF($E$88=6,Dados!$AN$63,IF($E$88=7,Dados!$AP$63,IF($E$88=8,Dados!$AT$63,0)))))))</f>
        <v>0</v>
      </c>
      <c r="GD55" s="316">
        <f>IF($E$89=2,Dados!$AE$63,IF($E$89=3,Dados!$AG$63,IF($E$89=4,Dados!$AI$63,IF($E$89=5,Dados!$AK$63,IF($E$89=6,Dados!$AM$63,IF($E$89=7,Dados!$AO$63,IF($E$89=8,Dados!$AS$63,0)))))))</f>
        <v>0</v>
      </c>
      <c r="GE55" s="304">
        <f>IF($E$89=2,Dados!$AF$63,IF($E$89=3,Dados!$AH$63,IF($E$89=4,Dados!$AJ$63,IF($E$89=5,Dados!$AL$63,IF($E$89=6,Dados!$AN$63,IF($E$89=7,Dados!$AP$63,IF($E$89=8,Dados!$AT$63,0)))))))</f>
        <v>0</v>
      </c>
      <c r="GF55" s="316">
        <f>IF($E$90=2,Dados!$AE$63,IF($E$90=3,Dados!$AG$63,IF($E$90=4,Dados!$AI$63,IF($E$90=5,Dados!$AK$63,IF($E$90=6,Dados!$AM$63,IF($E$90=7,Dados!$AO$63,IF($E$90=8,Dados!$AS$63,0)))))))</f>
        <v>0</v>
      </c>
      <c r="GG55" s="304">
        <f>IF($E$90=2,Dados!$AF$63,IF($E$90=3,Dados!$AH$63,IF($E$90=4,Dados!$AJ$63,IF($E$90=5,Dados!$AL$63,IF($E$90=6,Dados!$AN$63,IF($E$90=7,Dados!$AP$63,IF($E$90=8,Dados!$AT$63,0)))))))</f>
        <v>0</v>
      </c>
      <c r="GH55" s="316">
        <f>IF($E$91=2,Dados!$AE$63,IF($E$91=3,Dados!$AG$63,IF($E$91=4,Dados!$AI$63,IF($E$91=5,Dados!$AK$63,IF($E$91=6,Dados!$AM$63,IF($E$91=7,Dados!$AO$63,IF($E$91=8,Dados!$AS$63,0)))))))</f>
        <v>0</v>
      </c>
      <c r="GI55" s="304">
        <f>IF($E$91=2,Dados!$AF$63,IF($E$91=3,Dados!$AH$63,IF($E$91=4,Dados!$AJ$63,IF($E$91=5,Dados!$AL$63,IF($E$91=6,Dados!$AN$63,IF($E$91=7,Dados!$AP$63,IF($E$91=8,Dados!$AT$63,0)))))))</f>
        <v>0</v>
      </c>
      <c r="GJ55" s="316">
        <f>IF($E$92=2,Dados!$AE$63,IF($E$92=3,Dados!$AG$63,IF($E$92=4,Dados!$AI$63,IF($E$92=5,Dados!$AK$63,IF($E$92=6,Dados!$AM$63,IF($E$92=7,Dados!$AO$63,IF($E$92=8,Dados!$AS$63,0)))))))</f>
        <v>0</v>
      </c>
      <c r="GK55" s="304">
        <f>IF($E$92=2,Dados!$AF$63,IF($E$92=3,Dados!$AH$63,IF($E$92=4,Dados!$AJ$63,IF($E$92=5,Dados!$AL$63,IF($E$92=6,Dados!$AN$63,IF($E$92=7,Dados!$AP$63,IF($E$92=8,Dados!$AT$63,0)))))))</f>
        <v>0</v>
      </c>
      <c r="GM55" s="316">
        <f>IF($E$97=2,Dados!$AE$63,IF($E$97=3,Dados!$AG$63,IF($E$97=4,Dados!$AI$63,IF($E$97=5,Dados!$AK$63,IF($E$97=6,Dados!$AM$63,IF($E$97=7,Dados!$AO$63,IF($E$97=8,Dados!$AS$63,0)))))))</f>
        <v>0</v>
      </c>
      <c r="GN55" s="304">
        <f>IF($E$97=2,Dados!$AF$63,IF($E$97=3,Dados!$AH$63,IF($E$97=4,Dados!$AJ$63,IF($E$97=5,Dados!$AL$63,IF($E$97=6,Dados!$AN$63,IF($E$97=7,Dados!$AP$63,IF($E$97=8,Dados!$AT$63,0)))))))</f>
        <v>0</v>
      </c>
      <c r="GO55" s="316">
        <f>IF($E$98=2,Dados!$AE$63,IF($E$98=3,Dados!$AG$63,IF($E$98=4,Dados!$AI$63,IF($E$98=5,Dados!$AK$63,IF($E$98=6,Dados!$AM$63,IF($E$98=7,Dados!$AO$63,IF($E$98=8,Dados!$AS$63,0)))))))</f>
        <v>0</v>
      </c>
      <c r="GP55" s="304">
        <f>IF($E$98=2,Dados!$AF$63,IF($E$98=3,Dados!$AH$63,IF($E$98=4,Dados!$AJ$63,IF($E$98=5,Dados!$AL$63,IF($E$98=6,Dados!$AN$63,IF($E$98=7,Dados!$AP$63,IF($E$98=8,Dados!$AT$63,0)))))))</f>
        <v>0</v>
      </c>
      <c r="GQ55" s="316">
        <f>IF($E$99=2,Dados!$AE$63,IF($E$99=3,Dados!$AG$63,IF($E$99=4,Dados!$AI$63,IF($E$99=5,Dados!$AK$63,IF($E$99=6,Dados!$AM$63,IF($E$99=7,Dados!$AO$63,IF($E$99=8,Dados!$AS$63,0)))))))</f>
        <v>0</v>
      </c>
      <c r="GR55" s="304">
        <f>IF($E$99=2,Dados!$AF$63,IF($E$99=3,Dados!$AH$63,IF($E$99=4,Dados!$AJ$63,IF($E$99=5,Dados!$AL$63,IF($E$99=6,Dados!$AN$63,IF($E$99=7,Dados!$AP$63,IF($E$99=8,Dados!$AT$63,0)))))))</f>
        <v>0</v>
      </c>
      <c r="GS55" s="316">
        <f>IF($E$100=2,Dados!$AE$63,IF($E$100=3,Dados!$AG$63,IF($E$100=4,Dados!$AI$63,IF($E$100=5,Dados!$AK$63,IF($E$100=6,Dados!$AM$63,IF($E$100=7,Dados!$AO$63,IF($E$100=8,Dados!$AS$63,0)))))))</f>
        <v>0</v>
      </c>
      <c r="GT55" s="304">
        <f>IF($E$100=2,Dados!$AF$63,IF($E$100=3,Dados!$AH$63,IF($E$100=4,Dados!$AJ$63,IF($E$100=5,Dados!$AL$63,IF($E$100=6,Dados!$AN$63,IF($E$100=7,Dados!$AP$63,IF($E$100=8,Dados!$AT$63,0)))))))</f>
        <v>0</v>
      </c>
      <c r="GU55" s="316">
        <f>IF($E$101=2,Dados!$AE$63,IF($E$101=3,Dados!$AG$63,IF($E$101=4,Dados!$AI$63,IF($E$101=5,Dados!$AK$63,IF($E$101=6,Dados!$AM$63,IF($E$101=7,Dados!$AO$63,IF($E$101=8,Dados!$AS$63,0)))))))</f>
        <v>0</v>
      </c>
      <c r="GV55" s="304">
        <f>IF($E$101=2,Dados!$AF$63,IF($E$101=3,Dados!$AH$63,IF($E$101=4,Dados!$AJ$63,IF($E$101=5,Dados!$AL$63,IF($E$101=6,Dados!$AN$63,IF($E$101=7,Dados!$AP$63,IF($E$101=8,Dados!$AT$63,0)))))))</f>
        <v>0</v>
      </c>
      <c r="GX55" s="316">
        <f>IF($E$106=2,Dados!$AE$63,IF($E$106=3,Dados!$AG$63,IF($E$106=4,Dados!$AI$63,IF($E$106=5,Dados!$AK$63,IF($E$106=6,Dados!$AM$63,IF($E$106=7,Dados!$AO$63,IF($E$106=8,Dados!$AS$63,0)))))))</f>
        <v>0</v>
      </c>
      <c r="GY55" s="304">
        <f>IF($E$106=2,Dados!$AF$63,IF($E$106=3,Dados!$AH$63,IF($E$106=4,Dados!$AJ$63,IF($E$106=5,Dados!$AL$63,IF($E$106=6,Dados!$AN$63,IF($E$106=7,Dados!$AP$63,IF($E$106=8,Dados!$AT$63,0)))))))</f>
        <v>0</v>
      </c>
      <c r="GZ55" s="316">
        <f>IF($E$107=2,Dados!$AE$63,IF($E$107=3,Dados!$AG$63,IF($E$107=4,Dados!$AI$63,IF($E$107=5,Dados!$AK$63,IF($E$107=6,Dados!$AM$63,IF($E$107=7,Dados!$AO$63,IF($E$107=8,Dados!$AS$63,0)))))))</f>
        <v>0</v>
      </c>
      <c r="HA55" s="304">
        <f>IF($E$107=2,Dados!$AF$63,IF($E$107=3,Dados!$AH$63,IF($E$107=4,Dados!$AJ$63,IF($E$107=5,Dados!$AL$63,IF($E$107=6,Dados!$AN$63,IF($E$107=7,Dados!$AP$63,IF($E$107=8,Dados!$AT$63,0)))))))</f>
        <v>0</v>
      </c>
      <c r="HB55" s="316">
        <f>IF($E$108=2,Dados!$AE$63,IF($E$108=3,Dados!$AG$63,IF($E$108=4,Dados!$AI$63,IF($E$108=5,Dados!$AK$63,IF($E$108=6,Dados!$AM$63,IF($E$108=7,Dados!$AO$63,IF($E$108=8,Dados!$AS$63,0)))))))</f>
        <v>0</v>
      </c>
      <c r="HC55" s="304">
        <f>IF($E$108=2,Dados!$AF$63,IF($E$108=3,Dados!$AH$63,IF($E$108=4,Dados!$AJ$63,IF($E$108=5,Dados!$AL$63,IF($E$108=6,Dados!$AN$63,IF($E$108=7,Dados!$AP$63,IF($E$108=8,Dados!$AT$63,0)))))))</f>
        <v>0</v>
      </c>
      <c r="HD55" s="316">
        <f>IF($E$109=2,Dados!$AE$63,IF($E$109=3,Dados!$AG$63,IF($E$109=4,Dados!$AI$63,IF($E$109=5,Dados!$AK$63,IF($E$109=6,Dados!$AM$63,IF($E$109=7,Dados!$AO$63,IF($E$109=8,Dados!$AS$63,0)))))))</f>
        <v>0</v>
      </c>
      <c r="HE55" s="304">
        <f>IF($E$109=2,Dados!$AF$63,IF($E$109=3,Dados!$AH$63,IF($E$109=4,Dados!$AJ$63,IF($E$109=5,Dados!$AL$63,IF($E$109=6,Dados!$AN$63,IF($E$109=7,Dados!$AP$63,IF($E$109=8,Dados!$AT$63,0)))))))</f>
        <v>0</v>
      </c>
      <c r="HF55" s="316">
        <f>IF($E$110=2,Dados!$AE$63,IF($E$110=3,Dados!$AG$63,IF($E$110=4,Dados!$AI$63,IF($E$110=5,Dados!$AK$63,IF($E$110=6,Dados!$AM$63,IF($E$110=7,Dados!$AO$63,IF($E$110=8,Dados!$AS$63,0)))))))</f>
        <v>0</v>
      </c>
      <c r="HG55" s="304">
        <f>IF($E$110=2,Dados!$AF$63,IF($E$110=3,Dados!$AH$63,IF($E$110=4,Dados!$AJ$63,IF($E$110=5,Dados!$AL$63,IF($E$110=6,Dados!$AN$63,IF($E$110=7,Dados!$AP$63,IF($E$110=8,Dados!$AT$63,0)))))))</f>
        <v>0</v>
      </c>
    </row>
    <row r="56" spans="3:215" ht="15.75" customHeight="1" x14ac:dyDescent="0.2">
      <c r="C56" s="156">
        <f>IF(R56=1,0,S56)</f>
        <v>0</v>
      </c>
      <c r="D56" s="2722"/>
      <c r="E56" s="180">
        <v>1</v>
      </c>
      <c r="F56" s="2726">
        <v>1</v>
      </c>
      <c r="G56" s="2719"/>
      <c r="H56" s="283"/>
      <c r="I56" s="229"/>
      <c r="J56" s="314"/>
      <c r="K56" s="157"/>
      <c r="L56" s="305"/>
      <c r="M56" s="127">
        <f>IF(I56=1,K56,IF(I56=2,K56/J56,IF(I56=3,K56*L56,0)))</f>
        <v>0</v>
      </c>
      <c r="N56" s="3">
        <v>1</v>
      </c>
      <c r="O56" s="30">
        <v>1</v>
      </c>
      <c r="P56" s="837">
        <f>IF(N56=1,0,VLOOKUP(N56,Rebanho!$AN$45:$AV$72,4)*O56)</f>
        <v>0</v>
      </c>
      <c r="Q56" s="838">
        <f>VLOOKUP(N56,Rebanho!$AN$45:$AV$72,7)*O56</f>
        <v>0</v>
      </c>
      <c r="R56" s="3">
        <v>1</v>
      </c>
      <c r="S56" s="20"/>
      <c r="T56" s="94">
        <f>VLOOKUP(R56,'Mão-de-obra'!$CJ$10:$CL$29,3)</f>
        <v>0</v>
      </c>
      <c r="U56" s="94">
        <f>T56*S56</f>
        <v>0</v>
      </c>
      <c r="V56" s="127">
        <f>IF(I56=1,M56*P56,IF(I56=2,M56*Q56*L56,IF(I56=3,M56,0)))</f>
        <v>0</v>
      </c>
      <c r="W56" s="106">
        <f>U56+V56</f>
        <v>0</v>
      </c>
      <c r="X56" s="93">
        <v>1</v>
      </c>
      <c r="Y56" s="93">
        <v>1</v>
      </c>
      <c r="Z56" s="127">
        <f t="shared" si="14"/>
        <v>0</v>
      </c>
      <c r="AW56" s="3" t="s">
        <v>498</v>
      </c>
      <c r="AX56" s="94">
        <f>IF($E52=6,$V52,0)</f>
        <v>0</v>
      </c>
      <c r="AY56" s="94">
        <f>IF($E53=6,$V53,0)</f>
        <v>0</v>
      </c>
      <c r="AZ56" s="94">
        <f>IF($E54=6,$V54,0)</f>
        <v>0</v>
      </c>
      <c r="BA56" s="94">
        <f>IF($E55=6,$V55,0)</f>
        <v>0</v>
      </c>
      <c r="BB56" s="94">
        <f>IF($E56=6,$V56,0)</f>
        <v>0</v>
      </c>
      <c r="BC56" s="200">
        <f t="shared" si="13"/>
        <v>0</v>
      </c>
      <c r="CF56" s="93">
        <v>51</v>
      </c>
      <c r="CG56" s="316">
        <f>IF($E$7=2,Dados!$AE$64,IF($E$7=3,Dados!$AG$64,IF($E$7=4,Dados!$AI$64,IF($E$7=5,Dados!$AK$64,IF($E$7=6,Dados!$AM$64,IF($E$7=7,Dados!$AO$64,IF($E$7=8,Dados!$AS$64,0)))))))</f>
        <v>0</v>
      </c>
      <c r="CH56" s="304">
        <f>IF($E$7=2,Dados!$AF$64,IF($E$7=3,Dados!$AH$64,IF($E$7=4,Dados!$AJ$64,IF($E$7=5,Dados!$AL$64,IF($E$7=6,Dados!$AN$64,IF($E$7=7,Dados!$AP$64,IF($E$7=8,Dados!$AT$64,0)))))))</f>
        <v>0</v>
      </c>
      <c r="CI56" s="316">
        <f>IF($E$8=2,Dados!$AE$64,IF($E$8=3,Dados!$AG$64,IF($E$8=4,Dados!$AI$64,IF($E$8=5,Dados!$AK$64,IF($E$8=6,Dados!$AM$64,IF($E$8=7,Dados!$AO$64,IF($E$8=8,Dados!$AS$64,0)))))))</f>
        <v>0</v>
      </c>
      <c r="CJ56" s="304">
        <f>IF($E$8=2,Dados!$AF$64,IF($E$8=3,Dados!$AH$64,IF($E$8=4,Dados!$AJ$64,IF($E$8=5,Dados!$AL$64,IF($E$8=6,Dados!$AN$64,IF($E$8=7,Dados!$AP$64,IF($E$8=8,Dados!$AT$64,0)))))))</f>
        <v>0</v>
      </c>
      <c r="CK56" s="316">
        <f>IF($E$9=2,Dados!$AE$64,IF($E$9=3,Dados!$AG$64,IF($E$9=4,Dados!$AI$64,IF($E$9=5,Dados!$AK$64,IF($E$9=6,Dados!$AM$64,IF($E$9=7,Dados!$AO$64,IF($E$9=8,Dados!$AS$64,0)))))))</f>
        <v>0</v>
      </c>
      <c r="CL56" s="304">
        <f>IF($E$9=2,Dados!$AF$64,IF($E$9=3,Dados!$AH$64,IF($E$9=4,Dados!$AJ$64,IF($E$9=5,Dados!$AL$64,IF($E$9=6,Dados!$AN$64,IF($E$9=7,Dados!$AP$64,IF($E$9=8,Dados!$AT$64,0)))))))</f>
        <v>0</v>
      </c>
      <c r="CM56" s="316">
        <f>IF($E$10=2,Dados!$AE$64,IF($E$10=3,Dados!$AG$64,IF($E$10=4,Dados!$AI$64,IF($E$10=5,Dados!$AK$64,IF($E$10=6,Dados!$AM$64,IF($E$10=7,Dados!$AO$64,IF($E$10=8,Dados!$AS$64,0)))))))</f>
        <v>0</v>
      </c>
      <c r="CN56" s="304">
        <f>IF($E$10=2,Dados!$AF$64,IF($E$10=3,Dados!$AH$64,IF($E$10=4,Dados!$AJ$64,IF($E$10=5,Dados!$AL$64,IF($E$10=6,Dados!$AN$64,IF($E$10=7,Dados!$AP$64,IF($E$10=8,Dados!$AT$64,0)))))))</f>
        <v>0</v>
      </c>
      <c r="CO56" s="316">
        <f>IF($E$11=2,Dados!$AE$64,IF($E$11=3,Dados!$AG$64,IF($E$11=4,Dados!$AI$64,IF($E$11=5,Dados!$AK$64,IF($E$11=6,Dados!$AM$64,IF($E$11=7,Dados!$AO$64,IF($E$11=8,Dados!$AS$64,0)))))))</f>
        <v>0</v>
      </c>
      <c r="CP56" s="304">
        <f>IF($E$11=2,Dados!$AF$64,IF($E$11=3,Dados!$AH$64,IF($E$11=4,Dados!$AJ$64,IF($E$11=5,Dados!$AL$64,IF($E$11=6,Dados!$AN$64,IF($E$11=7,Dados!$AP$64,IF($E$11=8,Dados!$AT$64,0)))))))</f>
        <v>0</v>
      </c>
      <c r="CR56" s="316">
        <f>IF($E$16=2,Dados!$AE$64,IF($E$16=3,Dados!$AG$64,IF($E$16=4,Dados!$AI$64,IF($E$16=5,Dados!$AK$64,IF($E$16=6,Dados!$AM$64,IF($E$16=7,Dados!$AO$64,IF($E$16=8,Dados!$AS$64,0)))))))</f>
        <v>0</v>
      </c>
      <c r="CS56" s="304">
        <f>IF($E$16=2,Dados!$AF$64,IF($E$16=3,Dados!$AH$64,IF($E$16=4,Dados!$AJ$64,IF($E$16=5,Dados!$AL$64,IF($E$16=6,Dados!$AN$64,IF($E$16=7,Dados!$AP$64,IF($E$16=8,Dados!$AT$64,0)))))))</f>
        <v>0</v>
      </c>
      <c r="CT56" s="316">
        <f>IF($E$17=2,Dados!$AE$64,IF($E$17=3,Dados!$AG$64,IF($E$17=4,Dados!$AI$64,IF($E$17=5,Dados!$AK$64,IF($E$17=6,Dados!$AM$64,IF($E$17=7,Dados!$AO$64,IF($E$17=8,Dados!$AS$64,0)))))))</f>
        <v>0</v>
      </c>
      <c r="CU56" s="304">
        <f>IF($E$17=2,Dados!$AF$64,IF($E$17=3,Dados!$AH$64,IF($E$17=4,Dados!$AJ$64,IF($E$17=5,Dados!$AL$64,IF($E$17=6,Dados!$AN$64,IF($E$17=7,Dados!$AP$64,IF($E$17=8,Dados!$AT$64,0)))))))</f>
        <v>0</v>
      </c>
      <c r="CV56" s="316">
        <f>IF($E$18=2,Dados!$AE$64,IF($E$18=3,Dados!$AG$64,IF($E$18=4,Dados!$AI$64,IF($E$18=5,Dados!$AK$64,IF($E$18=6,Dados!$AM$64,IF($E$18=7,Dados!$AO$64,IF($E$18=8,Dados!$AS$64,0)))))))</f>
        <v>0</v>
      </c>
      <c r="CW56" s="304">
        <f>IF($E$18=2,Dados!$AF$64,IF($E$18=3,Dados!$AH$64,IF($E$18=4,Dados!$AJ$64,IF($E$18=5,Dados!$AL$64,IF($E$18=6,Dados!$AN$64,IF($E$18=7,Dados!$AP$64,IF($E$18=8,Dados!$AT$64,0)))))))</f>
        <v>0</v>
      </c>
      <c r="CX56" s="316">
        <f>IF($E$19=2,Dados!$AE$64,IF($E$19=3,Dados!$AG$64,IF($E$19=4,Dados!$AI$64,IF($E$19=5,Dados!$AK$64,IF($E$19=6,Dados!$AM$64,IF($E$19=7,Dados!$AO$64,IF($E$19=8,Dados!$AS$64,0)))))))</f>
        <v>0</v>
      </c>
      <c r="CY56" s="304">
        <f>IF($E$19=2,Dados!$AF$64,IF($E$19=3,Dados!$AH$64,IF($E$19=4,Dados!$AJ$64,IF($E$19=5,Dados!$AL$64,IF($E$19=6,Dados!$AN$64,IF($E$19=7,Dados!$AP$64,IF($E$19=8,Dados!$AT$64,0)))))))</f>
        <v>0</v>
      </c>
      <c r="CZ56" s="316">
        <f>IF($E$20=2,Dados!$AE$64,IF($E$20=3,Dados!$AG$64,IF($E$20=4,Dados!$AI$64,IF($E$20=5,Dados!$AK$64,IF($E$20=6,Dados!$AM$64,IF($E$20=7,Dados!$AO$64,IF($E$20=8,Dados!$AS$64,0)))))))</f>
        <v>0</v>
      </c>
      <c r="DA56" s="304">
        <f>IF($E$20=2,Dados!$AF$64,IF($E$20=3,Dados!$AH$64,IF($E$20=4,Dados!$AJ$64,IF($E$20=5,Dados!$AL$64,IF($E$20=6,Dados!$AN$64,IF($E$20=7,Dados!$AP$64,IF($E$20=8,Dados!$AT$64,0)))))))</f>
        <v>0</v>
      </c>
      <c r="DC56" s="316">
        <f>IF($E$25=2,Dados!$AE$64,IF($E$25=3,Dados!$AG$64,IF($E$25=4,Dados!$AI$64,IF($E$25=5,Dados!$AK$64,IF($E$25=6,Dados!$AM$64,IF($E$25=7,Dados!$AO$64,IF($E$25=8,Dados!$AS$64,0)))))))</f>
        <v>0</v>
      </c>
      <c r="DD56" s="304">
        <f>IF($E$25=2,Dados!$AF$64,IF($E$25=3,Dados!$AH$64,IF($E$25=4,Dados!$AJ$64,IF($E$25=5,Dados!$AL$64,IF($E$25=6,Dados!$AN$64,IF($E$25=7,Dados!$AP$64,IF($E$25=8,Dados!$AT$64,0)))))))</f>
        <v>0</v>
      </c>
      <c r="DE56" s="316">
        <f>IF($E$26=2,Dados!$AE$64,IF($E$26=3,Dados!$AG$64,IF($E$26=4,Dados!$AI$64,IF($E$26=5,Dados!$AK$64,IF($E$26=6,Dados!$AM$64,IF($E$26=7,Dados!$AO$64,IF($E$26=8,Dados!$AS$64,0)))))))</f>
        <v>0</v>
      </c>
      <c r="DF56" s="304">
        <f>IF($E$26=2,Dados!$AF$64,IF($E$26=3,Dados!$AH$64,IF($E$26=4,Dados!$AJ$64,IF($E$26=5,Dados!$AL$64,IF($E$26=6,Dados!$AN$64,IF($E$26=7,Dados!$AP$64,IF($E$26=8,Dados!$AT$64,0)))))))</f>
        <v>0</v>
      </c>
      <c r="DG56" s="316">
        <f>IF($E$27=2,Dados!$AE$64,IF($E$27=3,Dados!$AG$64,IF($E$27=4,Dados!$AI$64,IF($E$27=5,Dados!$AK$64,IF($E$27=6,Dados!$AM$64,IF($E$27=7,Dados!$AO$64,IF($E$27=8,Dados!$AS$64,0)))))))</f>
        <v>0</v>
      </c>
      <c r="DH56" s="304">
        <f>IF($E$27=2,Dados!$AF$64,IF($E$27=3,Dados!$AH$64,IF($E$27=4,Dados!$AJ$64,IF($E$27=5,Dados!$AL$64,IF($E$27=6,Dados!$AN$64,IF($E$27=7,Dados!$AP$64,IF($E$27=8,Dados!$AT$64,0)))))))</f>
        <v>0</v>
      </c>
      <c r="DI56" s="316">
        <f>IF($E$28=2,Dados!$AE$64,IF($E$28=3,Dados!$AG$64,IF($E$28=4,Dados!$AI$64,IF($E$28=5,Dados!$AK$64,IF($E$28=6,Dados!$AM$64,IF($E$28=7,Dados!$AO$64,IF($E$28=8,Dados!$AS$64,0)))))))</f>
        <v>0</v>
      </c>
      <c r="DJ56" s="304">
        <f>IF($E$28=2,Dados!$AF$64,IF($E$28=3,Dados!$AH$64,IF($E$28=4,Dados!$AJ$64,IF($E$28=5,Dados!$AL$64,IF($E$28=6,Dados!$AN$64,IF($E$28=7,Dados!$AP$64,IF($E$28=8,Dados!$AT$64,0)))))))</f>
        <v>0</v>
      </c>
      <c r="DK56" s="316">
        <f>IF($E$29=2,Dados!$AE$64,IF($E$29=3,Dados!$AG$64,IF($E$29=4,Dados!$AI$64,IF($E$29=5,Dados!$AK$64,IF($E$29=6,Dados!$AM$64,IF($E$29=7,Dados!$AO$64,IF($E$29=8,Dados!$AS$64,0)))))))</f>
        <v>0</v>
      </c>
      <c r="DL56" s="304">
        <f>IF($E$29=2,Dados!$AF$64,IF($E$29=3,Dados!$AH$64,IF($E$29=4,Dados!$AJ$64,IF($E$29=5,Dados!$AL$64,IF($E$29=6,Dados!$AN$64,IF($E$29=7,Dados!$AP$64,IF($E$29=8,Dados!$AT$64,0)))))))</f>
        <v>0</v>
      </c>
      <c r="DN56" s="316">
        <f>IF($E$34=2,Dados!$AE$64,IF($E$34=3,Dados!$AG$64,IF($E$34=4,Dados!$AI$64,IF($E$34=5,Dados!$AK$64,IF($E$34=6,Dados!$AM$64,IF($E$34=7,Dados!$AO$64,IF($E$34=8,Dados!$AS$64,0)))))))</f>
        <v>0</v>
      </c>
      <c r="DO56" s="304">
        <f>IF($E$34=2,Dados!$AF$64,IF($E$34=3,Dados!$AH$64,IF($E$34=4,Dados!$AJ$64,IF($E$34=5,Dados!$AL$64,IF($E$34=6,Dados!$AN$64,IF($E$34=7,Dados!$AP$64,IF($E$34=8,Dados!$AT$64,0)))))))</f>
        <v>0</v>
      </c>
      <c r="DP56" s="316">
        <f>IF($E$35=2,Dados!$AE$64,IF($E$35=3,Dados!$AG$64,IF($E$35=4,Dados!$AI$64,IF($E$35=5,Dados!$AK$64,IF($E$35=6,Dados!$AM$64,IF($E$35=7,Dados!$AO$64,IF($E$35=8,Dados!$AS$64,0)))))))</f>
        <v>0</v>
      </c>
      <c r="DQ56" s="304">
        <f>IF($E$35=2,Dados!$AF$64,IF($E$35=3,Dados!$AH$64,IF($E$35=4,Dados!$AJ$64,IF($E$35=5,Dados!$AL$64,IF($E$35=6,Dados!$AN$64,IF($E$35=7,Dados!$AP$64,IF($E$35=8,Dados!$AT$64,0)))))))</f>
        <v>0</v>
      </c>
      <c r="DR56" s="316">
        <f>IF($E$36=2,Dados!$AE$64,IF($E$36=3,Dados!$AG$64,IF($E$36=4,Dados!$AI$64,IF($E$36=5,Dados!$AK$64,IF($E$36=6,Dados!$AM$64,IF($E$36=7,Dados!$AO$64,IF($E$36=8,Dados!$AS$64,0)))))))</f>
        <v>0</v>
      </c>
      <c r="DS56" s="304">
        <f>IF($E$36=2,Dados!$AF$64,IF($E$36=3,Dados!$AH$64,IF($E$36=4,Dados!$AJ$64,IF($E$36=5,Dados!$AL$64,IF($E$36=6,Dados!$AN$64,IF($E$36=7,Dados!$AP$64,IF($E$36=8,Dados!$AT$64,0)))))))</f>
        <v>0</v>
      </c>
      <c r="DT56" s="316">
        <f>IF($E$37=2,Dados!$AE$64,IF($E$37=3,Dados!$AG$64,IF($E$37=4,Dados!$AI$64,IF($E$37=5,Dados!$AK$64,IF($E$37=6,Dados!$AM$64,IF($E$37=7,Dados!$AO$64,IF($E$37=8,Dados!$AS$64,0)))))))</f>
        <v>0</v>
      </c>
      <c r="DU56" s="304">
        <f>IF($E$37=2,Dados!$AF$64,IF($E$37=3,Dados!$AH$64,IF($E$37=4,Dados!$AJ$64,IF($E$37=5,Dados!$AL$64,IF($E$37=6,Dados!$AN$64,IF($E$37=7,Dados!$AP$64,IF($E$37=8,Dados!$AT$64,0)))))))</f>
        <v>0</v>
      </c>
      <c r="DV56" s="316">
        <f>IF($E$38=2,Dados!$AE$64,IF($E$38=3,Dados!$AG$64,IF($E$38=4,Dados!$AI$64,IF($E$38=5,Dados!$AK$64,IF($E$38=6,Dados!$AM$64,IF($E$38=7,Dados!$AO$64,IF($E$38=8,Dados!$AS$64,0)))))))</f>
        <v>0</v>
      </c>
      <c r="DW56" s="304">
        <f>IF($E$38=2,Dados!$AF$64,IF($E$38=3,Dados!$AH$64,IF($E$38=4,Dados!$AJ$64,IF($E$38=5,Dados!$AL$64,IF($E$38=6,Dados!$AN$64,IF($E$38=7,Dados!$AP$64,IF($E$38=8,Dados!$AT$64,0)))))))</f>
        <v>0</v>
      </c>
      <c r="DY56" s="316">
        <f>IF($E$43=2,Dados!$AE$64,IF($E$43=3,Dados!$AG$64,IF($E$43=4,Dados!$AI$64,IF($E$43=5,Dados!$AK$64,IF($E$43=6,Dados!$AM$64,IF($E$43=7,Dados!$AO$64,IF($E$43=8,Dados!$AS$64,0)))))))</f>
        <v>0</v>
      </c>
      <c r="DZ56" s="304">
        <f>IF($E$43=2,Dados!$AF$64,IF($E$43=3,Dados!$AH$64,IF($E$43=4,Dados!$AJ$64,IF($E$43=5,Dados!$AL$64,IF($E$43=6,Dados!$AN$64,IF($E$43=7,Dados!$AP$64,IF($E$43=8,Dados!$AT$64,0)))))))</f>
        <v>0</v>
      </c>
      <c r="EA56" s="316">
        <f>IF($E$44=2,Dados!$AE$64,IF($E$44=3,Dados!$AG$64,IF($E$44=4,Dados!$AI$64,IF($E$44=5,Dados!$AK$64,IF($E$44=6,Dados!$AM$64,IF($E$44=7,Dados!$AO$64,IF($E$44=8,Dados!$AS$64,0)))))))</f>
        <v>0</v>
      </c>
      <c r="EB56" s="304">
        <f>IF($E$44=2,Dados!$AF$64,IF($E$44=3,Dados!$AH$64,IF($E$44=4,Dados!$AJ$64,IF($E$44=5,Dados!$AL$64,IF($E$44=6,Dados!$AN$64,IF($E$44=7,Dados!$AP$64,IF($E$44=8,Dados!$AT$64,0)))))))</f>
        <v>0</v>
      </c>
      <c r="EC56" s="316">
        <f>IF($E$45=2,Dados!$AE$64,IF($E$45=3,Dados!$AG$64,IF($E$45=4,Dados!$AI$64,IF($E$45=5,Dados!$AK$64,IF($E$45=6,Dados!$AM$64,IF($E$45=7,Dados!$AO$64,IF($E$45=8,Dados!$AS$64,0)))))))</f>
        <v>0</v>
      </c>
      <c r="ED56" s="304">
        <f>IF($E$45=2,Dados!$AF$64,IF($E$45=3,Dados!$AH$64,IF($E$45=4,Dados!$AJ$64,IF($E$45=5,Dados!$AL$64,IF($E$45=6,Dados!$AN$64,IF($E$45=7,Dados!$AP$64,IF($E$45=8,Dados!$AT$64,0)))))))</f>
        <v>0</v>
      </c>
      <c r="EE56" s="316">
        <f>IF($E$46=2,Dados!$AE$64,IF($E$46=3,Dados!$AG$64,IF($E$46=4,Dados!$AI$64,IF($E$46=5,Dados!$AK$64,IF($E$46=6,Dados!$AM$64,IF($E$46=7,Dados!$AO$64,IF($E$46=8,Dados!$AS$64,0)))))))</f>
        <v>0</v>
      </c>
      <c r="EF56" s="304">
        <f>IF($E$46=2,Dados!$AF$64,IF($E$46=3,Dados!$AH$64,IF($E$46=4,Dados!$AJ$64,IF($E$46=5,Dados!$AL$64,IF($E$46=6,Dados!$AN$64,IF($E$46=7,Dados!$AP$64,IF($E$46=8,Dados!$AT$64,0)))))))</f>
        <v>0</v>
      </c>
      <c r="EG56" s="316">
        <f>IF($E$47=2,Dados!$AE$64,IF($E$47=3,Dados!$AG$64,IF($E$47=4,Dados!$AI$64,IF($E$47=5,Dados!$AK$64,IF($E$47=6,Dados!$AM$64,IF($E$47=7,Dados!$AO$64,IF($E$47=8,Dados!$AS$64,0)))))))</f>
        <v>0</v>
      </c>
      <c r="EH56" s="304">
        <f>IF($E$47=2,Dados!$AF$64,IF($E$47=3,Dados!$AH$64,IF($E$47=4,Dados!$AJ$64,IF($E$47=5,Dados!$AL$64,IF($E$47=6,Dados!$AN$64,IF($E$47=7,Dados!$AP$64,IF($E$47=8,Dados!$AT$64,0)))))))</f>
        <v>0</v>
      </c>
      <c r="EJ56" s="316">
        <f>IF($E$52=2,Dados!$AE$64,IF($E$52=3,Dados!$AG$64,IF($E$52=4,Dados!$AI$64,IF($E$52=5,Dados!$AK$64,IF($E$52=6,Dados!$AM$64,IF($E$52=7,Dados!$AO$64,IF($E$52=8,Dados!$AS$64,0)))))))</f>
        <v>0</v>
      </c>
      <c r="EK56" s="304">
        <f>IF($E$52=2,Dados!$AF$64,IF($E$52=3,Dados!$AH$64,IF($E$52=4,Dados!$AJ$64,IF($E$52=5,Dados!$AL$64,IF($E$52=6,Dados!$AN$64,IF($E$52=7,Dados!$AP$64,IF($E$52=8,Dados!$AT$64,0)))))))</f>
        <v>0</v>
      </c>
      <c r="EL56" s="316">
        <f>IF($E$53=2,Dados!$AE$64,IF($E$53=3,Dados!$AG$64,IF($E$53=4,Dados!$AI$64,IF($E$53=5,Dados!$AK$64,IF($E$53=6,Dados!$AM$64,IF($E$53=7,Dados!$AO$64,IF($E$53=8,Dados!$AS$64,0)))))))</f>
        <v>0</v>
      </c>
      <c r="EM56" s="304">
        <f>IF($E$53=2,Dados!$AF$64,IF($E$53=3,Dados!$AH$64,IF($E$53=4,Dados!$AJ$64,IF($E$53=5,Dados!$AL$64,IF($E$53=6,Dados!$AN$64,IF($E$53=7,Dados!$AP$64,IF($E$53=8,Dados!$AT$64,0)))))))</f>
        <v>0</v>
      </c>
      <c r="EN56" s="316">
        <f>IF($E$54=2,Dados!$AE$64,IF($E$54=3,Dados!$AG$64,IF($E$54=4,Dados!$AI$64,IF($E$54=5,Dados!$AK$64,IF($E$54=6,Dados!$AM$64,IF($E$54=7,Dados!$AO$64,IF($E$54=8,Dados!$AS$64,0)))))))</f>
        <v>0</v>
      </c>
      <c r="EO56" s="304">
        <f>IF($E$54=2,Dados!$AF$64,IF($E$54=3,Dados!$AH$64,IF($E$54=4,Dados!$AJ$64,IF($E$54=5,Dados!$AL$64,IF($E$54=6,Dados!$AN$64,IF($E$54=7,Dados!$AP$64,IF($E$54=8,Dados!$AT$64,0)))))))</f>
        <v>0</v>
      </c>
      <c r="EP56" s="316">
        <f>IF($E$55=2,Dados!$AE$64,IF($E$55=3,Dados!$AG$64,IF($E$55=4,Dados!$AI$64,IF($E$55=5,Dados!$AK$64,IF($E$55=6,Dados!$AM$64,IF($E$55=7,Dados!$AO$64,IF($E$55=8,Dados!$AS$64,0)))))))</f>
        <v>0</v>
      </c>
      <c r="EQ56" s="304">
        <f>IF($E$55=2,Dados!$AF$64,IF($E$55=3,Dados!$AH$64,IF($E$55=4,Dados!$AJ$64,IF($E$55=5,Dados!$AL$64,IF($E$55=6,Dados!$AN$64,IF($E$55=7,Dados!$AP$64,IF($E$55=8,Dados!$AT$64,0)))))))</f>
        <v>0</v>
      </c>
      <c r="ER56" s="316">
        <f>IF($E$56=2,Dados!$AE$64,IF($E$56=3,Dados!$AG$64,IF($E$56=4,Dados!$AI$64,IF($E$56=5,Dados!$AK$64,IF($E$56=6,Dados!$AM$64,IF($E$56=7,Dados!$AO$64,IF($E$56=8,Dados!$AS$64,0)))))))</f>
        <v>0</v>
      </c>
      <c r="ES56" s="304">
        <f>IF($E$56=2,Dados!$AF$64,IF($E$56=3,Dados!$AH$64,IF($E$56=4,Dados!$AJ$64,IF($E$56=5,Dados!$AL$64,IF($E$56=6,Dados!$AN$64,IF($E$56=7,Dados!$AP$64,IF($E$56=8,Dados!$AT$64,0)))))))</f>
        <v>0</v>
      </c>
      <c r="EU56" s="316">
        <f>IF($E$61=2,Dados!$AE$64,IF($E$61=3,Dados!$AG$64,IF($E$61=4,Dados!$AI$64,IF($E$61=5,Dados!$AK$64,IF($E$61=6,Dados!$AM$64,IF($E$61=7,Dados!$AO$64,IF($E$61=8,Dados!$AS$64,0)))))))</f>
        <v>0</v>
      </c>
      <c r="EV56" s="304">
        <f>IF($E$61=2,Dados!$AF$64,IF($E$61=3,Dados!$AH$64,IF($E$61=4,Dados!$AJ$64,IF($E$61=5,Dados!$AL$64,IF($E$61=6,Dados!$AN$64,IF($E$61=7,Dados!$AP$64,IF($E$61=8,Dados!$AT$64,0)))))))</f>
        <v>0</v>
      </c>
      <c r="EW56" s="316">
        <f>IF($E$62=2,Dados!$AE$64,IF($E$62=3,Dados!$AG$64,IF($E$62=4,Dados!$AI$64,IF($E$62=5,Dados!$AK$64,IF($E$62=6,Dados!$AM$64,IF($E$62=7,Dados!$AO$64,IF($E$62=8,Dados!$AS$64,0)))))))</f>
        <v>0</v>
      </c>
      <c r="EX56" s="304">
        <f>IF($E$62=2,Dados!$AF$64,IF($E$62=3,Dados!$AH$64,IF($E$62=4,Dados!$AJ$64,IF($E$62=5,Dados!$AL$64,IF($E$62=6,Dados!$AN$64,IF($E$62=7,Dados!$AP$64,IF($E$62=8,Dados!$AT$64,0)))))))</f>
        <v>0</v>
      </c>
      <c r="EY56" s="316">
        <f>IF($E$63=2,Dados!$AE$64,IF($E$63=3,Dados!$AG$64,IF($E$63=4,Dados!$AI$64,IF($E$63=5,Dados!$AK$64,IF($E$63=6,Dados!$AM$64,IF($E$63=7,Dados!$AO$64,IF($E$63=8,Dados!$AS$64,0)))))))</f>
        <v>0</v>
      </c>
      <c r="EZ56" s="304">
        <f>IF($E$63=2,Dados!$AF$64,IF($E$63=3,Dados!$AH$64,IF($E$63=4,Dados!$AJ$64,IF($E$63=5,Dados!$AL$64,IF($E$63=6,Dados!$AN$64,IF($E$63=7,Dados!$AP$64,IF($E$63=8,Dados!$AT$64,0)))))))</f>
        <v>0</v>
      </c>
      <c r="FA56" s="316">
        <f>IF($E$64=2,Dados!$AE$64,IF($E$64=3,Dados!$AG$64,IF($E$64=4,Dados!$AI$64,IF($E$64=5,Dados!$AK$64,IF($E$64=6,Dados!$AM$64,IF($E$64=7,Dados!$AO$64,IF($E$64=8,Dados!$AS$64,0)))))))</f>
        <v>0</v>
      </c>
      <c r="FB56" s="304">
        <f>IF($E$64=2,Dados!$AF$64,IF($E$64=3,Dados!$AH$64,IF($E$64=4,Dados!$AJ$64,IF($E$64=5,Dados!$AL$64,IF($E$64=6,Dados!$AN$64,IF($E$64=7,Dados!$AP$64,IF($E$64=8,Dados!$AT$64,0)))))))</f>
        <v>0</v>
      </c>
      <c r="FC56" s="316">
        <f>IF($E$65=2,Dados!$AE$64,IF($E$65=3,Dados!$AG$64,IF($E$65=4,Dados!$AI$64,IF($E$65=5,Dados!$AK$64,IF($E$65=6,Dados!$AM$64,IF($E$65=7,Dados!$AO$64,IF($E$65=8,Dados!$AS$64,0)))))))</f>
        <v>0</v>
      </c>
      <c r="FD56" s="304">
        <f>IF($E$65=2,Dados!$AF$64,IF($E$65=3,Dados!$AH$64,IF($E$65=4,Dados!$AJ$64,IF($E$65=5,Dados!$AL$64,IF($E$65=6,Dados!$AN$64,IF($E$65=7,Dados!$AP$64,IF($E$65=8,Dados!$AT$64,0)))))))</f>
        <v>0</v>
      </c>
      <c r="FF56" s="316">
        <f>IF($E$70=2,Dados!$AE$64,IF($E$70=3,Dados!$AG$64,IF($E$70=4,Dados!$AI$64,IF($E$70=5,Dados!$AK$64,IF($E$70=6,Dados!$AM$64,IF($E$70=7,Dados!$AO$64,IF($E$70=8,Dados!$AS$64,0)))))))</f>
        <v>0</v>
      </c>
      <c r="FG56" s="304">
        <f>IF($E$70=2,Dados!$AF$64,IF($E$70=3,Dados!$AH$64,IF($E$70=4,Dados!$AJ$64,IF($E$70=5,Dados!$AL$64,IF($E$70=6,Dados!$AN$64,IF($E$70=7,Dados!$AP$64,IF($E$70=8,Dados!$AT$64,0)))))))</f>
        <v>0</v>
      </c>
      <c r="FH56" s="316">
        <f>IF($E$71=2,Dados!$AE$64,IF($E$71=3,Dados!$AG$64,IF($E$71=4,Dados!$AI$64,IF($E$71=5,Dados!$AK$64,IF($E$71=6,Dados!$AM$64,IF($E$71=7,Dados!$AO$64,IF($E$71=8,Dados!$AS$64,0)))))))</f>
        <v>0</v>
      </c>
      <c r="FI56" s="304">
        <f>IF($E$71=2,Dados!$AF$64,IF($E$71=3,Dados!$AH$64,IF($E$71=4,Dados!$AJ$64,IF($E$71=5,Dados!$AL$64,IF($E$71=6,Dados!$AN$64,IF($E$71=7,Dados!$AP$64,IF($E$71=8,Dados!$AT$64,0)))))))</f>
        <v>0</v>
      </c>
      <c r="FJ56" s="316">
        <f>IF($E$72=2,Dados!$AE$64,IF($E$72=3,Dados!$AG$64,IF($E$72=4,Dados!$AI$64,IF($E$72=5,Dados!$AK$64,IF($E$72=6,Dados!$AM$64,IF($E$72=7,Dados!$AO$64,IF($E$72=8,Dados!$AS$64,0)))))))</f>
        <v>0</v>
      </c>
      <c r="FK56" s="304">
        <f>IF($E$72=2,Dados!$AF$64,IF($E$72=3,Dados!$AH$64,IF($E$72=4,Dados!$AJ$64,IF($E$72=5,Dados!$AL$64,IF($E$72=6,Dados!$AN$64,IF($E$72=7,Dados!$AP$64,IF($E$72=8,Dados!$AT$64,0)))))))</f>
        <v>0</v>
      </c>
      <c r="FL56" s="316">
        <f>IF($E$73=2,Dados!$AE$64,IF($E$73=3,Dados!$AG$64,IF($E$73=4,Dados!$AI$64,IF($E$73=5,Dados!$AK$64,IF($E$73=6,Dados!$AM$64,IF($E$73=7,Dados!$AO$64,IF($E$73=8,Dados!$AS$64,0)))))))</f>
        <v>0</v>
      </c>
      <c r="FM56" s="304">
        <f>IF($E$73=2,Dados!$AF$64,IF($E$73=3,Dados!$AH$64,IF($E$73=4,Dados!$AJ$64,IF($E$73=5,Dados!$AL$64,IF($E$73=6,Dados!$AN$64,IF($E$73=7,Dados!$AP$64,IF($E$73=8,Dados!$AT$64,0)))))))</f>
        <v>0</v>
      </c>
      <c r="FN56" s="316">
        <f>IF($E$74=2,Dados!$AE$64,IF($E$74=3,Dados!$AG$64,IF($E$74=4,Dados!$AI$64,IF($E$74=5,Dados!$AK$64,IF($E$74=6,Dados!$AM$64,IF($E$74=7,Dados!$AO$64,IF($E$74=8,Dados!$AS$64,0)))))))</f>
        <v>0</v>
      </c>
      <c r="FO56" s="304">
        <f>IF($E$74=2,Dados!$AF$64,IF($E$74=3,Dados!$AH$64,IF($E$74=4,Dados!$AJ$64,IF($E$74=5,Dados!$AL$64,IF($E$74=6,Dados!$AN$64,IF($E$74=7,Dados!$AP$64,IF($E$74=8,Dados!$AT$64,0)))))))</f>
        <v>0</v>
      </c>
      <c r="FQ56" s="316">
        <f>IF($E$79=2,Dados!$AE$64,IF($E$79=3,Dados!$AG$64,IF($E$79=4,Dados!$AI$64,IF($E$79=5,Dados!$AK$64,IF($E$79=6,Dados!$AM$64,IF($E$79=7,Dados!$AO$64,IF($E$79=8,Dados!$AS$64,0)))))))</f>
        <v>0</v>
      </c>
      <c r="FR56" s="304">
        <f>IF($E$79=2,Dados!$AF$64,IF($E$79=3,Dados!$AH$64,IF($E$79=4,Dados!$AJ$64,IF($E$79=5,Dados!$AL$64,IF($E$79=6,Dados!$AN$64,IF($E$79=7,Dados!$AP$64,IF($E$79=8,Dados!$AT$64,0)))))))</f>
        <v>0</v>
      </c>
      <c r="FS56" s="316">
        <f>IF($E$80=2,Dados!$AE$64,IF($E$80=3,Dados!$AG$64,IF($E$80=4,Dados!$AI$64,IF($E$80=5,Dados!$AK$64,IF($E$80=6,Dados!$AM$64,IF($E$80=7,Dados!$AO$64,IF($E$80=8,Dados!$AS$64,0)))))))</f>
        <v>0</v>
      </c>
      <c r="FT56" s="304">
        <f>IF($E$80=2,Dados!$AF$64,IF($E$80=3,Dados!$AH$64,IF($E$80=4,Dados!$AJ$64,IF($E$80=5,Dados!$AL$64,IF($E$80=6,Dados!$AN$64,IF($E$80=7,Dados!$AP$64,IF($E$80=8,Dados!$AT$64,0)))))))</f>
        <v>0</v>
      </c>
      <c r="FU56" s="316">
        <f>IF($E$81=2,Dados!$AE$64,IF($E$81=3,Dados!$AG$64,IF($E$81=4,Dados!$AI$64,IF($E$81=5,Dados!$AK$64,IF($E$81=6,Dados!$AM$64,IF($E$81=7,Dados!$AO$64,IF($E$81=8,Dados!$AS$64,0)))))))</f>
        <v>0</v>
      </c>
      <c r="FV56" s="304">
        <f>IF($E$81=2,Dados!$AF$64,IF($E$81=3,Dados!$AH$64,IF($E$81=4,Dados!$AJ$64,IF($E$81=5,Dados!$AL$64,IF($E$81=6,Dados!$AN$64,IF($E$81=7,Dados!$AP$64,IF($E$81=8,Dados!$AT$64,0)))))))</f>
        <v>0</v>
      </c>
      <c r="FW56" s="316">
        <f>IF($E$82=2,Dados!$AE$64,IF($E$82=3,Dados!$AG$64,IF($E$82=4,Dados!$AI$64,IF($E$82=5,Dados!$AK$64,IF($E$82=6,Dados!$AM$64,IF($E$82=7,Dados!$AO$64,IF($E$82=8,Dados!$AS$64,0)))))))</f>
        <v>0</v>
      </c>
      <c r="FX56" s="304">
        <f>IF($E$82=2,Dados!$AF$64,IF($E$82=3,Dados!$AH$64,IF($E$82=4,Dados!$AJ$64,IF($E$82=5,Dados!$AL$64,IF($E$82=6,Dados!$AN$64,IF($E$82=7,Dados!$AP$64,IF($E$82=8,Dados!$AT$64,0)))))))</f>
        <v>0</v>
      </c>
      <c r="FY56" s="316">
        <f>IF($E$83=2,Dados!$AE$64,IF($E$83=3,Dados!$AG$64,IF($E$83=4,Dados!$AI$64,IF($E$83=5,Dados!$AK$64,IF($E$83=6,Dados!$AM$64,IF($E$83=7,Dados!$AO$64,IF($E$83=8,Dados!$AS$64,0)))))))</f>
        <v>0</v>
      </c>
      <c r="FZ56" s="304">
        <f>IF($E$83=2,Dados!$AF$64,IF($E$83=3,Dados!$AH$64,IF($E$83=4,Dados!$AJ$64,IF($E$83=5,Dados!$AL$64,IF($E$83=6,Dados!$AN$64,IF($E$83=7,Dados!$AP$64,IF($E$83=8,Dados!$AT$64,0)))))))</f>
        <v>0</v>
      </c>
      <c r="GB56" s="316">
        <f>IF($E$88=2,Dados!$AE$64,IF($E$88=3,Dados!$AG$64,IF($E$88=4,Dados!$AI$64,IF($E$88=5,Dados!$AK$64,IF($E$88=6,Dados!$AM$64,IF($E$88=7,Dados!$AO$64,IF($E$88=8,Dados!$AS$64,0)))))))</f>
        <v>0</v>
      </c>
      <c r="GC56" s="304">
        <f>IF($E$88=2,Dados!$AF$64,IF($E$88=3,Dados!$AH$64,IF($E$88=4,Dados!$AJ$64,IF($E$88=5,Dados!$AL$64,IF($E$88=6,Dados!$AN$64,IF($E$88=7,Dados!$AP$64,IF($E$88=8,Dados!$AT$64,0)))))))</f>
        <v>0</v>
      </c>
      <c r="GD56" s="316">
        <f>IF($E$89=2,Dados!$AE$64,IF($E$89=3,Dados!$AG$64,IF($E$89=4,Dados!$AI$64,IF($E$89=5,Dados!$AK$64,IF($E$89=6,Dados!$AM$64,IF($E$89=7,Dados!$AO$64,IF($E$89=8,Dados!$AS$64,0)))))))</f>
        <v>0</v>
      </c>
      <c r="GE56" s="304">
        <f>IF($E$89=2,Dados!$AF$64,IF($E$89=3,Dados!$AH$64,IF($E$89=4,Dados!$AJ$64,IF($E$89=5,Dados!$AL$64,IF($E$89=6,Dados!$AN$64,IF($E$89=7,Dados!$AP$64,IF($E$89=8,Dados!$AT$64,0)))))))</f>
        <v>0</v>
      </c>
      <c r="GF56" s="316">
        <f>IF($E$90=2,Dados!$AE$64,IF($E$90=3,Dados!$AG$64,IF($E$90=4,Dados!$AI$64,IF($E$90=5,Dados!$AK$64,IF($E$90=6,Dados!$AM$64,IF($E$90=7,Dados!$AO$64,IF($E$90=8,Dados!$AS$64,0)))))))</f>
        <v>0</v>
      </c>
      <c r="GG56" s="304">
        <f>IF($E$90=2,Dados!$AF$64,IF($E$90=3,Dados!$AH$64,IF($E$90=4,Dados!$AJ$64,IF($E$90=5,Dados!$AL$64,IF($E$90=6,Dados!$AN$64,IF($E$90=7,Dados!$AP$64,IF($E$90=8,Dados!$AT$64,0)))))))</f>
        <v>0</v>
      </c>
      <c r="GH56" s="316">
        <f>IF($E$91=2,Dados!$AE$64,IF($E$91=3,Dados!$AG$64,IF($E$91=4,Dados!$AI$64,IF($E$91=5,Dados!$AK$64,IF($E$91=6,Dados!$AM$64,IF($E$91=7,Dados!$AO$64,IF($E$91=8,Dados!$AS$64,0)))))))</f>
        <v>0</v>
      </c>
      <c r="GI56" s="304">
        <f>IF($E$91=2,Dados!$AF$64,IF($E$91=3,Dados!$AH$64,IF($E$91=4,Dados!$AJ$64,IF($E$91=5,Dados!$AL$64,IF($E$91=6,Dados!$AN$64,IF($E$91=7,Dados!$AP$64,IF($E$91=8,Dados!$AT$64,0)))))))</f>
        <v>0</v>
      </c>
      <c r="GJ56" s="316">
        <f>IF($E$92=2,Dados!$AE$64,IF($E$92=3,Dados!$AG$64,IF($E$92=4,Dados!$AI$64,IF($E$92=5,Dados!$AK$64,IF($E$92=6,Dados!$AM$64,IF($E$92=7,Dados!$AO$64,IF($E$92=8,Dados!$AS$64,0)))))))</f>
        <v>0</v>
      </c>
      <c r="GK56" s="304">
        <f>IF($E$92=2,Dados!$AF$64,IF($E$92=3,Dados!$AH$64,IF($E$92=4,Dados!$AJ$64,IF($E$92=5,Dados!$AL$64,IF($E$92=6,Dados!$AN$64,IF($E$92=7,Dados!$AP$64,IF($E$92=8,Dados!$AT$64,0)))))))</f>
        <v>0</v>
      </c>
      <c r="GM56" s="316">
        <f>IF($E$97=2,Dados!$AE$64,IF($E$97=3,Dados!$AG$64,IF($E$97=4,Dados!$AI$64,IF($E$97=5,Dados!$AK$64,IF($E$97=6,Dados!$AM$64,IF($E$97=7,Dados!$AO$64,IF($E$97=8,Dados!$AS$64,0)))))))</f>
        <v>0</v>
      </c>
      <c r="GN56" s="304">
        <f>IF($E$97=2,Dados!$AF$64,IF($E$97=3,Dados!$AH$64,IF($E$97=4,Dados!$AJ$64,IF($E$97=5,Dados!$AL$64,IF($E$97=6,Dados!$AN$64,IF($E$97=7,Dados!$AP$64,IF($E$97=8,Dados!$AT$64,0)))))))</f>
        <v>0</v>
      </c>
      <c r="GO56" s="316">
        <f>IF($E$98=2,Dados!$AE$64,IF($E$98=3,Dados!$AG$64,IF($E$98=4,Dados!$AI$64,IF($E$98=5,Dados!$AK$64,IF($E$98=6,Dados!$AM$64,IF($E$98=7,Dados!$AO$64,IF($E$98=8,Dados!$AS$64,0)))))))</f>
        <v>0</v>
      </c>
      <c r="GP56" s="304">
        <f>IF($E$98=2,Dados!$AF$64,IF($E$98=3,Dados!$AH$64,IF($E$98=4,Dados!$AJ$64,IF($E$98=5,Dados!$AL$64,IF($E$98=6,Dados!$AN$64,IF($E$98=7,Dados!$AP$64,IF($E$98=8,Dados!$AT$64,0)))))))</f>
        <v>0</v>
      </c>
      <c r="GQ56" s="316">
        <f>IF($E$99=2,Dados!$AE$64,IF($E$99=3,Dados!$AG$64,IF($E$99=4,Dados!$AI$64,IF($E$99=5,Dados!$AK$64,IF($E$99=6,Dados!$AM$64,IF($E$99=7,Dados!$AO$64,IF($E$99=8,Dados!$AS$64,0)))))))</f>
        <v>0</v>
      </c>
      <c r="GR56" s="304">
        <f>IF($E$99=2,Dados!$AF$64,IF($E$99=3,Dados!$AH$64,IF($E$99=4,Dados!$AJ$64,IF($E$99=5,Dados!$AL$64,IF($E$99=6,Dados!$AN$64,IF($E$99=7,Dados!$AP$64,IF($E$99=8,Dados!$AT$64,0)))))))</f>
        <v>0</v>
      </c>
      <c r="GS56" s="316">
        <f>IF($E$100=2,Dados!$AE$64,IF($E$100=3,Dados!$AG$64,IF($E$100=4,Dados!$AI$64,IF($E$100=5,Dados!$AK$64,IF($E$100=6,Dados!$AM$64,IF($E$100=7,Dados!$AO$64,IF($E$100=8,Dados!$AS$64,0)))))))</f>
        <v>0</v>
      </c>
      <c r="GT56" s="304">
        <f>IF($E$100=2,Dados!$AF$64,IF($E$100=3,Dados!$AH$64,IF($E$100=4,Dados!$AJ$64,IF($E$100=5,Dados!$AL$64,IF($E$100=6,Dados!$AN$64,IF($E$100=7,Dados!$AP$64,IF($E$100=8,Dados!$AT$64,0)))))))</f>
        <v>0</v>
      </c>
      <c r="GU56" s="316">
        <f>IF($E$101=2,Dados!$AE$64,IF($E$101=3,Dados!$AG$64,IF($E$101=4,Dados!$AI$64,IF($E$101=5,Dados!$AK$64,IF($E$101=6,Dados!$AM$64,IF($E$101=7,Dados!$AO$64,IF($E$101=8,Dados!$AS$64,0)))))))</f>
        <v>0</v>
      </c>
      <c r="GV56" s="304">
        <f>IF($E$101=2,Dados!$AF$64,IF($E$101=3,Dados!$AH$64,IF($E$101=4,Dados!$AJ$64,IF($E$101=5,Dados!$AL$64,IF($E$101=6,Dados!$AN$64,IF($E$101=7,Dados!$AP$64,IF($E$101=8,Dados!$AT$64,0)))))))</f>
        <v>0</v>
      </c>
      <c r="GX56" s="316">
        <f>IF($E$106=2,Dados!$AE$64,IF($E$106=3,Dados!$AG$64,IF($E$106=4,Dados!$AI$64,IF($E$106=5,Dados!$AK$64,IF($E$106=6,Dados!$AM$64,IF($E$106=7,Dados!$AO$64,IF($E$106=8,Dados!$AS$64,0)))))))</f>
        <v>0</v>
      </c>
      <c r="GY56" s="304">
        <f>IF($E$106=2,Dados!$AF$64,IF($E$106=3,Dados!$AH$64,IF($E$106=4,Dados!$AJ$64,IF($E$106=5,Dados!$AL$64,IF($E$106=6,Dados!$AN$64,IF($E$106=7,Dados!$AP$64,IF($E$106=8,Dados!$AT$64,0)))))))</f>
        <v>0</v>
      </c>
      <c r="GZ56" s="316">
        <f>IF($E$107=2,Dados!$AE$64,IF($E$107=3,Dados!$AG$64,IF($E$107=4,Dados!$AI$64,IF($E$107=5,Dados!$AK$64,IF($E$107=6,Dados!$AM$64,IF($E$107=7,Dados!$AO$64,IF($E$107=8,Dados!$AS$64,0)))))))</f>
        <v>0</v>
      </c>
      <c r="HA56" s="304">
        <f>IF($E$107=2,Dados!$AF$64,IF($E$107=3,Dados!$AH$64,IF($E$107=4,Dados!$AJ$64,IF($E$107=5,Dados!$AL$64,IF($E$107=6,Dados!$AN$64,IF($E$107=7,Dados!$AP$64,IF($E$107=8,Dados!$AT$64,0)))))))</f>
        <v>0</v>
      </c>
      <c r="HB56" s="316">
        <f>IF($E$108=2,Dados!$AE$64,IF($E$108=3,Dados!$AG$64,IF($E$108=4,Dados!$AI$64,IF($E$108=5,Dados!$AK$64,IF($E$108=6,Dados!$AM$64,IF($E$108=7,Dados!$AO$64,IF($E$108=8,Dados!$AS$64,0)))))))</f>
        <v>0</v>
      </c>
      <c r="HC56" s="304">
        <f>IF($E$108=2,Dados!$AF$64,IF($E$108=3,Dados!$AH$64,IF($E$108=4,Dados!$AJ$64,IF($E$108=5,Dados!$AL$64,IF($E$108=6,Dados!$AN$64,IF($E$108=7,Dados!$AP$64,IF($E$108=8,Dados!$AT$64,0)))))))</f>
        <v>0</v>
      </c>
      <c r="HD56" s="316">
        <f>IF($E$109=2,Dados!$AE$64,IF($E$109=3,Dados!$AG$64,IF($E$109=4,Dados!$AI$64,IF($E$109=5,Dados!$AK$64,IF($E$109=6,Dados!$AM$64,IF($E$109=7,Dados!$AO$64,IF($E$109=8,Dados!$AS$64,0)))))))</f>
        <v>0</v>
      </c>
      <c r="HE56" s="304">
        <f>IF($E$109=2,Dados!$AF$64,IF($E$109=3,Dados!$AH$64,IF($E$109=4,Dados!$AJ$64,IF($E$109=5,Dados!$AL$64,IF($E$109=6,Dados!$AN$64,IF($E$109=7,Dados!$AP$64,IF($E$109=8,Dados!$AT$64,0)))))))</f>
        <v>0</v>
      </c>
      <c r="HF56" s="316">
        <f>IF($E$110=2,Dados!$AE$64,IF($E$110=3,Dados!$AG$64,IF($E$110=4,Dados!$AI$64,IF($E$110=5,Dados!$AK$64,IF($E$110=6,Dados!$AM$64,IF($E$110=7,Dados!$AO$64,IF($E$110=8,Dados!$AS$64,0)))))))</f>
        <v>0</v>
      </c>
      <c r="HG56" s="304">
        <f>IF($E$110=2,Dados!$AF$64,IF($E$110=3,Dados!$AH$64,IF($E$110=4,Dados!$AJ$64,IF($E$110=5,Dados!$AL$64,IF($E$110=6,Dados!$AN$64,IF($E$110=7,Dados!$AP$64,IF($E$110=8,Dados!$AT$64,0)))))))</f>
        <v>0</v>
      </c>
    </row>
    <row r="57" spans="3:215" x14ac:dyDescent="0.2">
      <c r="C57" s="156">
        <f>SUM(C52:C56)</f>
        <v>0</v>
      </c>
      <c r="AW57" s="4" t="s">
        <v>634</v>
      </c>
      <c r="AX57" s="94">
        <f>IF($E52=7,$V52,0)</f>
        <v>0</v>
      </c>
      <c r="AY57" s="94">
        <f>IF($E53=7,$V53,0)</f>
        <v>0</v>
      </c>
      <c r="AZ57" s="94">
        <f>IF($E54=7,$V54,0)</f>
        <v>0</v>
      </c>
      <c r="BA57" s="94">
        <f>IF($E55=7,$V55,0)</f>
        <v>0</v>
      </c>
      <c r="BB57" s="94">
        <f>IF($E56=7,$V56,0)</f>
        <v>0</v>
      </c>
      <c r="BC57" s="200">
        <f t="shared" si="13"/>
        <v>0</v>
      </c>
      <c r="CG57" s="144"/>
      <c r="CH57" s="144"/>
    </row>
    <row r="58" spans="3:215" x14ac:dyDescent="0.2">
      <c r="AW58" s="4" t="s">
        <v>787</v>
      </c>
      <c r="AX58" s="94">
        <f>IF($E52=8,$V52,0)</f>
        <v>0</v>
      </c>
      <c r="AY58" s="94">
        <f>IF($E53=8,$V53,0)</f>
        <v>0</v>
      </c>
      <c r="AZ58" s="94">
        <f>IF($E54=8,$V54,0)</f>
        <v>0</v>
      </c>
      <c r="BA58" s="94">
        <f>IF($E55=8,$V55,0)</f>
        <v>0</v>
      </c>
      <c r="BB58" s="94">
        <f>IF($E56=8,$V56,0)</f>
        <v>0</v>
      </c>
      <c r="BC58" s="200">
        <f>SUM(AX58:BB58)</f>
        <v>0</v>
      </c>
      <c r="CG58" s="144"/>
      <c r="CH58" s="144"/>
    </row>
    <row r="59" spans="3:215" x14ac:dyDescent="0.2">
      <c r="I59" s="126" t="s">
        <v>519</v>
      </c>
      <c r="X59" s="2625" t="s">
        <v>414</v>
      </c>
      <c r="Y59" s="2625"/>
      <c r="Z59" s="183" t="s">
        <v>1246</v>
      </c>
      <c r="CG59" s="144"/>
      <c r="CH59" s="144"/>
    </row>
    <row r="60" spans="3:215" x14ac:dyDescent="0.2">
      <c r="D60" s="99" t="s">
        <v>557</v>
      </c>
      <c r="E60" s="116" t="s">
        <v>39</v>
      </c>
      <c r="F60" s="2630" t="s">
        <v>79</v>
      </c>
      <c r="G60" s="2631"/>
      <c r="H60" s="117" t="s">
        <v>637</v>
      </c>
      <c r="I60" s="99" t="s">
        <v>42</v>
      </c>
      <c r="J60" s="117" t="s">
        <v>431</v>
      </c>
      <c r="K60" s="117" t="s">
        <v>432</v>
      </c>
      <c r="L60" s="117" t="s">
        <v>518</v>
      </c>
      <c r="M60" s="117" t="s">
        <v>433</v>
      </c>
      <c r="N60" s="99" t="s">
        <v>426</v>
      </c>
      <c r="O60" s="98" t="s">
        <v>417</v>
      </c>
      <c r="P60" s="99" t="s">
        <v>418</v>
      </c>
      <c r="Q60" s="99" t="s">
        <v>434</v>
      </c>
      <c r="R60" s="99" t="s">
        <v>301</v>
      </c>
      <c r="S60" s="99" t="s">
        <v>436</v>
      </c>
      <c r="T60" s="98" t="s">
        <v>411</v>
      </c>
      <c r="U60" s="99" t="s">
        <v>412</v>
      </c>
      <c r="V60" s="99" t="s">
        <v>435</v>
      </c>
      <c r="W60" s="99" t="s">
        <v>437</v>
      </c>
      <c r="X60" s="99" t="s">
        <v>292</v>
      </c>
      <c r="Y60" s="99" t="s">
        <v>80</v>
      </c>
      <c r="Z60" s="99" t="s">
        <v>1247</v>
      </c>
      <c r="AX60" s="287">
        <v>1</v>
      </c>
      <c r="AY60" s="287">
        <v>2</v>
      </c>
      <c r="AZ60" s="287">
        <v>3</v>
      </c>
      <c r="BA60" s="287">
        <v>4</v>
      </c>
      <c r="BB60" s="287">
        <v>5</v>
      </c>
      <c r="BC60" s="288" t="s">
        <v>2</v>
      </c>
      <c r="CG60" s="144"/>
      <c r="CH60" s="144"/>
    </row>
    <row r="61" spans="3:215" ht="15.75" customHeight="1" x14ac:dyDescent="0.25">
      <c r="D61" s="2720"/>
      <c r="E61" s="179">
        <v>1</v>
      </c>
      <c r="F61" s="2719">
        <v>1</v>
      </c>
      <c r="G61" s="2633"/>
      <c r="H61" s="283"/>
      <c r="I61" s="229"/>
      <c r="J61" s="314"/>
      <c r="K61" s="157"/>
      <c r="L61" s="305"/>
      <c r="M61" s="127">
        <f>IF(I61=1,K61,IF(I61=2,K61/J61,IF(I61=3,K61*L61,0)))</f>
        <v>0</v>
      </c>
      <c r="N61" s="3">
        <v>1</v>
      </c>
      <c r="O61" s="30">
        <v>1</v>
      </c>
      <c r="P61" s="837">
        <f>IF(N61=1,0,VLOOKUP(N61,Rebanho!$AN$45:$AV$72,4)*O61)</f>
        <v>0</v>
      </c>
      <c r="Q61" s="838">
        <f>VLOOKUP(N61,Rebanho!$AN$45:$AV$72,7)*O61</f>
        <v>0</v>
      </c>
      <c r="R61" s="93">
        <v>1</v>
      </c>
      <c r="S61" s="29"/>
      <c r="T61" s="102">
        <f>VLOOKUP(R61,'Mão-de-obra'!$CJ$10:$CL$29,3)</f>
        <v>0</v>
      </c>
      <c r="U61" s="102">
        <f>T61*S61</f>
        <v>0</v>
      </c>
      <c r="V61" s="127">
        <f>IF(I61=1,M61*P61,IF(I61=2,M61*Q61*L61,IF(I61=3,M61,0)))</f>
        <v>0</v>
      </c>
      <c r="W61" s="129">
        <f>U61+V61</f>
        <v>0</v>
      </c>
      <c r="X61" s="196">
        <v>1</v>
      </c>
      <c r="Y61" s="93">
        <v>1</v>
      </c>
      <c r="Z61" s="127">
        <f>IF(P61=0,0,((W61/P61+U61/P61)*O61))</f>
        <v>0</v>
      </c>
      <c r="AW61" s="3" t="s">
        <v>302</v>
      </c>
      <c r="AX61" s="94">
        <f>IF($E61=2,$V61,0)</f>
        <v>0</v>
      </c>
      <c r="AY61" s="94">
        <f>IF($E62=2,$V62,0)</f>
        <v>0</v>
      </c>
      <c r="AZ61" s="94">
        <f>IF($E63=2,$V63,0)</f>
        <v>0</v>
      </c>
      <c r="BA61" s="94">
        <f>IF($E64=2,$V64,0)</f>
        <v>0</v>
      </c>
      <c r="BB61" s="94">
        <f>IF($E65=2,$V65,0)</f>
        <v>0</v>
      </c>
      <c r="BC61" s="200">
        <f t="shared" ref="BC61:BC66" si="15">SUM(AX61:BB61)</f>
        <v>0</v>
      </c>
      <c r="CG61" s="144"/>
      <c r="CH61" s="144"/>
    </row>
    <row r="62" spans="3:215" ht="15.75" customHeight="1" x14ac:dyDescent="0.2">
      <c r="D62" s="2721"/>
      <c r="E62" s="180">
        <v>1</v>
      </c>
      <c r="F62" s="2718">
        <v>1</v>
      </c>
      <c r="G62" s="2719"/>
      <c r="H62" s="284"/>
      <c r="I62" s="229"/>
      <c r="J62" s="314"/>
      <c r="K62" s="157"/>
      <c r="L62" s="305"/>
      <c r="M62" s="127">
        <f>IF(I62=1,K62,IF(I62=2,K62/J62,IF(I62=3,K62*L62,0)))</f>
        <v>0</v>
      </c>
      <c r="N62" s="3">
        <v>1</v>
      </c>
      <c r="O62" s="30">
        <v>1</v>
      </c>
      <c r="P62" s="837">
        <f>IF(N62=1,0,VLOOKUP(N62,Rebanho!$AN$45:$AV$72,4)*O62)</f>
        <v>0</v>
      </c>
      <c r="Q62" s="838">
        <f>VLOOKUP(N62,Rebanho!$AN$45:$AV$72,7)*O62</f>
        <v>0</v>
      </c>
      <c r="R62" s="3">
        <v>1</v>
      </c>
      <c r="S62" s="29"/>
      <c r="T62" s="102">
        <f>VLOOKUP(R62,'Mão-de-obra'!$CJ$10:$CL$29,3)</f>
        <v>0</v>
      </c>
      <c r="U62" s="102">
        <f>T62*S62</f>
        <v>0</v>
      </c>
      <c r="V62" s="127">
        <f>IF(I62=1,M62*P62,IF(I62=2,M62*Q62*L62,IF(I62=3,M62,0)))</f>
        <v>0</v>
      </c>
      <c r="W62" s="129">
        <f>U62+V62</f>
        <v>0</v>
      </c>
      <c r="X62" s="93">
        <v>1</v>
      </c>
      <c r="Y62" s="93">
        <v>1</v>
      </c>
      <c r="Z62" s="127">
        <f t="shared" ref="Z62:Z65" si="16">IF(P62=0,0,((W62/P62+U62/P62)*O62))</f>
        <v>0</v>
      </c>
      <c r="AW62" s="3" t="s">
        <v>466</v>
      </c>
      <c r="AX62" s="94">
        <f>IF($E61=3,$V61,0)</f>
        <v>0</v>
      </c>
      <c r="AY62" s="94">
        <f>IF($E62=3,$V62,0)</f>
        <v>0</v>
      </c>
      <c r="AZ62" s="94">
        <f>IF($E63=3,$V63,0)</f>
        <v>0</v>
      </c>
      <c r="BA62" s="94">
        <f>IF($E64=3,$V64,0)</f>
        <v>0</v>
      </c>
      <c r="BB62" s="94">
        <f>IF($E65=3,$V65,0)</f>
        <v>0</v>
      </c>
      <c r="BC62" s="200">
        <f t="shared" si="15"/>
        <v>0</v>
      </c>
      <c r="CG62" s="144"/>
      <c r="CH62" s="144"/>
    </row>
    <row r="63" spans="3:215" ht="15.75" customHeight="1" x14ac:dyDescent="0.2">
      <c r="D63" s="2721"/>
      <c r="E63" s="180">
        <v>1</v>
      </c>
      <c r="F63" s="2718">
        <v>1</v>
      </c>
      <c r="G63" s="2719"/>
      <c r="H63" s="284"/>
      <c r="I63" s="229"/>
      <c r="J63" s="314"/>
      <c r="K63" s="157"/>
      <c r="L63" s="305"/>
      <c r="M63" s="127">
        <f>IF(I63=1,K63,IF(I63=2,K63/J63,IF(I63=3,K63*L63,0)))</f>
        <v>0</v>
      </c>
      <c r="N63" s="3">
        <v>1</v>
      </c>
      <c r="O63" s="30">
        <v>1</v>
      </c>
      <c r="P63" s="837">
        <f>IF(N63=1,0,VLOOKUP(N63,Rebanho!$AN$45:$AV$72,4)*O63)</f>
        <v>0</v>
      </c>
      <c r="Q63" s="838">
        <f>VLOOKUP(N63,Rebanho!$AN$45:$AV$72,7)*O63</f>
        <v>0</v>
      </c>
      <c r="R63" s="3">
        <v>1</v>
      </c>
      <c r="S63" s="29"/>
      <c r="T63" s="102">
        <f>VLOOKUP(R63,'Mão-de-obra'!$CJ$10:$CL$29,3)</f>
        <v>0</v>
      </c>
      <c r="U63" s="102">
        <f>T63*S63</f>
        <v>0</v>
      </c>
      <c r="V63" s="127">
        <f>IF(I63=1,M63*P63,IF(I63=2,M63*Q63*L63,IF(I63=3,M63,0)))</f>
        <v>0</v>
      </c>
      <c r="W63" s="129">
        <f>U63+V63</f>
        <v>0</v>
      </c>
      <c r="X63" s="93">
        <v>1</v>
      </c>
      <c r="Y63" s="93">
        <v>1</v>
      </c>
      <c r="Z63" s="127">
        <f t="shared" si="16"/>
        <v>0</v>
      </c>
      <c r="AU63" s="93">
        <v>7</v>
      </c>
      <c r="AW63" s="3" t="s">
        <v>76</v>
      </c>
      <c r="AX63" s="94">
        <f>IF($E61=4,$V61,0)</f>
        <v>0</v>
      </c>
      <c r="AY63" s="94">
        <f>IF($E62=4,$V62,0)</f>
        <v>0</v>
      </c>
      <c r="AZ63" s="94">
        <f>IF($E63=4,$V63,0)</f>
        <v>0</v>
      </c>
      <c r="BA63" s="94">
        <f>IF($E64=4,$V64,0)</f>
        <v>0</v>
      </c>
      <c r="BB63" s="94">
        <f>IF($E65=4,$V65,0)</f>
        <v>0</v>
      </c>
      <c r="BC63" s="200">
        <f t="shared" si="15"/>
        <v>0</v>
      </c>
      <c r="CG63" s="144"/>
      <c r="CH63" s="144"/>
    </row>
    <row r="64" spans="3:215" ht="15.75" customHeight="1" x14ac:dyDescent="0.2">
      <c r="D64" s="2721"/>
      <c r="E64" s="180">
        <v>1</v>
      </c>
      <c r="F64" s="2718">
        <v>1</v>
      </c>
      <c r="G64" s="2719"/>
      <c r="H64" s="284"/>
      <c r="I64" s="229"/>
      <c r="J64" s="314"/>
      <c r="K64" s="157"/>
      <c r="L64" s="305"/>
      <c r="M64" s="127">
        <f>IF(I64=1,K64,IF(I64=2,K64/J64,IF(I64=3,K64*L64,0)))</f>
        <v>0</v>
      </c>
      <c r="N64" s="128">
        <v>1</v>
      </c>
      <c r="O64" s="30">
        <v>1</v>
      </c>
      <c r="P64" s="837">
        <f>IF(N64=1,0,VLOOKUP(N64,Rebanho!$AN$45:$AV$72,4)*O64)</f>
        <v>0</v>
      </c>
      <c r="Q64" s="838">
        <f>VLOOKUP(N64,Rebanho!$AN$45:$AV$72,7)*O64</f>
        <v>0</v>
      </c>
      <c r="R64" s="3">
        <v>1</v>
      </c>
      <c r="S64" s="29"/>
      <c r="T64" s="102">
        <f>VLOOKUP(R64,'Mão-de-obra'!$CJ$10:$CL$29,3)</f>
        <v>0</v>
      </c>
      <c r="U64" s="102">
        <f>T64*S64</f>
        <v>0</v>
      </c>
      <c r="V64" s="127">
        <f>IF(I64=1,M64*P64,IF(I64=2,M64*Q64*L64,IF(I64=3,M64,0)))</f>
        <v>0</v>
      </c>
      <c r="W64" s="129">
        <f>U64+V64</f>
        <v>0</v>
      </c>
      <c r="X64" s="93">
        <v>1</v>
      </c>
      <c r="Y64" s="93">
        <v>1</v>
      </c>
      <c r="Z64" s="127">
        <f t="shared" si="16"/>
        <v>0</v>
      </c>
      <c r="AW64" s="3" t="s">
        <v>528</v>
      </c>
      <c r="AX64" s="94">
        <f>IF($E61=5,$V61,0)</f>
        <v>0</v>
      </c>
      <c r="AY64" s="94">
        <f>IF($E62=5,$V62,0)</f>
        <v>0</v>
      </c>
      <c r="AZ64" s="94">
        <f>IF($E63=5,$V63,0)</f>
        <v>0</v>
      </c>
      <c r="BA64" s="94">
        <f>IF($E64=5,$V64,0)</f>
        <v>0</v>
      </c>
      <c r="BB64" s="94">
        <f>IF($E65=5,$V65,0)</f>
        <v>0</v>
      </c>
      <c r="BC64" s="200">
        <f t="shared" si="15"/>
        <v>0</v>
      </c>
      <c r="CG64" s="144"/>
      <c r="CH64" s="144"/>
    </row>
    <row r="65" spans="4:86" ht="15.75" customHeight="1" x14ac:dyDescent="0.2">
      <c r="D65" s="2722"/>
      <c r="E65" s="180">
        <v>1</v>
      </c>
      <c r="F65" s="2726">
        <v>1</v>
      </c>
      <c r="G65" s="2719"/>
      <c r="H65" s="283"/>
      <c r="I65" s="229"/>
      <c r="J65" s="314"/>
      <c r="K65" s="157"/>
      <c r="L65" s="305"/>
      <c r="M65" s="127">
        <f>IF(I65=1,K65,IF(I65=2,K65/J65,IF(I65=3,K65*L65,0)))</f>
        <v>0</v>
      </c>
      <c r="N65" s="3">
        <v>1</v>
      </c>
      <c r="O65" s="30">
        <v>1</v>
      </c>
      <c r="P65" s="837">
        <f>IF(N65=1,0,VLOOKUP(N65,Rebanho!$AN$45:$AV$72,4)*O65)</f>
        <v>0</v>
      </c>
      <c r="Q65" s="838">
        <f>VLOOKUP(N65,Rebanho!$AN$45:$AV$72,7)*O65</f>
        <v>0</v>
      </c>
      <c r="R65" s="3">
        <v>1</v>
      </c>
      <c r="S65" s="20"/>
      <c r="T65" s="94">
        <f>VLOOKUP(R65,'Mão-de-obra'!$CJ$10:$CL$29,3)</f>
        <v>0</v>
      </c>
      <c r="U65" s="94">
        <f>T65*S65</f>
        <v>0</v>
      </c>
      <c r="V65" s="127">
        <f>IF(I65=1,M65*P65,IF(I65=2,M65*Q65*L65,IF(I65=3,M65,0)))</f>
        <v>0</v>
      </c>
      <c r="W65" s="106">
        <f>U65+V65</f>
        <v>0</v>
      </c>
      <c r="X65" s="93">
        <v>1</v>
      </c>
      <c r="Y65" s="93">
        <v>1</v>
      </c>
      <c r="Z65" s="127">
        <f t="shared" si="16"/>
        <v>0</v>
      </c>
      <c r="AW65" s="3" t="s">
        <v>498</v>
      </c>
      <c r="AX65" s="94">
        <f>IF($E61=6,$V61,0)</f>
        <v>0</v>
      </c>
      <c r="AY65" s="94">
        <f>IF($E62=6,$V62,0)</f>
        <v>0</v>
      </c>
      <c r="AZ65" s="94">
        <f>IF($E63=6,$V63,0)</f>
        <v>0</v>
      </c>
      <c r="BA65" s="94">
        <f>IF($E64=6,$V64,0)</f>
        <v>0</v>
      </c>
      <c r="BB65" s="94">
        <f>IF($E65=6,$V65,0)</f>
        <v>0</v>
      </c>
      <c r="BC65" s="200">
        <f t="shared" si="15"/>
        <v>0</v>
      </c>
      <c r="CG65" s="144"/>
      <c r="CH65" s="144"/>
    </row>
    <row r="66" spans="4:86" x14ac:dyDescent="0.2">
      <c r="AW66" s="4" t="s">
        <v>666</v>
      </c>
      <c r="AX66" s="94">
        <f>IF($E61=7,$V61,0)</f>
        <v>0</v>
      </c>
      <c r="AY66" s="94">
        <f>IF($E62=7,$V62,0)</f>
        <v>0</v>
      </c>
      <c r="AZ66" s="94">
        <f>IF($E63=7,$V63,0)</f>
        <v>0</v>
      </c>
      <c r="BA66" s="94">
        <f>IF($E64=7,$V64,0)</f>
        <v>0</v>
      </c>
      <c r="BB66" s="94">
        <f>IF($E65=7,$V65,0)</f>
        <v>0</v>
      </c>
      <c r="BC66" s="200">
        <f t="shared" si="15"/>
        <v>0</v>
      </c>
      <c r="CG66" s="144"/>
      <c r="CH66" s="144"/>
    </row>
    <row r="67" spans="4:86" x14ac:dyDescent="0.2">
      <c r="AW67" s="4" t="s">
        <v>787</v>
      </c>
      <c r="AX67" s="94">
        <f>IF($E61=8,$V61,0)</f>
        <v>0</v>
      </c>
      <c r="AY67" s="94">
        <f>IF($E62=8,$V62,0)</f>
        <v>0</v>
      </c>
      <c r="AZ67" s="94">
        <f>IF($E63=8,$V63,0)</f>
        <v>0</v>
      </c>
      <c r="BA67" s="94">
        <f>IF($E64=8,$V64,0)</f>
        <v>0</v>
      </c>
      <c r="BB67" s="94">
        <f>IF($E65=8,$V65,0)</f>
        <v>0</v>
      </c>
      <c r="BC67" s="200">
        <f>SUM(AX67:BB67)</f>
        <v>0</v>
      </c>
      <c r="CG67" s="144"/>
      <c r="CH67" s="144"/>
    </row>
    <row r="68" spans="4:86" x14ac:dyDescent="0.2">
      <c r="I68" s="126" t="s">
        <v>519</v>
      </c>
      <c r="X68" s="2625" t="s">
        <v>414</v>
      </c>
      <c r="Y68" s="2625"/>
      <c r="Z68" s="183" t="s">
        <v>1246</v>
      </c>
      <c r="CG68" s="144"/>
      <c r="CH68" s="144"/>
    </row>
    <row r="69" spans="4:86" x14ac:dyDescent="0.2">
      <c r="D69" s="99" t="s">
        <v>560</v>
      </c>
      <c r="E69" s="116" t="s">
        <v>39</v>
      </c>
      <c r="F69" s="2630" t="s">
        <v>79</v>
      </c>
      <c r="G69" s="2631"/>
      <c r="H69" s="117" t="s">
        <v>637</v>
      </c>
      <c r="I69" s="99" t="s">
        <v>42</v>
      </c>
      <c r="J69" s="117" t="s">
        <v>431</v>
      </c>
      <c r="K69" s="117" t="s">
        <v>432</v>
      </c>
      <c r="L69" s="117" t="s">
        <v>518</v>
      </c>
      <c r="M69" s="117" t="s">
        <v>433</v>
      </c>
      <c r="N69" s="99" t="s">
        <v>426</v>
      </c>
      <c r="O69" s="98" t="s">
        <v>417</v>
      </c>
      <c r="P69" s="99" t="s">
        <v>418</v>
      </c>
      <c r="Q69" s="99" t="s">
        <v>434</v>
      </c>
      <c r="R69" s="99" t="s">
        <v>301</v>
      </c>
      <c r="S69" s="99" t="s">
        <v>436</v>
      </c>
      <c r="T69" s="98" t="s">
        <v>411</v>
      </c>
      <c r="U69" s="99" t="s">
        <v>412</v>
      </c>
      <c r="V69" s="99" t="s">
        <v>435</v>
      </c>
      <c r="W69" s="99" t="s">
        <v>437</v>
      </c>
      <c r="X69" s="99" t="s">
        <v>292</v>
      </c>
      <c r="Y69" s="99" t="s">
        <v>80</v>
      </c>
      <c r="Z69" s="99" t="s">
        <v>1247</v>
      </c>
      <c r="AX69" s="287">
        <v>1</v>
      </c>
      <c r="AY69" s="287">
        <v>2</v>
      </c>
      <c r="AZ69" s="287">
        <v>3</v>
      </c>
      <c r="BA69" s="287">
        <v>4</v>
      </c>
      <c r="BB69" s="287">
        <v>5</v>
      </c>
      <c r="BC69" s="288" t="s">
        <v>2</v>
      </c>
      <c r="CG69" s="144"/>
      <c r="CH69" s="144"/>
    </row>
    <row r="70" spans="4:86" ht="15.75" customHeight="1" x14ac:dyDescent="0.25">
      <c r="D70" s="2720"/>
      <c r="E70" s="179">
        <v>1</v>
      </c>
      <c r="F70" s="2719">
        <v>1</v>
      </c>
      <c r="G70" s="2633"/>
      <c r="H70" s="20"/>
      <c r="I70" s="229"/>
      <c r="J70" s="314"/>
      <c r="K70" s="157"/>
      <c r="L70" s="305"/>
      <c r="M70" s="127">
        <f>IF(I70=1,K70,IF(I70=2,K70/J70,IF(I70=3,K70*L70,0)))</f>
        <v>0</v>
      </c>
      <c r="N70" s="3">
        <v>1</v>
      </c>
      <c r="O70" s="30">
        <v>1</v>
      </c>
      <c r="P70" s="837">
        <f>IF(N70=1,0,VLOOKUP(N70,Rebanho!$AN$45:$AV$72,4)*O70)</f>
        <v>0</v>
      </c>
      <c r="Q70" s="838">
        <f>VLOOKUP(N70,Rebanho!$AN$45:$AV$72,7)*O70</f>
        <v>0</v>
      </c>
      <c r="R70" s="93">
        <v>1</v>
      </c>
      <c r="S70" s="29"/>
      <c r="T70" s="102">
        <f>VLOOKUP(R70,'Mão-de-obra'!$CJ$10:$CL$29,3)</f>
        <v>0</v>
      </c>
      <c r="U70" s="102">
        <f>T70*S70</f>
        <v>0</v>
      </c>
      <c r="V70" s="127">
        <f>IF(I70=1,M70*P70,IF(I70=2,M70*Q70*L70,IF(I70=3,M70,0)))</f>
        <v>0</v>
      </c>
      <c r="W70" s="129">
        <f>U70+V70</f>
        <v>0</v>
      </c>
      <c r="X70" s="196">
        <v>1</v>
      </c>
      <c r="Y70" s="93">
        <v>1</v>
      </c>
      <c r="Z70" s="127">
        <f>IF(P70=0,0,((W70/P70+U70/P70)*O70))</f>
        <v>0</v>
      </c>
      <c r="AW70" s="3" t="s">
        <v>302</v>
      </c>
      <c r="AX70" s="94">
        <f>IF($E70=2,$V70,0)</f>
        <v>0</v>
      </c>
      <c r="AY70" s="94">
        <f>IF($E71=2,$V71,0)</f>
        <v>0</v>
      </c>
      <c r="AZ70" s="94">
        <f>IF($E72=2,$V72,0)</f>
        <v>0</v>
      </c>
      <c r="BA70" s="94">
        <f>IF($E73=2,$V73,0)</f>
        <v>0</v>
      </c>
      <c r="BB70" s="94">
        <f>IF($E74=2,$V74,0)</f>
        <v>0</v>
      </c>
      <c r="BC70" s="200">
        <f t="shared" ref="BC70:BC75" si="17">SUM(AX70:BB70)</f>
        <v>0</v>
      </c>
      <c r="CG70" s="144"/>
      <c r="CH70" s="144"/>
    </row>
    <row r="71" spans="4:86" ht="15.75" customHeight="1" x14ac:dyDescent="0.2">
      <c r="D71" s="2721"/>
      <c r="E71" s="180">
        <v>1</v>
      </c>
      <c r="F71" s="2718">
        <v>1</v>
      </c>
      <c r="G71" s="2719"/>
      <c r="H71" s="284"/>
      <c r="I71" s="229"/>
      <c r="J71" s="314"/>
      <c r="K71" s="157"/>
      <c r="L71" s="305"/>
      <c r="M71" s="127">
        <f>IF(I71=1,K71,IF(I71=2,K71/J71,IF(I71=3,K71*L71,0)))</f>
        <v>0</v>
      </c>
      <c r="N71" s="3">
        <v>1</v>
      </c>
      <c r="O71" s="30">
        <v>1</v>
      </c>
      <c r="P71" s="837">
        <f>IF(N71=1,0,VLOOKUP(N71,Rebanho!$AN$45:$AV$72,4)*O71)</f>
        <v>0</v>
      </c>
      <c r="Q71" s="838">
        <f>VLOOKUP(N71,Rebanho!$AN$45:$AV$72,7)*O71</f>
        <v>0</v>
      </c>
      <c r="R71" s="3">
        <v>1</v>
      </c>
      <c r="S71" s="29"/>
      <c r="T71" s="102">
        <f>VLOOKUP(R71,'Mão-de-obra'!$CJ$10:$CL$29,3)</f>
        <v>0</v>
      </c>
      <c r="U71" s="102">
        <f>T71*S71</f>
        <v>0</v>
      </c>
      <c r="V71" s="127">
        <f>IF(I71=1,M71*P71,IF(I71=2,M71*Q71*L71,IF(I71=3,M71,0)))</f>
        <v>0</v>
      </c>
      <c r="W71" s="129">
        <f>U71+V71</f>
        <v>0</v>
      </c>
      <c r="X71" s="93">
        <v>1</v>
      </c>
      <c r="Y71" s="93">
        <v>1</v>
      </c>
      <c r="Z71" s="127">
        <f t="shared" ref="Z71:Z74" si="18">IF(P71=0,0,((W71/P71+U71/P71)*O71))</f>
        <v>0</v>
      </c>
      <c r="AW71" s="3" t="s">
        <v>466</v>
      </c>
      <c r="AX71" s="94">
        <f>IF($E70=3,$V70,0)</f>
        <v>0</v>
      </c>
      <c r="AY71" s="94">
        <f>IF($E71=3,$V71,0)</f>
        <v>0</v>
      </c>
      <c r="AZ71" s="94">
        <f>IF($E72=3,$V72,0)</f>
        <v>0</v>
      </c>
      <c r="BA71" s="94">
        <f>IF($E73=3,$V73,0)</f>
        <v>0</v>
      </c>
      <c r="BB71" s="94">
        <f>IF($E74=3,$V74,0)</f>
        <v>0</v>
      </c>
      <c r="BC71" s="200">
        <f t="shared" si="17"/>
        <v>0</v>
      </c>
      <c r="CG71" s="144"/>
      <c r="CH71" s="144"/>
    </row>
    <row r="72" spans="4:86" ht="15.75" customHeight="1" x14ac:dyDescent="0.2">
      <c r="D72" s="2721"/>
      <c r="E72" s="180">
        <v>1</v>
      </c>
      <c r="F72" s="2718">
        <v>1</v>
      </c>
      <c r="G72" s="2719"/>
      <c r="H72" s="284"/>
      <c r="I72" s="229"/>
      <c r="J72" s="314"/>
      <c r="K72" s="157"/>
      <c r="L72" s="305"/>
      <c r="M72" s="127">
        <f>IF(I72=1,K72,IF(I72=2,K72/J72,IF(I72=3,K72*L72,0)))</f>
        <v>0</v>
      </c>
      <c r="N72" s="3">
        <v>1</v>
      </c>
      <c r="O72" s="30">
        <v>1</v>
      </c>
      <c r="P72" s="837">
        <f>IF(N72=1,0,VLOOKUP(N72,Rebanho!$AN$45:$AV$72,4)*O72)</f>
        <v>0</v>
      </c>
      <c r="Q72" s="838">
        <f>VLOOKUP(N72,Rebanho!$AN$45:$AV$72,7)*O72</f>
        <v>0</v>
      </c>
      <c r="R72" s="3">
        <v>1</v>
      </c>
      <c r="S72" s="29"/>
      <c r="T72" s="102">
        <f>VLOOKUP(R72,'Mão-de-obra'!$CJ$10:$CL$29,3)</f>
        <v>0</v>
      </c>
      <c r="U72" s="102">
        <f>T72*S72</f>
        <v>0</v>
      </c>
      <c r="V72" s="127">
        <f>IF(I72=1,M72*P72,IF(I72=2,M72*Q72*L72,IF(I72=3,M72,0)))</f>
        <v>0</v>
      </c>
      <c r="W72" s="129">
        <f>U72+V72</f>
        <v>0</v>
      </c>
      <c r="X72" s="93">
        <v>1</v>
      </c>
      <c r="Y72" s="93">
        <v>1</v>
      </c>
      <c r="Z72" s="127">
        <f t="shared" si="18"/>
        <v>0</v>
      </c>
      <c r="AU72" s="93">
        <v>8</v>
      </c>
      <c r="AW72" s="3" t="s">
        <v>76</v>
      </c>
      <c r="AX72" s="94">
        <f>IF($E70=4,$V70,0)</f>
        <v>0</v>
      </c>
      <c r="AY72" s="94">
        <f>IF($E71=4,$V71,0)</f>
        <v>0</v>
      </c>
      <c r="AZ72" s="94">
        <f>IF($E72=4,$V72,0)</f>
        <v>0</v>
      </c>
      <c r="BA72" s="94">
        <f>IF($E73=4,$V73,0)</f>
        <v>0</v>
      </c>
      <c r="BB72" s="94">
        <f>IF($E74=4,$V74,0)</f>
        <v>0</v>
      </c>
      <c r="BC72" s="200">
        <f t="shared" si="17"/>
        <v>0</v>
      </c>
      <c r="CG72" s="144"/>
      <c r="CH72" s="144"/>
    </row>
    <row r="73" spans="4:86" ht="15.75" customHeight="1" x14ac:dyDescent="0.2">
      <c r="D73" s="2721"/>
      <c r="E73" s="180">
        <v>1</v>
      </c>
      <c r="F73" s="2718">
        <v>1</v>
      </c>
      <c r="G73" s="2719"/>
      <c r="H73" s="284"/>
      <c r="I73" s="229"/>
      <c r="J73" s="314"/>
      <c r="K73" s="157"/>
      <c r="L73" s="305"/>
      <c r="M73" s="127">
        <f>IF(I73=1,K73,IF(I73=2,K73/J73,IF(I73=3,K73*L73,0)))</f>
        <v>0</v>
      </c>
      <c r="N73" s="128">
        <v>1</v>
      </c>
      <c r="O73" s="30">
        <v>1</v>
      </c>
      <c r="P73" s="837">
        <f>IF(N73=1,0,VLOOKUP(N73,Rebanho!$AN$45:$AV$72,4)*O73)</f>
        <v>0</v>
      </c>
      <c r="Q73" s="838">
        <f>VLOOKUP(N73,Rebanho!$AN$45:$AV$72,7)*O73</f>
        <v>0</v>
      </c>
      <c r="R73" s="3">
        <v>1</v>
      </c>
      <c r="S73" s="29"/>
      <c r="T73" s="102">
        <f>VLOOKUP(R73,'Mão-de-obra'!$CJ$10:$CL$29,3)</f>
        <v>0</v>
      </c>
      <c r="U73" s="102">
        <f>T73*S73</f>
        <v>0</v>
      </c>
      <c r="V73" s="127">
        <f>IF(I73=1,M73*P73,IF(I73=2,M73*Q73*L73,IF(I73=3,M73,0)))</f>
        <v>0</v>
      </c>
      <c r="W73" s="129">
        <f>U73+V73</f>
        <v>0</v>
      </c>
      <c r="X73" s="93">
        <v>1</v>
      </c>
      <c r="Y73" s="93">
        <v>1</v>
      </c>
      <c r="Z73" s="127">
        <f t="shared" si="18"/>
        <v>0</v>
      </c>
      <c r="AW73" s="3" t="s">
        <v>528</v>
      </c>
      <c r="AX73" s="94">
        <f>IF($E70=5,$V70,0)</f>
        <v>0</v>
      </c>
      <c r="AY73" s="94">
        <f>IF($E71=5,$V71,0)</f>
        <v>0</v>
      </c>
      <c r="AZ73" s="94">
        <f>IF($E72=5,$V72,0)</f>
        <v>0</v>
      </c>
      <c r="BA73" s="94">
        <f>IF($E73=5,$V73,0)</f>
        <v>0</v>
      </c>
      <c r="BB73" s="94">
        <f>IF($E74=5,$V74,0)</f>
        <v>0</v>
      </c>
      <c r="BC73" s="200">
        <f t="shared" si="17"/>
        <v>0</v>
      </c>
      <c r="CG73" s="144"/>
      <c r="CH73" s="144"/>
    </row>
    <row r="74" spans="4:86" ht="15.75" customHeight="1" x14ac:dyDescent="0.2">
      <c r="D74" s="2722"/>
      <c r="E74" s="180">
        <v>1</v>
      </c>
      <c r="F74" s="2726">
        <v>1</v>
      </c>
      <c r="G74" s="2719"/>
      <c r="H74" s="283"/>
      <c r="I74" s="229"/>
      <c r="J74" s="314"/>
      <c r="K74" s="157"/>
      <c r="L74" s="305"/>
      <c r="M74" s="127">
        <f>IF(I74=1,K74,IF(I74=2,K74/J74,IF(I74=3,K74*L74,0)))</f>
        <v>0</v>
      </c>
      <c r="N74" s="3">
        <v>1</v>
      </c>
      <c r="O74" s="30">
        <v>1</v>
      </c>
      <c r="P74" s="837">
        <f>IF(N74=1,0,VLOOKUP(N74,Rebanho!$AN$45:$AV$72,4)*O74)</f>
        <v>0</v>
      </c>
      <c r="Q74" s="838">
        <f>VLOOKUP(N74,Rebanho!$AN$45:$AV$72,7)*O74</f>
        <v>0</v>
      </c>
      <c r="R74" s="3">
        <v>1</v>
      </c>
      <c r="S74" s="20"/>
      <c r="T74" s="94">
        <f>VLOOKUP(R74,'Mão-de-obra'!$CJ$10:$CL$29,3)</f>
        <v>0</v>
      </c>
      <c r="U74" s="94">
        <f>T74*S74</f>
        <v>0</v>
      </c>
      <c r="V74" s="127">
        <f>IF(I74=1,M74*P74,IF(I74=2,M74*Q74*L74,IF(I74=3,M74,0)))</f>
        <v>0</v>
      </c>
      <c r="W74" s="106">
        <f>U74+V74</f>
        <v>0</v>
      </c>
      <c r="X74" s="93">
        <v>1</v>
      </c>
      <c r="Y74" s="93">
        <v>1</v>
      </c>
      <c r="Z74" s="127">
        <f t="shared" si="18"/>
        <v>0</v>
      </c>
      <c r="AW74" s="3" t="s">
        <v>498</v>
      </c>
      <c r="AX74" s="94">
        <f>IF($E70=6,$V70,0)</f>
        <v>0</v>
      </c>
      <c r="AY74" s="94">
        <f>IF($E71=6,$V71,0)</f>
        <v>0</v>
      </c>
      <c r="AZ74" s="94">
        <f>IF($E72=6,$V72,0)</f>
        <v>0</v>
      </c>
      <c r="BA74" s="94">
        <f>IF($E73=6,$V73,0)</f>
        <v>0</v>
      </c>
      <c r="BB74" s="94">
        <f>IF($E74=6,$V74,0)</f>
        <v>0</v>
      </c>
      <c r="BC74" s="200">
        <f t="shared" si="17"/>
        <v>0</v>
      </c>
      <c r="CG74" s="144"/>
      <c r="CH74" s="144"/>
    </row>
    <row r="75" spans="4:86" x14ac:dyDescent="0.2">
      <c r="AW75" s="4" t="s">
        <v>634</v>
      </c>
      <c r="AX75" s="94">
        <f>IF($E70=7,$V70,0)</f>
        <v>0</v>
      </c>
      <c r="AY75" s="94">
        <f>IF($E71=7,$V71,0)</f>
        <v>0</v>
      </c>
      <c r="AZ75" s="94">
        <f>IF($E72=7,$V72,0)</f>
        <v>0</v>
      </c>
      <c r="BA75" s="94">
        <f>IF($E73=7,$V73,0)</f>
        <v>0</v>
      </c>
      <c r="BB75" s="94">
        <f>IF($E74=7,$V74,0)</f>
        <v>0</v>
      </c>
      <c r="BC75" s="200">
        <f t="shared" si="17"/>
        <v>0</v>
      </c>
      <c r="CG75" s="144"/>
      <c r="CH75" s="144"/>
    </row>
    <row r="76" spans="4:86" x14ac:dyDescent="0.2">
      <c r="AW76" s="4" t="s">
        <v>787</v>
      </c>
      <c r="AX76" s="94">
        <f>IF($E70=8,$V70,0)</f>
        <v>0</v>
      </c>
      <c r="AY76" s="94">
        <f>IF($E71=8,$V71,0)</f>
        <v>0</v>
      </c>
      <c r="AZ76" s="94">
        <f>IF($E72=8,$V72,0)</f>
        <v>0</v>
      </c>
      <c r="BA76" s="94">
        <f>IF($E73=8,$V73,0)</f>
        <v>0</v>
      </c>
      <c r="BB76" s="94">
        <f>IF($E74=8,$V74,0)</f>
        <v>0</v>
      </c>
      <c r="BC76" s="200">
        <f>SUM(AX76:BB76)</f>
        <v>0</v>
      </c>
      <c r="CG76" s="144"/>
      <c r="CH76" s="144"/>
    </row>
    <row r="77" spans="4:86" x14ac:dyDescent="0.2">
      <c r="I77" s="126" t="s">
        <v>519</v>
      </c>
      <c r="X77" s="2625" t="s">
        <v>414</v>
      </c>
      <c r="Y77" s="2625"/>
      <c r="Z77" s="183" t="s">
        <v>1246</v>
      </c>
      <c r="CG77" s="144"/>
      <c r="CH77" s="144"/>
    </row>
    <row r="78" spans="4:86" x14ac:dyDescent="0.2">
      <c r="D78" s="99" t="s">
        <v>562</v>
      </c>
      <c r="E78" s="116" t="s">
        <v>39</v>
      </c>
      <c r="F78" s="2630" t="s">
        <v>79</v>
      </c>
      <c r="G78" s="2631"/>
      <c r="H78" s="117" t="s">
        <v>637</v>
      </c>
      <c r="I78" s="99" t="s">
        <v>42</v>
      </c>
      <c r="J78" s="117" t="s">
        <v>431</v>
      </c>
      <c r="K78" s="117" t="s">
        <v>432</v>
      </c>
      <c r="L78" s="117" t="s">
        <v>518</v>
      </c>
      <c r="M78" s="117" t="s">
        <v>433</v>
      </c>
      <c r="N78" s="99" t="s">
        <v>426</v>
      </c>
      <c r="O78" s="98" t="s">
        <v>417</v>
      </c>
      <c r="P78" s="99" t="s">
        <v>418</v>
      </c>
      <c r="Q78" s="99" t="s">
        <v>434</v>
      </c>
      <c r="R78" s="99" t="s">
        <v>301</v>
      </c>
      <c r="S78" s="99" t="s">
        <v>436</v>
      </c>
      <c r="T78" s="98" t="s">
        <v>411</v>
      </c>
      <c r="U78" s="99" t="s">
        <v>412</v>
      </c>
      <c r="V78" s="99" t="s">
        <v>435</v>
      </c>
      <c r="W78" s="99" t="s">
        <v>437</v>
      </c>
      <c r="X78" s="99" t="s">
        <v>292</v>
      </c>
      <c r="Y78" s="99" t="s">
        <v>80</v>
      </c>
      <c r="Z78" s="99" t="s">
        <v>1247</v>
      </c>
      <c r="AX78" s="287">
        <v>1</v>
      </c>
      <c r="AY78" s="287">
        <v>2</v>
      </c>
      <c r="AZ78" s="287">
        <v>3</v>
      </c>
      <c r="BA78" s="287">
        <v>4</v>
      </c>
      <c r="BB78" s="287">
        <v>5</v>
      </c>
      <c r="BC78" s="288" t="s">
        <v>2</v>
      </c>
      <c r="CG78" s="144"/>
      <c r="CH78" s="144"/>
    </row>
    <row r="79" spans="4:86" ht="15.75" customHeight="1" x14ac:dyDescent="0.25">
      <c r="D79" s="2720"/>
      <c r="E79" s="179">
        <v>1</v>
      </c>
      <c r="F79" s="2719">
        <v>1</v>
      </c>
      <c r="G79" s="2633"/>
      <c r="H79" s="283"/>
      <c r="I79" s="229"/>
      <c r="J79" s="314"/>
      <c r="K79" s="157"/>
      <c r="L79" s="305"/>
      <c r="M79" s="127">
        <f>IF(I79=1,K79,IF(I79=2,K79/J79,IF(I79=3,K79*L79,0)))</f>
        <v>0</v>
      </c>
      <c r="N79" s="3">
        <v>1</v>
      </c>
      <c r="O79" s="30">
        <v>1</v>
      </c>
      <c r="P79" s="837">
        <f>IF(N79=1,0,VLOOKUP(N79,Rebanho!$AN$45:$AV$72,4)*O79)</f>
        <v>0</v>
      </c>
      <c r="Q79" s="838">
        <f>VLOOKUP(N79,Rebanho!$AN$45:$AV$72,7)*O79</f>
        <v>0</v>
      </c>
      <c r="R79" s="93">
        <v>1</v>
      </c>
      <c r="S79" s="29"/>
      <c r="T79" s="102">
        <f>VLOOKUP(R79,'Mão-de-obra'!$CJ$10:$CL$29,3)</f>
        <v>0</v>
      </c>
      <c r="U79" s="102">
        <f>T79*S79</f>
        <v>0</v>
      </c>
      <c r="V79" s="127">
        <f>IF(I79=1,M79*P79,IF(I79=2,M79*Q79*L79,IF(I79=3,M79,0)))</f>
        <v>0</v>
      </c>
      <c r="W79" s="129">
        <f>U79+V79</f>
        <v>0</v>
      </c>
      <c r="X79" s="196">
        <v>1</v>
      </c>
      <c r="Y79" s="93">
        <v>1</v>
      </c>
      <c r="Z79" s="127">
        <f>IF(P79=0,0,((W79/P79+U79/P79)*O79))</f>
        <v>0</v>
      </c>
      <c r="AW79" s="3" t="s">
        <v>302</v>
      </c>
      <c r="AX79" s="94">
        <f>IF($E79=2,$V79,0)</f>
        <v>0</v>
      </c>
      <c r="AY79" s="94">
        <f>IF($E80=2,$V80,0)</f>
        <v>0</v>
      </c>
      <c r="AZ79" s="94">
        <f>IF($E81=2,$V81,0)</f>
        <v>0</v>
      </c>
      <c r="BA79" s="94">
        <f>IF($E82=2,$V82,0)</f>
        <v>0</v>
      </c>
      <c r="BB79" s="94">
        <f>IF($E83=2,$V83,0)</f>
        <v>0</v>
      </c>
      <c r="BC79" s="200">
        <f t="shared" ref="BC79:BC84" si="19">SUM(AX79:BB79)</f>
        <v>0</v>
      </c>
      <c r="CG79" s="144"/>
      <c r="CH79" s="144"/>
    </row>
    <row r="80" spans="4:86" ht="15.75" customHeight="1" x14ac:dyDescent="0.2">
      <c r="D80" s="2721"/>
      <c r="E80" s="180">
        <v>1</v>
      </c>
      <c r="F80" s="2718">
        <v>1</v>
      </c>
      <c r="G80" s="2719"/>
      <c r="H80" s="284"/>
      <c r="I80" s="229"/>
      <c r="J80" s="314"/>
      <c r="K80" s="157"/>
      <c r="L80" s="305"/>
      <c r="M80" s="127">
        <f>IF(I80=1,K80,IF(I80=2,K80/J80,IF(I80=3,K80*L80,0)))</f>
        <v>0</v>
      </c>
      <c r="N80" s="3">
        <v>1</v>
      </c>
      <c r="O80" s="30">
        <v>1</v>
      </c>
      <c r="P80" s="837">
        <f>IF(N80=1,0,VLOOKUP(N80,Rebanho!$AN$45:$AV$72,4)*O80)</f>
        <v>0</v>
      </c>
      <c r="Q80" s="838">
        <f>VLOOKUP(N80,Rebanho!$AN$45:$AV$72,7)*O80</f>
        <v>0</v>
      </c>
      <c r="R80" s="3">
        <v>1</v>
      </c>
      <c r="S80" s="29"/>
      <c r="T80" s="102">
        <f>VLOOKUP(R80,'Mão-de-obra'!$CJ$10:$CL$29,3)</f>
        <v>0</v>
      </c>
      <c r="U80" s="102">
        <f>T80*S80</f>
        <v>0</v>
      </c>
      <c r="V80" s="127">
        <f>IF(I80=1,M80*P80,IF(I80=2,M80*Q80*L80,IF(I80=3,M80,0)))</f>
        <v>0</v>
      </c>
      <c r="W80" s="129">
        <f>U80+V80</f>
        <v>0</v>
      </c>
      <c r="X80" s="93">
        <v>1</v>
      </c>
      <c r="Y80" s="93">
        <v>1</v>
      </c>
      <c r="Z80" s="127">
        <f t="shared" ref="Z80:Z83" si="20">IF(P80=0,0,((W80/P80+U80/P80)*O80))</f>
        <v>0</v>
      </c>
      <c r="AW80" s="3" t="s">
        <v>466</v>
      </c>
      <c r="AX80" s="94">
        <f>IF($E79=3,$V79,0)</f>
        <v>0</v>
      </c>
      <c r="AY80" s="94">
        <f>IF($E80=3,$V80,0)</f>
        <v>0</v>
      </c>
      <c r="AZ80" s="94">
        <f>IF($E81=3,$V81,0)</f>
        <v>0</v>
      </c>
      <c r="BA80" s="94">
        <f>IF($E82=3,$V82,0)</f>
        <v>0</v>
      </c>
      <c r="BB80" s="94">
        <f>IF($E83=3,$V83,0)</f>
        <v>0</v>
      </c>
      <c r="BC80" s="200">
        <f t="shared" si="19"/>
        <v>0</v>
      </c>
      <c r="CG80" s="144"/>
      <c r="CH80" s="144"/>
    </row>
    <row r="81" spans="4:86" ht="15.75" customHeight="1" x14ac:dyDescent="0.2">
      <c r="D81" s="2721"/>
      <c r="E81" s="180">
        <v>1</v>
      </c>
      <c r="F81" s="2718">
        <v>1</v>
      </c>
      <c r="G81" s="2719"/>
      <c r="H81" s="317"/>
      <c r="I81" s="229"/>
      <c r="J81" s="314"/>
      <c r="K81" s="157"/>
      <c r="L81" s="305"/>
      <c r="M81" s="127">
        <f>IF(I81=1,K81,IF(I81=2,K81/J81,IF(I81=3,K81*L81,0)))</f>
        <v>0</v>
      </c>
      <c r="N81" s="3">
        <v>1</v>
      </c>
      <c r="O81" s="30">
        <v>1</v>
      </c>
      <c r="P81" s="837">
        <f>IF(N81=1,0,VLOOKUP(N81,Rebanho!$AN$45:$AV$72,4)*O81)</f>
        <v>0</v>
      </c>
      <c r="Q81" s="838">
        <f>VLOOKUP(N81,Rebanho!$AN$45:$AV$72,7)*O81</f>
        <v>0</v>
      </c>
      <c r="R81" s="3">
        <v>1</v>
      </c>
      <c r="S81" s="29"/>
      <c r="T81" s="102">
        <f>VLOOKUP(R81,'Mão-de-obra'!$CJ$10:$CL$29,3)</f>
        <v>0</v>
      </c>
      <c r="U81" s="102">
        <f>T81*S81</f>
        <v>0</v>
      </c>
      <c r="V81" s="127">
        <f>IF(I81=1,M81*P81,IF(I81=2,M81*Q81*L81,IF(I81=3,M81,0)))</f>
        <v>0</v>
      </c>
      <c r="W81" s="129">
        <f>U81+V81</f>
        <v>0</v>
      </c>
      <c r="X81" s="93">
        <v>1</v>
      </c>
      <c r="Y81" s="93">
        <v>1</v>
      </c>
      <c r="Z81" s="127">
        <f t="shared" si="20"/>
        <v>0</v>
      </c>
      <c r="AU81" s="93">
        <v>9</v>
      </c>
      <c r="AW81" s="3" t="s">
        <v>76</v>
      </c>
      <c r="AX81" s="94">
        <f>IF($E79=4,$V79,0)</f>
        <v>0</v>
      </c>
      <c r="AY81" s="94">
        <f>IF($E80=4,$V80,0)</f>
        <v>0</v>
      </c>
      <c r="AZ81" s="94">
        <f>IF($E81=4,$V81,0)</f>
        <v>0</v>
      </c>
      <c r="BA81" s="94">
        <f>IF($E82=4,$V82,0)</f>
        <v>0</v>
      </c>
      <c r="BB81" s="94">
        <f>IF($E83=4,$V83,0)</f>
        <v>0</v>
      </c>
      <c r="BC81" s="200">
        <f t="shared" si="19"/>
        <v>0</v>
      </c>
      <c r="CG81" s="144"/>
      <c r="CH81" s="144"/>
    </row>
    <row r="82" spans="4:86" ht="15.75" customHeight="1" x14ac:dyDescent="0.2">
      <c r="D82" s="2721"/>
      <c r="E82" s="180">
        <v>1</v>
      </c>
      <c r="F82" s="2718">
        <v>1</v>
      </c>
      <c r="G82" s="2719"/>
      <c r="H82" s="317"/>
      <c r="I82" s="229"/>
      <c r="J82" s="314"/>
      <c r="K82" s="157"/>
      <c r="L82" s="305"/>
      <c r="M82" s="127">
        <f>IF(I82=1,K82,IF(I82=2,K82/J82,IF(I82=3,K82*L82,0)))</f>
        <v>0</v>
      </c>
      <c r="N82" s="128">
        <v>1</v>
      </c>
      <c r="O82" s="30">
        <v>1</v>
      </c>
      <c r="P82" s="837">
        <f>IF(N82=1,0,VLOOKUP(N82,Rebanho!$AN$45:$AV$72,4)*O82)</f>
        <v>0</v>
      </c>
      <c r="Q82" s="838">
        <f>VLOOKUP(N82,Rebanho!$AN$45:$AV$72,7)*O82</f>
        <v>0</v>
      </c>
      <c r="R82" s="3">
        <v>1</v>
      </c>
      <c r="S82" s="29"/>
      <c r="T82" s="102">
        <f>VLOOKUP(R82,'Mão-de-obra'!$CJ$10:$CL$29,3)</f>
        <v>0</v>
      </c>
      <c r="U82" s="102">
        <f>T82*S82</f>
        <v>0</v>
      </c>
      <c r="V82" s="127">
        <f>IF(I82=1,M82*P82,IF(I82=2,M82*Q82*L82,IF(I82=3,M82,0)))</f>
        <v>0</v>
      </c>
      <c r="W82" s="129">
        <f>U82+V82</f>
        <v>0</v>
      </c>
      <c r="X82" s="93">
        <v>1</v>
      </c>
      <c r="Y82" s="93">
        <v>1</v>
      </c>
      <c r="Z82" s="127">
        <f t="shared" si="20"/>
        <v>0</v>
      </c>
      <c r="AW82" s="3" t="s">
        <v>528</v>
      </c>
      <c r="AX82" s="94">
        <f>IF($E79=5,$V79,0)</f>
        <v>0</v>
      </c>
      <c r="AY82" s="94">
        <f>IF($E80=5,$V80,0)</f>
        <v>0</v>
      </c>
      <c r="AZ82" s="94">
        <f>IF($E81=5,$V81,0)</f>
        <v>0</v>
      </c>
      <c r="BA82" s="94">
        <f>IF($E82=5,$V82,0)</f>
        <v>0</v>
      </c>
      <c r="BB82" s="94">
        <f>IF($E83=5,$V83,0)</f>
        <v>0</v>
      </c>
      <c r="BC82" s="200">
        <f t="shared" si="19"/>
        <v>0</v>
      </c>
      <c r="CG82" s="144"/>
      <c r="CH82" s="144"/>
    </row>
    <row r="83" spans="4:86" ht="15.75" customHeight="1" x14ac:dyDescent="0.2">
      <c r="D83" s="2722"/>
      <c r="E83" s="180">
        <v>1</v>
      </c>
      <c r="F83" s="2726">
        <v>1</v>
      </c>
      <c r="G83" s="2719"/>
      <c r="H83" s="283"/>
      <c r="I83" s="229"/>
      <c r="J83" s="314"/>
      <c r="K83" s="157"/>
      <c r="L83" s="305"/>
      <c r="M83" s="127">
        <f>IF(I83=1,K83,IF(I83=2,K83/J83,IF(I83=3,K83*L83,0)))</f>
        <v>0</v>
      </c>
      <c r="N83" s="3">
        <v>1</v>
      </c>
      <c r="O83" s="30">
        <v>1</v>
      </c>
      <c r="P83" s="837">
        <f>IF(N83=1,0,VLOOKUP(N83,Rebanho!$AN$45:$AV$72,4)*O83)</f>
        <v>0</v>
      </c>
      <c r="Q83" s="838">
        <f>VLOOKUP(N83,Rebanho!$AN$45:$AV$72,7)*O83</f>
        <v>0</v>
      </c>
      <c r="R83" s="3">
        <v>1</v>
      </c>
      <c r="S83" s="20"/>
      <c r="T83" s="94">
        <f>VLOOKUP(R83,'Mão-de-obra'!$CJ$10:$CL$29,3)</f>
        <v>0</v>
      </c>
      <c r="U83" s="94">
        <f>T83*S83</f>
        <v>0</v>
      </c>
      <c r="V83" s="127">
        <f>IF(I83=1,M83*P83,IF(I83=2,M83*Q83*L83,IF(I83=3,M83,0)))</f>
        <v>0</v>
      </c>
      <c r="W83" s="106">
        <f>U83+V83</f>
        <v>0</v>
      </c>
      <c r="X83" s="93">
        <v>1</v>
      </c>
      <c r="Y83" s="93">
        <v>1</v>
      </c>
      <c r="Z83" s="127">
        <f t="shared" si="20"/>
        <v>0</v>
      </c>
      <c r="AW83" s="3" t="s">
        <v>498</v>
      </c>
      <c r="AX83" s="94">
        <f>IF($E79=6,$V79,0)</f>
        <v>0</v>
      </c>
      <c r="AY83" s="94">
        <f>IF($E80=6,$V80,0)</f>
        <v>0</v>
      </c>
      <c r="AZ83" s="94">
        <f>IF($E81=6,$V81,0)</f>
        <v>0</v>
      </c>
      <c r="BA83" s="94">
        <f>IF($E82=6,$V82,0)</f>
        <v>0</v>
      </c>
      <c r="BB83" s="94">
        <f>IF($E83=6,$V83,0)</f>
        <v>0</v>
      </c>
      <c r="BC83" s="200">
        <f t="shared" si="19"/>
        <v>0</v>
      </c>
      <c r="CG83" s="144"/>
      <c r="CH83" s="144"/>
    </row>
    <row r="84" spans="4:86" x14ac:dyDescent="0.2">
      <c r="AW84" s="4" t="s">
        <v>634</v>
      </c>
      <c r="AX84" s="94">
        <f>IF($E79=7,$V79,0)</f>
        <v>0</v>
      </c>
      <c r="AY84" s="94">
        <f>IF($E80=7,$V80,0)</f>
        <v>0</v>
      </c>
      <c r="AZ84" s="94">
        <f>IF($E81=7,$V81,0)</f>
        <v>0</v>
      </c>
      <c r="BA84" s="94">
        <f>IF($E82=7,$V82,0)</f>
        <v>0</v>
      </c>
      <c r="BB84" s="94">
        <f>IF($E83=7,$V83,0)</f>
        <v>0</v>
      </c>
      <c r="BC84" s="200">
        <f t="shared" si="19"/>
        <v>0</v>
      </c>
      <c r="CG84" s="144"/>
      <c r="CH84" s="144"/>
    </row>
    <row r="85" spans="4:86" x14ac:dyDescent="0.2">
      <c r="AW85" s="4" t="s">
        <v>787</v>
      </c>
      <c r="AX85" s="94">
        <f>IF($E79=8,$V79,0)</f>
        <v>0</v>
      </c>
      <c r="AY85" s="94">
        <f>IF($E80=8,$V80,0)</f>
        <v>0</v>
      </c>
      <c r="AZ85" s="94">
        <f>IF($E81=8,$V81,0)</f>
        <v>0</v>
      </c>
      <c r="BA85" s="94">
        <f>IF($E82=8,$V82,0)</f>
        <v>0</v>
      </c>
      <c r="BB85" s="94">
        <f>IF($E83=8,$V83,0)</f>
        <v>0</v>
      </c>
      <c r="BC85" s="200">
        <f>SUM(AX85:BB85)</f>
        <v>0</v>
      </c>
      <c r="CG85" s="144"/>
      <c r="CH85" s="144"/>
    </row>
    <row r="86" spans="4:86" x14ac:dyDescent="0.2">
      <c r="H86" s="93" t="s">
        <v>790</v>
      </c>
      <c r="I86" s="126" t="s">
        <v>519</v>
      </c>
      <c r="X86" s="2625" t="s">
        <v>414</v>
      </c>
      <c r="Y86" s="2625"/>
      <c r="Z86" s="183" t="s">
        <v>1246</v>
      </c>
      <c r="CG86" s="144"/>
      <c r="CH86" s="144"/>
    </row>
    <row r="87" spans="4:86" x14ac:dyDescent="0.2">
      <c r="D87" s="99" t="s">
        <v>563</v>
      </c>
      <c r="E87" s="116" t="s">
        <v>39</v>
      </c>
      <c r="F87" s="2630" t="s">
        <v>79</v>
      </c>
      <c r="G87" s="2631"/>
      <c r="H87" s="117" t="s">
        <v>637</v>
      </c>
      <c r="I87" s="99" t="s">
        <v>42</v>
      </c>
      <c r="J87" s="117" t="s">
        <v>431</v>
      </c>
      <c r="K87" s="117" t="s">
        <v>432</v>
      </c>
      <c r="L87" s="117" t="s">
        <v>518</v>
      </c>
      <c r="M87" s="117" t="s">
        <v>433</v>
      </c>
      <c r="N87" s="99" t="s">
        <v>426</v>
      </c>
      <c r="O87" s="98" t="s">
        <v>417</v>
      </c>
      <c r="P87" s="99" t="s">
        <v>418</v>
      </c>
      <c r="Q87" s="99" t="s">
        <v>434</v>
      </c>
      <c r="R87" s="99" t="s">
        <v>301</v>
      </c>
      <c r="S87" s="99" t="s">
        <v>436</v>
      </c>
      <c r="T87" s="98" t="s">
        <v>411</v>
      </c>
      <c r="U87" s="99" t="s">
        <v>412</v>
      </c>
      <c r="V87" s="99" t="s">
        <v>435</v>
      </c>
      <c r="W87" s="99" t="s">
        <v>437</v>
      </c>
      <c r="X87" s="99" t="s">
        <v>292</v>
      </c>
      <c r="Y87" s="99" t="s">
        <v>80</v>
      </c>
      <c r="Z87" s="99" t="s">
        <v>1247</v>
      </c>
      <c r="AX87" s="111">
        <v>1</v>
      </c>
      <c r="AY87" s="111">
        <v>2</v>
      </c>
      <c r="AZ87" s="111">
        <v>3</v>
      </c>
      <c r="BA87" s="111">
        <v>4</v>
      </c>
      <c r="BB87" s="111">
        <v>5</v>
      </c>
      <c r="BC87" s="201" t="s">
        <v>2</v>
      </c>
      <c r="CG87" s="144"/>
      <c r="CH87" s="144"/>
    </row>
    <row r="88" spans="4:86" ht="15.75" customHeight="1" x14ac:dyDescent="0.25">
      <c r="D88" s="2720"/>
      <c r="E88" s="179">
        <v>1</v>
      </c>
      <c r="F88" s="2719">
        <v>1</v>
      </c>
      <c r="G88" s="2633"/>
      <c r="H88" s="20"/>
      <c r="I88" s="229"/>
      <c r="J88" s="314"/>
      <c r="K88" s="157"/>
      <c r="L88" s="305"/>
      <c r="M88" s="127">
        <f>IF(I88=1,K88,IF(I88=2,K88/J88,IF(I88=3,K88*L88,0)))</f>
        <v>0</v>
      </c>
      <c r="N88" s="3">
        <v>1</v>
      </c>
      <c r="O88" s="30">
        <v>1</v>
      </c>
      <c r="P88" s="837">
        <f>IF(N88=1,0,VLOOKUP(N88,Rebanho!$AN$45:$AV$72,4)*O88)</f>
        <v>0</v>
      </c>
      <c r="Q88" s="838">
        <f>VLOOKUP(N88,Rebanho!$AN$45:$AV$72,7)*O88</f>
        <v>0</v>
      </c>
      <c r="R88" s="93">
        <v>1</v>
      </c>
      <c r="S88" s="29"/>
      <c r="T88" s="102">
        <f>VLOOKUP(R88,'Mão-de-obra'!$CJ$10:$CL$29,3)</f>
        <v>0</v>
      </c>
      <c r="U88" s="102">
        <f>T88*S88</f>
        <v>0</v>
      </c>
      <c r="V88" s="127">
        <f>IF(I88=1,M88*P88,IF(I88=2,M88*Q88*L88,IF(I88=3,M88,0)))</f>
        <v>0</v>
      </c>
      <c r="W88" s="129">
        <f>U88+V88</f>
        <v>0</v>
      </c>
      <c r="X88" s="196">
        <v>1</v>
      </c>
      <c r="Y88" s="93">
        <v>1</v>
      </c>
      <c r="Z88" s="127">
        <f>IF(P88=0,0,((W88/P88+U88/P88)*O88))</f>
        <v>0</v>
      </c>
      <c r="AW88" s="3" t="s">
        <v>302</v>
      </c>
      <c r="AX88" s="94">
        <f>IF($E88=2,$V88,0)</f>
        <v>0</v>
      </c>
      <c r="AY88" s="94">
        <f>IF($E89=2,$V89,0)</f>
        <v>0</v>
      </c>
      <c r="AZ88" s="94">
        <f>IF($E90=2,$V90,0)</f>
        <v>0</v>
      </c>
      <c r="BA88" s="94">
        <f>IF($E91=2,$V91,0)</f>
        <v>0</v>
      </c>
      <c r="BB88" s="94">
        <f>IF($E92=2,$V92,0)</f>
        <v>0</v>
      </c>
      <c r="BC88" s="200">
        <f t="shared" ref="BC88:BC93" si="21">SUM(AX88:BB88)</f>
        <v>0</v>
      </c>
    </row>
    <row r="89" spans="4:86" ht="15.75" customHeight="1" x14ac:dyDescent="0.2">
      <c r="D89" s="2721"/>
      <c r="E89" s="180">
        <v>1</v>
      </c>
      <c r="F89" s="2718">
        <v>1</v>
      </c>
      <c r="G89" s="2719"/>
      <c r="H89" s="284"/>
      <c r="I89" s="229"/>
      <c r="J89" s="314"/>
      <c r="K89" s="157"/>
      <c r="L89" s="305"/>
      <c r="M89" s="127">
        <f>IF(I89=1,K89,IF(I89=2,K89/J89,IF(I89=3,K89*L89,0)))</f>
        <v>0</v>
      </c>
      <c r="N89" s="3">
        <v>1</v>
      </c>
      <c r="O89" s="30">
        <v>1</v>
      </c>
      <c r="P89" s="837">
        <f>IF(N89=1,0,VLOOKUP(N89,Rebanho!$AN$45:$AV$72,4)*O89)</f>
        <v>0</v>
      </c>
      <c r="Q89" s="838">
        <f>VLOOKUP(N89,Rebanho!$AN$45:$AV$72,7)*O89</f>
        <v>0</v>
      </c>
      <c r="R89" s="3">
        <v>1</v>
      </c>
      <c r="S89" s="29"/>
      <c r="T89" s="102">
        <f>VLOOKUP(R89,'Mão-de-obra'!$CJ$10:$CL$29,3)</f>
        <v>0</v>
      </c>
      <c r="U89" s="102">
        <f>T89*S89</f>
        <v>0</v>
      </c>
      <c r="V89" s="127">
        <f>IF(I89=1,M89*P89,IF(I89=2,M89*Q89*L89,IF(I89=3,M89,0)))</f>
        <v>0</v>
      </c>
      <c r="W89" s="129">
        <f>U89+V89</f>
        <v>0</v>
      </c>
      <c r="X89" s="93">
        <v>1</v>
      </c>
      <c r="Y89" s="93">
        <v>1</v>
      </c>
      <c r="Z89" s="127">
        <f t="shared" ref="Z89:Z92" si="22">IF(P89=0,0,((W89/P89+U89/P89)*O89))</f>
        <v>0</v>
      </c>
      <c r="AW89" s="3" t="s">
        <v>466</v>
      </c>
      <c r="AX89" s="94">
        <f>IF($E88=3,$V88,0)</f>
        <v>0</v>
      </c>
      <c r="AY89" s="94">
        <f>IF($E89=3,$V89,0)</f>
        <v>0</v>
      </c>
      <c r="AZ89" s="94">
        <f>IF($E90=3,$V90,0)</f>
        <v>0</v>
      </c>
      <c r="BA89" s="94">
        <f>IF($E91=3,$V91,0)</f>
        <v>0</v>
      </c>
      <c r="BB89" s="94">
        <f>IF($E92=3,$V92,0)</f>
        <v>0</v>
      </c>
      <c r="BC89" s="200">
        <f t="shared" si="21"/>
        <v>0</v>
      </c>
    </row>
    <row r="90" spans="4:86" ht="15.75" customHeight="1" x14ac:dyDescent="0.2">
      <c r="D90" s="2721"/>
      <c r="E90" s="180">
        <v>1</v>
      </c>
      <c r="F90" s="2718">
        <v>1</v>
      </c>
      <c r="G90" s="2719"/>
      <c r="H90" s="284"/>
      <c r="I90" s="229"/>
      <c r="J90" s="314"/>
      <c r="K90" s="157"/>
      <c r="L90" s="305"/>
      <c r="M90" s="127">
        <f>IF(I90=1,K90,IF(I90=2,K90/J90,IF(I90=3,K90*L90,0)))</f>
        <v>0</v>
      </c>
      <c r="N90" s="3">
        <v>1</v>
      </c>
      <c r="O90" s="30">
        <v>1</v>
      </c>
      <c r="P90" s="837">
        <f>IF(N90=1,0,VLOOKUP(N90,Rebanho!$AN$45:$AV$72,4)*O90)</f>
        <v>0</v>
      </c>
      <c r="Q90" s="838">
        <f>VLOOKUP(N90,Rebanho!$AN$45:$AV$72,7)*O90</f>
        <v>0</v>
      </c>
      <c r="R90" s="3">
        <v>1</v>
      </c>
      <c r="S90" s="29"/>
      <c r="T90" s="102">
        <f>VLOOKUP(R90,'Mão-de-obra'!$CJ$10:$CL$29,3)</f>
        <v>0</v>
      </c>
      <c r="U90" s="102">
        <f>T90*S90</f>
        <v>0</v>
      </c>
      <c r="V90" s="127">
        <f>IF(I90=1,M90*P90,IF(I90=2,M90*Q90*L90,IF(I90=3,M90,0)))</f>
        <v>0</v>
      </c>
      <c r="W90" s="129">
        <f>U90+V90</f>
        <v>0</v>
      </c>
      <c r="X90" s="93">
        <v>1</v>
      </c>
      <c r="Y90" s="93">
        <v>1</v>
      </c>
      <c r="Z90" s="127">
        <f t="shared" si="22"/>
        <v>0</v>
      </c>
      <c r="AU90" s="93">
        <v>10</v>
      </c>
      <c r="AW90" s="3" t="s">
        <v>76</v>
      </c>
      <c r="AX90" s="94">
        <f>IF($E88=4,$V88,0)</f>
        <v>0</v>
      </c>
      <c r="AY90" s="94">
        <f>IF($E89=4,$V89,0)</f>
        <v>0</v>
      </c>
      <c r="AZ90" s="94">
        <f>IF($E90=4,$V90,0)</f>
        <v>0</v>
      </c>
      <c r="BA90" s="94">
        <f>IF($E91=4,$V91,0)</f>
        <v>0</v>
      </c>
      <c r="BB90" s="94">
        <f>IF($E92=4,$V92,0)</f>
        <v>0</v>
      </c>
      <c r="BC90" s="200">
        <f t="shared" si="21"/>
        <v>0</v>
      </c>
    </row>
    <row r="91" spans="4:86" ht="15.75" customHeight="1" x14ac:dyDescent="0.2">
      <c r="D91" s="2721"/>
      <c r="E91" s="180">
        <v>1</v>
      </c>
      <c r="F91" s="2718">
        <v>1</v>
      </c>
      <c r="G91" s="2719"/>
      <c r="H91" s="284"/>
      <c r="I91" s="229"/>
      <c r="J91" s="314"/>
      <c r="K91" s="157"/>
      <c r="L91" s="305"/>
      <c r="M91" s="127">
        <f>IF(I91=1,K91,IF(I91=2,K91/J91,IF(I91=3,K91*L91,0)))</f>
        <v>0</v>
      </c>
      <c r="N91" s="128">
        <v>1</v>
      </c>
      <c r="O91" s="30">
        <v>1</v>
      </c>
      <c r="P91" s="837">
        <f>IF(N91=1,0,VLOOKUP(N91,Rebanho!$AN$45:$AV$72,4)*O91)</f>
        <v>0</v>
      </c>
      <c r="Q91" s="838">
        <f>VLOOKUP(N91,Rebanho!$AN$45:$AV$72,7)*O91</f>
        <v>0</v>
      </c>
      <c r="R91" s="3">
        <v>1</v>
      </c>
      <c r="S91" s="29"/>
      <c r="T91" s="102">
        <f>VLOOKUP(R91,'Mão-de-obra'!$CJ$10:$CL$29,3)</f>
        <v>0</v>
      </c>
      <c r="U91" s="102">
        <f>T91*S91</f>
        <v>0</v>
      </c>
      <c r="V91" s="127">
        <f>IF(I91=1,M91*P91,IF(I91=2,M91*Q91*L91,IF(I91=3,M91,0)))</f>
        <v>0</v>
      </c>
      <c r="W91" s="129">
        <f>U91+V91</f>
        <v>0</v>
      </c>
      <c r="X91" s="93">
        <v>1</v>
      </c>
      <c r="Y91" s="93">
        <v>1</v>
      </c>
      <c r="Z91" s="127">
        <f t="shared" si="22"/>
        <v>0</v>
      </c>
      <c r="AW91" s="3" t="s">
        <v>528</v>
      </c>
      <c r="AX91" s="94">
        <f>IF($E88=5,$V88,0)</f>
        <v>0</v>
      </c>
      <c r="AY91" s="94">
        <f>IF($E89=5,$V89,0)</f>
        <v>0</v>
      </c>
      <c r="AZ91" s="94">
        <f>IF($E90=5,$V90,0)</f>
        <v>0</v>
      </c>
      <c r="BA91" s="94">
        <f>IF($E91=5,$V91,0)</f>
        <v>0</v>
      </c>
      <c r="BB91" s="94">
        <f>IF($E92=5,$V92,0)</f>
        <v>0</v>
      </c>
      <c r="BC91" s="200">
        <f t="shared" si="21"/>
        <v>0</v>
      </c>
    </row>
    <row r="92" spans="4:86" ht="15.75" customHeight="1" x14ac:dyDescent="0.2">
      <c r="D92" s="2722"/>
      <c r="E92" s="180">
        <v>1</v>
      </c>
      <c r="F92" s="2726">
        <v>1</v>
      </c>
      <c r="G92" s="2719"/>
      <c r="H92" s="283"/>
      <c r="I92" s="229"/>
      <c r="J92" s="314"/>
      <c r="K92" s="157"/>
      <c r="L92" s="305"/>
      <c r="M92" s="127">
        <f>IF(I92=1,K92,IF(I92=2,K92/J92,IF(I92=3,K92*L92,0)))</f>
        <v>0</v>
      </c>
      <c r="N92" s="3">
        <v>1</v>
      </c>
      <c r="O92" s="30">
        <v>1</v>
      </c>
      <c r="P92" s="837">
        <f>IF(N92=1,0,VLOOKUP(N92,Rebanho!$AN$45:$AV$72,4)*O92)</f>
        <v>0</v>
      </c>
      <c r="Q92" s="838">
        <f>VLOOKUP(N92,Rebanho!$AN$45:$AV$72,7)*O92</f>
        <v>0</v>
      </c>
      <c r="R92" s="3">
        <v>1</v>
      </c>
      <c r="S92" s="20"/>
      <c r="T92" s="94">
        <f>VLOOKUP(R92,'Mão-de-obra'!$CJ$10:$CL$29,3)</f>
        <v>0</v>
      </c>
      <c r="U92" s="94">
        <f>T92*S92</f>
        <v>0</v>
      </c>
      <c r="V92" s="127">
        <f>IF(I92=1,M92*P92,IF(I92=2,M92*Q92*L92,IF(I92=3,M92,0)))</f>
        <v>0</v>
      </c>
      <c r="W92" s="106">
        <f>U92+V92</f>
        <v>0</v>
      </c>
      <c r="X92" s="93">
        <v>1</v>
      </c>
      <c r="Y92" s="93">
        <v>1</v>
      </c>
      <c r="Z92" s="127">
        <f t="shared" si="22"/>
        <v>0</v>
      </c>
      <c r="AW92" s="3" t="s">
        <v>498</v>
      </c>
      <c r="AX92" s="94">
        <f>IF($E88=6,$V88,0)</f>
        <v>0</v>
      </c>
      <c r="AY92" s="94">
        <f>IF($E89=6,$V89,0)</f>
        <v>0</v>
      </c>
      <c r="AZ92" s="94">
        <f>IF($E90=6,$V90,0)</f>
        <v>0</v>
      </c>
      <c r="BA92" s="94">
        <f>IF($E91=6,$V91,0)</f>
        <v>0</v>
      </c>
      <c r="BB92" s="94">
        <f>IF($E92=6,$V92,0)</f>
        <v>0</v>
      </c>
      <c r="BC92" s="200">
        <f t="shared" si="21"/>
        <v>0</v>
      </c>
    </row>
    <row r="93" spans="4:86" x14ac:dyDescent="0.2">
      <c r="AW93" s="289" t="s">
        <v>634</v>
      </c>
      <c r="AX93" s="102">
        <f>IF($E88=7,$V88,0)</f>
        <v>0</v>
      </c>
      <c r="AY93" s="102">
        <f>IF($E89=7,$V89,0)</f>
        <v>0</v>
      </c>
      <c r="AZ93" s="102">
        <f>IF($E90=7,$V90,0)</f>
        <v>0</v>
      </c>
      <c r="BA93" s="102">
        <f>IF($E91=7,$V91,0)</f>
        <v>0</v>
      </c>
      <c r="BB93" s="102">
        <f>IF($E92=7,$V92,0)</f>
        <v>0</v>
      </c>
      <c r="BC93" s="290">
        <f t="shared" si="21"/>
        <v>0</v>
      </c>
    </row>
    <row r="94" spans="4:86" x14ac:dyDescent="0.2">
      <c r="AW94" s="4" t="s">
        <v>787</v>
      </c>
      <c r="AX94" s="94">
        <f>IF($E88=8,$V88,0)</f>
        <v>0</v>
      </c>
      <c r="AY94" s="94">
        <f>IF($E89=8,$V89,0)</f>
        <v>0</v>
      </c>
      <c r="AZ94" s="94">
        <f>IF($E90=8,$V90,0)</f>
        <v>0</v>
      </c>
      <c r="BA94" s="94">
        <f>IF($E91=8,$V91,0)</f>
        <v>0</v>
      </c>
      <c r="BB94" s="94">
        <f>IF($E92=8,$V92,0)</f>
        <v>0</v>
      </c>
      <c r="BC94" s="200">
        <f>SUM(AX94:BB94)</f>
        <v>0</v>
      </c>
    </row>
    <row r="95" spans="4:86" x14ac:dyDescent="0.2">
      <c r="I95" s="126" t="s">
        <v>519</v>
      </c>
      <c r="X95" s="2625" t="s">
        <v>414</v>
      </c>
      <c r="Y95" s="2625"/>
      <c r="Z95" s="183" t="s">
        <v>1246</v>
      </c>
    </row>
    <row r="96" spans="4:86" x14ac:dyDescent="0.2">
      <c r="D96" s="99" t="s">
        <v>566</v>
      </c>
      <c r="E96" s="116" t="s">
        <v>39</v>
      </c>
      <c r="F96" s="2630" t="s">
        <v>79</v>
      </c>
      <c r="G96" s="2631"/>
      <c r="H96" s="117" t="s">
        <v>637</v>
      </c>
      <c r="I96" s="99" t="s">
        <v>42</v>
      </c>
      <c r="J96" s="117" t="s">
        <v>431</v>
      </c>
      <c r="K96" s="117" t="s">
        <v>432</v>
      </c>
      <c r="L96" s="117" t="s">
        <v>518</v>
      </c>
      <c r="M96" s="117" t="s">
        <v>433</v>
      </c>
      <c r="N96" s="99" t="s">
        <v>426</v>
      </c>
      <c r="O96" s="98" t="s">
        <v>417</v>
      </c>
      <c r="P96" s="99" t="s">
        <v>418</v>
      </c>
      <c r="Q96" s="99" t="s">
        <v>434</v>
      </c>
      <c r="R96" s="99" t="s">
        <v>301</v>
      </c>
      <c r="S96" s="99" t="s">
        <v>436</v>
      </c>
      <c r="T96" s="98" t="s">
        <v>411</v>
      </c>
      <c r="U96" s="99" t="s">
        <v>412</v>
      </c>
      <c r="V96" s="99" t="s">
        <v>435</v>
      </c>
      <c r="W96" s="99" t="s">
        <v>437</v>
      </c>
      <c r="X96" s="99" t="s">
        <v>292</v>
      </c>
      <c r="Y96" s="99" t="s">
        <v>80</v>
      </c>
      <c r="Z96" s="99" t="s">
        <v>1247</v>
      </c>
      <c r="AX96" s="111">
        <v>1</v>
      </c>
      <c r="AY96" s="111">
        <v>2</v>
      </c>
      <c r="AZ96" s="111">
        <v>3</v>
      </c>
      <c r="BA96" s="111">
        <v>4</v>
      </c>
      <c r="BB96" s="111">
        <v>5</v>
      </c>
      <c r="BC96" s="201" t="s">
        <v>2</v>
      </c>
    </row>
    <row r="97" spans="4:55" ht="15.75" customHeight="1" x14ac:dyDescent="0.25">
      <c r="D97" s="2720"/>
      <c r="E97" s="179">
        <v>1</v>
      </c>
      <c r="F97" s="2719">
        <v>1</v>
      </c>
      <c r="G97" s="2633"/>
      <c r="H97" s="20"/>
      <c r="I97" s="229"/>
      <c r="J97" s="314"/>
      <c r="K97" s="157"/>
      <c r="L97" s="305"/>
      <c r="M97" s="127">
        <f>IF(I97=1,K97,IF(I97=2,K97/J97,IF(I97=3,K97*L97,0)))</f>
        <v>0</v>
      </c>
      <c r="N97" s="3">
        <v>1</v>
      </c>
      <c r="O97" s="30">
        <v>1</v>
      </c>
      <c r="P97" s="837">
        <f>IF(N97=1,0,VLOOKUP(N97,Rebanho!$AN$45:$AV$72,4)*O97)</f>
        <v>0</v>
      </c>
      <c r="Q97" s="838">
        <f>VLOOKUP(N97,Rebanho!$AN$45:$AV$72,7)*O97</f>
        <v>0</v>
      </c>
      <c r="R97" s="93">
        <v>1</v>
      </c>
      <c r="S97" s="29"/>
      <c r="T97" s="102">
        <f>VLOOKUP(R97,'Mão-de-obra'!$CJ$10:$CL$29,3)</f>
        <v>0</v>
      </c>
      <c r="U97" s="102">
        <f>T97*S97</f>
        <v>0</v>
      </c>
      <c r="V97" s="127">
        <f>IF(I97=1,M97*P97,IF(I97=2,M97*Q97*L97,IF(I97=3,M97,0)))</f>
        <v>0</v>
      </c>
      <c r="W97" s="129">
        <f>U97+V97</f>
        <v>0</v>
      </c>
      <c r="X97" s="196">
        <v>1</v>
      </c>
      <c r="Y97" s="93">
        <v>1</v>
      </c>
      <c r="Z97" s="127">
        <f>IF(P97=0,0,((W97/P97+U97/P97)*O97))</f>
        <v>0</v>
      </c>
      <c r="AW97" s="3" t="s">
        <v>302</v>
      </c>
      <c r="AX97" s="94">
        <f>IF($E97=2,$V97,0)</f>
        <v>0</v>
      </c>
      <c r="AY97" s="94">
        <f>IF($E98=2,$V98,0)</f>
        <v>0</v>
      </c>
      <c r="AZ97" s="94">
        <f>IF($E99=2,$V99,0)</f>
        <v>0</v>
      </c>
      <c r="BA97" s="94">
        <f>IF($E100=2,$V100,0)</f>
        <v>0</v>
      </c>
      <c r="BB97" s="94">
        <f>IF($E101=2,$V101,0)</f>
        <v>0</v>
      </c>
      <c r="BC97" s="200">
        <f t="shared" ref="BC97:BC102" si="23">SUM(AX97:BB97)</f>
        <v>0</v>
      </c>
    </row>
    <row r="98" spans="4:55" ht="15.75" customHeight="1" x14ac:dyDescent="0.2">
      <c r="D98" s="2721"/>
      <c r="E98" s="180">
        <v>1</v>
      </c>
      <c r="F98" s="2718">
        <v>1</v>
      </c>
      <c r="G98" s="2719"/>
      <c r="H98" s="317"/>
      <c r="I98" s="229"/>
      <c r="J98" s="314"/>
      <c r="K98" s="157"/>
      <c r="L98" s="305"/>
      <c r="M98" s="127">
        <f>IF(I98=1,K98,IF(I98=2,K98/J98,IF(I98=3,K98*L98,0)))</f>
        <v>0</v>
      </c>
      <c r="N98" s="3">
        <v>1</v>
      </c>
      <c r="O98" s="30">
        <v>1</v>
      </c>
      <c r="P98" s="837">
        <f>IF(N98=1,0,VLOOKUP(N98,Rebanho!$AN$45:$AV$72,4)*O98)</f>
        <v>0</v>
      </c>
      <c r="Q98" s="838">
        <f>VLOOKUP(N98,Rebanho!$AN$45:$AV$72,7)*O98</f>
        <v>0</v>
      </c>
      <c r="R98" s="3">
        <v>1</v>
      </c>
      <c r="S98" s="29"/>
      <c r="T98" s="102">
        <f>VLOOKUP(R98,'Mão-de-obra'!$CJ$10:$CL$29,3)</f>
        <v>0</v>
      </c>
      <c r="U98" s="102">
        <f>T98*S98</f>
        <v>0</v>
      </c>
      <c r="V98" s="127">
        <f>IF(I98=1,M98*P98,IF(I98=2,M98*Q98*L98,IF(I98=3,M98,0)))</f>
        <v>0</v>
      </c>
      <c r="W98" s="129">
        <f>U98+V98</f>
        <v>0</v>
      </c>
      <c r="X98" s="93">
        <v>1</v>
      </c>
      <c r="Y98" s="93">
        <v>1</v>
      </c>
      <c r="Z98" s="127">
        <f t="shared" ref="Z98:Z101" si="24">IF(P98=0,0,((W98/P98+U98/P98)*O98))</f>
        <v>0</v>
      </c>
      <c r="AW98" s="3" t="s">
        <v>466</v>
      </c>
      <c r="AX98" s="94">
        <f>IF($E97=3,$V97,0)</f>
        <v>0</v>
      </c>
      <c r="AY98" s="94">
        <f>IF($E98=3,$V98,0)</f>
        <v>0</v>
      </c>
      <c r="AZ98" s="94">
        <f>IF($E99=3,$V99,0)</f>
        <v>0</v>
      </c>
      <c r="BA98" s="94">
        <f>IF($E100=3,$V100,0)</f>
        <v>0</v>
      </c>
      <c r="BB98" s="94">
        <f>IF($E101=3,$V101,0)</f>
        <v>0</v>
      </c>
      <c r="BC98" s="200">
        <f t="shared" si="23"/>
        <v>0</v>
      </c>
    </row>
    <row r="99" spans="4:55" ht="15.75" customHeight="1" x14ac:dyDescent="0.2">
      <c r="D99" s="2721"/>
      <c r="E99" s="180">
        <v>1</v>
      </c>
      <c r="F99" s="2718">
        <v>1</v>
      </c>
      <c r="G99" s="2719"/>
      <c r="H99" s="317"/>
      <c r="I99" s="229"/>
      <c r="J99" s="314"/>
      <c r="K99" s="157"/>
      <c r="L99" s="305"/>
      <c r="M99" s="127">
        <f>IF(I99=1,K99,IF(I99=2,K99/J99,IF(I99=3,K99*L99,0)))</f>
        <v>0</v>
      </c>
      <c r="N99" s="3">
        <v>1</v>
      </c>
      <c r="O99" s="30">
        <v>1</v>
      </c>
      <c r="P99" s="837">
        <f>IF(N99=1,0,VLOOKUP(N99,Rebanho!$AN$45:$AV$72,4)*O99)</f>
        <v>0</v>
      </c>
      <c r="Q99" s="838">
        <f>VLOOKUP(N99,Rebanho!$AN$45:$AV$72,7)*O99</f>
        <v>0</v>
      </c>
      <c r="R99" s="3">
        <v>1</v>
      </c>
      <c r="S99" s="29"/>
      <c r="T99" s="102">
        <f>VLOOKUP(R99,'Mão-de-obra'!$CJ$10:$CL$29,3)</f>
        <v>0</v>
      </c>
      <c r="U99" s="102">
        <f>T99*S99</f>
        <v>0</v>
      </c>
      <c r="V99" s="127">
        <f>IF(I99=1,M99*P99,IF(I99=2,M99*Q99*L99,IF(I99=3,M99,0)))</f>
        <v>0</v>
      </c>
      <c r="W99" s="129">
        <f>U99+V99</f>
        <v>0</v>
      </c>
      <c r="X99" s="93">
        <v>1</v>
      </c>
      <c r="Y99" s="93">
        <v>1</v>
      </c>
      <c r="Z99" s="127">
        <f t="shared" si="24"/>
        <v>0</v>
      </c>
      <c r="AU99" s="93">
        <v>11</v>
      </c>
      <c r="AW99" s="3" t="s">
        <v>76</v>
      </c>
      <c r="AX99" s="94">
        <f>IF($E97=4,$V97,0)</f>
        <v>0</v>
      </c>
      <c r="AY99" s="94">
        <f>IF($E98=4,$V98,0)</f>
        <v>0</v>
      </c>
      <c r="AZ99" s="94">
        <f>IF($E99=4,$V99,0)</f>
        <v>0</v>
      </c>
      <c r="BA99" s="94">
        <f>IF($E100=4,$V100,0)</f>
        <v>0</v>
      </c>
      <c r="BB99" s="94">
        <f>IF($E101=4,$V101,0)</f>
        <v>0</v>
      </c>
      <c r="BC99" s="200">
        <f t="shared" si="23"/>
        <v>0</v>
      </c>
    </row>
    <row r="100" spans="4:55" ht="15.75" customHeight="1" x14ac:dyDescent="0.2">
      <c r="D100" s="2721"/>
      <c r="E100" s="180">
        <v>1</v>
      </c>
      <c r="F100" s="2718">
        <v>1</v>
      </c>
      <c r="G100" s="2719"/>
      <c r="H100" s="317"/>
      <c r="I100" s="229"/>
      <c r="J100" s="314"/>
      <c r="K100" s="157"/>
      <c r="L100" s="305"/>
      <c r="M100" s="127">
        <f>IF(I100=1,K100,IF(I100=2,K100/J100,IF(I100=3,K100*L100,0)))</f>
        <v>0</v>
      </c>
      <c r="N100" s="128">
        <v>1</v>
      </c>
      <c r="O100" s="30">
        <v>1</v>
      </c>
      <c r="P100" s="837">
        <f>IF(N100=1,0,VLOOKUP(N100,Rebanho!$AN$45:$AV$72,4)*O100)</f>
        <v>0</v>
      </c>
      <c r="Q100" s="838">
        <f>VLOOKUP(N100,Rebanho!$AN$45:$AV$72,7)*O100</f>
        <v>0</v>
      </c>
      <c r="R100" s="3">
        <v>1</v>
      </c>
      <c r="S100" s="29"/>
      <c r="T100" s="102">
        <f>VLOOKUP(R100,'Mão-de-obra'!$CJ$10:$CL$29,3)</f>
        <v>0</v>
      </c>
      <c r="U100" s="102">
        <f>T100*S100</f>
        <v>0</v>
      </c>
      <c r="V100" s="127">
        <f>IF(I100=1,M100*P100,IF(I100=2,M100*Q100*L100,IF(I100=3,M100,0)))</f>
        <v>0</v>
      </c>
      <c r="W100" s="129">
        <f>U100+V100</f>
        <v>0</v>
      </c>
      <c r="X100" s="93">
        <v>1</v>
      </c>
      <c r="Y100" s="93">
        <v>1</v>
      </c>
      <c r="Z100" s="127">
        <f t="shared" si="24"/>
        <v>0</v>
      </c>
      <c r="AW100" s="3" t="s">
        <v>528</v>
      </c>
      <c r="AX100" s="94">
        <f>IF($E97=5,$V97,0)</f>
        <v>0</v>
      </c>
      <c r="AY100" s="94">
        <f>IF($E98=5,$V98,0)</f>
        <v>0</v>
      </c>
      <c r="AZ100" s="94">
        <f>IF($E99=5,$V99,0)</f>
        <v>0</v>
      </c>
      <c r="BA100" s="94">
        <f>IF($E100=5,$V100,0)</f>
        <v>0</v>
      </c>
      <c r="BB100" s="94">
        <f>IF($E101=5,$V101,0)</f>
        <v>0</v>
      </c>
      <c r="BC100" s="200">
        <f t="shared" si="23"/>
        <v>0</v>
      </c>
    </row>
    <row r="101" spans="4:55" ht="15.75" customHeight="1" x14ac:dyDescent="0.2">
      <c r="D101" s="2722"/>
      <c r="E101" s="180">
        <v>1</v>
      </c>
      <c r="F101" s="2726">
        <v>1</v>
      </c>
      <c r="G101" s="2719"/>
      <c r="H101" s="20"/>
      <c r="I101" s="229"/>
      <c r="J101" s="314"/>
      <c r="K101" s="157"/>
      <c r="L101" s="305"/>
      <c r="M101" s="127">
        <f>IF(I101=1,K101,IF(I101=2,K101/J101,IF(I101=3,K101*L101,0)))</f>
        <v>0</v>
      </c>
      <c r="N101" s="3">
        <v>1</v>
      </c>
      <c r="O101" s="30">
        <v>1</v>
      </c>
      <c r="P101" s="837">
        <f>IF(N101=1,0,VLOOKUP(N101,Rebanho!$AN$45:$AV$72,4)*O101)</f>
        <v>0</v>
      </c>
      <c r="Q101" s="838">
        <f>VLOOKUP(N101,Rebanho!$AN$45:$AV$72,7)*O101</f>
        <v>0</v>
      </c>
      <c r="R101" s="3">
        <v>1</v>
      </c>
      <c r="S101" s="20"/>
      <c r="T101" s="94">
        <f>VLOOKUP(R101,'Mão-de-obra'!$CJ$10:$CL$29,3)</f>
        <v>0</v>
      </c>
      <c r="U101" s="94">
        <f>T101*S101</f>
        <v>0</v>
      </c>
      <c r="V101" s="127">
        <f>IF(I101=1,M101*P101,IF(I101=2,M101*Q101*L101,IF(I101=3,M101,0)))</f>
        <v>0</v>
      </c>
      <c r="W101" s="106">
        <f>U101+V101</f>
        <v>0</v>
      </c>
      <c r="X101" s="93">
        <v>1</v>
      </c>
      <c r="Y101" s="93">
        <v>1</v>
      </c>
      <c r="Z101" s="127">
        <f t="shared" si="24"/>
        <v>0</v>
      </c>
      <c r="AW101" s="3" t="s">
        <v>498</v>
      </c>
      <c r="AX101" s="94">
        <f>IF($E97=6,$V97,0)</f>
        <v>0</v>
      </c>
      <c r="AY101" s="94">
        <f>IF($E98=6,$V98,0)</f>
        <v>0</v>
      </c>
      <c r="AZ101" s="94">
        <f>IF($E99=6,$V99,0)</f>
        <v>0</v>
      </c>
      <c r="BA101" s="94">
        <f>IF($E100=6,$V100,0)</f>
        <v>0</v>
      </c>
      <c r="BB101" s="94">
        <f>IF($E101=6,$V101,0)</f>
        <v>0</v>
      </c>
      <c r="BC101" s="200">
        <f t="shared" si="23"/>
        <v>0</v>
      </c>
    </row>
    <row r="102" spans="4:55" x14ac:dyDescent="0.2">
      <c r="AW102" s="289" t="s">
        <v>634</v>
      </c>
      <c r="AX102" s="102">
        <f>IF($E97=7,$V97,0)</f>
        <v>0</v>
      </c>
      <c r="AY102" s="102">
        <f>IF($E98=7,$V98,0)</f>
        <v>0</v>
      </c>
      <c r="AZ102" s="102">
        <f>IF($E99=7,$V99,0)</f>
        <v>0</v>
      </c>
      <c r="BA102" s="102">
        <f>IF($E100=7,$V100,0)</f>
        <v>0</v>
      </c>
      <c r="BB102" s="102">
        <f>IF($E101=7,$V101,0)</f>
        <v>0</v>
      </c>
      <c r="BC102" s="290">
        <f t="shared" si="23"/>
        <v>0</v>
      </c>
    </row>
    <row r="103" spans="4:55" x14ac:dyDescent="0.2">
      <c r="AW103" s="4" t="s">
        <v>787</v>
      </c>
      <c r="AX103" s="94">
        <f>IF($E97=8,$V97,0)</f>
        <v>0</v>
      </c>
      <c r="AY103" s="94">
        <f>IF($E98=8,$V98,0)</f>
        <v>0</v>
      </c>
      <c r="AZ103" s="94">
        <f>IF($E99=8,$V99,0)</f>
        <v>0</v>
      </c>
      <c r="BA103" s="94">
        <f>IF($E100=8,$V100,0)</f>
        <v>0</v>
      </c>
      <c r="BB103" s="94">
        <f>IF($E101=8,$V101,0)</f>
        <v>0</v>
      </c>
      <c r="BC103" s="200">
        <f>SUM(AX103:BB103)</f>
        <v>0</v>
      </c>
    </row>
    <row r="104" spans="4:55" x14ac:dyDescent="0.2">
      <c r="I104" s="126" t="s">
        <v>519</v>
      </c>
      <c r="X104" s="2625" t="s">
        <v>414</v>
      </c>
      <c r="Y104" s="2625"/>
      <c r="Z104" s="183" t="s">
        <v>1246</v>
      </c>
    </row>
    <row r="105" spans="4:55" x14ac:dyDescent="0.2">
      <c r="D105" s="99" t="s">
        <v>568</v>
      </c>
      <c r="E105" s="116" t="s">
        <v>39</v>
      </c>
      <c r="F105" s="2630" t="s">
        <v>79</v>
      </c>
      <c r="G105" s="2631"/>
      <c r="H105" s="117" t="s">
        <v>637</v>
      </c>
      <c r="I105" s="99" t="s">
        <v>42</v>
      </c>
      <c r="J105" s="117" t="s">
        <v>431</v>
      </c>
      <c r="K105" s="117" t="s">
        <v>432</v>
      </c>
      <c r="L105" s="117" t="s">
        <v>518</v>
      </c>
      <c r="M105" s="117" t="s">
        <v>433</v>
      </c>
      <c r="N105" s="99" t="s">
        <v>426</v>
      </c>
      <c r="O105" s="98" t="s">
        <v>417</v>
      </c>
      <c r="P105" s="99" t="s">
        <v>418</v>
      </c>
      <c r="Q105" s="99" t="s">
        <v>434</v>
      </c>
      <c r="R105" s="99" t="s">
        <v>301</v>
      </c>
      <c r="S105" s="99" t="s">
        <v>436</v>
      </c>
      <c r="T105" s="98" t="s">
        <v>411</v>
      </c>
      <c r="U105" s="99" t="s">
        <v>412</v>
      </c>
      <c r="V105" s="99" t="s">
        <v>435</v>
      </c>
      <c r="W105" s="99" t="s">
        <v>437</v>
      </c>
      <c r="X105" s="99" t="s">
        <v>292</v>
      </c>
      <c r="Y105" s="99" t="s">
        <v>80</v>
      </c>
      <c r="Z105" s="99" t="s">
        <v>1247</v>
      </c>
      <c r="AX105" s="111">
        <v>1</v>
      </c>
      <c r="AY105" s="111">
        <v>2</v>
      </c>
      <c r="AZ105" s="111">
        <v>3</v>
      </c>
      <c r="BA105" s="111">
        <v>4</v>
      </c>
      <c r="BB105" s="111">
        <v>5</v>
      </c>
      <c r="BC105" s="201" t="s">
        <v>2</v>
      </c>
    </row>
    <row r="106" spans="4:55" ht="15.75" customHeight="1" x14ac:dyDescent="0.25">
      <c r="D106" s="2720"/>
      <c r="E106" s="179">
        <v>1</v>
      </c>
      <c r="F106" s="2719">
        <v>1</v>
      </c>
      <c r="G106" s="2633"/>
      <c r="H106" s="283"/>
      <c r="I106" s="229"/>
      <c r="J106" s="314"/>
      <c r="K106" s="157"/>
      <c r="L106" s="305"/>
      <c r="M106" s="127">
        <f>IF(I106=1,K106,IF(I106=2,K106/J106,IF(I106=3,K106*L106,0)))</f>
        <v>0</v>
      </c>
      <c r="N106" s="3">
        <v>1</v>
      </c>
      <c r="O106" s="30">
        <v>1</v>
      </c>
      <c r="P106" s="837">
        <f>IF(N106=1,0,VLOOKUP(N106,Rebanho!$AN$45:$AV$72,4)*O106)</f>
        <v>0</v>
      </c>
      <c r="Q106" s="838">
        <f>VLOOKUP(N106,Rebanho!$AN$45:$AV$72,7)*O106</f>
        <v>0</v>
      </c>
      <c r="R106" s="93">
        <v>1</v>
      </c>
      <c r="S106" s="29"/>
      <c r="T106" s="102">
        <f>VLOOKUP(R106,'Mão-de-obra'!$CJ$10:$CL$29,3)</f>
        <v>0</v>
      </c>
      <c r="U106" s="102">
        <f>T106*S106</f>
        <v>0</v>
      </c>
      <c r="V106" s="127">
        <f>IF(I106=1,M106*P106,IF(I106=2,M106*Q106*L106,IF(I106=3,M106,0)))</f>
        <v>0</v>
      </c>
      <c r="W106" s="129">
        <f>U106+V106</f>
        <v>0</v>
      </c>
      <c r="X106" s="196">
        <v>1</v>
      </c>
      <c r="Y106" s="93">
        <v>1</v>
      </c>
      <c r="Z106" s="127">
        <f>IF(P106=0,0,((W106/P106+U106/P106)*O106))</f>
        <v>0</v>
      </c>
      <c r="AW106" s="3" t="s">
        <v>302</v>
      </c>
      <c r="AX106" s="94">
        <f>IF($E106=2,$V106,0)</f>
        <v>0</v>
      </c>
      <c r="AY106" s="94">
        <f>IF($E107=2,$V107,0)</f>
        <v>0</v>
      </c>
      <c r="AZ106" s="94">
        <f>IF($E108=2,$V108,0)</f>
        <v>0</v>
      </c>
      <c r="BA106" s="94">
        <f>IF($E109=2,$V109,0)</f>
        <v>0</v>
      </c>
      <c r="BB106" s="94">
        <f>IF($E110=2,$V110,0)</f>
        <v>0</v>
      </c>
      <c r="BC106" s="200">
        <f t="shared" ref="BC106:BC111" si="25">SUM(AX106:BB106)</f>
        <v>0</v>
      </c>
    </row>
    <row r="107" spans="4:55" ht="15.75" customHeight="1" x14ac:dyDescent="0.2">
      <c r="D107" s="2721"/>
      <c r="E107" s="180">
        <v>1</v>
      </c>
      <c r="F107" s="2718">
        <v>1</v>
      </c>
      <c r="G107" s="2719"/>
      <c r="H107" s="317"/>
      <c r="I107" s="229"/>
      <c r="J107" s="314"/>
      <c r="K107" s="157"/>
      <c r="L107" s="305"/>
      <c r="M107" s="127">
        <f>IF(I107=1,K107,IF(I107=2,K107/J107,IF(I107=3,K107*L107,0)))</f>
        <v>0</v>
      </c>
      <c r="N107" s="3">
        <v>1</v>
      </c>
      <c r="O107" s="30">
        <v>1</v>
      </c>
      <c r="P107" s="837">
        <f>IF(N107=1,0,VLOOKUP(N107,Rebanho!$AN$45:$AV$72,4)*O107)</f>
        <v>0</v>
      </c>
      <c r="Q107" s="838">
        <f>VLOOKUP(N107,Rebanho!$AN$45:$AV$72,7)*O107</f>
        <v>0</v>
      </c>
      <c r="R107" s="3">
        <v>1</v>
      </c>
      <c r="S107" s="29"/>
      <c r="T107" s="102">
        <f>VLOOKUP(R107,'Mão-de-obra'!$CJ$10:$CL$29,3)</f>
        <v>0</v>
      </c>
      <c r="U107" s="102">
        <f>T107*S107</f>
        <v>0</v>
      </c>
      <c r="V107" s="127">
        <f>IF(I107=1,M107*P107,IF(I107=2,M107*Q107*L107,IF(I107=3,M107,0)))</f>
        <v>0</v>
      </c>
      <c r="W107" s="129">
        <f>U107+V107</f>
        <v>0</v>
      </c>
      <c r="X107" s="93">
        <v>1</v>
      </c>
      <c r="Y107" s="93">
        <v>1</v>
      </c>
      <c r="Z107" s="127">
        <f t="shared" ref="Z107:Z110" si="26">IF(P107=0,0,((W107/P107+U107/P107)*O107))</f>
        <v>0</v>
      </c>
      <c r="AU107" s="93">
        <v>12</v>
      </c>
      <c r="AW107" s="3" t="s">
        <v>466</v>
      </c>
      <c r="AX107" s="94">
        <f>IF($E106=3,$V106,0)</f>
        <v>0</v>
      </c>
      <c r="AY107" s="94">
        <f>IF($E107=3,$V107,0)</f>
        <v>0</v>
      </c>
      <c r="AZ107" s="94">
        <f>IF($E108=3,$V108,0)</f>
        <v>0</v>
      </c>
      <c r="BA107" s="94">
        <f>IF($E109=3,$V109,0)</f>
        <v>0</v>
      </c>
      <c r="BB107" s="94">
        <f>IF($E110=3,$V110,0)</f>
        <v>0</v>
      </c>
      <c r="BC107" s="200">
        <f t="shared" si="25"/>
        <v>0</v>
      </c>
    </row>
    <row r="108" spans="4:55" ht="15.75" customHeight="1" x14ac:dyDescent="0.2">
      <c r="D108" s="2721"/>
      <c r="E108" s="180">
        <v>1</v>
      </c>
      <c r="F108" s="2718">
        <v>1</v>
      </c>
      <c r="G108" s="2719"/>
      <c r="H108" s="317"/>
      <c r="I108" s="229"/>
      <c r="J108" s="314"/>
      <c r="K108" s="157"/>
      <c r="L108" s="305"/>
      <c r="M108" s="127">
        <f>IF(I108=1,K108,IF(I108=2,K108/J108,IF(I108=3,K108*L108,0)))</f>
        <v>0</v>
      </c>
      <c r="N108" s="3">
        <v>1</v>
      </c>
      <c r="O108" s="30">
        <v>1</v>
      </c>
      <c r="P108" s="837">
        <f>IF(N108=1,0,VLOOKUP(N108,Rebanho!$AN$45:$AV$72,4)*O108)</f>
        <v>0</v>
      </c>
      <c r="Q108" s="838">
        <f>VLOOKUP(N108,Rebanho!$AN$45:$AV$72,7)*O108</f>
        <v>0</v>
      </c>
      <c r="R108" s="3">
        <v>1</v>
      </c>
      <c r="S108" s="29"/>
      <c r="T108" s="102">
        <f>VLOOKUP(R108,'Mão-de-obra'!$CJ$10:$CL$29,3)</f>
        <v>0</v>
      </c>
      <c r="U108" s="102">
        <f>T108*S108</f>
        <v>0</v>
      </c>
      <c r="V108" s="127">
        <f>IF(I108=1,M108*P108,IF(I108=2,M108*Q108*L108,IF(I108=3,M108,0)))</f>
        <v>0</v>
      </c>
      <c r="W108" s="129">
        <f>U108+V108</f>
        <v>0</v>
      </c>
      <c r="X108" s="93">
        <v>1</v>
      </c>
      <c r="Y108" s="93">
        <v>1</v>
      </c>
      <c r="Z108" s="127">
        <f t="shared" si="26"/>
        <v>0</v>
      </c>
      <c r="AW108" s="3" t="s">
        <v>76</v>
      </c>
      <c r="AX108" s="94">
        <f>IF($E106=4,$V106,0)</f>
        <v>0</v>
      </c>
      <c r="AY108" s="94">
        <f>IF($E107=4,$V107,0)</f>
        <v>0</v>
      </c>
      <c r="AZ108" s="94">
        <f>IF($E108=4,$V108,0)</f>
        <v>0</v>
      </c>
      <c r="BA108" s="94">
        <f>IF($E109=4,$V109,0)</f>
        <v>0</v>
      </c>
      <c r="BB108" s="94">
        <f>IF($E110=4,$V110,0)</f>
        <v>0</v>
      </c>
      <c r="BC108" s="200">
        <f t="shared" si="25"/>
        <v>0</v>
      </c>
    </row>
    <row r="109" spans="4:55" ht="15.75" customHeight="1" x14ac:dyDescent="0.2">
      <c r="D109" s="2721"/>
      <c r="E109" s="180">
        <v>1</v>
      </c>
      <c r="F109" s="2718">
        <v>1</v>
      </c>
      <c r="G109" s="2719"/>
      <c r="H109" s="317"/>
      <c r="I109" s="229"/>
      <c r="J109" s="314"/>
      <c r="K109" s="157"/>
      <c r="L109" s="305"/>
      <c r="M109" s="127">
        <f>IF(I109=1,K109,IF(I109=2,K109/J109,IF(I109=3,K109*L109,0)))</f>
        <v>0</v>
      </c>
      <c r="N109" s="128">
        <v>1</v>
      </c>
      <c r="O109" s="30">
        <v>1</v>
      </c>
      <c r="P109" s="837">
        <f>IF(N109=1,0,VLOOKUP(N109,Rebanho!$AN$45:$AV$72,4)*O109)</f>
        <v>0</v>
      </c>
      <c r="Q109" s="838">
        <f>VLOOKUP(N109,Rebanho!$AN$45:$AV$72,7)*O109</f>
        <v>0</v>
      </c>
      <c r="R109" s="3">
        <v>1</v>
      </c>
      <c r="S109" s="29"/>
      <c r="T109" s="102">
        <f>VLOOKUP(R109,'Mão-de-obra'!$CJ$10:$CL$29,3)</f>
        <v>0</v>
      </c>
      <c r="U109" s="102">
        <f>T109*S109</f>
        <v>0</v>
      </c>
      <c r="V109" s="127">
        <f>IF(I109=1,M109*P109,IF(I109=2,M109*Q109*L109,IF(I109=3,M109,0)))</f>
        <v>0</v>
      </c>
      <c r="W109" s="129">
        <f>U109+V109</f>
        <v>0</v>
      </c>
      <c r="X109" s="93">
        <v>1</v>
      </c>
      <c r="Y109" s="93">
        <v>1</v>
      </c>
      <c r="Z109" s="127">
        <f t="shared" si="26"/>
        <v>0</v>
      </c>
      <c r="AW109" s="3" t="s">
        <v>528</v>
      </c>
      <c r="AX109" s="94">
        <f>IF($E106=5,$V106,0)</f>
        <v>0</v>
      </c>
      <c r="AY109" s="94">
        <f>IF($E107=5,$V107,0)</f>
        <v>0</v>
      </c>
      <c r="AZ109" s="94">
        <f>IF($E108=5,$V108,0)</f>
        <v>0</v>
      </c>
      <c r="BA109" s="94">
        <f>IF($E109=5,$V109,0)</f>
        <v>0</v>
      </c>
      <c r="BB109" s="94">
        <f>IF($E110=5,$V110,0)</f>
        <v>0</v>
      </c>
      <c r="BC109" s="200">
        <f t="shared" si="25"/>
        <v>0</v>
      </c>
    </row>
    <row r="110" spans="4:55" ht="15.75" customHeight="1" x14ac:dyDescent="0.2">
      <c r="D110" s="2722"/>
      <c r="E110" s="180">
        <v>1</v>
      </c>
      <c r="F110" s="2726">
        <v>1</v>
      </c>
      <c r="G110" s="2719"/>
      <c r="H110" s="283"/>
      <c r="I110" s="229"/>
      <c r="J110" s="314"/>
      <c r="K110" s="157"/>
      <c r="L110" s="305"/>
      <c r="M110" s="127">
        <f>IF(I110=1,K110,IF(I110=2,K110/J110,IF(I110=3,K110*L110,0)))</f>
        <v>0</v>
      </c>
      <c r="N110" s="3">
        <v>1</v>
      </c>
      <c r="O110" s="30">
        <v>1</v>
      </c>
      <c r="P110" s="837">
        <f>IF(N110=1,0,VLOOKUP(N110,Rebanho!$AN$45:$AV$72,4)*O110)</f>
        <v>0</v>
      </c>
      <c r="Q110" s="838">
        <f>VLOOKUP(N110,Rebanho!$AN$45:$AV$72,7)*O110</f>
        <v>0</v>
      </c>
      <c r="R110" s="3">
        <v>1</v>
      </c>
      <c r="S110" s="20"/>
      <c r="T110" s="94">
        <f>VLOOKUP(R110,'Mão-de-obra'!$CJ$10:$CL$29,3)</f>
        <v>0</v>
      </c>
      <c r="U110" s="94">
        <f>T110*S110</f>
        <v>0</v>
      </c>
      <c r="V110" s="127">
        <f>IF(I110=1,M110*P110,IF(I110=2,M110*Q110*L110,IF(I110=3,M110,0)))</f>
        <v>0</v>
      </c>
      <c r="W110" s="106">
        <f>U110+V110</f>
        <v>0</v>
      </c>
      <c r="X110" s="93">
        <v>1</v>
      </c>
      <c r="Y110" s="93">
        <v>1</v>
      </c>
      <c r="Z110" s="127">
        <f t="shared" si="26"/>
        <v>0</v>
      </c>
      <c r="AW110" s="3" t="s">
        <v>498</v>
      </c>
      <c r="AX110" s="94">
        <f>IF($E106=6,$V106,0)</f>
        <v>0</v>
      </c>
      <c r="AY110" s="94">
        <f>IF($E107=6,$V107,0)</f>
        <v>0</v>
      </c>
      <c r="AZ110" s="94">
        <f>IF($E108=6,$V108,0)</f>
        <v>0</v>
      </c>
      <c r="BA110" s="94">
        <f>IF($E109=6,$V109,0)</f>
        <v>0</v>
      </c>
      <c r="BB110" s="94">
        <f>IF($E110=6,$V110,0)</f>
        <v>0</v>
      </c>
      <c r="BC110" s="200">
        <f t="shared" si="25"/>
        <v>0</v>
      </c>
    </row>
    <row r="111" spans="4:55" x14ac:dyDescent="0.2">
      <c r="AW111" s="289" t="s">
        <v>634</v>
      </c>
      <c r="AX111" s="102">
        <f>IF($E106=7,$V106,0)</f>
        <v>0</v>
      </c>
      <c r="AY111" s="102">
        <f>IF($E107=7,$V107,0)</f>
        <v>0</v>
      </c>
      <c r="AZ111" s="102">
        <f>IF($E108=7,$V108,0)</f>
        <v>0</v>
      </c>
      <c r="BA111" s="102">
        <f>IF($E109=7,$V109,0)</f>
        <v>0</v>
      </c>
      <c r="BB111" s="102">
        <f>IF($E110=7,$V110,0)</f>
        <v>0</v>
      </c>
      <c r="BC111" s="290">
        <f t="shared" si="25"/>
        <v>0</v>
      </c>
    </row>
    <row r="112" spans="4:55" x14ac:dyDescent="0.2">
      <c r="AW112" s="4" t="s">
        <v>787</v>
      </c>
      <c r="AX112" s="94">
        <f>IF($E106=8,$V106,0)</f>
        <v>0</v>
      </c>
      <c r="AY112" s="94">
        <f>IF($E107=8,$V107,0)</f>
        <v>0</v>
      </c>
      <c r="AZ112" s="94">
        <f>IF($E108=8,$V108,0)</f>
        <v>0</v>
      </c>
      <c r="BA112" s="94">
        <f>IF($E109=8,$V109,0)</f>
        <v>0</v>
      </c>
      <c r="BB112" s="94">
        <f>IF($E110=8,$V110,0)</f>
        <v>0</v>
      </c>
      <c r="BC112" s="200">
        <f>SUM(AX112:BB112)</f>
        <v>0</v>
      </c>
    </row>
  </sheetData>
  <mergeCells count="108">
    <mergeCell ref="F74:G74"/>
    <mergeCell ref="F72:G72"/>
    <mergeCell ref="F52:G52"/>
    <mergeCell ref="F60:G60"/>
    <mergeCell ref="D61:D65"/>
    <mergeCell ref="GX4:HG4"/>
    <mergeCell ref="F105:G105"/>
    <mergeCell ref="X104:Y104"/>
    <mergeCell ref="F97:G97"/>
    <mergeCell ref="F98:G98"/>
    <mergeCell ref="F99:G99"/>
    <mergeCell ref="F100:G100"/>
    <mergeCell ref="GB4:GK4"/>
    <mergeCell ref="GM4:GV4"/>
    <mergeCell ref="F96:G96"/>
    <mergeCell ref="X95:Y95"/>
    <mergeCell ref="F87:G87"/>
    <mergeCell ref="EJ4:ES4"/>
    <mergeCell ref="X50:Y50"/>
    <mergeCell ref="F51:G51"/>
    <mergeCell ref="X23:Y23"/>
    <mergeCell ref="F83:G83"/>
    <mergeCell ref="X77:Y77"/>
    <mergeCell ref="X86:Y86"/>
    <mergeCell ref="F61:G61"/>
    <mergeCell ref="F35:G35"/>
    <mergeCell ref="F36:G36"/>
    <mergeCell ref="D25:D29"/>
    <mergeCell ref="D97:D101"/>
    <mergeCell ref="D106:D110"/>
    <mergeCell ref="F106:G106"/>
    <mergeCell ref="F107:G107"/>
    <mergeCell ref="F108:G108"/>
    <mergeCell ref="F109:G109"/>
    <mergeCell ref="F110:G110"/>
    <mergeCell ref="F101:G101"/>
    <mergeCell ref="F29:G29"/>
    <mergeCell ref="F56:G56"/>
    <mergeCell ref="D88:D92"/>
    <mergeCell ref="F88:G88"/>
    <mergeCell ref="F89:G89"/>
    <mergeCell ref="F90:G90"/>
    <mergeCell ref="F91:G91"/>
    <mergeCell ref="F92:G92"/>
    <mergeCell ref="F53:G53"/>
    <mergeCell ref="F55:G55"/>
    <mergeCell ref="F25:G25"/>
    <mergeCell ref="F54:G54"/>
    <mergeCell ref="F69:G69"/>
    <mergeCell ref="D52:D56"/>
    <mergeCell ref="D16:D20"/>
    <mergeCell ref="F8:G8"/>
    <mergeCell ref="F9:G9"/>
    <mergeCell ref="D79:D83"/>
    <mergeCell ref="F79:G79"/>
    <mergeCell ref="F80:G80"/>
    <mergeCell ref="F81:G81"/>
    <mergeCell ref="F82:G82"/>
    <mergeCell ref="F26:G26"/>
    <mergeCell ref="F27:G27"/>
    <mergeCell ref="F28:G28"/>
    <mergeCell ref="F18:G18"/>
    <mergeCell ref="F37:G37"/>
    <mergeCell ref="D43:D47"/>
    <mergeCell ref="F47:G47"/>
    <mergeCell ref="F42:G42"/>
    <mergeCell ref="F45:G45"/>
    <mergeCell ref="F46:G46"/>
    <mergeCell ref="F43:G43"/>
    <mergeCell ref="F44:G44"/>
    <mergeCell ref="F33:G33"/>
    <mergeCell ref="D34:D38"/>
    <mergeCell ref="F34:G34"/>
    <mergeCell ref="F38:G38"/>
    <mergeCell ref="F10:G10"/>
    <mergeCell ref="F20:G20"/>
    <mergeCell ref="F17:G17"/>
    <mergeCell ref="F24:G24"/>
    <mergeCell ref="CG4:CP4"/>
    <mergeCell ref="X14:Y14"/>
    <mergeCell ref="F16:G16"/>
    <mergeCell ref="F6:G6"/>
    <mergeCell ref="F7:G7"/>
    <mergeCell ref="F19:G19"/>
    <mergeCell ref="F73:G73"/>
    <mergeCell ref="D70:D74"/>
    <mergeCell ref="F78:G78"/>
    <mergeCell ref="F70:G70"/>
    <mergeCell ref="X32:Y32"/>
    <mergeCell ref="FQ4:FZ4"/>
    <mergeCell ref="X59:Y59"/>
    <mergeCell ref="EU4:FD4"/>
    <mergeCell ref="FF4:FO4"/>
    <mergeCell ref="CR4:DA4"/>
    <mergeCell ref="X5:Y5"/>
    <mergeCell ref="F71:G71"/>
    <mergeCell ref="DN4:DW4"/>
    <mergeCell ref="X41:Y41"/>
    <mergeCell ref="X68:Y68"/>
    <mergeCell ref="F65:G65"/>
    <mergeCell ref="F11:G11"/>
    <mergeCell ref="DY4:EH4"/>
    <mergeCell ref="DC4:DL4"/>
    <mergeCell ref="F62:G62"/>
    <mergeCell ref="F63:G63"/>
    <mergeCell ref="F64:G64"/>
    <mergeCell ref="D7:D11"/>
    <mergeCell ref="F15:G15"/>
  </mergeCells>
  <phoneticPr fontId="0" type="noConversion"/>
  <conditionalFormatting sqref="I7">
    <cfRule type="expression" dxfId="480" priority="661" stopIfTrue="1">
      <formula>$F7=1</formula>
    </cfRule>
  </conditionalFormatting>
  <conditionalFormatting sqref="S7:S11 S16:S20 S25:S29 S34:S38 S43:S47 S52:S56 S61:S65 S70:S74 S79:S83 S88:S92 S97:S101 S106:S110">
    <cfRule type="expression" dxfId="479" priority="663" stopIfTrue="1">
      <formula>$R7=1</formula>
    </cfRule>
  </conditionalFormatting>
  <conditionalFormatting sqref="K79:K83 K88:K92 K97:K101 K106:K110 K25:K27 K34:K35 K43:K47 K52:K56 K61:K65 K70:K74 K16:K18 K7:K8 K37:K38 K29:K30 K10:K11 K20">
    <cfRule type="expression" dxfId="478" priority="665" stopIfTrue="1">
      <formula>$I7=1</formula>
    </cfRule>
    <cfRule type="expression" dxfId="477" priority="666" stopIfTrue="1">
      <formula>$I7=2</formula>
    </cfRule>
    <cfRule type="expression" dxfId="476" priority="667" stopIfTrue="1">
      <formula>$I7=3</formula>
    </cfRule>
  </conditionalFormatting>
  <conditionalFormatting sqref="O106:O110 O97:O101 O88:O92 O79:O83 O70:O74 O61:O65 O52:O56 O43:O47 O34:O38 O25:O29 O16:O20 O7:O11">
    <cfRule type="expression" dxfId="475" priority="676" stopIfTrue="1">
      <formula>$N7=1</formula>
    </cfRule>
  </conditionalFormatting>
  <conditionalFormatting sqref="L7">
    <cfRule type="expression" dxfId="474" priority="651" stopIfTrue="1">
      <formula>$I7=0</formula>
    </cfRule>
    <cfRule type="expression" dxfId="473" priority="652" stopIfTrue="1">
      <formula>$I7=1</formula>
    </cfRule>
    <cfRule type="expression" dxfId="472" priority="653" stopIfTrue="1">
      <formula>$I7=2</formula>
    </cfRule>
    <cfRule type="expression" dxfId="471" priority="654" stopIfTrue="1">
      <formula>$I7=3</formula>
    </cfRule>
  </conditionalFormatting>
  <conditionalFormatting sqref="J7:J8 J10:J11">
    <cfRule type="expression" dxfId="470" priority="522" stopIfTrue="1">
      <formula>$I7=0</formula>
    </cfRule>
    <cfRule type="expression" dxfId="469" priority="523" stopIfTrue="1">
      <formula>$I7=1</formula>
    </cfRule>
    <cfRule type="expression" dxfId="468" priority="659" stopIfTrue="1">
      <formula>$I7=3</formula>
    </cfRule>
  </conditionalFormatting>
  <conditionalFormatting sqref="J83">
    <cfRule type="expression" dxfId="467" priority="427" stopIfTrue="1">
      <formula>$I83=0</formula>
    </cfRule>
    <cfRule type="expression" dxfId="466" priority="428" stopIfTrue="1">
      <formula>$I83=1</formula>
    </cfRule>
    <cfRule type="expression" dxfId="465" priority="430" stopIfTrue="1">
      <formula>$I83=2</formula>
    </cfRule>
  </conditionalFormatting>
  <conditionalFormatting sqref="J92">
    <cfRule type="expression" dxfId="464" priority="422" stopIfTrue="1">
      <formula>$I92=0</formula>
    </cfRule>
    <cfRule type="expression" dxfId="463" priority="423" stopIfTrue="1">
      <formula>$I92=1</formula>
    </cfRule>
    <cfRule type="expression" dxfId="462" priority="425" stopIfTrue="1">
      <formula>$I92=2</formula>
    </cfRule>
  </conditionalFormatting>
  <conditionalFormatting sqref="J16:J18 J20">
    <cfRule type="expression" dxfId="461" priority="408" stopIfTrue="1">
      <formula>$I16=0</formula>
    </cfRule>
    <cfRule type="expression" dxfId="460" priority="409" stopIfTrue="1">
      <formula>$I16=1</formula>
    </cfRule>
    <cfRule type="expression" dxfId="459" priority="410" stopIfTrue="1">
      <formula>$I16=3</formula>
    </cfRule>
  </conditionalFormatting>
  <conditionalFormatting sqref="J25:J27 J29">
    <cfRule type="expression" dxfId="458" priority="404" stopIfTrue="1">
      <formula>$I25=0</formula>
    </cfRule>
    <cfRule type="expression" dxfId="457" priority="405" stopIfTrue="1">
      <formula>$I25=1</formula>
    </cfRule>
    <cfRule type="expression" dxfId="456" priority="406" stopIfTrue="1">
      <formula>$I25=3</formula>
    </cfRule>
  </conditionalFormatting>
  <conditionalFormatting sqref="J34:J35 J37:J38">
    <cfRule type="expression" dxfId="455" priority="400" stopIfTrue="1">
      <formula>$I34=0</formula>
    </cfRule>
    <cfRule type="expression" dxfId="454" priority="401" stopIfTrue="1">
      <formula>$I34=1</formula>
    </cfRule>
    <cfRule type="expression" dxfId="453" priority="402" stopIfTrue="1">
      <formula>$I34=3</formula>
    </cfRule>
  </conditionalFormatting>
  <conditionalFormatting sqref="J43:J47">
    <cfRule type="expression" dxfId="452" priority="396" stopIfTrue="1">
      <formula>$I43=0</formula>
    </cfRule>
    <cfRule type="expression" dxfId="451" priority="397" stopIfTrue="1">
      <formula>$I43=1</formula>
    </cfRule>
    <cfRule type="expression" dxfId="450" priority="398" stopIfTrue="1">
      <formula>$I43=3</formula>
    </cfRule>
  </conditionalFormatting>
  <conditionalFormatting sqref="J52:J56">
    <cfRule type="expression" dxfId="449" priority="392" stopIfTrue="1">
      <formula>$I52=0</formula>
    </cfRule>
    <cfRule type="expression" dxfId="448" priority="393" stopIfTrue="1">
      <formula>$I52=1</formula>
    </cfRule>
    <cfRule type="expression" dxfId="447" priority="394" stopIfTrue="1">
      <formula>$I52=3</formula>
    </cfRule>
  </conditionalFormatting>
  <conditionalFormatting sqref="J61:J65">
    <cfRule type="expression" dxfId="446" priority="388" stopIfTrue="1">
      <formula>$I61=0</formula>
    </cfRule>
    <cfRule type="expression" dxfId="445" priority="389" stopIfTrue="1">
      <formula>$I61=1</formula>
    </cfRule>
    <cfRule type="expression" dxfId="444" priority="390" stopIfTrue="1">
      <formula>$I61=3</formula>
    </cfRule>
  </conditionalFormatting>
  <conditionalFormatting sqref="J70:J74">
    <cfRule type="expression" dxfId="443" priority="384" stopIfTrue="1">
      <formula>$I70=0</formula>
    </cfRule>
    <cfRule type="expression" dxfId="442" priority="385" stopIfTrue="1">
      <formula>$I70=1</formula>
    </cfRule>
    <cfRule type="expression" dxfId="441" priority="386" stopIfTrue="1">
      <formula>$I70=3</formula>
    </cfRule>
  </conditionalFormatting>
  <conditionalFormatting sqref="J79:J83">
    <cfRule type="expression" dxfId="440" priority="380" stopIfTrue="1">
      <formula>$I79=0</formula>
    </cfRule>
    <cfRule type="expression" dxfId="439" priority="381" stopIfTrue="1">
      <formula>$I79=1</formula>
    </cfRule>
    <cfRule type="expression" dxfId="438" priority="382" stopIfTrue="1">
      <formula>$I79=3</formula>
    </cfRule>
  </conditionalFormatting>
  <conditionalFormatting sqref="J88:J92">
    <cfRule type="expression" dxfId="437" priority="376" stopIfTrue="1">
      <formula>$I88=0</formula>
    </cfRule>
    <cfRule type="expression" dxfId="436" priority="377" stopIfTrue="1">
      <formula>$I88=1</formula>
    </cfRule>
    <cfRule type="expression" dxfId="435" priority="378" stopIfTrue="1">
      <formula>$I88=3</formula>
    </cfRule>
  </conditionalFormatting>
  <conditionalFormatting sqref="J97:J101">
    <cfRule type="expression" dxfId="434" priority="372" stopIfTrue="1">
      <formula>$I97=0</formula>
    </cfRule>
    <cfRule type="expression" dxfId="433" priority="373" stopIfTrue="1">
      <formula>$I97=1</formula>
    </cfRule>
    <cfRule type="expression" dxfId="432" priority="374" stopIfTrue="1">
      <formula>$I97=3</formula>
    </cfRule>
  </conditionalFormatting>
  <conditionalFormatting sqref="J106:J110">
    <cfRule type="expression" dxfId="431" priority="368" stopIfTrue="1">
      <formula>$I106=0</formula>
    </cfRule>
    <cfRule type="expression" dxfId="430" priority="369" stopIfTrue="1">
      <formula>$I106=1</formula>
    </cfRule>
    <cfRule type="expression" dxfId="429" priority="370" stopIfTrue="1">
      <formula>$I106=3</formula>
    </cfRule>
  </conditionalFormatting>
  <conditionalFormatting sqref="L8">
    <cfRule type="expression" dxfId="428" priority="364" stopIfTrue="1">
      <formula>$I8=0</formula>
    </cfRule>
    <cfRule type="expression" dxfId="427" priority="365" stopIfTrue="1">
      <formula>$I8=1</formula>
    </cfRule>
    <cfRule type="expression" dxfId="426" priority="366" stopIfTrue="1">
      <formula>$I8=2</formula>
    </cfRule>
    <cfRule type="expression" dxfId="425" priority="367" stopIfTrue="1">
      <formula>$I8=3</formula>
    </cfRule>
  </conditionalFormatting>
  <conditionalFormatting sqref="L9">
    <cfRule type="expression" dxfId="424" priority="360" stopIfTrue="1">
      <formula>$I9=0</formula>
    </cfRule>
    <cfRule type="expression" dxfId="423" priority="361" stopIfTrue="1">
      <formula>$I9=1</formula>
    </cfRule>
    <cfRule type="expression" dxfId="422" priority="362" stopIfTrue="1">
      <formula>$I9=2</formula>
    </cfRule>
    <cfRule type="expression" dxfId="421" priority="363" stopIfTrue="1">
      <formula>$I9=3</formula>
    </cfRule>
  </conditionalFormatting>
  <conditionalFormatting sqref="L10">
    <cfRule type="expression" dxfId="420" priority="356" stopIfTrue="1">
      <formula>$I10=0</formula>
    </cfRule>
    <cfRule type="expression" dxfId="419" priority="357" stopIfTrue="1">
      <formula>$I10=1</formula>
    </cfRule>
    <cfRule type="expression" dxfId="418" priority="358" stopIfTrue="1">
      <formula>$I10=2</formula>
    </cfRule>
    <cfRule type="expression" dxfId="417" priority="359" stopIfTrue="1">
      <formula>$I10=3</formula>
    </cfRule>
  </conditionalFormatting>
  <conditionalFormatting sqref="L11">
    <cfRule type="expression" dxfId="416" priority="352" stopIfTrue="1">
      <formula>$I11=0</formula>
    </cfRule>
    <cfRule type="expression" dxfId="415" priority="353" stopIfTrue="1">
      <formula>$I11=1</formula>
    </cfRule>
    <cfRule type="expression" dxfId="414" priority="354" stopIfTrue="1">
      <formula>$I11=2</formula>
    </cfRule>
    <cfRule type="expression" dxfId="413" priority="355" stopIfTrue="1">
      <formula>$I11=3</formula>
    </cfRule>
  </conditionalFormatting>
  <conditionalFormatting sqref="L16">
    <cfRule type="expression" dxfId="412" priority="348" stopIfTrue="1">
      <formula>$I16=0</formula>
    </cfRule>
    <cfRule type="expression" dxfId="411" priority="349" stopIfTrue="1">
      <formula>$I16=1</formula>
    </cfRule>
    <cfRule type="expression" dxfId="410" priority="350" stopIfTrue="1">
      <formula>$I16=2</formula>
    </cfRule>
    <cfRule type="expression" dxfId="409" priority="351" stopIfTrue="1">
      <formula>$I16=3</formula>
    </cfRule>
  </conditionalFormatting>
  <conditionalFormatting sqref="L17">
    <cfRule type="expression" dxfId="408" priority="344" stopIfTrue="1">
      <formula>$I17=0</formula>
    </cfRule>
    <cfRule type="expression" dxfId="407" priority="345" stopIfTrue="1">
      <formula>$I17=1</formula>
    </cfRule>
    <cfRule type="expression" dxfId="406" priority="346" stopIfTrue="1">
      <formula>$I17=2</formula>
    </cfRule>
    <cfRule type="expression" dxfId="405" priority="347" stopIfTrue="1">
      <formula>$I17=3</formula>
    </cfRule>
  </conditionalFormatting>
  <conditionalFormatting sqref="L18">
    <cfRule type="expression" dxfId="404" priority="340" stopIfTrue="1">
      <formula>$I18=0</formula>
    </cfRule>
    <cfRule type="expression" dxfId="403" priority="341" stopIfTrue="1">
      <formula>$I18=1</formula>
    </cfRule>
    <cfRule type="expression" dxfId="402" priority="342" stopIfTrue="1">
      <formula>$I18=2</formula>
    </cfRule>
    <cfRule type="expression" dxfId="401" priority="343" stopIfTrue="1">
      <formula>$I18=3</formula>
    </cfRule>
  </conditionalFormatting>
  <conditionalFormatting sqref="L19">
    <cfRule type="expression" dxfId="400" priority="336" stopIfTrue="1">
      <formula>$I19=0</formula>
    </cfRule>
    <cfRule type="expression" dxfId="399" priority="337" stopIfTrue="1">
      <formula>$I19=1</formula>
    </cfRule>
    <cfRule type="expression" dxfId="398" priority="338" stopIfTrue="1">
      <formula>$I19=2</formula>
    </cfRule>
    <cfRule type="expression" dxfId="397" priority="339" stopIfTrue="1">
      <formula>$I19=3</formula>
    </cfRule>
  </conditionalFormatting>
  <conditionalFormatting sqref="L20">
    <cfRule type="expression" dxfId="396" priority="332" stopIfTrue="1">
      <formula>$I20=0</formula>
    </cfRule>
    <cfRule type="expression" dxfId="395" priority="333" stopIfTrue="1">
      <formula>$I20=1</formula>
    </cfRule>
    <cfRule type="expression" dxfId="394" priority="334" stopIfTrue="1">
      <formula>$I20=2</formula>
    </cfRule>
    <cfRule type="expression" dxfId="393" priority="335" stopIfTrue="1">
      <formula>$I20=3</formula>
    </cfRule>
  </conditionalFormatting>
  <conditionalFormatting sqref="L25">
    <cfRule type="expression" dxfId="392" priority="328" stopIfTrue="1">
      <formula>$I25=0</formula>
    </cfRule>
    <cfRule type="expression" dxfId="391" priority="329" stopIfTrue="1">
      <formula>$I25=1</formula>
    </cfRule>
    <cfRule type="expression" dxfId="390" priority="330" stopIfTrue="1">
      <formula>$I25=2</formula>
    </cfRule>
    <cfRule type="expression" dxfId="389" priority="331" stopIfTrue="1">
      <formula>$I25=3</formula>
    </cfRule>
  </conditionalFormatting>
  <conditionalFormatting sqref="L26">
    <cfRule type="expression" dxfId="388" priority="324" stopIfTrue="1">
      <formula>$I26=0</formula>
    </cfRule>
    <cfRule type="expression" dxfId="387" priority="325" stopIfTrue="1">
      <formula>$I26=1</formula>
    </cfRule>
    <cfRule type="expression" dxfId="386" priority="326" stopIfTrue="1">
      <formula>$I26=2</formula>
    </cfRule>
    <cfRule type="expression" dxfId="385" priority="327" stopIfTrue="1">
      <formula>$I26=3</formula>
    </cfRule>
  </conditionalFormatting>
  <conditionalFormatting sqref="L29">
    <cfRule type="expression" dxfId="384" priority="312" stopIfTrue="1">
      <formula>$I29=0</formula>
    </cfRule>
    <cfRule type="expression" dxfId="383" priority="313" stopIfTrue="1">
      <formula>$I29=1</formula>
    </cfRule>
    <cfRule type="expression" dxfId="382" priority="314" stopIfTrue="1">
      <formula>$I29=2</formula>
    </cfRule>
    <cfRule type="expression" dxfId="381" priority="315" stopIfTrue="1">
      <formula>$I29=3</formula>
    </cfRule>
  </conditionalFormatting>
  <conditionalFormatting sqref="L34">
    <cfRule type="expression" dxfId="380" priority="308" stopIfTrue="1">
      <formula>$I34=0</formula>
    </cfRule>
    <cfRule type="expression" dxfId="379" priority="309" stopIfTrue="1">
      <formula>$I34=1</formula>
    </cfRule>
    <cfRule type="expression" dxfId="378" priority="310" stopIfTrue="1">
      <formula>$I34=2</formula>
    </cfRule>
    <cfRule type="expression" dxfId="377" priority="311" stopIfTrue="1">
      <formula>$I34=3</formula>
    </cfRule>
  </conditionalFormatting>
  <conditionalFormatting sqref="L35">
    <cfRule type="expression" dxfId="376" priority="304" stopIfTrue="1">
      <formula>$I35=0</formula>
    </cfRule>
    <cfRule type="expression" dxfId="375" priority="305" stopIfTrue="1">
      <formula>$I35=1</formula>
    </cfRule>
    <cfRule type="expression" dxfId="374" priority="306" stopIfTrue="1">
      <formula>$I35=2</formula>
    </cfRule>
    <cfRule type="expression" dxfId="373" priority="307" stopIfTrue="1">
      <formula>$I35=3</formula>
    </cfRule>
  </conditionalFormatting>
  <conditionalFormatting sqref="L37">
    <cfRule type="expression" dxfId="372" priority="296" stopIfTrue="1">
      <formula>$I37=0</formula>
    </cfRule>
    <cfRule type="expression" dxfId="371" priority="297" stopIfTrue="1">
      <formula>$I37=1</formula>
    </cfRule>
    <cfRule type="expression" dxfId="370" priority="298" stopIfTrue="1">
      <formula>$I37=2</formula>
    </cfRule>
    <cfRule type="expression" dxfId="369" priority="299" stopIfTrue="1">
      <formula>$I37=3</formula>
    </cfRule>
  </conditionalFormatting>
  <conditionalFormatting sqref="L38">
    <cfRule type="expression" dxfId="368" priority="292" stopIfTrue="1">
      <formula>$I38=0</formula>
    </cfRule>
    <cfRule type="expression" dxfId="367" priority="293" stopIfTrue="1">
      <formula>$I38=1</formula>
    </cfRule>
    <cfRule type="expression" dxfId="366" priority="294" stopIfTrue="1">
      <formula>$I38=2</formula>
    </cfRule>
    <cfRule type="expression" dxfId="365" priority="295" stopIfTrue="1">
      <formula>$I38=3</formula>
    </cfRule>
  </conditionalFormatting>
  <conditionalFormatting sqref="L43">
    <cfRule type="expression" dxfId="364" priority="288" stopIfTrue="1">
      <formula>$I43=0</formula>
    </cfRule>
    <cfRule type="expression" dxfId="363" priority="289" stopIfTrue="1">
      <formula>$I43=1</formula>
    </cfRule>
    <cfRule type="expression" dxfId="362" priority="290" stopIfTrue="1">
      <formula>$I43=2</formula>
    </cfRule>
    <cfRule type="expression" dxfId="361" priority="291" stopIfTrue="1">
      <formula>$I43=3</formula>
    </cfRule>
  </conditionalFormatting>
  <conditionalFormatting sqref="L44">
    <cfRule type="expression" dxfId="360" priority="284" stopIfTrue="1">
      <formula>$I44=0</formula>
    </cfRule>
    <cfRule type="expression" dxfId="359" priority="285" stopIfTrue="1">
      <formula>$I44=1</formula>
    </cfRule>
    <cfRule type="expression" dxfId="358" priority="286" stopIfTrue="1">
      <formula>$I44=2</formula>
    </cfRule>
    <cfRule type="expression" dxfId="357" priority="287" stopIfTrue="1">
      <formula>$I44=3</formula>
    </cfRule>
  </conditionalFormatting>
  <conditionalFormatting sqref="L46">
    <cfRule type="expression" dxfId="356" priority="280" stopIfTrue="1">
      <formula>$I46=0</formula>
    </cfRule>
    <cfRule type="expression" dxfId="355" priority="281" stopIfTrue="1">
      <formula>$I46=1</formula>
    </cfRule>
    <cfRule type="expression" dxfId="354" priority="282" stopIfTrue="1">
      <formula>$I46=2</formula>
    </cfRule>
    <cfRule type="expression" dxfId="353" priority="283" stopIfTrue="1">
      <formula>$I46=3</formula>
    </cfRule>
  </conditionalFormatting>
  <conditionalFormatting sqref="L45">
    <cfRule type="expression" dxfId="352" priority="276" stopIfTrue="1">
      <formula>$I45=0</formula>
    </cfRule>
    <cfRule type="expression" dxfId="351" priority="277" stopIfTrue="1">
      <formula>$I45=1</formula>
    </cfRule>
    <cfRule type="expression" dxfId="350" priority="278" stopIfTrue="1">
      <formula>$I45=2</formula>
    </cfRule>
    <cfRule type="expression" dxfId="349" priority="279" stopIfTrue="1">
      <formula>$I45=3</formula>
    </cfRule>
  </conditionalFormatting>
  <conditionalFormatting sqref="L47">
    <cfRule type="expression" dxfId="348" priority="272" stopIfTrue="1">
      <formula>$I47=0</formula>
    </cfRule>
    <cfRule type="expression" dxfId="347" priority="273" stopIfTrue="1">
      <formula>$I47=1</formula>
    </cfRule>
    <cfRule type="expression" dxfId="346" priority="274" stopIfTrue="1">
      <formula>$I47=2</formula>
    </cfRule>
    <cfRule type="expression" dxfId="345" priority="275" stopIfTrue="1">
      <formula>$I47=3</formula>
    </cfRule>
  </conditionalFormatting>
  <conditionalFormatting sqref="L52">
    <cfRule type="expression" dxfId="344" priority="268" stopIfTrue="1">
      <formula>$I52=0</formula>
    </cfRule>
    <cfRule type="expression" dxfId="343" priority="269" stopIfTrue="1">
      <formula>$I52=1</formula>
    </cfRule>
    <cfRule type="expression" dxfId="342" priority="270" stopIfTrue="1">
      <formula>$I52=2</formula>
    </cfRule>
    <cfRule type="expression" dxfId="341" priority="271" stopIfTrue="1">
      <formula>$I52=3</formula>
    </cfRule>
  </conditionalFormatting>
  <conditionalFormatting sqref="L53">
    <cfRule type="expression" dxfId="340" priority="264" stopIfTrue="1">
      <formula>$I53=0</formula>
    </cfRule>
    <cfRule type="expression" dxfId="339" priority="265" stopIfTrue="1">
      <formula>$I53=1</formula>
    </cfRule>
    <cfRule type="expression" dxfId="338" priority="266" stopIfTrue="1">
      <formula>$I53=2</formula>
    </cfRule>
    <cfRule type="expression" dxfId="337" priority="267" stopIfTrue="1">
      <formula>$I53=3</formula>
    </cfRule>
  </conditionalFormatting>
  <conditionalFormatting sqref="L54">
    <cfRule type="expression" dxfId="336" priority="260" stopIfTrue="1">
      <formula>$I54=0</formula>
    </cfRule>
    <cfRule type="expression" dxfId="335" priority="261" stopIfTrue="1">
      <formula>$I54=1</formula>
    </cfRule>
    <cfRule type="expression" dxfId="334" priority="262" stopIfTrue="1">
      <formula>$I54=2</formula>
    </cfRule>
    <cfRule type="expression" dxfId="333" priority="263" stopIfTrue="1">
      <formula>$I54=3</formula>
    </cfRule>
  </conditionalFormatting>
  <conditionalFormatting sqref="L55">
    <cfRule type="expression" dxfId="332" priority="256" stopIfTrue="1">
      <formula>$I55=0</formula>
    </cfRule>
    <cfRule type="expression" dxfId="331" priority="257" stopIfTrue="1">
      <formula>$I55=1</formula>
    </cfRule>
    <cfRule type="expression" dxfId="330" priority="258" stopIfTrue="1">
      <formula>$I55=2</formula>
    </cfRule>
    <cfRule type="expression" dxfId="329" priority="259" stopIfTrue="1">
      <formula>$I55=3</formula>
    </cfRule>
  </conditionalFormatting>
  <conditionalFormatting sqref="L56">
    <cfRule type="expression" dxfId="328" priority="252" stopIfTrue="1">
      <formula>$I56=0</formula>
    </cfRule>
    <cfRule type="expression" dxfId="327" priority="253" stopIfTrue="1">
      <formula>$I56=1</formula>
    </cfRule>
    <cfRule type="expression" dxfId="326" priority="254" stopIfTrue="1">
      <formula>$I56=2</formula>
    </cfRule>
    <cfRule type="expression" dxfId="325" priority="255" stopIfTrue="1">
      <formula>$I56=3</formula>
    </cfRule>
  </conditionalFormatting>
  <conditionalFormatting sqref="L61">
    <cfRule type="expression" dxfId="324" priority="248" stopIfTrue="1">
      <formula>$I61=0</formula>
    </cfRule>
    <cfRule type="expression" dxfId="323" priority="249" stopIfTrue="1">
      <formula>$I61=1</formula>
    </cfRule>
    <cfRule type="expression" dxfId="322" priority="250" stopIfTrue="1">
      <formula>$I61=2</formula>
    </cfRule>
    <cfRule type="expression" dxfId="321" priority="251" stopIfTrue="1">
      <formula>$I61=3</formula>
    </cfRule>
  </conditionalFormatting>
  <conditionalFormatting sqref="L62">
    <cfRule type="expression" dxfId="320" priority="244" stopIfTrue="1">
      <formula>$I62=0</formula>
    </cfRule>
    <cfRule type="expression" dxfId="319" priority="245" stopIfTrue="1">
      <formula>$I62=1</formula>
    </cfRule>
    <cfRule type="expression" dxfId="318" priority="246" stopIfTrue="1">
      <formula>$I62=2</formula>
    </cfRule>
    <cfRule type="expression" dxfId="317" priority="247" stopIfTrue="1">
      <formula>$I62=3</formula>
    </cfRule>
  </conditionalFormatting>
  <conditionalFormatting sqref="L63">
    <cfRule type="expression" dxfId="316" priority="240" stopIfTrue="1">
      <formula>$I63=0</formula>
    </cfRule>
    <cfRule type="expression" dxfId="315" priority="241" stopIfTrue="1">
      <formula>$I63=1</formula>
    </cfRule>
    <cfRule type="expression" dxfId="314" priority="242" stopIfTrue="1">
      <formula>$I63=2</formula>
    </cfRule>
    <cfRule type="expression" dxfId="313" priority="243" stopIfTrue="1">
      <formula>$I63=3</formula>
    </cfRule>
  </conditionalFormatting>
  <conditionalFormatting sqref="L64">
    <cfRule type="expression" dxfId="312" priority="236" stopIfTrue="1">
      <formula>$I64=0</formula>
    </cfRule>
    <cfRule type="expression" dxfId="311" priority="237" stopIfTrue="1">
      <formula>$I64=1</formula>
    </cfRule>
    <cfRule type="expression" dxfId="310" priority="238" stopIfTrue="1">
      <formula>$I64=2</formula>
    </cfRule>
    <cfRule type="expression" dxfId="309" priority="239" stopIfTrue="1">
      <formula>$I64=3</formula>
    </cfRule>
  </conditionalFormatting>
  <conditionalFormatting sqref="L65">
    <cfRule type="expression" dxfId="308" priority="232" stopIfTrue="1">
      <formula>$I65=0</formula>
    </cfRule>
    <cfRule type="expression" dxfId="307" priority="233" stopIfTrue="1">
      <formula>$I65=1</formula>
    </cfRule>
    <cfRule type="expression" dxfId="306" priority="234" stopIfTrue="1">
      <formula>$I65=2</formula>
    </cfRule>
    <cfRule type="expression" dxfId="305" priority="235" stopIfTrue="1">
      <formula>$I65=3</formula>
    </cfRule>
  </conditionalFormatting>
  <conditionalFormatting sqref="L70">
    <cfRule type="expression" dxfId="304" priority="228" stopIfTrue="1">
      <formula>$I70=0</formula>
    </cfRule>
    <cfRule type="expression" dxfId="303" priority="229" stopIfTrue="1">
      <formula>$I70=1</formula>
    </cfRule>
    <cfRule type="expression" dxfId="302" priority="230" stopIfTrue="1">
      <formula>$I70=2</formula>
    </cfRule>
    <cfRule type="expression" dxfId="301" priority="231" stopIfTrue="1">
      <formula>$I70=3</formula>
    </cfRule>
  </conditionalFormatting>
  <conditionalFormatting sqref="L71">
    <cfRule type="expression" dxfId="300" priority="224" stopIfTrue="1">
      <formula>$I71=0</formula>
    </cfRule>
    <cfRule type="expression" dxfId="299" priority="225" stopIfTrue="1">
      <formula>$I71=1</formula>
    </cfRule>
    <cfRule type="expression" dxfId="298" priority="226" stopIfTrue="1">
      <formula>$I71=2</formula>
    </cfRule>
    <cfRule type="expression" dxfId="297" priority="227" stopIfTrue="1">
      <formula>$I71=3</formula>
    </cfRule>
  </conditionalFormatting>
  <conditionalFormatting sqref="L72">
    <cfRule type="expression" dxfId="296" priority="220" stopIfTrue="1">
      <formula>$I72=0</formula>
    </cfRule>
    <cfRule type="expression" dxfId="295" priority="221" stopIfTrue="1">
      <formula>$I72=1</formula>
    </cfRule>
    <cfRule type="expression" dxfId="294" priority="222" stopIfTrue="1">
      <formula>$I72=2</formula>
    </cfRule>
    <cfRule type="expression" dxfId="293" priority="223" stopIfTrue="1">
      <formula>$I72=3</formula>
    </cfRule>
  </conditionalFormatting>
  <conditionalFormatting sqref="L73">
    <cfRule type="expression" dxfId="292" priority="216" stopIfTrue="1">
      <formula>$I73=0</formula>
    </cfRule>
    <cfRule type="expression" dxfId="291" priority="217" stopIfTrue="1">
      <formula>$I73=1</formula>
    </cfRule>
    <cfRule type="expression" dxfId="290" priority="218" stopIfTrue="1">
      <formula>$I73=2</formula>
    </cfRule>
    <cfRule type="expression" dxfId="289" priority="219" stopIfTrue="1">
      <formula>$I73=3</formula>
    </cfRule>
  </conditionalFormatting>
  <conditionalFormatting sqref="L74">
    <cfRule type="expression" dxfId="288" priority="212" stopIfTrue="1">
      <formula>$I74=0</formula>
    </cfRule>
    <cfRule type="expression" dxfId="287" priority="213" stopIfTrue="1">
      <formula>$I74=1</formula>
    </cfRule>
    <cfRule type="expression" dxfId="286" priority="214" stopIfTrue="1">
      <formula>$I74=2</formula>
    </cfRule>
    <cfRule type="expression" dxfId="285" priority="215" stopIfTrue="1">
      <formula>$I74=3</formula>
    </cfRule>
  </conditionalFormatting>
  <conditionalFormatting sqref="L79">
    <cfRule type="expression" dxfId="284" priority="208" stopIfTrue="1">
      <formula>$I79=0</formula>
    </cfRule>
    <cfRule type="expression" dxfId="283" priority="209" stopIfTrue="1">
      <formula>$I79=1</formula>
    </cfRule>
    <cfRule type="expression" dxfId="282" priority="210" stopIfTrue="1">
      <formula>$I79=2</formula>
    </cfRule>
    <cfRule type="expression" dxfId="281" priority="211" stopIfTrue="1">
      <formula>$I79=3</formula>
    </cfRule>
  </conditionalFormatting>
  <conditionalFormatting sqref="L80">
    <cfRule type="expression" dxfId="280" priority="204" stopIfTrue="1">
      <formula>$I80=0</formula>
    </cfRule>
    <cfRule type="expression" dxfId="279" priority="205" stopIfTrue="1">
      <formula>$I80=1</formula>
    </cfRule>
    <cfRule type="expression" dxfId="278" priority="206" stopIfTrue="1">
      <formula>$I80=2</formula>
    </cfRule>
    <cfRule type="expression" dxfId="277" priority="207" stopIfTrue="1">
      <formula>$I80=3</formula>
    </cfRule>
  </conditionalFormatting>
  <conditionalFormatting sqref="L81">
    <cfRule type="expression" dxfId="276" priority="200" stopIfTrue="1">
      <formula>$I81=0</formula>
    </cfRule>
    <cfRule type="expression" dxfId="275" priority="201" stopIfTrue="1">
      <formula>$I81=1</formula>
    </cfRule>
    <cfRule type="expression" dxfId="274" priority="202" stopIfTrue="1">
      <formula>$I81=2</formula>
    </cfRule>
    <cfRule type="expression" dxfId="273" priority="203" stopIfTrue="1">
      <formula>$I81=3</formula>
    </cfRule>
  </conditionalFormatting>
  <conditionalFormatting sqref="L82">
    <cfRule type="expression" dxfId="272" priority="196" stopIfTrue="1">
      <formula>$I82=0</formula>
    </cfRule>
    <cfRule type="expression" dxfId="271" priority="197" stopIfTrue="1">
      <formula>$I82=1</formula>
    </cfRule>
    <cfRule type="expression" dxfId="270" priority="198" stopIfTrue="1">
      <formula>$I82=2</formula>
    </cfRule>
    <cfRule type="expression" dxfId="269" priority="199" stopIfTrue="1">
      <formula>$I82=3</formula>
    </cfRule>
  </conditionalFormatting>
  <conditionalFormatting sqref="L83">
    <cfRule type="expression" dxfId="268" priority="192" stopIfTrue="1">
      <formula>$I83=0</formula>
    </cfRule>
    <cfRule type="expression" dxfId="267" priority="193" stopIfTrue="1">
      <formula>$I83=1</formula>
    </cfRule>
    <cfRule type="expression" dxfId="266" priority="194" stopIfTrue="1">
      <formula>$I83=2</formula>
    </cfRule>
    <cfRule type="expression" dxfId="265" priority="195" stopIfTrue="1">
      <formula>$I83=3</formula>
    </cfRule>
  </conditionalFormatting>
  <conditionalFormatting sqref="L88">
    <cfRule type="expression" dxfId="264" priority="188" stopIfTrue="1">
      <formula>$I88=0</formula>
    </cfRule>
    <cfRule type="expression" dxfId="263" priority="189" stopIfTrue="1">
      <formula>$I88=1</formula>
    </cfRule>
    <cfRule type="expression" dxfId="262" priority="190" stopIfTrue="1">
      <formula>$I88=2</formula>
    </cfRule>
    <cfRule type="expression" dxfId="261" priority="191" stopIfTrue="1">
      <formula>$I88=3</formula>
    </cfRule>
  </conditionalFormatting>
  <conditionalFormatting sqref="L89">
    <cfRule type="expression" dxfId="260" priority="184" stopIfTrue="1">
      <formula>$I89=0</formula>
    </cfRule>
    <cfRule type="expression" dxfId="259" priority="185" stopIfTrue="1">
      <formula>$I89=1</formula>
    </cfRule>
    <cfRule type="expression" dxfId="258" priority="186" stopIfTrue="1">
      <formula>$I89=2</formula>
    </cfRule>
    <cfRule type="expression" dxfId="257" priority="187" stopIfTrue="1">
      <formula>$I89=3</formula>
    </cfRule>
  </conditionalFormatting>
  <conditionalFormatting sqref="L90">
    <cfRule type="expression" dxfId="256" priority="180" stopIfTrue="1">
      <formula>$I90=0</formula>
    </cfRule>
    <cfRule type="expression" dxfId="255" priority="181" stopIfTrue="1">
      <formula>$I90=1</formula>
    </cfRule>
    <cfRule type="expression" dxfId="254" priority="182" stopIfTrue="1">
      <formula>$I90=2</formula>
    </cfRule>
    <cfRule type="expression" dxfId="253" priority="183" stopIfTrue="1">
      <formula>$I90=3</formula>
    </cfRule>
  </conditionalFormatting>
  <conditionalFormatting sqref="L91">
    <cfRule type="expression" dxfId="252" priority="176" stopIfTrue="1">
      <formula>$I91=0</formula>
    </cfRule>
    <cfRule type="expression" dxfId="251" priority="177" stopIfTrue="1">
      <formula>$I91=1</formula>
    </cfRule>
    <cfRule type="expression" dxfId="250" priority="178" stopIfTrue="1">
      <formula>$I91=2</formula>
    </cfRule>
    <cfRule type="expression" dxfId="249" priority="179" stopIfTrue="1">
      <formula>$I91=3</formula>
    </cfRule>
  </conditionalFormatting>
  <conditionalFormatting sqref="L92">
    <cfRule type="expression" dxfId="248" priority="172" stopIfTrue="1">
      <formula>$I92=0</formula>
    </cfRule>
    <cfRule type="expression" dxfId="247" priority="173" stopIfTrue="1">
      <formula>$I92=1</formula>
    </cfRule>
    <cfRule type="expression" dxfId="246" priority="174" stopIfTrue="1">
      <formula>$I92=2</formula>
    </cfRule>
    <cfRule type="expression" dxfId="245" priority="175" stopIfTrue="1">
      <formula>$I92=3</formula>
    </cfRule>
  </conditionalFormatting>
  <conditionalFormatting sqref="L97">
    <cfRule type="expression" dxfId="244" priority="168" stopIfTrue="1">
      <formula>$I97=0</formula>
    </cfRule>
    <cfRule type="expression" dxfId="243" priority="169" stopIfTrue="1">
      <formula>$I97=1</formula>
    </cfRule>
    <cfRule type="expression" dxfId="242" priority="170" stopIfTrue="1">
      <formula>$I97=2</formula>
    </cfRule>
    <cfRule type="expression" dxfId="241" priority="171" stopIfTrue="1">
      <formula>$I97=3</formula>
    </cfRule>
  </conditionalFormatting>
  <conditionalFormatting sqref="L98">
    <cfRule type="expression" dxfId="240" priority="164" stopIfTrue="1">
      <formula>$I98=0</formula>
    </cfRule>
    <cfRule type="expression" dxfId="239" priority="165" stopIfTrue="1">
      <formula>$I98=1</formula>
    </cfRule>
    <cfRule type="expression" dxfId="238" priority="166" stopIfTrue="1">
      <formula>$I98=2</formula>
    </cfRule>
    <cfRule type="expression" dxfId="237" priority="167" stopIfTrue="1">
      <formula>$I98=3</formula>
    </cfRule>
  </conditionalFormatting>
  <conditionalFormatting sqref="L99">
    <cfRule type="expression" dxfId="236" priority="160" stopIfTrue="1">
      <formula>$I99=0</formula>
    </cfRule>
    <cfRule type="expression" dxfId="235" priority="161" stopIfTrue="1">
      <formula>$I99=1</formula>
    </cfRule>
    <cfRule type="expression" dxfId="234" priority="162" stopIfTrue="1">
      <formula>$I99=2</formula>
    </cfRule>
    <cfRule type="expression" dxfId="233" priority="163" stopIfTrue="1">
      <formula>$I99=3</formula>
    </cfRule>
  </conditionalFormatting>
  <conditionalFormatting sqref="L100">
    <cfRule type="expression" dxfId="232" priority="156" stopIfTrue="1">
      <formula>$I100=0</formula>
    </cfRule>
    <cfRule type="expression" dxfId="231" priority="157" stopIfTrue="1">
      <formula>$I100=1</formula>
    </cfRule>
    <cfRule type="expression" dxfId="230" priority="158" stopIfTrue="1">
      <formula>$I100=2</formula>
    </cfRule>
    <cfRule type="expression" dxfId="229" priority="159" stopIfTrue="1">
      <formula>$I100=3</formula>
    </cfRule>
  </conditionalFormatting>
  <conditionalFormatting sqref="L101">
    <cfRule type="expression" dxfId="228" priority="152" stopIfTrue="1">
      <formula>$I101=0</formula>
    </cfRule>
    <cfRule type="expression" dxfId="227" priority="153" stopIfTrue="1">
      <formula>$I101=1</formula>
    </cfRule>
    <cfRule type="expression" dxfId="226" priority="154" stopIfTrue="1">
      <formula>$I101=2</formula>
    </cfRule>
    <cfRule type="expression" dxfId="225" priority="155" stopIfTrue="1">
      <formula>$I101=3</formula>
    </cfRule>
  </conditionalFormatting>
  <conditionalFormatting sqref="L106">
    <cfRule type="expression" dxfId="224" priority="148" stopIfTrue="1">
      <formula>$I106=0</formula>
    </cfRule>
    <cfRule type="expression" dxfId="223" priority="149" stopIfTrue="1">
      <formula>$I106=1</formula>
    </cfRule>
    <cfRule type="expression" dxfId="222" priority="150" stopIfTrue="1">
      <formula>$I106=2</formula>
    </cfRule>
    <cfRule type="expression" dxfId="221" priority="151" stopIfTrue="1">
      <formula>$I106=3</formula>
    </cfRule>
  </conditionalFormatting>
  <conditionalFormatting sqref="L107">
    <cfRule type="expression" dxfId="220" priority="144" stopIfTrue="1">
      <formula>$I107=0</formula>
    </cfRule>
    <cfRule type="expression" dxfId="219" priority="145" stopIfTrue="1">
      <formula>$I107=1</formula>
    </cfRule>
    <cfRule type="expression" dxfId="218" priority="146" stopIfTrue="1">
      <formula>$I107=2</formula>
    </cfRule>
    <cfRule type="expression" dxfId="217" priority="147" stopIfTrue="1">
      <formula>$I107=3</formula>
    </cfRule>
  </conditionalFormatting>
  <conditionalFormatting sqref="L108">
    <cfRule type="expression" dxfId="216" priority="140" stopIfTrue="1">
      <formula>$I108=0</formula>
    </cfRule>
    <cfRule type="expression" dxfId="215" priority="141" stopIfTrue="1">
      <formula>$I108=1</formula>
    </cfRule>
    <cfRule type="expression" dxfId="214" priority="142" stopIfTrue="1">
      <formula>$I108=2</formula>
    </cfRule>
    <cfRule type="expression" dxfId="213" priority="143" stopIfTrue="1">
      <formula>$I108=3</formula>
    </cfRule>
  </conditionalFormatting>
  <conditionalFormatting sqref="L109">
    <cfRule type="expression" dxfId="212" priority="136" stopIfTrue="1">
      <formula>$I109=0</formula>
    </cfRule>
    <cfRule type="expression" dxfId="211" priority="137" stopIfTrue="1">
      <formula>$I109=1</formula>
    </cfRule>
    <cfRule type="expression" dxfId="210" priority="138" stopIfTrue="1">
      <formula>$I109=2</formula>
    </cfRule>
    <cfRule type="expression" dxfId="209" priority="139" stopIfTrue="1">
      <formula>$I109=3</formula>
    </cfRule>
  </conditionalFormatting>
  <conditionalFormatting sqref="L110">
    <cfRule type="expression" dxfId="208" priority="132" stopIfTrue="1">
      <formula>$I110=0</formula>
    </cfRule>
    <cfRule type="expression" dxfId="207" priority="133" stopIfTrue="1">
      <formula>$I110=1</formula>
    </cfRule>
    <cfRule type="expression" dxfId="206" priority="134" stopIfTrue="1">
      <formula>$I110=2</formula>
    </cfRule>
    <cfRule type="expression" dxfId="205" priority="135" stopIfTrue="1">
      <formula>$I110=3</formula>
    </cfRule>
  </conditionalFormatting>
  <conditionalFormatting sqref="L20">
    <cfRule type="expression" dxfId="204" priority="128" stopIfTrue="1">
      <formula>$I20=0</formula>
    </cfRule>
    <cfRule type="expression" dxfId="203" priority="129" stopIfTrue="1">
      <formula>$I20=1</formula>
    </cfRule>
    <cfRule type="expression" dxfId="202" priority="130" stopIfTrue="1">
      <formula>$I20=2</formula>
    </cfRule>
    <cfRule type="expression" dxfId="201" priority="131" stopIfTrue="1">
      <formula>$I20=3</formula>
    </cfRule>
  </conditionalFormatting>
  <conditionalFormatting sqref="J7:J8 J10:J11">
    <cfRule type="expression" dxfId="200" priority="525" stopIfTrue="1">
      <formula>$I7=2</formula>
    </cfRule>
  </conditionalFormatting>
  <conditionalFormatting sqref="J83">
    <cfRule type="expression" dxfId="199" priority="431" stopIfTrue="1">
      <formula>$I83=3</formula>
    </cfRule>
  </conditionalFormatting>
  <conditionalFormatting sqref="J92">
    <cfRule type="expression" dxfId="198" priority="426" stopIfTrue="1">
      <formula>$I92=3</formula>
    </cfRule>
  </conditionalFormatting>
  <conditionalFormatting sqref="J16:J18 J20">
    <cfRule type="expression" dxfId="197" priority="411" stopIfTrue="1">
      <formula>$I16=2</formula>
    </cfRule>
  </conditionalFormatting>
  <conditionalFormatting sqref="J25:J27 J29">
    <cfRule type="expression" dxfId="196" priority="407" stopIfTrue="1">
      <formula>$I25=2</formula>
    </cfRule>
  </conditionalFormatting>
  <conditionalFormatting sqref="J34:J35 J37:J38">
    <cfRule type="expression" dxfId="195" priority="403" stopIfTrue="1">
      <formula>$I34=2</formula>
    </cfRule>
  </conditionalFormatting>
  <conditionalFormatting sqref="J43:J47">
    <cfRule type="expression" dxfId="194" priority="399" stopIfTrue="1">
      <formula>$I43=2</formula>
    </cfRule>
  </conditionalFormatting>
  <conditionalFormatting sqref="J52:J56">
    <cfRule type="expression" dxfId="193" priority="395" stopIfTrue="1">
      <formula>$I52=2</formula>
    </cfRule>
  </conditionalFormatting>
  <conditionalFormatting sqref="J61:J65">
    <cfRule type="expression" dxfId="192" priority="391" stopIfTrue="1">
      <formula>$I61=2</formula>
    </cfRule>
  </conditionalFormatting>
  <conditionalFormatting sqref="J70:J74">
    <cfRule type="expression" dxfId="191" priority="387" stopIfTrue="1">
      <formula>$I70=2</formula>
    </cfRule>
  </conditionalFormatting>
  <conditionalFormatting sqref="J79:J83">
    <cfRule type="expression" dxfId="190" priority="383" stopIfTrue="1">
      <formula>$I79=2</formula>
    </cfRule>
  </conditionalFormatting>
  <conditionalFormatting sqref="J88:J92">
    <cfRule type="expression" dxfId="189" priority="379" stopIfTrue="1">
      <formula>$I88=2</formula>
    </cfRule>
  </conditionalFormatting>
  <conditionalFormatting sqref="J97:J101">
    <cfRule type="expression" dxfId="188" priority="375" stopIfTrue="1">
      <formula>$I97=2</formula>
    </cfRule>
  </conditionalFormatting>
  <conditionalFormatting sqref="J106:J110">
    <cfRule type="expression" dxfId="187" priority="371" stopIfTrue="1">
      <formula>$I106=2</formula>
    </cfRule>
  </conditionalFormatting>
  <conditionalFormatting sqref="I8 I10:I11">
    <cfRule type="expression" dxfId="186" priority="88" stopIfTrue="1">
      <formula>$F8=1</formula>
    </cfRule>
  </conditionalFormatting>
  <conditionalFormatting sqref="I16:I18 I20">
    <cfRule type="expression" dxfId="185" priority="87" stopIfTrue="1">
      <formula>$F16=1</formula>
    </cfRule>
  </conditionalFormatting>
  <conditionalFormatting sqref="I25:I29">
    <cfRule type="expression" dxfId="184" priority="86" stopIfTrue="1">
      <formula>$F25=1</formula>
    </cfRule>
  </conditionalFormatting>
  <conditionalFormatting sqref="I34:I35 I37:I38">
    <cfRule type="expression" dxfId="183" priority="85" stopIfTrue="1">
      <formula>$F34=1</formula>
    </cfRule>
  </conditionalFormatting>
  <conditionalFormatting sqref="I43:I47">
    <cfRule type="expression" dxfId="182" priority="84" stopIfTrue="1">
      <formula>$F43=1</formula>
    </cfRule>
  </conditionalFormatting>
  <conditionalFormatting sqref="I52:I56">
    <cfRule type="expression" dxfId="181" priority="83" stopIfTrue="1">
      <formula>$F52=1</formula>
    </cfRule>
  </conditionalFormatting>
  <conditionalFormatting sqref="I61:I65">
    <cfRule type="expression" dxfId="180" priority="82" stopIfTrue="1">
      <formula>$F61=1</formula>
    </cfRule>
  </conditionalFormatting>
  <conditionalFormatting sqref="I70:I74">
    <cfRule type="expression" dxfId="179" priority="81" stopIfTrue="1">
      <formula>$F70=1</formula>
    </cfRule>
  </conditionalFormatting>
  <conditionalFormatting sqref="I79:I83">
    <cfRule type="expression" dxfId="178" priority="80" stopIfTrue="1">
      <formula>$F79=1</formula>
    </cfRule>
  </conditionalFormatting>
  <conditionalFormatting sqref="I88:I92">
    <cfRule type="expression" dxfId="177" priority="79" stopIfTrue="1">
      <formula>$F88=1</formula>
    </cfRule>
  </conditionalFormatting>
  <conditionalFormatting sqref="I97:I101">
    <cfRule type="expression" dxfId="176" priority="78" stopIfTrue="1">
      <formula>$F97=1</formula>
    </cfRule>
  </conditionalFormatting>
  <conditionalFormatting sqref="I106:I110">
    <cfRule type="expression" dxfId="175" priority="77" stopIfTrue="1">
      <formula>$F106=1</formula>
    </cfRule>
  </conditionalFormatting>
  <conditionalFormatting sqref="I7">
    <cfRule type="expression" dxfId="174" priority="76" stopIfTrue="1">
      <formula>$F7=1</formula>
    </cfRule>
  </conditionalFormatting>
  <conditionalFormatting sqref="K7:K8 K10:K11">
    <cfRule type="expression" dxfId="173" priority="73" stopIfTrue="1">
      <formula>$I7=1</formula>
    </cfRule>
    <cfRule type="expression" dxfId="172" priority="74" stopIfTrue="1">
      <formula>$I7=2</formula>
    </cfRule>
    <cfRule type="expression" dxfId="171" priority="75" stopIfTrue="1">
      <formula>$I7=3</formula>
    </cfRule>
  </conditionalFormatting>
  <conditionalFormatting sqref="J7:J8 J10:J11">
    <cfRule type="expression" dxfId="170" priority="70" stopIfTrue="1">
      <formula>$I7=0</formula>
    </cfRule>
    <cfRule type="expression" dxfId="169" priority="71" stopIfTrue="1">
      <formula>$I7=1</formula>
    </cfRule>
    <cfRule type="expression" dxfId="168" priority="72" stopIfTrue="1">
      <formula>$I7=3</formula>
    </cfRule>
  </conditionalFormatting>
  <conditionalFormatting sqref="J7:J8 J10:J11">
    <cfRule type="expression" dxfId="167" priority="69" stopIfTrue="1">
      <formula>$I7=2</formula>
    </cfRule>
  </conditionalFormatting>
  <conditionalFormatting sqref="I8 I10:I11">
    <cfRule type="expression" dxfId="166" priority="68" stopIfTrue="1">
      <formula>$F8=1</formula>
    </cfRule>
  </conditionalFormatting>
  <conditionalFormatting sqref="L10">
    <cfRule type="expression" dxfId="165" priority="64" stopIfTrue="1">
      <formula>$I10=0</formula>
    </cfRule>
    <cfRule type="expression" dxfId="164" priority="65" stopIfTrue="1">
      <formula>$I10=1</formula>
    </cfRule>
    <cfRule type="expression" dxfId="163" priority="66" stopIfTrue="1">
      <formula>$I10=2</formula>
    </cfRule>
    <cfRule type="expression" dxfId="162" priority="67" stopIfTrue="1">
      <formula>$I10=3</formula>
    </cfRule>
  </conditionalFormatting>
  <conditionalFormatting sqref="AQ7:AQ23">
    <cfRule type="expression" dxfId="161" priority="62" stopIfTrue="1">
      <formula>$AD$7&gt;0</formula>
    </cfRule>
  </conditionalFormatting>
  <conditionalFormatting sqref="AI7:AO23">
    <cfRule type="expression" dxfId="160" priority="61" stopIfTrue="1">
      <formula>$AD$7&gt;0</formula>
    </cfRule>
  </conditionalFormatting>
  <conditionalFormatting sqref="AP7:AP23">
    <cfRule type="expression" dxfId="159" priority="60" stopIfTrue="1">
      <formula>$AD$7&gt;0</formula>
    </cfRule>
  </conditionalFormatting>
  <conditionalFormatting sqref="K36">
    <cfRule type="expression" dxfId="158" priority="57" stopIfTrue="1">
      <formula>$I36=1</formula>
    </cfRule>
    <cfRule type="expression" dxfId="157" priority="58" stopIfTrue="1">
      <formula>$I36=2</formula>
    </cfRule>
    <cfRule type="expression" dxfId="156" priority="59" stopIfTrue="1">
      <formula>$I36=3</formula>
    </cfRule>
  </conditionalFormatting>
  <conditionalFormatting sqref="J36">
    <cfRule type="expression" dxfId="155" priority="53" stopIfTrue="1">
      <formula>$I36=0</formula>
    </cfRule>
    <cfRule type="expression" dxfId="154" priority="54" stopIfTrue="1">
      <formula>$I36=1</formula>
    </cfRule>
    <cfRule type="expression" dxfId="153" priority="55" stopIfTrue="1">
      <formula>$I36=3</formula>
    </cfRule>
  </conditionalFormatting>
  <conditionalFormatting sqref="L36">
    <cfRule type="expression" dxfId="152" priority="49" stopIfTrue="1">
      <formula>$I36=0</formula>
    </cfRule>
    <cfRule type="expression" dxfId="151" priority="50" stopIfTrue="1">
      <formula>$I36=1</formula>
    </cfRule>
    <cfRule type="expression" dxfId="150" priority="51" stopIfTrue="1">
      <formula>$I36=2</formula>
    </cfRule>
    <cfRule type="expression" dxfId="149" priority="52" stopIfTrue="1">
      <formula>$I36=3</formula>
    </cfRule>
  </conditionalFormatting>
  <conditionalFormatting sqref="J36">
    <cfRule type="expression" dxfId="148" priority="56" stopIfTrue="1">
      <formula>$I36=2</formula>
    </cfRule>
  </conditionalFormatting>
  <conditionalFormatting sqref="I36">
    <cfRule type="expression" dxfId="147" priority="48" stopIfTrue="1">
      <formula>$F36=1</formula>
    </cfRule>
  </conditionalFormatting>
  <conditionalFormatting sqref="L27">
    <cfRule type="expression" dxfId="146" priority="44" stopIfTrue="1">
      <formula>$I27=0</formula>
    </cfRule>
    <cfRule type="expression" dxfId="145" priority="45" stopIfTrue="1">
      <formula>$I27=1</formula>
    </cfRule>
    <cfRule type="expression" dxfId="144" priority="46" stopIfTrue="1">
      <formula>$I27=2</formula>
    </cfRule>
    <cfRule type="expression" dxfId="143" priority="47" stopIfTrue="1">
      <formula>$I27=3</formula>
    </cfRule>
  </conditionalFormatting>
  <conditionalFormatting sqref="K28">
    <cfRule type="expression" dxfId="142" priority="41" stopIfTrue="1">
      <formula>$I28=1</formula>
    </cfRule>
    <cfRule type="expression" dxfId="141" priority="42" stopIfTrue="1">
      <formula>$I28=2</formula>
    </cfRule>
    <cfRule type="expression" dxfId="140" priority="43" stopIfTrue="1">
      <formula>$I28=3</formula>
    </cfRule>
  </conditionalFormatting>
  <conditionalFormatting sqref="J28">
    <cfRule type="expression" dxfId="139" priority="37" stopIfTrue="1">
      <formula>$I28=0</formula>
    </cfRule>
    <cfRule type="expression" dxfId="138" priority="38" stopIfTrue="1">
      <formula>$I28=1</formula>
    </cfRule>
    <cfRule type="expression" dxfId="137" priority="39" stopIfTrue="1">
      <formula>$I28=3</formula>
    </cfRule>
  </conditionalFormatting>
  <conditionalFormatting sqref="J28">
    <cfRule type="expression" dxfId="136" priority="40" stopIfTrue="1">
      <formula>$I28=2</formula>
    </cfRule>
  </conditionalFormatting>
  <conditionalFormatting sqref="L28">
    <cfRule type="expression" dxfId="135" priority="33" stopIfTrue="1">
      <formula>$I28=0</formula>
    </cfRule>
    <cfRule type="expression" dxfId="134" priority="34" stopIfTrue="1">
      <formula>$I28=1</formula>
    </cfRule>
    <cfRule type="expression" dxfId="133" priority="35" stopIfTrue="1">
      <formula>$I28=2</formula>
    </cfRule>
    <cfRule type="expression" dxfId="132" priority="36" stopIfTrue="1">
      <formula>$I28=3</formula>
    </cfRule>
  </conditionalFormatting>
  <conditionalFormatting sqref="K9">
    <cfRule type="expression" dxfId="131" priority="30" stopIfTrue="1">
      <formula>$I9=1</formula>
    </cfRule>
    <cfRule type="expression" dxfId="130" priority="31" stopIfTrue="1">
      <formula>$I9=2</formula>
    </cfRule>
    <cfRule type="expression" dxfId="129" priority="32" stopIfTrue="1">
      <formula>$I9=3</formula>
    </cfRule>
  </conditionalFormatting>
  <conditionalFormatting sqref="J9">
    <cfRule type="expression" dxfId="128" priority="26" stopIfTrue="1">
      <formula>$I9=0</formula>
    </cfRule>
    <cfRule type="expression" dxfId="127" priority="27" stopIfTrue="1">
      <formula>$I9=1</formula>
    </cfRule>
    <cfRule type="expression" dxfId="126" priority="29" stopIfTrue="1">
      <formula>$I9=3</formula>
    </cfRule>
  </conditionalFormatting>
  <conditionalFormatting sqref="J9">
    <cfRule type="expression" dxfId="125" priority="28" stopIfTrue="1">
      <formula>$I9=2</formula>
    </cfRule>
  </conditionalFormatting>
  <conditionalFormatting sqref="I9">
    <cfRule type="expression" dxfId="124" priority="25" stopIfTrue="1">
      <formula>$F9=1</formula>
    </cfRule>
  </conditionalFormatting>
  <conditionalFormatting sqref="K9">
    <cfRule type="expression" dxfId="123" priority="22" stopIfTrue="1">
      <formula>$I9=1</formula>
    </cfRule>
    <cfRule type="expression" dxfId="122" priority="23" stopIfTrue="1">
      <formula>$I9=2</formula>
    </cfRule>
    <cfRule type="expression" dxfId="121" priority="24" stopIfTrue="1">
      <formula>$I9=3</formula>
    </cfRule>
  </conditionalFormatting>
  <conditionalFormatting sqref="J9">
    <cfRule type="expression" dxfId="120" priority="19" stopIfTrue="1">
      <formula>$I9=0</formula>
    </cfRule>
    <cfRule type="expression" dxfId="119" priority="20" stopIfTrue="1">
      <formula>$I9=1</formula>
    </cfRule>
    <cfRule type="expression" dxfId="118" priority="21" stopIfTrue="1">
      <formula>$I9=3</formula>
    </cfRule>
  </conditionalFormatting>
  <conditionalFormatting sqref="J9">
    <cfRule type="expression" dxfId="117" priority="18" stopIfTrue="1">
      <formula>$I9=2</formula>
    </cfRule>
  </conditionalFormatting>
  <conditionalFormatting sqref="I9">
    <cfRule type="expression" dxfId="116" priority="17" stopIfTrue="1">
      <formula>$F9=1</formula>
    </cfRule>
  </conditionalFormatting>
  <conditionalFormatting sqref="K19">
    <cfRule type="expression" dxfId="115" priority="14" stopIfTrue="1">
      <formula>$I19=1</formula>
    </cfRule>
    <cfRule type="expression" dxfId="114" priority="15" stopIfTrue="1">
      <formula>$I19=2</formula>
    </cfRule>
    <cfRule type="expression" dxfId="113" priority="16" stopIfTrue="1">
      <formula>$I19=3</formula>
    </cfRule>
  </conditionalFormatting>
  <conditionalFormatting sqref="J19">
    <cfRule type="expression" dxfId="112" priority="10" stopIfTrue="1">
      <formula>$I19=0</formula>
    </cfRule>
    <cfRule type="expression" dxfId="111" priority="11" stopIfTrue="1">
      <formula>$I19=1</formula>
    </cfRule>
    <cfRule type="expression" dxfId="110" priority="13" stopIfTrue="1">
      <formula>$I19=3</formula>
    </cfRule>
  </conditionalFormatting>
  <conditionalFormatting sqref="J19">
    <cfRule type="expression" dxfId="109" priority="12" stopIfTrue="1">
      <formula>$I19=2</formula>
    </cfRule>
  </conditionalFormatting>
  <conditionalFormatting sqref="I19">
    <cfRule type="expression" dxfId="108" priority="9" stopIfTrue="1">
      <formula>$F19=1</formula>
    </cfRule>
  </conditionalFormatting>
  <conditionalFormatting sqref="K19">
    <cfRule type="expression" dxfId="107" priority="6" stopIfTrue="1">
      <formula>$I19=1</formula>
    </cfRule>
    <cfRule type="expression" dxfId="106" priority="7" stopIfTrue="1">
      <formula>$I19=2</formula>
    </cfRule>
    <cfRule type="expression" dxfId="105" priority="8" stopIfTrue="1">
      <formula>$I19=3</formula>
    </cfRule>
  </conditionalFormatting>
  <conditionalFormatting sqref="J19">
    <cfRule type="expression" dxfId="104" priority="3" stopIfTrue="1">
      <formula>$I19=0</formula>
    </cfRule>
    <cfRule type="expression" dxfId="103" priority="4" stopIfTrue="1">
      <formula>$I19=1</formula>
    </cfRule>
    <cfRule type="expression" dxfId="102" priority="5" stopIfTrue="1">
      <formula>$I19=3</formula>
    </cfRule>
  </conditionalFormatting>
  <conditionalFormatting sqref="J19">
    <cfRule type="expression" dxfId="101" priority="2" stopIfTrue="1">
      <formula>$I19=2</formula>
    </cfRule>
  </conditionalFormatting>
  <conditionalFormatting sqref="I19">
    <cfRule type="expression" dxfId="100" priority="1" stopIfTrue="1">
      <formula>$F19=1</formula>
    </cfRule>
  </conditionalFormatting>
  <pageMargins left="0.78740157499999996" right="0.78740157499999996" top="0.984251969" bottom="0.984251969" header="0.5" footer="0.5"/>
  <pageSetup scale="35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3" r:id="rId4" name="Drop Down 1">
              <controlPr defaultSize="0" autoLine="0" autoPict="0">
                <anchor moveWithCells="1">
                  <from>
                    <xdr:col>13</xdr:col>
                    <xdr:colOff>0</xdr:colOff>
                    <xdr:row>6</xdr:row>
                    <xdr:rowOff>0</xdr:rowOff>
                  </from>
                  <to>
                    <xdr:col>14</xdr:col>
                    <xdr:colOff>0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4" r:id="rId5" name="Drop Down 2">
              <controlPr defaultSize="0" autoLine="0" autoPict="0">
                <anchor moveWithCells="1">
                  <from>
                    <xdr:col>5</xdr:col>
                    <xdr:colOff>0</xdr:colOff>
                    <xdr:row>6</xdr:row>
                    <xdr:rowOff>0</xdr:rowOff>
                  </from>
                  <to>
                    <xdr:col>7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1" r:id="rId6" name="Drop Down 9">
              <controlPr defaultSize="0" autoLine="0" autoPict="0">
                <anchor moveWithCells="1">
                  <from>
                    <xdr:col>17</xdr:col>
                    <xdr:colOff>0</xdr:colOff>
                    <xdr:row>6</xdr:row>
                    <xdr:rowOff>0</xdr:rowOff>
                  </from>
                  <to>
                    <xdr:col>18</xdr:col>
                    <xdr:colOff>9525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4" r:id="rId7" name="Drop Down 12">
              <controlPr defaultSize="0" autoLine="0" autoPict="0">
                <anchor moveWithCells="1">
                  <from>
                    <xdr:col>17</xdr:col>
                    <xdr:colOff>0</xdr:colOff>
                    <xdr:row>7</xdr:row>
                    <xdr:rowOff>0</xdr:rowOff>
                  </from>
                  <to>
                    <xdr:col>18</xdr:col>
                    <xdr:colOff>9525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5" r:id="rId8" name="Drop Down 13">
              <controlPr defaultSize="0" autoLine="0" autoPict="0">
                <anchor moveWithCells="1">
                  <from>
                    <xdr:col>17</xdr:col>
                    <xdr:colOff>0</xdr:colOff>
                    <xdr:row>8</xdr:row>
                    <xdr:rowOff>0</xdr:rowOff>
                  </from>
                  <to>
                    <xdr:col>18</xdr:col>
                    <xdr:colOff>9525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6" r:id="rId9" name="Drop Down 14">
              <controlPr defaultSize="0" autoLine="0" autoPict="0">
                <anchor moveWithCells="1">
                  <from>
                    <xdr:col>17</xdr:col>
                    <xdr:colOff>0</xdr:colOff>
                    <xdr:row>9</xdr:row>
                    <xdr:rowOff>0</xdr:rowOff>
                  </from>
                  <to>
                    <xdr:col>18</xdr:col>
                    <xdr:colOff>9525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7" r:id="rId10" name="Drop Down 15">
              <controlPr defaultSize="0" autoLine="0" autoPict="0">
                <anchor moveWithCells="1">
                  <from>
                    <xdr:col>17</xdr:col>
                    <xdr:colOff>0</xdr:colOff>
                    <xdr:row>10</xdr:row>
                    <xdr:rowOff>0</xdr:rowOff>
                  </from>
                  <to>
                    <xdr:col>18</xdr:col>
                    <xdr:colOff>9525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6" r:id="rId11" name="Drop Down 24">
              <controlPr defaultSize="0" autoLine="0" autoPict="0">
                <anchor moveWithCells="1">
                  <from>
                    <xdr:col>17</xdr:col>
                    <xdr:colOff>0</xdr:colOff>
                    <xdr:row>15</xdr:row>
                    <xdr:rowOff>0</xdr:rowOff>
                  </from>
                  <to>
                    <xdr:col>18</xdr:col>
                    <xdr:colOff>9525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9" r:id="rId12" name="Drop Down 27">
              <controlPr defaultSize="0" autoLine="0" autoPict="0">
                <anchor moveWithCells="1">
                  <from>
                    <xdr:col>17</xdr:col>
                    <xdr:colOff>0</xdr:colOff>
                    <xdr:row>16</xdr:row>
                    <xdr:rowOff>0</xdr:rowOff>
                  </from>
                  <to>
                    <xdr:col>18</xdr:col>
                    <xdr:colOff>9525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20" r:id="rId13" name="Drop Down 28">
              <controlPr defaultSize="0" autoLine="0" autoPict="0">
                <anchor moveWithCells="1">
                  <from>
                    <xdr:col>17</xdr:col>
                    <xdr:colOff>0</xdr:colOff>
                    <xdr:row>17</xdr:row>
                    <xdr:rowOff>0</xdr:rowOff>
                  </from>
                  <to>
                    <xdr:col>18</xdr:col>
                    <xdr:colOff>9525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21" r:id="rId14" name="Drop Down 29">
              <controlPr defaultSize="0" autoLine="0" autoPict="0">
                <anchor moveWithCells="1">
                  <from>
                    <xdr:col>17</xdr:col>
                    <xdr:colOff>0</xdr:colOff>
                    <xdr:row>18</xdr:row>
                    <xdr:rowOff>0</xdr:rowOff>
                  </from>
                  <to>
                    <xdr:col>18</xdr:col>
                    <xdr:colOff>9525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22" r:id="rId15" name="Drop Down 30">
              <controlPr defaultSize="0" autoLine="0" autoPict="0">
                <anchor moveWithCells="1">
                  <from>
                    <xdr:col>17</xdr:col>
                    <xdr:colOff>0</xdr:colOff>
                    <xdr:row>19</xdr:row>
                    <xdr:rowOff>0</xdr:rowOff>
                  </from>
                  <to>
                    <xdr:col>18</xdr:col>
                    <xdr:colOff>9525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51" r:id="rId16" name="Drop Down 59">
              <controlPr defaultSize="0" autoLine="0" autoPict="0">
                <anchor moveWithCells="1">
                  <from>
                    <xdr:col>17</xdr:col>
                    <xdr:colOff>0</xdr:colOff>
                    <xdr:row>24</xdr:row>
                    <xdr:rowOff>0</xdr:rowOff>
                  </from>
                  <to>
                    <xdr:col>18</xdr:col>
                    <xdr:colOff>9525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54" r:id="rId17" name="Drop Down 62">
              <controlPr defaultSize="0" autoLine="0" autoPict="0">
                <anchor moveWithCells="1">
                  <from>
                    <xdr:col>17</xdr:col>
                    <xdr:colOff>0</xdr:colOff>
                    <xdr:row>25</xdr:row>
                    <xdr:rowOff>0</xdr:rowOff>
                  </from>
                  <to>
                    <xdr:col>18</xdr:col>
                    <xdr:colOff>9525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55" r:id="rId18" name="Drop Down 63">
              <controlPr defaultSize="0" autoLine="0" autoPict="0">
                <anchor moveWithCells="1">
                  <from>
                    <xdr:col>17</xdr:col>
                    <xdr:colOff>0</xdr:colOff>
                    <xdr:row>26</xdr:row>
                    <xdr:rowOff>0</xdr:rowOff>
                  </from>
                  <to>
                    <xdr:col>18</xdr:col>
                    <xdr:colOff>9525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56" r:id="rId19" name="Drop Down 64">
              <controlPr defaultSize="0" autoLine="0" autoPict="0">
                <anchor moveWithCells="1">
                  <from>
                    <xdr:col>17</xdr:col>
                    <xdr:colOff>0</xdr:colOff>
                    <xdr:row>27</xdr:row>
                    <xdr:rowOff>0</xdr:rowOff>
                  </from>
                  <to>
                    <xdr:col>18</xdr:col>
                    <xdr:colOff>9525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57" r:id="rId20" name="Drop Down 65">
              <controlPr defaultSize="0" autoLine="0" autoPict="0">
                <anchor moveWithCells="1">
                  <from>
                    <xdr:col>17</xdr:col>
                    <xdr:colOff>0</xdr:colOff>
                    <xdr:row>28</xdr:row>
                    <xdr:rowOff>0</xdr:rowOff>
                  </from>
                  <to>
                    <xdr:col>18</xdr:col>
                    <xdr:colOff>9525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76" r:id="rId21" name="Drop Down 84">
              <controlPr defaultSize="0" autoLine="0" autoPict="0">
                <anchor moveWithCells="1">
                  <from>
                    <xdr:col>17</xdr:col>
                    <xdr:colOff>0</xdr:colOff>
                    <xdr:row>33</xdr:row>
                    <xdr:rowOff>0</xdr:rowOff>
                  </from>
                  <to>
                    <xdr:col>18</xdr:col>
                    <xdr:colOff>9525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79" r:id="rId22" name="Drop Down 87">
              <controlPr defaultSize="0" autoLine="0" autoPict="0">
                <anchor moveWithCells="1">
                  <from>
                    <xdr:col>17</xdr:col>
                    <xdr:colOff>0</xdr:colOff>
                    <xdr:row>34</xdr:row>
                    <xdr:rowOff>0</xdr:rowOff>
                  </from>
                  <to>
                    <xdr:col>18</xdr:col>
                    <xdr:colOff>9525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80" r:id="rId23" name="Drop Down 88">
              <controlPr defaultSize="0" autoLine="0" autoPict="0">
                <anchor moveWithCells="1">
                  <from>
                    <xdr:col>17</xdr:col>
                    <xdr:colOff>0</xdr:colOff>
                    <xdr:row>35</xdr:row>
                    <xdr:rowOff>0</xdr:rowOff>
                  </from>
                  <to>
                    <xdr:col>18</xdr:col>
                    <xdr:colOff>9525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81" r:id="rId24" name="Drop Down 89">
              <controlPr defaultSize="0" autoLine="0" autoPict="0">
                <anchor moveWithCells="1">
                  <from>
                    <xdr:col>17</xdr:col>
                    <xdr:colOff>0</xdr:colOff>
                    <xdr:row>36</xdr:row>
                    <xdr:rowOff>0</xdr:rowOff>
                  </from>
                  <to>
                    <xdr:col>18</xdr:col>
                    <xdr:colOff>9525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82" r:id="rId25" name="Drop Down 90">
              <controlPr defaultSize="0" autoLine="0" autoPict="0">
                <anchor moveWithCells="1">
                  <from>
                    <xdr:col>17</xdr:col>
                    <xdr:colOff>0</xdr:colOff>
                    <xdr:row>37</xdr:row>
                    <xdr:rowOff>0</xdr:rowOff>
                  </from>
                  <to>
                    <xdr:col>18</xdr:col>
                    <xdr:colOff>9525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01" r:id="rId26" name="Drop Down 109">
              <controlPr defaultSize="0" autoLine="0" autoPict="0">
                <anchor moveWithCells="1">
                  <from>
                    <xdr:col>17</xdr:col>
                    <xdr:colOff>0</xdr:colOff>
                    <xdr:row>42</xdr:row>
                    <xdr:rowOff>0</xdr:rowOff>
                  </from>
                  <to>
                    <xdr:col>18</xdr:col>
                    <xdr:colOff>9525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04" r:id="rId27" name="Drop Down 112">
              <controlPr defaultSize="0" autoLine="0" autoPict="0">
                <anchor moveWithCells="1">
                  <from>
                    <xdr:col>17</xdr:col>
                    <xdr:colOff>0</xdr:colOff>
                    <xdr:row>43</xdr:row>
                    <xdr:rowOff>0</xdr:rowOff>
                  </from>
                  <to>
                    <xdr:col>18</xdr:col>
                    <xdr:colOff>9525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05" r:id="rId28" name="Drop Down 113">
              <controlPr defaultSize="0" autoLine="0" autoPict="0">
                <anchor moveWithCells="1">
                  <from>
                    <xdr:col>17</xdr:col>
                    <xdr:colOff>0</xdr:colOff>
                    <xdr:row>44</xdr:row>
                    <xdr:rowOff>0</xdr:rowOff>
                  </from>
                  <to>
                    <xdr:col>18</xdr:col>
                    <xdr:colOff>9525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06" r:id="rId29" name="Drop Down 114">
              <controlPr defaultSize="0" autoLine="0" autoPict="0">
                <anchor moveWithCells="1">
                  <from>
                    <xdr:col>17</xdr:col>
                    <xdr:colOff>0</xdr:colOff>
                    <xdr:row>45</xdr:row>
                    <xdr:rowOff>0</xdr:rowOff>
                  </from>
                  <to>
                    <xdr:col>18</xdr:col>
                    <xdr:colOff>9525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07" r:id="rId30" name="Drop Down 115">
              <controlPr defaultSize="0" autoLine="0" autoPict="0">
                <anchor moveWithCells="1">
                  <from>
                    <xdr:col>17</xdr:col>
                    <xdr:colOff>0</xdr:colOff>
                    <xdr:row>46</xdr:row>
                    <xdr:rowOff>0</xdr:rowOff>
                  </from>
                  <to>
                    <xdr:col>18</xdr:col>
                    <xdr:colOff>9525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26" r:id="rId31" name="Drop Down 134">
              <controlPr defaultSize="0" autoLine="0" autoPict="0">
                <anchor moveWithCells="1">
                  <from>
                    <xdr:col>17</xdr:col>
                    <xdr:colOff>0</xdr:colOff>
                    <xdr:row>51</xdr:row>
                    <xdr:rowOff>0</xdr:rowOff>
                  </from>
                  <to>
                    <xdr:col>18</xdr:col>
                    <xdr:colOff>9525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29" r:id="rId32" name="Drop Down 137">
              <controlPr defaultSize="0" autoLine="0" autoPict="0">
                <anchor moveWithCells="1">
                  <from>
                    <xdr:col>17</xdr:col>
                    <xdr:colOff>0</xdr:colOff>
                    <xdr:row>52</xdr:row>
                    <xdr:rowOff>0</xdr:rowOff>
                  </from>
                  <to>
                    <xdr:col>18</xdr:col>
                    <xdr:colOff>9525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30" r:id="rId33" name="Drop Down 138">
              <controlPr defaultSize="0" autoLine="0" autoPict="0">
                <anchor moveWithCells="1">
                  <from>
                    <xdr:col>17</xdr:col>
                    <xdr:colOff>0</xdr:colOff>
                    <xdr:row>53</xdr:row>
                    <xdr:rowOff>0</xdr:rowOff>
                  </from>
                  <to>
                    <xdr:col>18</xdr:col>
                    <xdr:colOff>9525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31" r:id="rId34" name="Drop Down 139">
              <controlPr defaultSize="0" autoLine="0" autoPict="0">
                <anchor moveWithCells="1">
                  <from>
                    <xdr:col>17</xdr:col>
                    <xdr:colOff>0</xdr:colOff>
                    <xdr:row>54</xdr:row>
                    <xdr:rowOff>0</xdr:rowOff>
                  </from>
                  <to>
                    <xdr:col>18</xdr:col>
                    <xdr:colOff>9525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32" r:id="rId35" name="Drop Down 140">
              <controlPr defaultSize="0" autoLine="0" autoPict="0">
                <anchor moveWithCells="1">
                  <from>
                    <xdr:col>17</xdr:col>
                    <xdr:colOff>0</xdr:colOff>
                    <xdr:row>55</xdr:row>
                    <xdr:rowOff>0</xdr:rowOff>
                  </from>
                  <to>
                    <xdr:col>18</xdr:col>
                    <xdr:colOff>9525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43" r:id="rId36" name="Drop Down 151">
              <controlPr defaultSize="0" autoLine="0" autoPict="0">
                <anchor moveWithCells="1">
                  <from>
                    <xdr:col>4</xdr:col>
                    <xdr:colOff>0</xdr:colOff>
                    <xdr:row>6</xdr:row>
                    <xdr:rowOff>0</xdr:rowOff>
                  </from>
                  <to>
                    <xdr:col>5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44" r:id="rId37" name="Drop Down 152">
              <controlPr defaultSize="0" autoLine="0" autoPict="0">
                <anchor moveWithCells="1">
                  <from>
                    <xdr:col>4</xdr:col>
                    <xdr:colOff>0</xdr:colOff>
                    <xdr:row>7</xdr:row>
                    <xdr:rowOff>0</xdr:rowOff>
                  </from>
                  <to>
                    <xdr:col>5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45" r:id="rId38" name="Drop Down 153">
              <controlPr defaultSize="0" autoLine="0" autoPict="0">
                <anchor moveWithCells="1">
                  <from>
                    <xdr:col>4</xdr:col>
                    <xdr:colOff>0</xdr:colOff>
                    <xdr:row>8</xdr:row>
                    <xdr:rowOff>0</xdr:rowOff>
                  </from>
                  <to>
                    <xdr:col>5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46" r:id="rId39" name="Drop Down 154">
              <controlPr defaultSize="0" autoLine="0" autoPict="0">
                <anchor moveWithCells="1">
                  <from>
                    <xdr:col>4</xdr:col>
                    <xdr:colOff>0</xdr:colOff>
                    <xdr:row>9</xdr:row>
                    <xdr:rowOff>0</xdr:rowOff>
                  </from>
                  <to>
                    <xdr:col>5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47" r:id="rId40" name="Drop Down 155">
              <controlPr defaultSize="0" autoLine="0" autoPict="0">
                <anchor moveWithCells="1">
                  <from>
                    <xdr:col>4</xdr:col>
                    <xdr:colOff>0</xdr:colOff>
                    <xdr:row>10</xdr:row>
                    <xdr:rowOff>0</xdr:rowOff>
                  </from>
                  <to>
                    <xdr:col>5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48" r:id="rId41" name="Drop Down 156">
              <controlPr defaultSize="0" autoLine="0" autoPict="0">
                <anchor moveWithCells="1">
                  <from>
                    <xdr:col>5</xdr:col>
                    <xdr:colOff>0</xdr:colOff>
                    <xdr:row>7</xdr:row>
                    <xdr:rowOff>0</xdr:rowOff>
                  </from>
                  <to>
                    <xdr:col>7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49" r:id="rId42" name="Drop Down 157">
              <controlPr defaultSize="0" autoLine="0" autoPict="0">
                <anchor moveWithCells="1">
                  <from>
                    <xdr:col>5</xdr:col>
                    <xdr:colOff>0</xdr:colOff>
                    <xdr:row>8</xdr:row>
                    <xdr:rowOff>0</xdr:rowOff>
                  </from>
                  <to>
                    <xdr:col>7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50" r:id="rId43" name="Drop Down 158">
              <controlPr defaultSize="0" autoLine="0" autoPict="0">
                <anchor moveWithCells="1">
                  <from>
                    <xdr:col>5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51" r:id="rId44" name="Drop Down 159">
              <controlPr defaultSize="0" autoLine="0" autoPict="0">
                <anchor moveWithCells="1">
                  <from>
                    <xdr:col>5</xdr:col>
                    <xdr:colOff>0</xdr:colOff>
                    <xdr:row>10</xdr:row>
                    <xdr:rowOff>0</xdr:rowOff>
                  </from>
                  <to>
                    <xdr:col>7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52" r:id="rId45" name="Drop Down 160">
              <controlPr defaultSize="0" autoLine="0" autoPict="0">
                <anchor moveWithCells="1">
                  <from>
                    <xdr:col>5</xdr:col>
                    <xdr:colOff>0</xdr:colOff>
                    <xdr:row>15</xdr:row>
                    <xdr:rowOff>0</xdr:rowOff>
                  </from>
                  <to>
                    <xdr:col>7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53" r:id="rId46" name="Drop Down 161">
              <controlPr defaultSize="0" autoLine="0" autoPict="0">
                <anchor moveWithCells="1">
                  <from>
                    <xdr:col>5</xdr:col>
                    <xdr:colOff>0</xdr:colOff>
                    <xdr:row>16</xdr:row>
                    <xdr:rowOff>0</xdr:rowOff>
                  </from>
                  <to>
                    <xdr:col>7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54" r:id="rId47" name="Drop Down 162">
              <controlPr defaultSize="0" autoLine="0" autoPict="0">
                <anchor moveWithCells="1">
                  <from>
                    <xdr:col>5</xdr:col>
                    <xdr:colOff>0</xdr:colOff>
                    <xdr:row>17</xdr:row>
                    <xdr:rowOff>0</xdr:rowOff>
                  </from>
                  <to>
                    <xdr:col>7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55" r:id="rId48" name="Drop Down 163">
              <controlPr defaultSize="0" autoLine="0" autoPict="0">
                <anchor moveWithCells="1">
                  <from>
                    <xdr:col>5</xdr:col>
                    <xdr:colOff>0</xdr:colOff>
                    <xdr:row>18</xdr:row>
                    <xdr:rowOff>0</xdr:rowOff>
                  </from>
                  <to>
                    <xdr:col>7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56" r:id="rId49" name="Drop Down 164">
              <controlPr defaultSize="0" autoLine="0" autoPict="0">
                <anchor moveWithCells="1">
                  <from>
                    <xdr:col>5</xdr:col>
                    <xdr:colOff>0</xdr:colOff>
                    <xdr:row>19</xdr:row>
                    <xdr:rowOff>0</xdr:rowOff>
                  </from>
                  <to>
                    <xdr:col>7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57" r:id="rId50" name="Drop Down 165">
              <controlPr defaultSize="0" autoLine="0" autoPict="0">
                <anchor moveWithCells="1">
                  <from>
                    <xdr:col>4</xdr:col>
                    <xdr:colOff>0</xdr:colOff>
                    <xdr:row>15</xdr:row>
                    <xdr:rowOff>0</xdr:rowOff>
                  </from>
                  <to>
                    <xdr:col>5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58" r:id="rId51" name="Drop Down 166">
              <controlPr defaultSize="0" autoLine="0" autoPict="0">
                <anchor moveWithCells="1">
                  <from>
                    <xdr:col>4</xdr:col>
                    <xdr:colOff>0</xdr:colOff>
                    <xdr:row>16</xdr:row>
                    <xdr:rowOff>0</xdr:rowOff>
                  </from>
                  <to>
                    <xdr:col>5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59" r:id="rId52" name="Drop Down 167">
              <controlPr defaultSize="0" autoLine="0" autoPict="0">
                <anchor moveWithCells="1">
                  <from>
                    <xdr:col>4</xdr:col>
                    <xdr:colOff>0</xdr:colOff>
                    <xdr:row>17</xdr:row>
                    <xdr:rowOff>0</xdr:rowOff>
                  </from>
                  <to>
                    <xdr:col>5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60" r:id="rId53" name="Drop Down 168">
              <controlPr defaultSize="0" autoLine="0" autoPict="0">
                <anchor moveWithCells="1">
                  <from>
                    <xdr:col>4</xdr:col>
                    <xdr:colOff>0</xdr:colOff>
                    <xdr:row>18</xdr:row>
                    <xdr:rowOff>0</xdr:rowOff>
                  </from>
                  <to>
                    <xdr:col>5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61" r:id="rId54" name="Drop Down 169">
              <controlPr defaultSize="0" autoLine="0" autoPict="0">
                <anchor moveWithCells="1">
                  <from>
                    <xdr:col>4</xdr:col>
                    <xdr:colOff>0</xdr:colOff>
                    <xdr:row>19</xdr:row>
                    <xdr:rowOff>0</xdr:rowOff>
                  </from>
                  <to>
                    <xdr:col>5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62" r:id="rId55" name="Drop Down 170">
              <controlPr defaultSize="0" autoLine="0" autoPict="0">
                <anchor moveWithCells="1">
                  <from>
                    <xdr:col>5</xdr:col>
                    <xdr:colOff>0</xdr:colOff>
                    <xdr:row>24</xdr:row>
                    <xdr:rowOff>0</xdr:rowOff>
                  </from>
                  <to>
                    <xdr:col>7</xdr:col>
                    <xdr:colOff>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63" r:id="rId56" name="Drop Down 171">
              <controlPr defaultSize="0" autoLine="0" autoPict="0">
                <anchor moveWithCells="1">
                  <from>
                    <xdr:col>5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64" r:id="rId57" name="Drop Down 172">
              <controlPr defaultSize="0" autoLine="0" autoPict="0">
                <anchor moveWithCells="1">
                  <from>
                    <xdr:col>5</xdr:col>
                    <xdr:colOff>0</xdr:colOff>
                    <xdr:row>26</xdr:row>
                    <xdr:rowOff>0</xdr:rowOff>
                  </from>
                  <to>
                    <xdr:col>7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65" r:id="rId58" name="Drop Down 173">
              <controlPr defaultSize="0" autoLine="0" autoPict="0">
                <anchor moveWithCells="1">
                  <from>
                    <xdr:col>5</xdr:col>
                    <xdr:colOff>0</xdr:colOff>
                    <xdr:row>27</xdr:row>
                    <xdr:rowOff>0</xdr:rowOff>
                  </from>
                  <to>
                    <xdr:col>7</xdr:col>
                    <xdr:colOff>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66" r:id="rId59" name="Drop Down 174">
              <controlPr defaultSize="0" autoLine="0" autoPict="0">
                <anchor moveWithCells="1">
                  <from>
                    <xdr:col>5</xdr:col>
                    <xdr:colOff>0</xdr:colOff>
                    <xdr:row>28</xdr:row>
                    <xdr:rowOff>0</xdr:rowOff>
                  </from>
                  <to>
                    <xdr:col>7</xdr:col>
                    <xdr:colOff>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67" r:id="rId60" name="Drop Down 175">
              <controlPr defaultSize="0" autoLine="0" autoPict="0">
                <anchor moveWithCells="1">
                  <from>
                    <xdr:col>4</xdr:col>
                    <xdr:colOff>0</xdr:colOff>
                    <xdr:row>24</xdr:row>
                    <xdr:rowOff>0</xdr:rowOff>
                  </from>
                  <to>
                    <xdr:col>5</xdr:col>
                    <xdr:colOff>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68" r:id="rId61" name="Drop Down 176">
              <controlPr defaultSize="0" autoLine="0" autoPict="0">
                <anchor moveWithCells="1">
                  <from>
                    <xdr:col>4</xdr:col>
                    <xdr:colOff>0</xdr:colOff>
                    <xdr:row>25</xdr:row>
                    <xdr:rowOff>0</xdr:rowOff>
                  </from>
                  <to>
                    <xdr:col>5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69" r:id="rId62" name="Drop Down 177">
              <controlPr defaultSize="0" autoLine="0" autoPict="0">
                <anchor moveWithCells="1">
                  <from>
                    <xdr:col>4</xdr:col>
                    <xdr:colOff>0</xdr:colOff>
                    <xdr:row>26</xdr:row>
                    <xdr:rowOff>0</xdr:rowOff>
                  </from>
                  <to>
                    <xdr:col>5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70" r:id="rId63" name="Drop Down 178">
              <controlPr defaultSize="0" autoLine="0" autoPict="0">
                <anchor moveWithCells="1">
                  <from>
                    <xdr:col>4</xdr:col>
                    <xdr:colOff>0</xdr:colOff>
                    <xdr:row>27</xdr:row>
                    <xdr:rowOff>0</xdr:rowOff>
                  </from>
                  <to>
                    <xdr:col>5</xdr:col>
                    <xdr:colOff>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71" r:id="rId64" name="Drop Down 179">
              <controlPr defaultSize="0" autoLine="0" autoPict="0">
                <anchor moveWithCells="1">
                  <from>
                    <xdr:col>4</xdr:col>
                    <xdr:colOff>0</xdr:colOff>
                    <xdr:row>28</xdr:row>
                    <xdr:rowOff>0</xdr:rowOff>
                  </from>
                  <to>
                    <xdr:col>5</xdr:col>
                    <xdr:colOff>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72" r:id="rId65" name="Drop Down 180">
              <controlPr defaultSize="0" autoLine="0" autoPict="0">
                <anchor moveWithCells="1">
                  <from>
                    <xdr:col>5</xdr:col>
                    <xdr:colOff>0</xdr:colOff>
                    <xdr:row>33</xdr:row>
                    <xdr:rowOff>0</xdr:rowOff>
                  </from>
                  <to>
                    <xdr:col>7</xdr:col>
                    <xdr:colOff>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73" r:id="rId66" name="Drop Down 181">
              <controlPr defaultSize="0" autoLine="0" autoPict="0">
                <anchor moveWithCells="1">
                  <from>
                    <xdr:col>5</xdr:col>
                    <xdr:colOff>0</xdr:colOff>
                    <xdr:row>34</xdr:row>
                    <xdr:rowOff>0</xdr:rowOff>
                  </from>
                  <to>
                    <xdr:col>7</xdr:col>
                    <xdr:colOff>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74" r:id="rId67" name="Drop Down 182">
              <controlPr defaultSize="0" autoLine="0" autoPict="0">
                <anchor moveWithCells="1">
                  <from>
                    <xdr:col>5</xdr:col>
                    <xdr:colOff>0</xdr:colOff>
                    <xdr:row>35</xdr:row>
                    <xdr:rowOff>0</xdr:rowOff>
                  </from>
                  <to>
                    <xdr:col>7</xdr:col>
                    <xdr:colOff>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75" r:id="rId68" name="Drop Down 183">
              <controlPr defaultSize="0" autoLine="0" autoPict="0">
                <anchor moveWithCells="1">
                  <from>
                    <xdr:col>5</xdr:col>
                    <xdr:colOff>0</xdr:colOff>
                    <xdr:row>36</xdr:row>
                    <xdr:rowOff>0</xdr:rowOff>
                  </from>
                  <to>
                    <xdr:col>7</xdr:col>
                    <xdr:colOff>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76" r:id="rId69" name="Drop Down 184">
              <controlPr defaultSize="0" autoLine="0" autoPict="0">
                <anchor moveWithCells="1">
                  <from>
                    <xdr:col>5</xdr:col>
                    <xdr:colOff>0</xdr:colOff>
                    <xdr:row>37</xdr:row>
                    <xdr:rowOff>0</xdr:rowOff>
                  </from>
                  <to>
                    <xdr:col>7</xdr:col>
                    <xdr:colOff>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77" r:id="rId70" name="Drop Down 185">
              <controlPr defaultSize="0" autoLine="0" autoPict="0">
                <anchor moveWithCells="1">
                  <from>
                    <xdr:col>4</xdr:col>
                    <xdr:colOff>0</xdr:colOff>
                    <xdr:row>33</xdr:row>
                    <xdr:rowOff>0</xdr:rowOff>
                  </from>
                  <to>
                    <xdr:col>5</xdr:col>
                    <xdr:colOff>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78" r:id="rId71" name="Drop Down 186">
              <controlPr defaultSize="0" autoLine="0" autoPict="0">
                <anchor moveWithCells="1">
                  <from>
                    <xdr:col>4</xdr:col>
                    <xdr:colOff>0</xdr:colOff>
                    <xdr:row>34</xdr:row>
                    <xdr:rowOff>0</xdr:rowOff>
                  </from>
                  <to>
                    <xdr:col>5</xdr:col>
                    <xdr:colOff>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79" r:id="rId72" name="Drop Down 187">
              <controlPr defaultSize="0" autoLine="0" autoPict="0">
                <anchor moveWithCells="1">
                  <from>
                    <xdr:col>4</xdr:col>
                    <xdr:colOff>0</xdr:colOff>
                    <xdr:row>35</xdr:row>
                    <xdr:rowOff>0</xdr:rowOff>
                  </from>
                  <to>
                    <xdr:col>5</xdr:col>
                    <xdr:colOff>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80" r:id="rId73" name="Drop Down 188">
              <controlPr defaultSize="0" autoLine="0" autoPict="0">
                <anchor moveWithCells="1">
                  <from>
                    <xdr:col>4</xdr:col>
                    <xdr:colOff>0</xdr:colOff>
                    <xdr:row>36</xdr:row>
                    <xdr:rowOff>0</xdr:rowOff>
                  </from>
                  <to>
                    <xdr:col>5</xdr:col>
                    <xdr:colOff>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81" r:id="rId74" name="Drop Down 189">
              <controlPr defaultSize="0" autoLine="0" autoPict="0">
                <anchor moveWithCells="1">
                  <from>
                    <xdr:col>4</xdr:col>
                    <xdr:colOff>0</xdr:colOff>
                    <xdr:row>37</xdr:row>
                    <xdr:rowOff>0</xdr:rowOff>
                  </from>
                  <to>
                    <xdr:col>5</xdr:col>
                    <xdr:colOff>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82" r:id="rId75" name="Drop Down 190">
              <controlPr defaultSize="0" autoLine="0" autoPict="0">
                <anchor moveWithCells="1">
                  <from>
                    <xdr:col>5</xdr:col>
                    <xdr:colOff>0</xdr:colOff>
                    <xdr:row>42</xdr:row>
                    <xdr:rowOff>0</xdr:rowOff>
                  </from>
                  <to>
                    <xdr:col>7</xdr:col>
                    <xdr:colOff>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83" r:id="rId76" name="Drop Down 191">
              <controlPr defaultSize="0" autoLine="0" autoPict="0">
                <anchor moveWithCells="1">
                  <from>
                    <xdr:col>5</xdr:col>
                    <xdr:colOff>0</xdr:colOff>
                    <xdr:row>43</xdr:row>
                    <xdr:rowOff>0</xdr:rowOff>
                  </from>
                  <to>
                    <xdr:col>7</xdr:col>
                    <xdr:colOff>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84" r:id="rId77" name="Drop Down 192">
              <controlPr defaultSize="0" autoLine="0" autoPict="0">
                <anchor moveWithCells="1">
                  <from>
                    <xdr:col>5</xdr:col>
                    <xdr:colOff>0</xdr:colOff>
                    <xdr:row>44</xdr:row>
                    <xdr:rowOff>0</xdr:rowOff>
                  </from>
                  <to>
                    <xdr:col>7</xdr:col>
                    <xdr:colOff>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85" r:id="rId78" name="Drop Down 193">
              <controlPr defaultSize="0" autoLine="0" autoPict="0">
                <anchor moveWithCells="1">
                  <from>
                    <xdr:col>5</xdr:col>
                    <xdr:colOff>0</xdr:colOff>
                    <xdr:row>45</xdr:row>
                    <xdr:rowOff>0</xdr:rowOff>
                  </from>
                  <to>
                    <xdr:col>7</xdr:col>
                    <xdr:colOff>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86" r:id="rId79" name="Drop Down 194">
              <controlPr defaultSize="0" autoLine="0" autoPict="0">
                <anchor moveWithCells="1">
                  <from>
                    <xdr:col>5</xdr:col>
                    <xdr:colOff>0</xdr:colOff>
                    <xdr:row>46</xdr:row>
                    <xdr:rowOff>0</xdr:rowOff>
                  </from>
                  <to>
                    <xdr:col>7</xdr:col>
                    <xdr:colOff>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87" r:id="rId80" name="Drop Down 195">
              <controlPr defaultSize="0" autoLine="0" autoPict="0">
                <anchor moveWithCells="1">
                  <from>
                    <xdr:col>4</xdr:col>
                    <xdr:colOff>0</xdr:colOff>
                    <xdr:row>42</xdr:row>
                    <xdr:rowOff>0</xdr:rowOff>
                  </from>
                  <to>
                    <xdr:col>5</xdr:col>
                    <xdr:colOff>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88" r:id="rId81" name="Drop Down 196">
              <controlPr defaultSize="0" autoLine="0" autoPict="0">
                <anchor moveWithCells="1">
                  <from>
                    <xdr:col>4</xdr:col>
                    <xdr:colOff>0</xdr:colOff>
                    <xdr:row>43</xdr:row>
                    <xdr:rowOff>0</xdr:rowOff>
                  </from>
                  <to>
                    <xdr:col>5</xdr:col>
                    <xdr:colOff>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89" r:id="rId82" name="Drop Down 197">
              <controlPr defaultSize="0" autoLine="0" autoPict="0">
                <anchor moveWithCells="1">
                  <from>
                    <xdr:col>4</xdr:col>
                    <xdr:colOff>0</xdr:colOff>
                    <xdr:row>44</xdr:row>
                    <xdr:rowOff>0</xdr:rowOff>
                  </from>
                  <to>
                    <xdr:col>5</xdr:col>
                    <xdr:colOff>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90" r:id="rId83" name="Drop Down 198">
              <controlPr defaultSize="0" autoLine="0" autoPict="0">
                <anchor moveWithCells="1">
                  <from>
                    <xdr:col>4</xdr:col>
                    <xdr:colOff>0</xdr:colOff>
                    <xdr:row>45</xdr:row>
                    <xdr:rowOff>0</xdr:rowOff>
                  </from>
                  <to>
                    <xdr:col>5</xdr:col>
                    <xdr:colOff>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91" r:id="rId84" name="Drop Down 199">
              <controlPr defaultSize="0" autoLine="0" autoPict="0">
                <anchor moveWithCells="1">
                  <from>
                    <xdr:col>4</xdr:col>
                    <xdr:colOff>0</xdr:colOff>
                    <xdr:row>46</xdr:row>
                    <xdr:rowOff>0</xdr:rowOff>
                  </from>
                  <to>
                    <xdr:col>5</xdr:col>
                    <xdr:colOff>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92" r:id="rId85" name="Drop Down 200">
              <controlPr defaultSize="0" autoLine="0" autoPict="0">
                <anchor moveWithCells="1">
                  <from>
                    <xdr:col>5</xdr:col>
                    <xdr:colOff>0</xdr:colOff>
                    <xdr:row>51</xdr:row>
                    <xdr:rowOff>0</xdr:rowOff>
                  </from>
                  <to>
                    <xdr:col>7</xdr:col>
                    <xdr:colOff>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93" r:id="rId86" name="Drop Down 201">
              <controlPr defaultSize="0" autoLine="0" autoPict="0">
                <anchor moveWithCells="1">
                  <from>
                    <xdr:col>5</xdr:col>
                    <xdr:colOff>0</xdr:colOff>
                    <xdr:row>52</xdr:row>
                    <xdr:rowOff>0</xdr:rowOff>
                  </from>
                  <to>
                    <xdr:col>7</xdr:col>
                    <xdr:colOff>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94" r:id="rId87" name="Drop Down 202">
              <controlPr defaultSize="0" autoLine="0" autoPict="0">
                <anchor moveWithCells="1">
                  <from>
                    <xdr:col>5</xdr:col>
                    <xdr:colOff>0</xdr:colOff>
                    <xdr:row>53</xdr:row>
                    <xdr:rowOff>0</xdr:rowOff>
                  </from>
                  <to>
                    <xdr:col>7</xdr:col>
                    <xdr:colOff>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95" r:id="rId88" name="Drop Down 203">
              <controlPr defaultSize="0" autoLine="0" autoPict="0">
                <anchor moveWithCells="1">
                  <from>
                    <xdr:col>5</xdr:col>
                    <xdr:colOff>0</xdr:colOff>
                    <xdr:row>54</xdr:row>
                    <xdr:rowOff>0</xdr:rowOff>
                  </from>
                  <to>
                    <xdr:col>7</xdr:col>
                    <xdr:colOff>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96" r:id="rId89" name="Drop Down 204">
              <controlPr defaultSize="0" autoLine="0" autoPict="0">
                <anchor moveWithCells="1">
                  <from>
                    <xdr:col>5</xdr:col>
                    <xdr:colOff>0</xdr:colOff>
                    <xdr:row>55</xdr:row>
                    <xdr:rowOff>0</xdr:rowOff>
                  </from>
                  <to>
                    <xdr:col>7</xdr:col>
                    <xdr:colOff>0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97" r:id="rId90" name="Drop Down 205">
              <controlPr defaultSize="0" autoLine="0" autoPict="0">
                <anchor moveWithCells="1">
                  <from>
                    <xdr:col>4</xdr:col>
                    <xdr:colOff>0</xdr:colOff>
                    <xdr:row>51</xdr:row>
                    <xdr:rowOff>0</xdr:rowOff>
                  </from>
                  <to>
                    <xdr:col>5</xdr:col>
                    <xdr:colOff>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98" r:id="rId91" name="Drop Down 206">
              <controlPr defaultSize="0" autoLine="0" autoPict="0">
                <anchor moveWithCells="1">
                  <from>
                    <xdr:col>4</xdr:col>
                    <xdr:colOff>0</xdr:colOff>
                    <xdr:row>52</xdr:row>
                    <xdr:rowOff>0</xdr:rowOff>
                  </from>
                  <to>
                    <xdr:col>5</xdr:col>
                    <xdr:colOff>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99" r:id="rId92" name="Drop Down 207">
              <controlPr defaultSize="0" autoLine="0" autoPict="0">
                <anchor moveWithCells="1">
                  <from>
                    <xdr:col>4</xdr:col>
                    <xdr:colOff>0</xdr:colOff>
                    <xdr:row>53</xdr:row>
                    <xdr:rowOff>0</xdr:rowOff>
                  </from>
                  <to>
                    <xdr:col>5</xdr:col>
                    <xdr:colOff>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00" r:id="rId93" name="Drop Down 208">
              <controlPr defaultSize="0" autoLine="0" autoPict="0">
                <anchor moveWithCells="1">
                  <from>
                    <xdr:col>4</xdr:col>
                    <xdr:colOff>0</xdr:colOff>
                    <xdr:row>54</xdr:row>
                    <xdr:rowOff>0</xdr:rowOff>
                  </from>
                  <to>
                    <xdr:col>5</xdr:col>
                    <xdr:colOff>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01" r:id="rId94" name="Drop Down 209">
              <controlPr defaultSize="0" autoLine="0" autoPict="0">
                <anchor moveWithCells="1">
                  <from>
                    <xdr:col>4</xdr:col>
                    <xdr:colOff>0</xdr:colOff>
                    <xdr:row>55</xdr:row>
                    <xdr:rowOff>0</xdr:rowOff>
                  </from>
                  <to>
                    <xdr:col>5</xdr:col>
                    <xdr:colOff>0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02" r:id="rId95" name="Drop Down 210">
              <controlPr defaultSize="0" autoLine="0" autoPict="0">
                <anchor moveWithCells="1">
                  <from>
                    <xdr:col>23</xdr:col>
                    <xdr:colOff>0</xdr:colOff>
                    <xdr:row>6</xdr:row>
                    <xdr:rowOff>0</xdr:rowOff>
                  </from>
                  <to>
                    <xdr:col>24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03" r:id="rId96" name="Drop Down 211">
              <controlPr defaultSize="0" autoLine="0" autoPict="0">
                <anchor moveWithCells="1">
                  <from>
                    <xdr:col>24</xdr:col>
                    <xdr:colOff>0</xdr:colOff>
                    <xdr:row>6</xdr:row>
                    <xdr:rowOff>0</xdr:rowOff>
                  </from>
                  <to>
                    <xdr:col>25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04" r:id="rId97" name="Drop Down 212">
              <controlPr defaultSize="0" autoLine="0" autoPict="0">
                <anchor moveWithCells="1">
                  <from>
                    <xdr:col>23</xdr:col>
                    <xdr:colOff>0</xdr:colOff>
                    <xdr:row>7</xdr:row>
                    <xdr:rowOff>0</xdr:rowOff>
                  </from>
                  <to>
                    <xdr:col>24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05" r:id="rId98" name="Drop Down 213">
              <controlPr defaultSize="0" autoLine="0" autoPict="0">
                <anchor moveWithCells="1">
                  <from>
                    <xdr:col>23</xdr:col>
                    <xdr:colOff>0</xdr:colOff>
                    <xdr:row>8</xdr:row>
                    <xdr:rowOff>0</xdr:rowOff>
                  </from>
                  <to>
                    <xdr:col>24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06" r:id="rId99" name="Drop Down 214">
              <controlPr defaultSize="0" autoLine="0" autoPict="0">
                <anchor moveWithCells="1">
                  <from>
                    <xdr:col>23</xdr:col>
                    <xdr:colOff>0</xdr:colOff>
                    <xdr:row>9</xdr:row>
                    <xdr:rowOff>0</xdr:rowOff>
                  </from>
                  <to>
                    <xdr:col>24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07" r:id="rId100" name="Drop Down 215">
              <controlPr defaultSize="0" autoLine="0" autoPict="0">
                <anchor moveWithCells="1">
                  <from>
                    <xdr:col>23</xdr:col>
                    <xdr:colOff>0</xdr:colOff>
                    <xdr:row>10</xdr:row>
                    <xdr:rowOff>0</xdr:rowOff>
                  </from>
                  <to>
                    <xdr:col>24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08" r:id="rId101" name="Drop Down 216">
              <controlPr defaultSize="0" autoLine="0" autoPict="0">
                <anchor moveWithCells="1">
                  <from>
                    <xdr:col>24</xdr:col>
                    <xdr:colOff>0</xdr:colOff>
                    <xdr:row>7</xdr:row>
                    <xdr:rowOff>0</xdr:rowOff>
                  </from>
                  <to>
                    <xdr:col>25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09" r:id="rId102" name="Drop Down 217">
              <controlPr defaultSize="0" autoLine="0" autoPict="0">
                <anchor moveWithCells="1">
                  <from>
                    <xdr:col>24</xdr:col>
                    <xdr:colOff>0</xdr:colOff>
                    <xdr:row>8</xdr:row>
                    <xdr:rowOff>0</xdr:rowOff>
                  </from>
                  <to>
                    <xdr:col>25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10" r:id="rId103" name="Drop Down 218">
              <controlPr defaultSize="0" autoLine="0" autoPict="0">
                <anchor moveWithCells="1">
                  <from>
                    <xdr:col>24</xdr:col>
                    <xdr:colOff>0</xdr:colOff>
                    <xdr:row>9</xdr:row>
                    <xdr:rowOff>0</xdr:rowOff>
                  </from>
                  <to>
                    <xdr:col>25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11" r:id="rId104" name="Drop Down 219">
              <controlPr defaultSize="0" autoLine="0" autoPict="0">
                <anchor moveWithCells="1">
                  <from>
                    <xdr:col>24</xdr:col>
                    <xdr:colOff>0</xdr:colOff>
                    <xdr:row>10</xdr:row>
                    <xdr:rowOff>0</xdr:rowOff>
                  </from>
                  <to>
                    <xdr:col>25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12" r:id="rId105" name="Drop Down 220">
              <controlPr defaultSize="0" autoLine="0" autoPict="0">
                <anchor moveWithCells="1">
                  <from>
                    <xdr:col>23</xdr:col>
                    <xdr:colOff>0</xdr:colOff>
                    <xdr:row>15</xdr:row>
                    <xdr:rowOff>0</xdr:rowOff>
                  </from>
                  <to>
                    <xdr:col>24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13" r:id="rId106" name="Drop Down 221">
              <controlPr defaultSize="0" autoLine="0" autoPict="0">
                <anchor moveWithCells="1">
                  <from>
                    <xdr:col>23</xdr:col>
                    <xdr:colOff>0</xdr:colOff>
                    <xdr:row>16</xdr:row>
                    <xdr:rowOff>0</xdr:rowOff>
                  </from>
                  <to>
                    <xdr:col>24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14" r:id="rId107" name="Drop Down 222">
              <controlPr defaultSize="0" autoLine="0" autoPict="0">
                <anchor moveWithCells="1">
                  <from>
                    <xdr:col>23</xdr:col>
                    <xdr:colOff>0</xdr:colOff>
                    <xdr:row>17</xdr:row>
                    <xdr:rowOff>0</xdr:rowOff>
                  </from>
                  <to>
                    <xdr:col>24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15" r:id="rId108" name="Drop Down 223">
              <controlPr defaultSize="0" autoLine="0" autoPict="0">
                <anchor moveWithCells="1">
                  <from>
                    <xdr:col>23</xdr:col>
                    <xdr:colOff>0</xdr:colOff>
                    <xdr:row>18</xdr:row>
                    <xdr:rowOff>0</xdr:rowOff>
                  </from>
                  <to>
                    <xdr:col>24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16" r:id="rId109" name="Drop Down 224">
              <controlPr defaultSize="0" autoLine="0" autoPict="0">
                <anchor moveWithCells="1">
                  <from>
                    <xdr:col>23</xdr:col>
                    <xdr:colOff>0</xdr:colOff>
                    <xdr:row>19</xdr:row>
                    <xdr:rowOff>0</xdr:rowOff>
                  </from>
                  <to>
                    <xdr:col>24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17" r:id="rId110" name="Drop Down 225">
              <controlPr defaultSize="0" autoLine="0" autoPict="0">
                <anchor moveWithCells="1">
                  <from>
                    <xdr:col>24</xdr:col>
                    <xdr:colOff>0</xdr:colOff>
                    <xdr:row>15</xdr:row>
                    <xdr:rowOff>0</xdr:rowOff>
                  </from>
                  <to>
                    <xdr:col>25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18" r:id="rId111" name="Drop Down 226">
              <controlPr defaultSize="0" autoLine="0" autoPict="0">
                <anchor moveWithCells="1">
                  <from>
                    <xdr:col>24</xdr:col>
                    <xdr:colOff>0</xdr:colOff>
                    <xdr:row>16</xdr:row>
                    <xdr:rowOff>0</xdr:rowOff>
                  </from>
                  <to>
                    <xdr:col>25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19" r:id="rId112" name="Drop Down 227">
              <controlPr defaultSize="0" autoLine="0" autoPict="0">
                <anchor moveWithCells="1">
                  <from>
                    <xdr:col>24</xdr:col>
                    <xdr:colOff>0</xdr:colOff>
                    <xdr:row>17</xdr:row>
                    <xdr:rowOff>0</xdr:rowOff>
                  </from>
                  <to>
                    <xdr:col>25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20" r:id="rId113" name="Drop Down 228">
              <controlPr defaultSize="0" autoLine="0" autoPict="0">
                <anchor moveWithCells="1">
                  <from>
                    <xdr:col>24</xdr:col>
                    <xdr:colOff>0</xdr:colOff>
                    <xdr:row>18</xdr:row>
                    <xdr:rowOff>0</xdr:rowOff>
                  </from>
                  <to>
                    <xdr:col>25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21" r:id="rId114" name="Drop Down 229">
              <controlPr defaultSize="0" autoLine="0" autoPict="0">
                <anchor moveWithCells="1">
                  <from>
                    <xdr:col>24</xdr:col>
                    <xdr:colOff>0</xdr:colOff>
                    <xdr:row>19</xdr:row>
                    <xdr:rowOff>0</xdr:rowOff>
                  </from>
                  <to>
                    <xdr:col>25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22" r:id="rId115" name="Drop Down 230">
              <controlPr defaultSize="0" autoLine="0" autoPict="0">
                <anchor moveWithCells="1">
                  <from>
                    <xdr:col>23</xdr:col>
                    <xdr:colOff>0</xdr:colOff>
                    <xdr:row>24</xdr:row>
                    <xdr:rowOff>0</xdr:rowOff>
                  </from>
                  <to>
                    <xdr:col>24</xdr:col>
                    <xdr:colOff>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23" r:id="rId116" name="Drop Down 231">
              <controlPr defaultSize="0" autoLine="0" autoPict="0">
                <anchor moveWithCells="1">
                  <from>
                    <xdr:col>24</xdr:col>
                    <xdr:colOff>0</xdr:colOff>
                    <xdr:row>24</xdr:row>
                    <xdr:rowOff>0</xdr:rowOff>
                  </from>
                  <to>
                    <xdr:col>25</xdr:col>
                    <xdr:colOff>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24" r:id="rId117" name="Drop Down 232">
              <controlPr defaultSize="0" autoLine="0" autoPict="0">
                <anchor moveWithCells="1">
                  <from>
                    <xdr:col>24</xdr:col>
                    <xdr:colOff>0</xdr:colOff>
                    <xdr:row>25</xdr:row>
                    <xdr:rowOff>0</xdr:rowOff>
                  </from>
                  <to>
                    <xdr:col>25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25" r:id="rId118" name="Drop Down 233">
              <controlPr defaultSize="0" autoLine="0" autoPict="0">
                <anchor moveWithCells="1">
                  <from>
                    <xdr:col>24</xdr:col>
                    <xdr:colOff>0</xdr:colOff>
                    <xdr:row>26</xdr:row>
                    <xdr:rowOff>0</xdr:rowOff>
                  </from>
                  <to>
                    <xdr:col>25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26" r:id="rId119" name="Drop Down 234">
              <controlPr defaultSize="0" autoLine="0" autoPict="0">
                <anchor moveWithCells="1">
                  <from>
                    <xdr:col>24</xdr:col>
                    <xdr:colOff>0</xdr:colOff>
                    <xdr:row>27</xdr:row>
                    <xdr:rowOff>0</xdr:rowOff>
                  </from>
                  <to>
                    <xdr:col>25</xdr:col>
                    <xdr:colOff>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27" r:id="rId120" name="Drop Down 235">
              <controlPr defaultSize="0" autoLine="0" autoPict="0">
                <anchor moveWithCells="1">
                  <from>
                    <xdr:col>24</xdr:col>
                    <xdr:colOff>0</xdr:colOff>
                    <xdr:row>28</xdr:row>
                    <xdr:rowOff>0</xdr:rowOff>
                  </from>
                  <to>
                    <xdr:col>25</xdr:col>
                    <xdr:colOff>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28" r:id="rId121" name="Drop Down 236">
              <controlPr defaultSize="0" autoLine="0" autoPict="0">
                <anchor moveWithCells="1">
                  <from>
                    <xdr:col>23</xdr:col>
                    <xdr:colOff>0</xdr:colOff>
                    <xdr:row>25</xdr:row>
                    <xdr:rowOff>0</xdr:rowOff>
                  </from>
                  <to>
                    <xdr:col>24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29" r:id="rId122" name="Drop Down 237">
              <controlPr defaultSize="0" autoLine="0" autoPict="0">
                <anchor moveWithCells="1">
                  <from>
                    <xdr:col>23</xdr:col>
                    <xdr:colOff>0</xdr:colOff>
                    <xdr:row>26</xdr:row>
                    <xdr:rowOff>0</xdr:rowOff>
                  </from>
                  <to>
                    <xdr:col>24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30" r:id="rId123" name="Drop Down 238">
              <controlPr defaultSize="0" autoLine="0" autoPict="0">
                <anchor moveWithCells="1">
                  <from>
                    <xdr:col>23</xdr:col>
                    <xdr:colOff>0</xdr:colOff>
                    <xdr:row>27</xdr:row>
                    <xdr:rowOff>0</xdr:rowOff>
                  </from>
                  <to>
                    <xdr:col>24</xdr:col>
                    <xdr:colOff>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31" r:id="rId124" name="Drop Down 239">
              <controlPr defaultSize="0" autoLine="0" autoPict="0">
                <anchor moveWithCells="1">
                  <from>
                    <xdr:col>23</xdr:col>
                    <xdr:colOff>0</xdr:colOff>
                    <xdr:row>28</xdr:row>
                    <xdr:rowOff>0</xdr:rowOff>
                  </from>
                  <to>
                    <xdr:col>24</xdr:col>
                    <xdr:colOff>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32" r:id="rId125" name="Drop Down 240">
              <controlPr defaultSize="0" autoLine="0" autoPict="0">
                <anchor moveWithCells="1">
                  <from>
                    <xdr:col>23</xdr:col>
                    <xdr:colOff>0</xdr:colOff>
                    <xdr:row>33</xdr:row>
                    <xdr:rowOff>0</xdr:rowOff>
                  </from>
                  <to>
                    <xdr:col>24</xdr:col>
                    <xdr:colOff>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33" r:id="rId126" name="Drop Down 241">
              <controlPr defaultSize="0" autoLine="0" autoPict="0">
                <anchor moveWithCells="1">
                  <from>
                    <xdr:col>24</xdr:col>
                    <xdr:colOff>0</xdr:colOff>
                    <xdr:row>33</xdr:row>
                    <xdr:rowOff>0</xdr:rowOff>
                  </from>
                  <to>
                    <xdr:col>25</xdr:col>
                    <xdr:colOff>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34" r:id="rId127" name="Drop Down 242">
              <controlPr defaultSize="0" autoLine="0" autoPict="0">
                <anchor moveWithCells="1">
                  <from>
                    <xdr:col>23</xdr:col>
                    <xdr:colOff>0</xdr:colOff>
                    <xdr:row>34</xdr:row>
                    <xdr:rowOff>0</xdr:rowOff>
                  </from>
                  <to>
                    <xdr:col>24</xdr:col>
                    <xdr:colOff>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35" r:id="rId128" name="Drop Down 243">
              <controlPr defaultSize="0" autoLine="0" autoPict="0">
                <anchor moveWithCells="1">
                  <from>
                    <xdr:col>23</xdr:col>
                    <xdr:colOff>0</xdr:colOff>
                    <xdr:row>35</xdr:row>
                    <xdr:rowOff>0</xdr:rowOff>
                  </from>
                  <to>
                    <xdr:col>24</xdr:col>
                    <xdr:colOff>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36" r:id="rId129" name="Drop Down 244">
              <controlPr defaultSize="0" autoLine="0" autoPict="0">
                <anchor moveWithCells="1">
                  <from>
                    <xdr:col>23</xdr:col>
                    <xdr:colOff>0</xdr:colOff>
                    <xdr:row>36</xdr:row>
                    <xdr:rowOff>0</xdr:rowOff>
                  </from>
                  <to>
                    <xdr:col>24</xdr:col>
                    <xdr:colOff>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37" r:id="rId130" name="Drop Down 245">
              <controlPr defaultSize="0" autoLine="0" autoPict="0">
                <anchor moveWithCells="1">
                  <from>
                    <xdr:col>23</xdr:col>
                    <xdr:colOff>0</xdr:colOff>
                    <xdr:row>37</xdr:row>
                    <xdr:rowOff>0</xdr:rowOff>
                  </from>
                  <to>
                    <xdr:col>24</xdr:col>
                    <xdr:colOff>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38" r:id="rId131" name="Drop Down 246">
              <controlPr defaultSize="0" autoLine="0" autoPict="0">
                <anchor moveWithCells="1">
                  <from>
                    <xdr:col>24</xdr:col>
                    <xdr:colOff>0</xdr:colOff>
                    <xdr:row>34</xdr:row>
                    <xdr:rowOff>0</xdr:rowOff>
                  </from>
                  <to>
                    <xdr:col>25</xdr:col>
                    <xdr:colOff>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39" r:id="rId132" name="Drop Down 247">
              <controlPr defaultSize="0" autoLine="0" autoPict="0">
                <anchor moveWithCells="1">
                  <from>
                    <xdr:col>24</xdr:col>
                    <xdr:colOff>0</xdr:colOff>
                    <xdr:row>35</xdr:row>
                    <xdr:rowOff>0</xdr:rowOff>
                  </from>
                  <to>
                    <xdr:col>25</xdr:col>
                    <xdr:colOff>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40" r:id="rId133" name="Drop Down 248">
              <controlPr defaultSize="0" autoLine="0" autoPict="0">
                <anchor moveWithCells="1">
                  <from>
                    <xdr:col>24</xdr:col>
                    <xdr:colOff>0</xdr:colOff>
                    <xdr:row>36</xdr:row>
                    <xdr:rowOff>0</xdr:rowOff>
                  </from>
                  <to>
                    <xdr:col>25</xdr:col>
                    <xdr:colOff>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41" r:id="rId134" name="Drop Down 249">
              <controlPr defaultSize="0" autoLine="0" autoPict="0">
                <anchor moveWithCells="1">
                  <from>
                    <xdr:col>24</xdr:col>
                    <xdr:colOff>0</xdr:colOff>
                    <xdr:row>37</xdr:row>
                    <xdr:rowOff>0</xdr:rowOff>
                  </from>
                  <to>
                    <xdr:col>25</xdr:col>
                    <xdr:colOff>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42" r:id="rId135" name="Drop Down 250">
              <controlPr defaultSize="0" autoLine="0" autoPict="0">
                <anchor moveWithCells="1">
                  <from>
                    <xdr:col>23</xdr:col>
                    <xdr:colOff>0</xdr:colOff>
                    <xdr:row>42</xdr:row>
                    <xdr:rowOff>0</xdr:rowOff>
                  </from>
                  <to>
                    <xdr:col>24</xdr:col>
                    <xdr:colOff>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43" r:id="rId136" name="Drop Down 251">
              <controlPr defaultSize="0" autoLine="0" autoPict="0">
                <anchor moveWithCells="1">
                  <from>
                    <xdr:col>24</xdr:col>
                    <xdr:colOff>0</xdr:colOff>
                    <xdr:row>42</xdr:row>
                    <xdr:rowOff>0</xdr:rowOff>
                  </from>
                  <to>
                    <xdr:col>25</xdr:col>
                    <xdr:colOff>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44" r:id="rId137" name="Drop Down 252">
              <controlPr defaultSize="0" autoLine="0" autoPict="0">
                <anchor moveWithCells="1">
                  <from>
                    <xdr:col>23</xdr:col>
                    <xdr:colOff>0</xdr:colOff>
                    <xdr:row>43</xdr:row>
                    <xdr:rowOff>0</xdr:rowOff>
                  </from>
                  <to>
                    <xdr:col>24</xdr:col>
                    <xdr:colOff>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45" r:id="rId138" name="Drop Down 253">
              <controlPr defaultSize="0" autoLine="0" autoPict="0">
                <anchor moveWithCells="1">
                  <from>
                    <xdr:col>23</xdr:col>
                    <xdr:colOff>0</xdr:colOff>
                    <xdr:row>44</xdr:row>
                    <xdr:rowOff>0</xdr:rowOff>
                  </from>
                  <to>
                    <xdr:col>24</xdr:col>
                    <xdr:colOff>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46" r:id="rId139" name="Drop Down 254">
              <controlPr defaultSize="0" autoLine="0" autoPict="0">
                <anchor moveWithCells="1">
                  <from>
                    <xdr:col>23</xdr:col>
                    <xdr:colOff>0</xdr:colOff>
                    <xdr:row>45</xdr:row>
                    <xdr:rowOff>0</xdr:rowOff>
                  </from>
                  <to>
                    <xdr:col>24</xdr:col>
                    <xdr:colOff>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47" r:id="rId140" name="Drop Down 255">
              <controlPr defaultSize="0" autoLine="0" autoPict="0">
                <anchor moveWithCells="1">
                  <from>
                    <xdr:col>23</xdr:col>
                    <xdr:colOff>0</xdr:colOff>
                    <xdr:row>46</xdr:row>
                    <xdr:rowOff>0</xdr:rowOff>
                  </from>
                  <to>
                    <xdr:col>24</xdr:col>
                    <xdr:colOff>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48" r:id="rId141" name="Drop Down 256">
              <controlPr defaultSize="0" autoLine="0" autoPict="0">
                <anchor moveWithCells="1">
                  <from>
                    <xdr:col>24</xdr:col>
                    <xdr:colOff>0</xdr:colOff>
                    <xdr:row>43</xdr:row>
                    <xdr:rowOff>0</xdr:rowOff>
                  </from>
                  <to>
                    <xdr:col>25</xdr:col>
                    <xdr:colOff>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49" r:id="rId142" name="Drop Down 257">
              <controlPr defaultSize="0" autoLine="0" autoPict="0">
                <anchor moveWithCells="1">
                  <from>
                    <xdr:col>24</xdr:col>
                    <xdr:colOff>0</xdr:colOff>
                    <xdr:row>44</xdr:row>
                    <xdr:rowOff>0</xdr:rowOff>
                  </from>
                  <to>
                    <xdr:col>25</xdr:col>
                    <xdr:colOff>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50" r:id="rId143" name="Drop Down 258">
              <controlPr defaultSize="0" autoLine="0" autoPict="0">
                <anchor moveWithCells="1">
                  <from>
                    <xdr:col>24</xdr:col>
                    <xdr:colOff>0</xdr:colOff>
                    <xdr:row>45</xdr:row>
                    <xdr:rowOff>0</xdr:rowOff>
                  </from>
                  <to>
                    <xdr:col>25</xdr:col>
                    <xdr:colOff>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51" r:id="rId144" name="Drop Down 259">
              <controlPr defaultSize="0" autoLine="0" autoPict="0">
                <anchor moveWithCells="1">
                  <from>
                    <xdr:col>24</xdr:col>
                    <xdr:colOff>0</xdr:colOff>
                    <xdr:row>46</xdr:row>
                    <xdr:rowOff>0</xdr:rowOff>
                  </from>
                  <to>
                    <xdr:col>25</xdr:col>
                    <xdr:colOff>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52" r:id="rId145" name="Drop Down 260">
              <controlPr defaultSize="0" autoLine="0" autoPict="0">
                <anchor moveWithCells="1">
                  <from>
                    <xdr:col>23</xdr:col>
                    <xdr:colOff>0</xdr:colOff>
                    <xdr:row>51</xdr:row>
                    <xdr:rowOff>0</xdr:rowOff>
                  </from>
                  <to>
                    <xdr:col>24</xdr:col>
                    <xdr:colOff>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53" r:id="rId146" name="Drop Down 261">
              <controlPr defaultSize="0" autoLine="0" autoPict="0">
                <anchor moveWithCells="1">
                  <from>
                    <xdr:col>24</xdr:col>
                    <xdr:colOff>0</xdr:colOff>
                    <xdr:row>51</xdr:row>
                    <xdr:rowOff>0</xdr:rowOff>
                  </from>
                  <to>
                    <xdr:col>25</xdr:col>
                    <xdr:colOff>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54" r:id="rId147" name="Drop Down 262">
              <controlPr defaultSize="0" autoLine="0" autoPict="0">
                <anchor moveWithCells="1">
                  <from>
                    <xdr:col>23</xdr:col>
                    <xdr:colOff>0</xdr:colOff>
                    <xdr:row>52</xdr:row>
                    <xdr:rowOff>0</xdr:rowOff>
                  </from>
                  <to>
                    <xdr:col>24</xdr:col>
                    <xdr:colOff>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55" r:id="rId148" name="Drop Down 263">
              <controlPr defaultSize="0" autoLine="0" autoPict="0">
                <anchor moveWithCells="1">
                  <from>
                    <xdr:col>23</xdr:col>
                    <xdr:colOff>0</xdr:colOff>
                    <xdr:row>53</xdr:row>
                    <xdr:rowOff>0</xdr:rowOff>
                  </from>
                  <to>
                    <xdr:col>24</xdr:col>
                    <xdr:colOff>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56" r:id="rId149" name="Drop Down 264">
              <controlPr defaultSize="0" autoLine="0" autoPict="0">
                <anchor moveWithCells="1">
                  <from>
                    <xdr:col>23</xdr:col>
                    <xdr:colOff>0</xdr:colOff>
                    <xdr:row>54</xdr:row>
                    <xdr:rowOff>0</xdr:rowOff>
                  </from>
                  <to>
                    <xdr:col>24</xdr:col>
                    <xdr:colOff>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57" r:id="rId150" name="Drop Down 265">
              <controlPr defaultSize="0" autoLine="0" autoPict="0">
                <anchor moveWithCells="1">
                  <from>
                    <xdr:col>23</xdr:col>
                    <xdr:colOff>0</xdr:colOff>
                    <xdr:row>55</xdr:row>
                    <xdr:rowOff>0</xdr:rowOff>
                  </from>
                  <to>
                    <xdr:col>24</xdr:col>
                    <xdr:colOff>0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58" r:id="rId151" name="Drop Down 266">
              <controlPr defaultSize="0" autoLine="0" autoPict="0">
                <anchor moveWithCells="1">
                  <from>
                    <xdr:col>24</xdr:col>
                    <xdr:colOff>0</xdr:colOff>
                    <xdr:row>52</xdr:row>
                    <xdr:rowOff>0</xdr:rowOff>
                  </from>
                  <to>
                    <xdr:col>25</xdr:col>
                    <xdr:colOff>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59" r:id="rId152" name="Drop Down 267">
              <controlPr defaultSize="0" autoLine="0" autoPict="0">
                <anchor moveWithCells="1">
                  <from>
                    <xdr:col>24</xdr:col>
                    <xdr:colOff>0</xdr:colOff>
                    <xdr:row>53</xdr:row>
                    <xdr:rowOff>0</xdr:rowOff>
                  </from>
                  <to>
                    <xdr:col>25</xdr:col>
                    <xdr:colOff>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60" r:id="rId153" name="Drop Down 268">
              <controlPr defaultSize="0" autoLine="0" autoPict="0">
                <anchor moveWithCells="1">
                  <from>
                    <xdr:col>24</xdr:col>
                    <xdr:colOff>0</xdr:colOff>
                    <xdr:row>54</xdr:row>
                    <xdr:rowOff>0</xdr:rowOff>
                  </from>
                  <to>
                    <xdr:col>25</xdr:col>
                    <xdr:colOff>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61" r:id="rId154" name="Drop Down 269">
              <controlPr defaultSize="0" autoLine="0" autoPict="0">
                <anchor moveWithCells="1">
                  <from>
                    <xdr:col>24</xdr:col>
                    <xdr:colOff>0</xdr:colOff>
                    <xdr:row>55</xdr:row>
                    <xdr:rowOff>0</xdr:rowOff>
                  </from>
                  <to>
                    <xdr:col>25</xdr:col>
                    <xdr:colOff>0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62" r:id="rId155" name="Drop Down 270">
              <controlPr defaultSize="0" autoLine="0" autoPict="0">
                <anchor moveWithCells="1">
                  <from>
                    <xdr:col>13</xdr:col>
                    <xdr:colOff>0</xdr:colOff>
                    <xdr:row>7</xdr:row>
                    <xdr:rowOff>0</xdr:rowOff>
                  </from>
                  <to>
                    <xdr:col>14</xdr:col>
                    <xdr:colOff>0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63" r:id="rId156" name="Drop Down 271">
              <controlPr defaultSize="0" autoLine="0" autoPict="0">
                <anchor moveWithCells="1">
                  <from>
                    <xdr:col>13</xdr:col>
                    <xdr:colOff>0</xdr:colOff>
                    <xdr:row>8</xdr:row>
                    <xdr:rowOff>0</xdr:rowOff>
                  </from>
                  <to>
                    <xdr:col>14</xdr:col>
                    <xdr:colOff>0</xdr:colOff>
                    <xdr:row>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64" r:id="rId157" name="Drop Down 272">
              <controlPr defaultSize="0" autoLine="0" autoPict="0">
                <anchor moveWithCells="1">
                  <from>
                    <xdr:col>13</xdr:col>
                    <xdr:colOff>0</xdr:colOff>
                    <xdr:row>9</xdr:row>
                    <xdr:rowOff>0</xdr:rowOff>
                  </from>
                  <to>
                    <xdr:col>14</xdr:col>
                    <xdr:colOff>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65" r:id="rId158" name="Drop Down 273">
              <controlPr defaultSize="0" autoLine="0" autoPict="0">
                <anchor moveWithCells="1">
                  <from>
                    <xdr:col>13</xdr:col>
                    <xdr:colOff>0</xdr:colOff>
                    <xdr:row>10</xdr:row>
                    <xdr:rowOff>0</xdr:rowOff>
                  </from>
                  <to>
                    <xdr:col>14</xdr:col>
                    <xdr:colOff>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66" r:id="rId159" name="Drop Down 274">
              <controlPr defaultSize="0" autoLine="0" autoPict="0">
                <anchor moveWithCells="1">
                  <from>
                    <xdr:col>13</xdr:col>
                    <xdr:colOff>0</xdr:colOff>
                    <xdr:row>15</xdr:row>
                    <xdr:rowOff>0</xdr:rowOff>
                  </from>
                  <to>
                    <xdr:col>14</xdr:col>
                    <xdr:colOff>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67" r:id="rId160" name="Drop Down 275">
              <controlPr defaultSize="0" autoLine="0" autoPict="0">
                <anchor moveWithCells="1">
                  <from>
                    <xdr:col>13</xdr:col>
                    <xdr:colOff>0</xdr:colOff>
                    <xdr:row>16</xdr:row>
                    <xdr:rowOff>0</xdr:rowOff>
                  </from>
                  <to>
                    <xdr:col>14</xdr:col>
                    <xdr:colOff>0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68" r:id="rId161" name="Drop Down 276">
              <controlPr defaultSize="0" autoLine="0" autoPict="0">
                <anchor moveWithCells="1">
                  <from>
                    <xdr:col>13</xdr:col>
                    <xdr:colOff>0</xdr:colOff>
                    <xdr:row>17</xdr:row>
                    <xdr:rowOff>0</xdr:rowOff>
                  </from>
                  <to>
                    <xdr:col>14</xdr:col>
                    <xdr:colOff>0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69" r:id="rId162" name="Drop Down 277">
              <controlPr defaultSize="0" autoLine="0" autoPict="0">
                <anchor moveWithCells="1">
                  <from>
                    <xdr:col>13</xdr:col>
                    <xdr:colOff>0</xdr:colOff>
                    <xdr:row>18</xdr:row>
                    <xdr:rowOff>0</xdr:rowOff>
                  </from>
                  <to>
                    <xdr:col>14</xdr:col>
                    <xdr:colOff>0</xdr:colOff>
                    <xdr:row>19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70" r:id="rId163" name="Drop Down 278">
              <controlPr defaultSize="0" autoLine="0" autoPict="0">
                <anchor moveWithCells="1">
                  <from>
                    <xdr:col>13</xdr:col>
                    <xdr:colOff>0</xdr:colOff>
                    <xdr:row>19</xdr:row>
                    <xdr:rowOff>0</xdr:rowOff>
                  </from>
                  <to>
                    <xdr:col>14</xdr:col>
                    <xdr:colOff>0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71" r:id="rId164" name="Drop Down 279">
              <controlPr defaultSize="0" autoLine="0" autoPict="0">
                <anchor moveWithCells="1">
                  <from>
                    <xdr:col>13</xdr:col>
                    <xdr:colOff>0</xdr:colOff>
                    <xdr:row>24</xdr:row>
                    <xdr:rowOff>0</xdr:rowOff>
                  </from>
                  <to>
                    <xdr:col>14</xdr:col>
                    <xdr:colOff>0</xdr:colOff>
                    <xdr:row>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72" r:id="rId165" name="Drop Down 280">
              <controlPr defaultSize="0" autoLine="0" autoPict="0">
                <anchor moveWithCells="1">
                  <from>
                    <xdr:col>13</xdr:col>
                    <xdr:colOff>0</xdr:colOff>
                    <xdr:row>25</xdr:row>
                    <xdr:rowOff>0</xdr:rowOff>
                  </from>
                  <to>
                    <xdr:col>14</xdr:col>
                    <xdr:colOff>0</xdr:colOff>
                    <xdr:row>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73" r:id="rId166" name="Drop Down 281">
              <controlPr defaultSize="0" autoLine="0" autoPict="0">
                <anchor moveWithCells="1">
                  <from>
                    <xdr:col>13</xdr:col>
                    <xdr:colOff>0</xdr:colOff>
                    <xdr:row>26</xdr:row>
                    <xdr:rowOff>0</xdr:rowOff>
                  </from>
                  <to>
                    <xdr:col>14</xdr:col>
                    <xdr:colOff>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74" r:id="rId167" name="Drop Down 282">
              <controlPr defaultSize="0" autoLine="0" autoPict="0">
                <anchor moveWithCells="1">
                  <from>
                    <xdr:col>13</xdr:col>
                    <xdr:colOff>0</xdr:colOff>
                    <xdr:row>27</xdr:row>
                    <xdr:rowOff>0</xdr:rowOff>
                  </from>
                  <to>
                    <xdr:col>14</xdr:col>
                    <xdr:colOff>0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75" r:id="rId168" name="Drop Down 283">
              <controlPr defaultSize="0" autoLine="0" autoPict="0">
                <anchor moveWithCells="1">
                  <from>
                    <xdr:col>13</xdr:col>
                    <xdr:colOff>0</xdr:colOff>
                    <xdr:row>28</xdr:row>
                    <xdr:rowOff>0</xdr:rowOff>
                  </from>
                  <to>
                    <xdr:col>14</xdr:col>
                    <xdr:colOff>0</xdr:colOff>
                    <xdr:row>29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76" r:id="rId169" name="Drop Down 284">
              <controlPr defaultSize="0" autoLine="0" autoPict="0">
                <anchor moveWithCells="1">
                  <from>
                    <xdr:col>13</xdr:col>
                    <xdr:colOff>0</xdr:colOff>
                    <xdr:row>33</xdr:row>
                    <xdr:rowOff>0</xdr:rowOff>
                  </from>
                  <to>
                    <xdr:col>14</xdr:col>
                    <xdr:colOff>0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77" r:id="rId170" name="Drop Down 285">
              <controlPr defaultSize="0" autoLine="0" autoPict="0">
                <anchor moveWithCells="1">
                  <from>
                    <xdr:col>13</xdr:col>
                    <xdr:colOff>0</xdr:colOff>
                    <xdr:row>34</xdr:row>
                    <xdr:rowOff>0</xdr:rowOff>
                  </from>
                  <to>
                    <xdr:col>14</xdr:col>
                    <xdr:colOff>0</xdr:colOff>
                    <xdr:row>35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78" r:id="rId171" name="Drop Down 286">
              <controlPr defaultSize="0" autoLine="0" autoPict="0">
                <anchor moveWithCells="1">
                  <from>
                    <xdr:col>13</xdr:col>
                    <xdr:colOff>0</xdr:colOff>
                    <xdr:row>35</xdr:row>
                    <xdr:rowOff>0</xdr:rowOff>
                  </from>
                  <to>
                    <xdr:col>14</xdr:col>
                    <xdr:colOff>0</xdr:colOff>
                    <xdr:row>36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79" r:id="rId172" name="Drop Down 287">
              <controlPr defaultSize="0" autoLine="0" autoPict="0">
                <anchor moveWithCells="1">
                  <from>
                    <xdr:col>13</xdr:col>
                    <xdr:colOff>0</xdr:colOff>
                    <xdr:row>36</xdr:row>
                    <xdr:rowOff>0</xdr:rowOff>
                  </from>
                  <to>
                    <xdr:col>14</xdr:col>
                    <xdr:colOff>0</xdr:colOff>
                    <xdr:row>37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80" r:id="rId173" name="Drop Down 288">
              <controlPr defaultSize="0" autoLine="0" autoPict="0">
                <anchor moveWithCells="1">
                  <from>
                    <xdr:col>13</xdr:col>
                    <xdr:colOff>0</xdr:colOff>
                    <xdr:row>37</xdr:row>
                    <xdr:rowOff>0</xdr:rowOff>
                  </from>
                  <to>
                    <xdr:col>14</xdr:col>
                    <xdr:colOff>0</xdr:colOff>
                    <xdr:row>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81" r:id="rId174" name="Drop Down 289">
              <controlPr defaultSize="0" autoLine="0" autoPict="0">
                <anchor moveWithCells="1">
                  <from>
                    <xdr:col>13</xdr:col>
                    <xdr:colOff>0</xdr:colOff>
                    <xdr:row>42</xdr:row>
                    <xdr:rowOff>0</xdr:rowOff>
                  </from>
                  <to>
                    <xdr:col>14</xdr:col>
                    <xdr:colOff>0</xdr:colOff>
                    <xdr:row>43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82" r:id="rId175" name="Drop Down 290">
              <controlPr defaultSize="0" autoLine="0" autoPict="0">
                <anchor moveWithCells="1">
                  <from>
                    <xdr:col>13</xdr:col>
                    <xdr:colOff>0</xdr:colOff>
                    <xdr:row>43</xdr:row>
                    <xdr:rowOff>0</xdr:rowOff>
                  </from>
                  <to>
                    <xdr:col>14</xdr:col>
                    <xdr:colOff>0</xdr:colOff>
                    <xdr:row>44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83" r:id="rId176" name="Drop Down 291">
              <controlPr defaultSize="0" autoLine="0" autoPict="0">
                <anchor moveWithCells="1">
                  <from>
                    <xdr:col>13</xdr:col>
                    <xdr:colOff>0</xdr:colOff>
                    <xdr:row>44</xdr:row>
                    <xdr:rowOff>0</xdr:rowOff>
                  </from>
                  <to>
                    <xdr:col>14</xdr:col>
                    <xdr:colOff>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84" r:id="rId177" name="Drop Down 292">
              <controlPr defaultSize="0" autoLine="0" autoPict="0">
                <anchor moveWithCells="1">
                  <from>
                    <xdr:col>13</xdr:col>
                    <xdr:colOff>0</xdr:colOff>
                    <xdr:row>45</xdr:row>
                    <xdr:rowOff>0</xdr:rowOff>
                  </from>
                  <to>
                    <xdr:col>14</xdr:col>
                    <xdr:colOff>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85" r:id="rId178" name="Drop Down 293">
              <controlPr defaultSize="0" autoLine="0" autoPict="0">
                <anchor moveWithCells="1">
                  <from>
                    <xdr:col>13</xdr:col>
                    <xdr:colOff>0</xdr:colOff>
                    <xdr:row>46</xdr:row>
                    <xdr:rowOff>0</xdr:rowOff>
                  </from>
                  <to>
                    <xdr:col>14</xdr:col>
                    <xdr:colOff>0</xdr:colOff>
                    <xdr:row>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86" r:id="rId179" name="Drop Down 294">
              <controlPr defaultSize="0" autoLine="0" autoPict="0">
                <anchor moveWithCells="1">
                  <from>
                    <xdr:col>13</xdr:col>
                    <xdr:colOff>0</xdr:colOff>
                    <xdr:row>51</xdr:row>
                    <xdr:rowOff>0</xdr:rowOff>
                  </from>
                  <to>
                    <xdr:col>14</xdr:col>
                    <xdr:colOff>0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87" r:id="rId180" name="Drop Down 295">
              <controlPr defaultSize="0" autoLine="0" autoPict="0">
                <anchor moveWithCells="1">
                  <from>
                    <xdr:col>13</xdr:col>
                    <xdr:colOff>0</xdr:colOff>
                    <xdr:row>52</xdr:row>
                    <xdr:rowOff>0</xdr:rowOff>
                  </from>
                  <to>
                    <xdr:col>14</xdr:col>
                    <xdr:colOff>0</xdr:colOff>
                    <xdr:row>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88" r:id="rId181" name="Drop Down 296">
              <controlPr defaultSize="0" autoLine="0" autoPict="0">
                <anchor moveWithCells="1">
                  <from>
                    <xdr:col>13</xdr:col>
                    <xdr:colOff>0</xdr:colOff>
                    <xdr:row>53</xdr:row>
                    <xdr:rowOff>0</xdr:rowOff>
                  </from>
                  <to>
                    <xdr:col>14</xdr:col>
                    <xdr:colOff>0</xdr:colOff>
                    <xdr:row>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89" r:id="rId182" name="Drop Down 297">
              <controlPr defaultSize="0" autoLine="0" autoPict="0">
                <anchor moveWithCells="1">
                  <from>
                    <xdr:col>13</xdr:col>
                    <xdr:colOff>0</xdr:colOff>
                    <xdr:row>54</xdr:row>
                    <xdr:rowOff>0</xdr:rowOff>
                  </from>
                  <to>
                    <xdr:col>14</xdr:col>
                    <xdr:colOff>0</xdr:colOff>
                    <xdr:row>55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90" r:id="rId183" name="Drop Down 298">
              <controlPr defaultSize="0" autoLine="0" autoPict="0">
                <anchor moveWithCells="1">
                  <from>
                    <xdr:col>13</xdr:col>
                    <xdr:colOff>0</xdr:colOff>
                    <xdr:row>55</xdr:row>
                    <xdr:rowOff>0</xdr:rowOff>
                  </from>
                  <to>
                    <xdr:col>14</xdr:col>
                    <xdr:colOff>0</xdr:colOff>
                    <xdr:row>56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91" r:id="rId184" name="Drop Down 299">
              <controlPr defaultSize="0" autoLine="0" autoPict="0">
                <anchor moveWithCells="1">
                  <from>
                    <xdr:col>17</xdr:col>
                    <xdr:colOff>0</xdr:colOff>
                    <xdr:row>60</xdr:row>
                    <xdr:rowOff>0</xdr:rowOff>
                  </from>
                  <to>
                    <xdr:col>18</xdr:col>
                    <xdr:colOff>9525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92" r:id="rId185" name="Drop Down 300">
              <controlPr defaultSize="0" autoLine="0" autoPict="0">
                <anchor moveWithCells="1">
                  <from>
                    <xdr:col>17</xdr:col>
                    <xdr:colOff>0</xdr:colOff>
                    <xdr:row>61</xdr:row>
                    <xdr:rowOff>0</xdr:rowOff>
                  </from>
                  <to>
                    <xdr:col>18</xdr:col>
                    <xdr:colOff>9525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93" r:id="rId186" name="Drop Down 301">
              <controlPr defaultSize="0" autoLine="0" autoPict="0">
                <anchor moveWithCells="1">
                  <from>
                    <xdr:col>17</xdr:col>
                    <xdr:colOff>0</xdr:colOff>
                    <xdr:row>62</xdr:row>
                    <xdr:rowOff>0</xdr:rowOff>
                  </from>
                  <to>
                    <xdr:col>18</xdr:col>
                    <xdr:colOff>9525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94" r:id="rId187" name="Drop Down 302">
              <controlPr defaultSize="0" autoLine="0" autoPict="0">
                <anchor moveWithCells="1">
                  <from>
                    <xdr:col>17</xdr:col>
                    <xdr:colOff>0</xdr:colOff>
                    <xdr:row>63</xdr:row>
                    <xdr:rowOff>0</xdr:rowOff>
                  </from>
                  <to>
                    <xdr:col>18</xdr:col>
                    <xdr:colOff>9525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95" r:id="rId188" name="Drop Down 303">
              <controlPr defaultSize="0" autoLine="0" autoPict="0">
                <anchor moveWithCells="1">
                  <from>
                    <xdr:col>17</xdr:col>
                    <xdr:colOff>0</xdr:colOff>
                    <xdr:row>64</xdr:row>
                    <xdr:rowOff>0</xdr:rowOff>
                  </from>
                  <to>
                    <xdr:col>18</xdr:col>
                    <xdr:colOff>9525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96" r:id="rId189" name="Drop Down 304">
              <controlPr defaultSize="0" autoLine="0" autoPict="0">
                <anchor moveWithCells="1">
                  <from>
                    <xdr:col>5</xdr:col>
                    <xdr:colOff>0</xdr:colOff>
                    <xdr:row>60</xdr:row>
                    <xdr:rowOff>0</xdr:rowOff>
                  </from>
                  <to>
                    <xdr:col>7</xdr:col>
                    <xdr:colOff>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97" r:id="rId190" name="Drop Down 305">
              <controlPr defaultSize="0" autoLine="0" autoPict="0">
                <anchor moveWithCells="1">
                  <from>
                    <xdr:col>5</xdr:col>
                    <xdr:colOff>0</xdr:colOff>
                    <xdr:row>61</xdr:row>
                    <xdr:rowOff>0</xdr:rowOff>
                  </from>
                  <to>
                    <xdr:col>7</xdr:col>
                    <xdr:colOff>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98" r:id="rId191" name="Drop Down 306">
              <controlPr defaultSize="0" autoLine="0" autoPict="0">
                <anchor moveWithCells="1">
                  <from>
                    <xdr:col>5</xdr:col>
                    <xdr:colOff>0</xdr:colOff>
                    <xdr:row>62</xdr:row>
                    <xdr:rowOff>0</xdr:rowOff>
                  </from>
                  <to>
                    <xdr:col>7</xdr:col>
                    <xdr:colOff>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99" r:id="rId192" name="Drop Down 307">
              <controlPr defaultSize="0" autoLine="0" autoPict="0">
                <anchor moveWithCells="1">
                  <from>
                    <xdr:col>5</xdr:col>
                    <xdr:colOff>0</xdr:colOff>
                    <xdr:row>63</xdr:row>
                    <xdr:rowOff>0</xdr:rowOff>
                  </from>
                  <to>
                    <xdr:col>7</xdr:col>
                    <xdr:colOff>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00" r:id="rId193" name="Drop Down 308">
              <controlPr defaultSize="0" autoLine="0" autoPict="0">
                <anchor moveWithCells="1">
                  <from>
                    <xdr:col>5</xdr:col>
                    <xdr:colOff>0</xdr:colOff>
                    <xdr:row>64</xdr:row>
                    <xdr:rowOff>0</xdr:rowOff>
                  </from>
                  <to>
                    <xdr:col>7</xdr:col>
                    <xdr:colOff>0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01" r:id="rId194" name="Drop Down 309">
              <controlPr defaultSize="0" autoLine="0" autoPict="0">
                <anchor moveWithCells="1">
                  <from>
                    <xdr:col>4</xdr:col>
                    <xdr:colOff>0</xdr:colOff>
                    <xdr:row>60</xdr:row>
                    <xdr:rowOff>0</xdr:rowOff>
                  </from>
                  <to>
                    <xdr:col>5</xdr:col>
                    <xdr:colOff>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02" r:id="rId195" name="Drop Down 310">
              <controlPr defaultSize="0" autoLine="0" autoPict="0">
                <anchor moveWithCells="1">
                  <from>
                    <xdr:col>4</xdr:col>
                    <xdr:colOff>0</xdr:colOff>
                    <xdr:row>61</xdr:row>
                    <xdr:rowOff>0</xdr:rowOff>
                  </from>
                  <to>
                    <xdr:col>5</xdr:col>
                    <xdr:colOff>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03" r:id="rId196" name="Drop Down 311">
              <controlPr defaultSize="0" autoLine="0" autoPict="0">
                <anchor moveWithCells="1">
                  <from>
                    <xdr:col>4</xdr:col>
                    <xdr:colOff>0</xdr:colOff>
                    <xdr:row>62</xdr:row>
                    <xdr:rowOff>0</xdr:rowOff>
                  </from>
                  <to>
                    <xdr:col>5</xdr:col>
                    <xdr:colOff>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04" r:id="rId197" name="Drop Down 312">
              <controlPr defaultSize="0" autoLine="0" autoPict="0">
                <anchor moveWithCells="1">
                  <from>
                    <xdr:col>4</xdr:col>
                    <xdr:colOff>0</xdr:colOff>
                    <xdr:row>63</xdr:row>
                    <xdr:rowOff>0</xdr:rowOff>
                  </from>
                  <to>
                    <xdr:col>5</xdr:col>
                    <xdr:colOff>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05" r:id="rId198" name="Drop Down 313">
              <controlPr defaultSize="0" autoLine="0" autoPict="0">
                <anchor moveWithCells="1">
                  <from>
                    <xdr:col>4</xdr:col>
                    <xdr:colOff>0</xdr:colOff>
                    <xdr:row>64</xdr:row>
                    <xdr:rowOff>0</xdr:rowOff>
                  </from>
                  <to>
                    <xdr:col>5</xdr:col>
                    <xdr:colOff>0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06" r:id="rId199" name="Drop Down 314">
              <controlPr defaultSize="0" autoLine="0" autoPict="0">
                <anchor moveWithCells="1">
                  <from>
                    <xdr:col>23</xdr:col>
                    <xdr:colOff>0</xdr:colOff>
                    <xdr:row>60</xdr:row>
                    <xdr:rowOff>0</xdr:rowOff>
                  </from>
                  <to>
                    <xdr:col>24</xdr:col>
                    <xdr:colOff>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07" r:id="rId200" name="Drop Down 315">
              <controlPr defaultSize="0" autoLine="0" autoPict="0">
                <anchor moveWithCells="1">
                  <from>
                    <xdr:col>24</xdr:col>
                    <xdr:colOff>0</xdr:colOff>
                    <xdr:row>60</xdr:row>
                    <xdr:rowOff>0</xdr:rowOff>
                  </from>
                  <to>
                    <xdr:col>25</xdr:col>
                    <xdr:colOff>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08" r:id="rId201" name="Drop Down 316">
              <controlPr defaultSize="0" autoLine="0" autoPict="0">
                <anchor moveWithCells="1">
                  <from>
                    <xdr:col>23</xdr:col>
                    <xdr:colOff>0</xdr:colOff>
                    <xdr:row>61</xdr:row>
                    <xdr:rowOff>0</xdr:rowOff>
                  </from>
                  <to>
                    <xdr:col>24</xdr:col>
                    <xdr:colOff>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09" r:id="rId202" name="Drop Down 317">
              <controlPr defaultSize="0" autoLine="0" autoPict="0">
                <anchor moveWithCells="1">
                  <from>
                    <xdr:col>23</xdr:col>
                    <xdr:colOff>0</xdr:colOff>
                    <xdr:row>62</xdr:row>
                    <xdr:rowOff>0</xdr:rowOff>
                  </from>
                  <to>
                    <xdr:col>24</xdr:col>
                    <xdr:colOff>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10" r:id="rId203" name="Drop Down 318">
              <controlPr defaultSize="0" autoLine="0" autoPict="0">
                <anchor moveWithCells="1">
                  <from>
                    <xdr:col>23</xdr:col>
                    <xdr:colOff>0</xdr:colOff>
                    <xdr:row>63</xdr:row>
                    <xdr:rowOff>0</xdr:rowOff>
                  </from>
                  <to>
                    <xdr:col>24</xdr:col>
                    <xdr:colOff>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11" r:id="rId204" name="Drop Down 319">
              <controlPr defaultSize="0" autoLine="0" autoPict="0">
                <anchor moveWithCells="1">
                  <from>
                    <xdr:col>23</xdr:col>
                    <xdr:colOff>0</xdr:colOff>
                    <xdr:row>64</xdr:row>
                    <xdr:rowOff>0</xdr:rowOff>
                  </from>
                  <to>
                    <xdr:col>24</xdr:col>
                    <xdr:colOff>0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12" r:id="rId205" name="Drop Down 320">
              <controlPr defaultSize="0" autoLine="0" autoPict="0">
                <anchor moveWithCells="1">
                  <from>
                    <xdr:col>24</xdr:col>
                    <xdr:colOff>0</xdr:colOff>
                    <xdr:row>61</xdr:row>
                    <xdr:rowOff>0</xdr:rowOff>
                  </from>
                  <to>
                    <xdr:col>25</xdr:col>
                    <xdr:colOff>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13" r:id="rId206" name="Drop Down 321">
              <controlPr defaultSize="0" autoLine="0" autoPict="0">
                <anchor moveWithCells="1">
                  <from>
                    <xdr:col>24</xdr:col>
                    <xdr:colOff>0</xdr:colOff>
                    <xdr:row>62</xdr:row>
                    <xdr:rowOff>0</xdr:rowOff>
                  </from>
                  <to>
                    <xdr:col>25</xdr:col>
                    <xdr:colOff>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14" r:id="rId207" name="Drop Down 322">
              <controlPr defaultSize="0" autoLine="0" autoPict="0">
                <anchor moveWithCells="1">
                  <from>
                    <xdr:col>24</xdr:col>
                    <xdr:colOff>0</xdr:colOff>
                    <xdr:row>63</xdr:row>
                    <xdr:rowOff>0</xdr:rowOff>
                  </from>
                  <to>
                    <xdr:col>25</xdr:col>
                    <xdr:colOff>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15" r:id="rId208" name="Drop Down 323">
              <controlPr defaultSize="0" autoLine="0" autoPict="0">
                <anchor moveWithCells="1">
                  <from>
                    <xdr:col>24</xdr:col>
                    <xdr:colOff>0</xdr:colOff>
                    <xdr:row>64</xdr:row>
                    <xdr:rowOff>0</xdr:rowOff>
                  </from>
                  <to>
                    <xdr:col>25</xdr:col>
                    <xdr:colOff>0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16" r:id="rId209" name="Drop Down 324">
              <controlPr defaultSize="0" autoLine="0" autoPict="0">
                <anchor moveWithCells="1">
                  <from>
                    <xdr:col>13</xdr:col>
                    <xdr:colOff>0</xdr:colOff>
                    <xdr:row>60</xdr:row>
                    <xdr:rowOff>0</xdr:rowOff>
                  </from>
                  <to>
                    <xdr:col>14</xdr:col>
                    <xdr:colOff>0</xdr:colOff>
                    <xdr:row>61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17" r:id="rId210" name="Drop Down 325">
              <controlPr defaultSize="0" autoLine="0" autoPict="0">
                <anchor moveWithCells="1">
                  <from>
                    <xdr:col>13</xdr:col>
                    <xdr:colOff>0</xdr:colOff>
                    <xdr:row>61</xdr:row>
                    <xdr:rowOff>0</xdr:rowOff>
                  </from>
                  <to>
                    <xdr:col>14</xdr:col>
                    <xdr:colOff>0</xdr:colOff>
                    <xdr:row>62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18" r:id="rId211" name="Drop Down 326">
              <controlPr defaultSize="0" autoLine="0" autoPict="0">
                <anchor moveWithCells="1">
                  <from>
                    <xdr:col>13</xdr:col>
                    <xdr:colOff>0</xdr:colOff>
                    <xdr:row>62</xdr:row>
                    <xdr:rowOff>0</xdr:rowOff>
                  </from>
                  <to>
                    <xdr:col>14</xdr:col>
                    <xdr:colOff>0</xdr:colOff>
                    <xdr:row>63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19" r:id="rId212" name="Drop Down 327">
              <controlPr defaultSize="0" autoLine="0" autoPict="0">
                <anchor moveWithCells="1">
                  <from>
                    <xdr:col>13</xdr:col>
                    <xdr:colOff>0</xdr:colOff>
                    <xdr:row>63</xdr:row>
                    <xdr:rowOff>0</xdr:rowOff>
                  </from>
                  <to>
                    <xdr:col>14</xdr:col>
                    <xdr:colOff>0</xdr:colOff>
                    <xdr:row>64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20" r:id="rId213" name="Drop Down 328">
              <controlPr defaultSize="0" autoLine="0" autoPict="0">
                <anchor moveWithCells="1">
                  <from>
                    <xdr:col>13</xdr:col>
                    <xdr:colOff>0</xdr:colOff>
                    <xdr:row>64</xdr:row>
                    <xdr:rowOff>0</xdr:rowOff>
                  </from>
                  <to>
                    <xdr:col>14</xdr:col>
                    <xdr:colOff>0</xdr:colOff>
                    <xdr:row>65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21" r:id="rId214" name="Drop Down 329">
              <controlPr defaultSize="0" autoLine="0" autoPict="0">
                <anchor moveWithCells="1">
                  <from>
                    <xdr:col>17</xdr:col>
                    <xdr:colOff>0</xdr:colOff>
                    <xdr:row>69</xdr:row>
                    <xdr:rowOff>0</xdr:rowOff>
                  </from>
                  <to>
                    <xdr:col>18</xdr:col>
                    <xdr:colOff>9525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22" r:id="rId215" name="Drop Down 330">
              <controlPr defaultSize="0" autoLine="0" autoPict="0">
                <anchor moveWithCells="1">
                  <from>
                    <xdr:col>17</xdr:col>
                    <xdr:colOff>0</xdr:colOff>
                    <xdr:row>70</xdr:row>
                    <xdr:rowOff>0</xdr:rowOff>
                  </from>
                  <to>
                    <xdr:col>18</xdr:col>
                    <xdr:colOff>9525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23" r:id="rId216" name="Drop Down 331">
              <controlPr defaultSize="0" autoLine="0" autoPict="0">
                <anchor moveWithCells="1">
                  <from>
                    <xdr:col>17</xdr:col>
                    <xdr:colOff>0</xdr:colOff>
                    <xdr:row>71</xdr:row>
                    <xdr:rowOff>0</xdr:rowOff>
                  </from>
                  <to>
                    <xdr:col>18</xdr:col>
                    <xdr:colOff>9525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24" r:id="rId217" name="Drop Down 332">
              <controlPr defaultSize="0" autoLine="0" autoPict="0">
                <anchor moveWithCells="1">
                  <from>
                    <xdr:col>17</xdr:col>
                    <xdr:colOff>0</xdr:colOff>
                    <xdr:row>72</xdr:row>
                    <xdr:rowOff>0</xdr:rowOff>
                  </from>
                  <to>
                    <xdr:col>18</xdr:col>
                    <xdr:colOff>9525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25" r:id="rId218" name="Drop Down 333">
              <controlPr defaultSize="0" autoLine="0" autoPict="0">
                <anchor moveWithCells="1">
                  <from>
                    <xdr:col>17</xdr:col>
                    <xdr:colOff>0</xdr:colOff>
                    <xdr:row>73</xdr:row>
                    <xdr:rowOff>0</xdr:rowOff>
                  </from>
                  <to>
                    <xdr:col>18</xdr:col>
                    <xdr:colOff>9525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26" r:id="rId219" name="Drop Down 334">
              <controlPr defaultSize="0" autoLine="0" autoPict="0">
                <anchor moveWithCells="1">
                  <from>
                    <xdr:col>5</xdr:col>
                    <xdr:colOff>0</xdr:colOff>
                    <xdr:row>69</xdr:row>
                    <xdr:rowOff>0</xdr:rowOff>
                  </from>
                  <to>
                    <xdr:col>7</xdr:col>
                    <xdr:colOff>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27" r:id="rId220" name="Drop Down 335">
              <controlPr defaultSize="0" autoLine="0" autoPict="0">
                <anchor moveWithCells="1">
                  <from>
                    <xdr:col>5</xdr:col>
                    <xdr:colOff>0</xdr:colOff>
                    <xdr:row>70</xdr:row>
                    <xdr:rowOff>0</xdr:rowOff>
                  </from>
                  <to>
                    <xdr:col>7</xdr:col>
                    <xdr:colOff>0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28" r:id="rId221" name="Drop Down 336">
              <controlPr defaultSize="0" autoLine="0" autoPict="0">
                <anchor moveWithCells="1">
                  <from>
                    <xdr:col>5</xdr:col>
                    <xdr:colOff>0</xdr:colOff>
                    <xdr:row>71</xdr:row>
                    <xdr:rowOff>0</xdr:rowOff>
                  </from>
                  <to>
                    <xdr:col>7</xdr:col>
                    <xdr:colOff>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29" r:id="rId222" name="Drop Down 337">
              <controlPr defaultSize="0" autoLine="0" autoPict="0">
                <anchor moveWithCells="1">
                  <from>
                    <xdr:col>5</xdr:col>
                    <xdr:colOff>0</xdr:colOff>
                    <xdr:row>72</xdr:row>
                    <xdr:rowOff>0</xdr:rowOff>
                  </from>
                  <to>
                    <xdr:col>7</xdr:col>
                    <xdr:colOff>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30" r:id="rId223" name="Drop Down 338">
              <controlPr defaultSize="0" autoLine="0" autoPict="0">
                <anchor moveWithCells="1">
                  <from>
                    <xdr:col>5</xdr:col>
                    <xdr:colOff>0</xdr:colOff>
                    <xdr:row>73</xdr:row>
                    <xdr:rowOff>0</xdr:rowOff>
                  </from>
                  <to>
                    <xdr:col>7</xdr:col>
                    <xdr:colOff>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31" r:id="rId224" name="Drop Down 339">
              <controlPr defaultSize="0" autoLine="0" autoPict="0">
                <anchor moveWithCells="1">
                  <from>
                    <xdr:col>4</xdr:col>
                    <xdr:colOff>0</xdr:colOff>
                    <xdr:row>69</xdr:row>
                    <xdr:rowOff>0</xdr:rowOff>
                  </from>
                  <to>
                    <xdr:col>5</xdr:col>
                    <xdr:colOff>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32" r:id="rId225" name="Drop Down 340">
              <controlPr defaultSize="0" autoLine="0" autoPict="0">
                <anchor moveWithCells="1">
                  <from>
                    <xdr:col>4</xdr:col>
                    <xdr:colOff>0</xdr:colOff>
                    <xdr:row>70</xdr:row>
                    <xdr:rowOff>0</xdr:rowOff>
                  </from>
                  <to>
                    <xdr:col>5</xdr:col>
                    <xdr:colOff>0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33" r:id="rId226" name="Drop Down 341">
              <controlPr defaultSize="0" autoLine="0" autoPict="0">
                <anchor moveWithCells="1">
                  <from>
                    <xdr:col>4</xdr:col>
                    <xdr:colOff>0</xdr:colOff>
                    <xdr:row>71</xdr:row>
                    <xdr:rowOff>0</xdr:rowOff>
                  </from>
                  <to>
                    <xdr:col>5</xdr:col>
                    <xdr:colOff>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34" r:id="rId227" name="Drop Down 342">
              <controlPr defaultSize="0" autoLine="0" autoPict="0">
                <anchor moveWithCells="1">
                  <from>
                    <xdr:col>4</xdr:col>
                    <xdr:colOff>0</xdr:colOff>
                    <xdr:row>72</xdr:row>
                    <xdr:rowOff>0</xdr:rowOff>
                  </from>
                  <to>
                    <xdr:col>5</xdr:col>
                    <xdr:colOff>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35" r:id="rId228" name="Drop Down 343">
              <controlPr defaultSize="0" autoLine="0" autoPict="0">
                <anchor moveWithCells="1">
                  <from>
                    <xdr:col>4</xdr:col>
                    <xdr:colOff>0</xdr:colOff>
                    <xdr:row>73</xdr:row>
                    <xdr:rowOff>0</xdr:rowOff>
                  </from>
                  <to>
                    <xdr:col>5</xdr:col>
                    <xdr:colOff>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36" r:id="rId229" name="Drop Down 344">
              <controlPr defaultSize="0" autoLine="0" autoPict="0">
                <anchor moveWithCells="1">
                  <from>
                    <xdr:col>23</xdr:col>
                    <xdr:colOff>0</xdr:colOff>
                    <xdr:row>69</xdr:row>
                    <xdr:rowOff>0</xdr:rowOff>
                  </from>
                  <to>
                    <xdr:col>24</xdr:col>
                    <xdr:colOff>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37" r:id="rId230" name="Drop Down 345">
              <controlPr defaultSize="0" autoLine="0" autoPict="0">
                <anchor moveWithCells="1">
                  <from>
                    <xdr:col>24</xdr:col>
                    <xdr:colOff>0</xdr:colOff>
                    <xdr:row>69</xdr:row>
                    <xdr:rowOff>0</xdr:rowOff>
                  </from>
                  <to>
                    <xdr:col>25</xdr:col>
                    <xdr:colOff>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38" r:id="rId231" name="Drop Down 346">
              <controlPr defaultSize="0" autoLine="0" autoPict="0">
                <anchor moveWithCells="1">
                  <from>
                    <xdr:col>23</xdr:col>
                    <xdr:colOff>0</xdr:colOff>
                    <xdr:row>70</xdr:row>
                    <xdr:rowOff>0</xdr:rowOff>
                  </from>
                  <to>
                    <xdr:col>24</xdr:col>
                    <xdr:colOff>0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39" r:id="rId232" name="Drop Down 347">
              <controlPr defaultSize="0" autoLine="0" autoPict="0">
                <anchor moveWithCells="1">
                  <from>
                    <xdr:col>23</xdr:col>
                    <xdr:colOff>0</xdr:colOff>
                    <xdr:row>71</xdr:row>
                    <xdr:rowOff>0</xdr:rowOff>
                  </from>
                  <to>
                    <xdr:col>24</xdr:col>
                    <xdr:colOff>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40" r:id="rId233" name="Drop Down 348">
              <controlPr defaultSize="0" autoLine="0" autoPict="0">
                <anchor moveWithCells="1">
                  <from>
                    <xdr:col>23</xdr:col>
                    <xdr:colOff>0</xdr:colOff>
                    <xdr:row>72</xdr:row>
                    <xdr:rowOff>0</xdr:rowOff>
                  </from>
                  <to>
                    <xdr:col>24</xdr:col>
                    <xdr:colOff>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41" r:id="rId234" name="Drop Down 349">
              <controlPr defaultSize="0" autoLine="0" autoPict="0">
                <anchor moveWithCells="1">
                  <from>
                    <xdr:col>23</xdr:col>
                    <xdr:colOff>0</xdr:colOff>
                    <xdr:row>73</xdr:row>
                    <xdr:rowOff>0</xdr:rowOff>
                  </from>
                  <to>
                    <xdr:col>24</xdr:col>
                    <xdr:colOff>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42" r:id="rId235" name="Drop Down 350">
              <controlPr defaultSize="0" autoLine="0" autoPict="0">
                <anchor moveWithCells="1">
                  <from>
                    <xdr:col>24</xdr:col>
                    <xdr:colOff>0</xdr:colOff>
                    <xdr:row>70</xdr:row>
                    <xdr:rowOff>0</xdr:rowOff>
                  </from>
                  <to>
                    <xdr:col>25</xdr:col>
                    <xdr:colOff>0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43" r:id="rId236" name="Drop Down 351">
              <controlPr defaultSize="0" autoLine="0" autoPict="0">
                <anchor moveWithCells="1">
                  <from>
                    <xdr:col>24</xdr:col>
                    <xdr:colOff>0</xdr:colOff>
                    <xdr:row>71</xdr:row>
                    <xdr:rowOff>0</xdr:rowOff>
                  </from>
                  <to>
                    <xdr:col>25</xdr:col>
                    <xdr:colOff>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44" r:id="rId237" name="Drop Down 352">
              <controlPr defaultSize="0" autoLine="0" autoPict="0">
                <anchor moveWithCells="1">
                  <from>
                    <xdr:col>24</xdr:col>
                    <xdr:colOff>0</xdr:colOff>
                    <xdr:row>72</xdr:row>
                    <xdr:rowOff>0</xdr:rowOff>
                  </from>
                  <to>
                    <xdr:col>25</xdr:col>
                    <xdr:colOff>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45" r:id="rId238" name="Drop Down 353">
              <controlPr defaultSize="0" autoLine="0" autoPict="0">
                <anchor moveWithCells="1">
                  <from>
                    <xdr:col>24</xdr:col>
                    <xdr:colOff>0</xdr:colOff>
                    <xdr:row>73</xdr:row>
                    <xdr:rowOff>0</xdr:rowOff>
                  </from>
                  <to>
                    <xdr:col>25</xdr:col>
                    <xdr:colOff>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46" r:id="rId239" name="Drop Down 354">
              <controlPr defaultSize="0" autoLine="0" autoPict="0">
                <anchor moveWithCells="1">
                  <from>
                    <xdr:col>13</xdr:col>
                    <xdr:colOff>0</xdr:colOff>
                    <xdr:row>69</xdr:row>
                    <xdr:rowOff>0</xdr:rowOff>
                  </from>
                  <to>
                    <xdr:col>14</xdr:col>
                    <xdr:colOff>0</xdr:colOff>
                    <xdr:row>70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47" r:id="rId240" name="Drop Down 355">
              <controlPr defaultSize="0" autoLine="0" autoPict="0">
                <anchor moveWithCells="1">
                  <from>
                    <xdr:col>13</xdr:col>
                    <xdr:colOff>0</xdr:colOff>
                    <xdr:row>70</xdr:row>
                    <xdr:rowOff>0</xdr:rowOff>
                  </from>
                  <to>
                    <xdr:col>14</xdr:col>
                    <xdr:colOff>0</xdr:colOff>
                    <xdr:row>71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48" r:id="rId241" name="Drop Down 356">
              <controlPr defaultSize="0" autoLine="0" autoPict="0">
                <anchor moveWithCells="1">
                  <from>
                    <xdr:col>13</xdr:col>
                    <xdr:colOff>0</xdr:colOff>
                    <xdr:row>71</xdr:row>
                    <xdr:rowOff>0</xdr:rowOff>
                  </from>
                  <to>
                    <xdr:col>14</xdr:col>
                    <xdr:colOff>0</xdr:colOff>
                    <xdr:row>72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49" r:id="rId242" name="Drop Down 357">
              <controlPr defaultSize="0" autoLine="0" autoPict="0">
                <anchor moveWithCells="1">
                  <from>
                    <xdr:col>13</xdr:col>
                    <xdr:colOff>0</xdr:colOff>
                    <xdr:row>72</xdr:row>
                    <xdr:rowOff>0</xdr:rowOff>
                  </from>
                  <to>
                    <xdr:col>14</xdr:col>
                    <xdr:colOff>0</xdr:colOff>
                    <xdr:row>73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50" r:id="rId243" name="Drop Down 358">
              <controlPr defaultSize="0" autoLine="0" autoPict="0">
                <anchor moveWithCells="1">
                  <from>
                    <xdr:col>13</xdr:col>
                    <xdr:colOff>0</xdr:colOff>
                    <xdr:row>73</xdr:row>
                    <xdr:rowOff>0</xdr:rowOff>
                  </from>
                  <to>
                    <xdr:col>14</xdr:col>
                    <xdr:colOff>0</xdr:colOff>
                    <xdr:row>74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51" r:id="rId244" name="Drop Down 359">
              <controlPr defaultSize="0" autoLine="0" autoPict="0">
                <anchor moveWithCells="1">
                  <from>
                    <xdr:col>17</xdr:col>
                    <xdr:colOff>0</xdr:colOff>
                    <xdr:row>78</xdr:row>
                    <xdr:rowOff>0</xdr:rowOff>
                  </from>
                  <to>
                    <xdr:col>18</xdr:col>
                    <xdr:colOff>9525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52" r:id="rId245" name="Drop Down 360">
              <controlPr defaultSize="0" autoLine="0" autoPict="0">
                <anchor moveWithCells="1">
                  <from>
                    <xdr:col>17</xdr:col>
                    <xdr:colOff>0</xdr:colOff>
                    <xdr:row>79</xdr:row>
                    <xdr:rowOff>0</xdr:rowOff>
                  </from>
                  <to>
                    <xdr:col>18</xdr:col>
                    <xdr:colOff>9525</xdr:colOff>
                    <xdr:row>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53" r:id="rId246" name="Drop Down 361">
              <controlPr defaultSize="0" autoLine="0" autoPict="0">
                <anchor moveWithCells="1">
                  <from>
                    <xdr:col>17</xdr:col>
                    <xdr:colOff>0</xdr:colOff>
                    <xdr:row>80</xdr:row>
                    <xdr:rowOff>0</xdr:rowOff>
                  </from>
                  <to>
                    <xdr:col>18</xdr:col>
                    <xdr:colOff>9525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54" r:id="rId247" name="Drop Down 362">
              <controlPr defaultSize="0" autoLine="0" autoPict="0">
                <anchor moveWithCells="1">
                  <from>
                    <xdr:col>17</xdr:col>
                    <xdr:colOff>0</xdr:colOff>
                    <xdr:row>81</xdr:row>
                    <xdr:rowOff>0</xdr:rowOff>
                  </from>
                  <to>
                    <xdr:col>18</xdr:col>
                    <xdr:colOff>9525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55" r:id="rId248" name="Drop Down 363">
              <controlPr defaultSize="0" autoLine="0" autoPict="0">
                <anchor moveWithCells="1">
                  <from>
                    <xdr:col>17</xdr:col>
                    <xdr:colOff>0</xdr:colOff>
                    <xdr:row>82</xdr:row>
                    <xdr:rowOff>0</xdr:rowOff>
                  </from>
                  <to>
                    <xdr:col>18</xdr:col>
                    <xdr:colOff>9525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56" r:id="rId249" name="Drop Down 364">
              <controlPr defaultSize="0" autoLine="0" autoPict="0">
                <anchor moveWithCells="1">
                  <from>
                    <xdr:col>5</xdr:col>
                    <xdr:colOff>0</xdr:colOff>
                    <xdr:row>78</xdr:row>
                    <xdr:rowOff>0</xdr:rowOff>
                  </from>
                  <to>
                    <xdr:col>7</xdr:col>
                    <xdr:colOff>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57" r:id="rId250" name="Drop Down 365">
              <controlPr defaultSize="0" autoLine="0" autoPict="0">
                <anchor moveWithCells="1">
                  <from>
                    <xdr:col>5</xdr:col>
                    <xdr:colOff>0</xdr:colOff>
                    <xdr:row>79</xdr:row>
                    <xdr:rowOff>0</xdr:rowOff>
                  </from>
                  <to>
                    <xdr:col>7</xdr:col>
                    <xdr:colOff>0</xdr:colOff>
                    <xdr:row>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58" r:id="rId251" name="Drop Down 366">
              <controlPr defaultSize="0" autoLine="0" autoPict="0">
                <anchor moveWithCells="1">
                  <from>
                    <xdr:col>5</xdr:col>
                    <xdr:colOff>0</xdr:colOff>
                    <xdr:row>80</xdr:row>
                    <xdr:rowOff>0</xdr:rowOff>
                  </from>
                  <to>
                    <xdr:col>7</xdr:col>
                    <xdr:colOff>0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59" r:id="rId252" name="Drop Down 367">
              <controlPr defaultSize="0" autoLine="0" autoPict="0">
                <anchor moveWithCells="1">
                  <from>
                    <xdr:col>5</xdr:col>
                    <xdr:colOff>0</xdr:colOff>
                    <xdr:row>81</xdr:row>
                    <xdr:rowOff>0</xdr:rowOff>
                  </from>
                  <to>
                    <xdr:col>7</xdr:col>
                    <xdr:colOff>0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60" r:id="rId253" name="Drop Down 368">
              <controlPr defaultSize="0" autoLine="0" autoPict="0">
                <anchor moveWithCells="1">
                  <from>
                    <xdr:col>5</xdr:col>
                    <xdr:colOff>0</xdr:colOff>
                    <xdr:row>82</xdr:row>
                    <xdr:rowOff>0</xdr:rowOff>
                  </from>
                  <to>
                    <xdr:col>7</xdr:col>
                    <xdr:colOff>0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61" r:id="rId254" name="Drop Down 369">
              <controlPr defaultSize="0" autoLine="0" autoPict="0">
                <anchor moveWithCells="1">
                  <from>
                    <xdr:col>4</xdr:col>
                    <xdr:colOff>0</xdr:colOff>
                    <xdr:row>78</xdr:row>
                    <xdr:rowOff>0</xdr:rowOff>
                  </from>
                  <to>
                    <xdr:col>5</xdr:col>
                    <xdr:colOff>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62" r:id="rId255" name="Drop Down 370">
              <controlPr defaultSize="0" autoLine="0" autoPict="0">
                <anchor moveWithCells="1">
                  <from>
                    <xdr:col>4</xdr:col>
                    <xdr:colOff>0</xdr:colOff>
                    <xdr:row>79</xdr:row>
                    <xdr:rowOff>0</xdr:rowOff>
                  </from>
                  <to>
                    <xdr:col>5</xdr:col>
                    <xdr:colOff>0</xdr:colOff>
                    <xdr:row>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63" r:id="rId256" name="Drop Down 371">
              <controlPr defaultSize="0" autoLine="0" autoPict="0">
                <anchor moveWithCells="1">
                  <from>
                    <xdr:col>4</xdr:col>
                    <xdr:colOff>0</xdr:colOff>
                    <xdr:row>80</xdr:row>
                    <xdr:rowOff>0</xdr:rowOff>
                  </from>
                  <to>
                    <xdr:col>5</xdr:col>
                    <xdr:colOff>0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64" r:id="rId257" name="Drop Down 372">
              <controlPr defaultSize="0" autoLine="0" autoPict="0">
                <anchor moveWithCells="1">
                  <from>
                    <xdr:col>4</xdr:col>
                    <xdr:colOff>0</xdr:colOff>
                    <xdr:row>81</xdr:row>
                    <xdr:rowOff>0</xdr:rowOff>
                  </from>
                  <to>
                    <xdr:col>5</xdr:col>
                    <xdr:colOff>0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65" r:id="rId258" name="Drop Down 373">
              <controlPr defaultSize="0" autoLine="0" autoPict="0">
                <anchor moveWithCells="1">
                  <from>
                    <xdr:col>4</xdr:col>
                    <xdr:colOff>0</xdr:colOff>
                    <xdr:row>82</xdr:row>
                    <xdr:rowOff>0</xdr:rowOff>
                  </from>
                  <to>
                    <xdr:col>5</xdr:col>
                    <xdr:colOff>0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66" r:id="rId259" name="Drop Down 374">
              <controlPr defaultSize="0" autoLine="0" autoPict="0">
                <anchor moveWithCells="1">
                  <from>
                    <xdr:col>23</xdr:col>
                    <xdr:colOff>0</xdr:colOff>
                    <xdr:row>78</xdr:row>
                    <xdr:rowOff>0</xdr:rowOff>
                  </from>
                  <to>
                    <xdr:col>24</xdr:col>
                    <xdr:colOff>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67" r:id="rId260" name="Drop Down 375">
              <controlPr defaultSize="0" autoLine="0" autoPict="0">
                <anchor moveWithCells="1">
                  <from>
                    <xdr:col>24</xdr:col>
                    <xdr:colOff>0</xdr:colOff>
                    <xdr:row>78</xdr:row>
                    <xdr:rowOff>0</xdr:rowOff>
                  </from>
                  <to>
                    <xdr:col>25</xdr:col>
                    <xdr:colOff>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68" r:id="rId261" name="Drop Down 376">
              <controlPr defaultSize="0" autoLine="0" autoPict="0">
                <anchor moveWithCells="1">
                  <from>
                    <xdr:col>23</xdr:col>
                    <xdr:colOff>0</xdr:colOff>
                    <xdr:row>79</xdr:row>
                    <xdr:rowOff>0</xdr:rowOff>
                  </from>
                  <to>
                    <xdr:col>24</xdr:col>
                    <xdr:colOff>0</xdr:colOff>
                    <xdr:row>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69" r:id="rId262" name="Drop Down 377">
              <controlPr defaultSize="0" autoLine="0" autoPict="0">
                <anchor moveWithCells="1">
                  <from>
                    <xdr:col>23</xdr:col>
                    <xdr:colOff>0</xdr:colOff>
                    <xdr:row>80</xdr:row>
                    <xdr:rowOff>0</xdr:rowOff>
                  </from>
                  <to>
                    <xdr:col>24</xdr:col>
                    <xdr:colOff>0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70" r:id="rId263" name="Drop Down 378">
              <controlPr defaultSize="0" autoLine="0" autoPict="0">
                <anchor moveWithCells="1">
                  <from>
                    <xdr:col>23</xdr:col>
                    <xdr:colOff>0</xdr:colOff>
                    <xdr:row>81</xdr:row>
                    <xdr:rowOff>0</xdr:rowOff>
                  </from>
                  <to>
                    <xdr:col>24</xdr:col>
                    <xdr:colOff>0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71" r:id="rId264" name="Drop Down 379">
              <controlPr defaultSize="0" autoLine="0" autoPict="0">
                <anchor moveWithCells="1">
                  <from>
                    <xdr:col>23</xdr:col>
                    <xdr:colOff>0</xdr:colOff>
                    <xdr:row>82</xdr:row>
                    <xdr:rowOff>0</xdr:rowOff>
                  </from>
                  <to>
                    <xdr:col>24</xdr:col>
                    <xdr:colOff>0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72" r:id="rId265" name="Drop Down 380">
              <controlPr defaultSize="0" autoLine="0" autoPict="0">
                <anchor moveWithCells="1">
                  <from>
                    <xdr:col>24</xdr:col>
                    <xdr:colOff>0</xdr:colOff>
                    <xdr:row>79</xdr:row>
                    <xdr:rowOff>0</xdr:rowOff>
                  </from>
                  <to>
                    <xdr:col>25</xdr:col>
                    <xdr:colOff>0</xdr:colOff>
                    <xdr:row>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73" r:id="rId266" name="Drop Down 381">
              <controlPr defaultSize="0" autoLine="0" autoPict="0">
                <anchor moveWithCells="1">
                  <from>
                    <xdr:col>24</xdr:col>
                    <xdr:colOff>0</xdr:colOff>
                    <xdr:row>80</xdr:row>
                    <xdr:rowOff>0</xdr:rowOff>
                  </from>
                  <to>
                    <xdr:col>25</xdr:col>
                    <xdr:colOff>0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74" r:id="rId267" name="Drop Down 382">
              <controlPr defaultSize="0" autoLine="0" autoPict="0">
                <anchor moveWithCells="1">
                  <from>
                    <xdr:col>24</xdr:col>
                    <xdr:colOff>0</xdr:colOff>
                    <xdr:row>81</xdr:row>
                    <xdr:rowOff>0</xdr:rowOff>
                  </from>
                  <to>
                    <xdr:col>25</xdr:col>
                    <xdr:colOff>0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75" r:id="rId268" name="Drop Down 383">
              <controlPr defaultSize="0" autoLine="0" autoPict="0">
                <anchor moveWithCells="1">
                  <from>
                    <xdr:col>24</xdr:col>
                    <xdr:colOff>0</xdr:colOff>
                    <xdr:row>82</xdr:row>
                    <xdr:rowOff>0</xdr:rowOff>
                  </from>
                  <to>
                    <xdr:col>25</xdr:col>
                    <xdr:colOff>0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76" r:id="rId269" name="Drop Down 384">
              <controlPr defaultSize="0" autoLine="0" autoPict="0">
                <anchor moveWithCells="1">
                  <from>
                    <xdr:col>13</xdr:col>
                    <xdr:colOff>0</xdr:colOff>
                    <xdr:row>78</xdr:row>
                    <xdr:rowOff>0</xdr:rowOff>
                  </from>
                  <to>
                    <xdr:col>14</xdr:col>
                    <xdr:colOff>0</xdr:colOff>
                    <xdr:row>79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77" r:id="rId270" name="Drop Down 385">
              <controlPr defaultSize="0" autoLine="0" autoPict="0">
                <anchor moveWithCells="1">
                  <from>
                    <xdr:col>13</xdr:col>
                    <xdr:colOff>0</xdr:colOff>
                    <xdr:row>79</xdr:row>
                    <xdr:rowOff>0</xdr:rowOff>
                  </from>
                  <to>
                    <xdr:col>14</xdr:col>
                    <xdr:colOff>0</xdr:colOff>
                    <xdr:row>80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78" r:id="rId271" name="Drop Down 386">
              <controlPr defaultSize="0" autoLine="0" autoPict="0">
                <anchor moveWithCells="1">
                  <from>
                    <xdr:col>13</xdr:col>
                    <xdr:colOff>0</xdr:colOff>
                    <xdr:row>80</xdr:row>
                    <xdr:rowOff>0</xdr:rowOff>
                  </from>
                  <to>
                    <xdr:col>14</xdr:col>
                    <xdr:colOff>0</xdr:colOff>
                    <xdr:row>81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79" r:id="rId272" name="Drop Down 387">
              <controlPr defaultSize="0" autoLine="0" autoPict="0">
                <anchor moveWithCells="1">
                  <from>
                    <xdr:col>13</xdr:col>
                    <xdr:colOff>0</xdr:colOff>
                    <xdr:row>81</xdr:row>
                    <xdr:rowOff>0</xdr:rowOff>
                  </from>
                  <to>
                    <xdr:col>14</xdr:col>
                    <xdr:colOff>0</xdr:colOff>
                    <xdr:row>82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80" r:id="rId273" name="Drop Down 388">
              <controlPr defaultSize="0" autoLine="0" autoPict="0">
                <anchor moveWithCells="1">
                  <from>
                    <xdr:col>13</xdr:col>
                    <xdr:colOff>0</xdr:colOff>
                    <xdr:row>82</xdr:row>
                    <xdr:rowOff>0</xdr:rowOff>
                  </from>
                  <to>
                    <xdr:col>14</xdr:col>
                    <xdr:colOff>0</xdr:colOff>
                    <xdr:row>83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81" r:id="rId274" name="Drop Down 389">
              <controlPr defaultSize="0" autoLine="0" autoPict="0">
                <anchor moveWithCells="1">
                  <from>
                    <xdr:col>17</xdr:col>
                    <xdr:colOff>0</xdr:colOff>
                    <xdr:row>87</xdr:row>
                    <xdr:rowOff>0</xdr:rowOff>
                  </from>
                  <to>
                    <xdr:col>18</xdr:col>
                    <xdr:colOff>9525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82" r:id="rId275" name="Drop Down 390">
              <controlPr defaultSize="0" autoLine="0" autoPict="0">
                <anchor moveWithCells="1">
                  <from>
                    <xdr:col>17</xdr:col>
                    <xdr:colOff>0</xdr:colOff>
                    <xdr:row>88</xdr:row>
                    <xdr:rowOff>0</xdr:rowOff>
                  </from>
                  <to>
                    <xdr:col>18</xdr:col>
                    <xdr:colOff>9525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83" r:id="rId276" name="Drop Down 391">
              <controlPr defaultSize="0" autoLine="0" autoPict="0">
                <anchor moveWithCells="1">
                  <from>
                    <xdr:col>17</xdr:col>
                    <xdr:colOff>0</xdr:colOff>
                    <xdr:row>89</xdr:row>
                    <xdr:rowOff>0</xdr:rowOff>
                  </from>
                  <to>
                    <xdr:col>18</xdr:col>
                    <xdr:colOff>9525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84" r:id="rId277" name="Drop Down 392">
              <controlPr defaultSize="0" autoLine="0" autoPict="0">
                <anchor moveWithCells="1">
                  <from>
                    <xdr:col>17</xdr:col>
                    <xdr:colOff>0</xdr:colOff>
                    <xdr:row>90</xdr:row>
                    <xdr:rowOff>0</xdr:rowOff>
                  </from>
                  <to>
                    <xdr:col>18</xdr:col>
                    <xdr:colOff>9525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85" r:id="rId278" name="Drop Down 393">
              <controlPr defaultSize="0" autoLine="0" autoPict="0">
                <anchor moveWithCells="1">
                  <from>
                    <xdr:col>17</xdr:col>
                    <xdr:colOff>0</xdr:colOff>
                    <xdr:row>91</xdr:row>
                    <xdr:rowOff>0</xdr:rowOff>
                  </from>
                  <to>
                    <xdr:col>18</xdr:col>
                    <xdr:colOff>9525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86" r:id="rId279" name="Drop Down 394">
              <controlPr defaultSize="0" autoLine="0" autoPict="0">
                <anchor moveWithCells="1">
                  <from>
                    <xdr:col>5</xdr:col>
                    <xdr:colOff>0</xdr:colOff>
                    <xdr:row>87</xdr:row>
                    <xdr:rowOff>0</xdr:rowOff>
                  </from>
                  <to>
                    <xdr:col>7</xdr:col>
                    <xdr:colOff>0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87" r:id="rId280" name="Drop Down 395">
              <controlPr defaultSize="0" autoLine="0" autoPict="0">
                <anchor moveWithCells="1">
                  <from>
                    <xdr:col>5</xdr:col>
                    <xdr:colOff>0</xdr:colOff>
                    <xdr:row>88</xdr:row>
                    <xdr:rowOff>0</xdr:rowOff>
                  </from>
                  <to>
                    <xdr:col>7</xdr:col>
                    <xdr:colOff>0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88" r:id="rId281" name="Drop Down 396">
              <controlPr defaultSize="0" autoLine="0" autoPict="0">
                <anchor moveWithCells="1">
                  <from>
                    <xdr:col>5</xdr:col>
                    <xdr:colOff>0</xdr:colOff>
                    <xdr:row>89</xdr:row>
                    <xdr:rowOff>0</xdr:rowOff>
                  </from>
                  <to>
                    <xdr:col>7</xdr:col>
                    <xdr:colOff>0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89" r:id="rId282" name="Drop Down 397">
              <controlPr defaultSize="0" autoLine="0" autoPict="0">
                <anchor moveWithCells="1">
                  <from>
                    <xdr:col>5</xdr:col>
                    <xdr:colOff>0</xdr:colOff>
                    <xdr:row>90</xdr:row>
                    <xdr:rowOff>0</xdr:rowOff>
                  </from>
                  <to>
                    <xdr:col>7</xdr:col>
                    <xdr:colOff>0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90" r:id="rId283" name="Drop Down 398">
              <controlPr defaultSize="0" autoLine="0" autoPict="0">
                <anchor moveWithCells="1">
                  <from>
                    <xdr:col>5</xdr:col>
                    <xdr:colOff>0</xdr:colOff>
                    <xdr:row>91</xdr:row>
                    <xdr:rowOff>0</xdr:rowOff>
                  </from>
                  <to>
                    <xdr:col>7</xdr:col>
                    <xdr:colOff>0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91" r:id="rId284" name="Drop Down 399">
              <controlPr defaultSize="0" autoLine="0" autoPict="0">
                <anchor moveWithCells="1">
                  <from>
                    <xdr:col>4</xdr:col>
                    <xdr:colOff>0</xdr:colOff>
                    <xdr:row>87</xdr:row>
                    <xdr:rowOff>0</xdr:rowOff>
                  </from>
                  <to>
                    <xdr:col>5</xdr:col>
                    <xdr:colOff>0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92" r:id="rId285" name="Drop Down 400">
              <controlPr defaultSize="0" autoLine="0" autoPict="0">
                <anchor moveWithCells="1">
                  <from>
                    <xdr:col>4</xdr:col>
                    <xdr:colOff>0</xdr:colOff>
                    <xdr:row>88</xdr:row>
                    <xdr:rowOff>0</xdr:rowOff>
                  </from>
                  <to>
                    <xdr:col>5</xdr:col>
                    <xdr:colOff>0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93" r:id="rId286" name="Drop Down 401">
              <controlPr defaultSize="0" autoLine="0" autoPict="0">
                <anchor moveWithCells="1">
                  <from>
                    <xdr:col>4</xdr:col>
                    <xdr:colOff>0</xdr:colOff>
                    <xdr:row>89</xdr:row>
                    <xdr:rowOff>0</xdr:rowOff>
                  </from>
                  <to>
                    <xdr:col>5</xdr:col>
                    <xdr:colOff>0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94" r:id="rId287" name="Drop Down 402">
              <controlPr defaultSize="0" autoLine="0" autoPict="0">
                <anchor moveWithCells="1">
                  <from>
                    <xdr:col>4</xdr:col>
                    <xdr:colOff>0</xdr:colOff>
                    <xdr:row>90</xdr:row>
                    <xdr:rowOff>0</xdr:rowOff>
                  </from>
                  <to>
                    <xdr:col>5</xdr:col>
                    <xdr:colOff>0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95" r:id="rId288" name="Drop Down 403">
              <controlPr defaultSize="0" autoLine="0" autoPict="0">
                <anchor moveWithCells="1">
                  <from>
                    <xdr:col>4</xdr:col>
                    <xdr:colOff>0</xdr:colOff>
                    <xdr:row>91</xdr:row>
                    <xdr:rowOff>0</xdr:rowOff>
                  </from>
                  <to>
                    <xdr:col>5</xdr:col>
                    <xdr:colOff>0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96" r:id="rId289" name="Drop Down 404">
              <controlPr defaultSize="0" autoLine="0" autoPict="0">
                <anchor moveWithCells="1">
                  <from>
                    <xdr:col>23</xdr:col>
                    <xdr:colOff>0</xdr:colOff>
                    <xdr:row>87</xdr:row>
                    <xdr:rowOff>0</xdr:rowOff>
                  </from>
                  <to>
                    <xdr:col>24</xdr:col>
                    <xdr:colOff>0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97" r:id="rId290" name="Drop Down 405">
              <controlPr defaultSize="0" autoLine="0" autoPict="0">
                <anchor moveWithCells="1">
                  <from>
                    <xdr:col>24</xdr:col>
                    <xdr:colOff>0</xdr:colOff>
                    <xdr:row>87</xdr:row>
                    <xdr:rowOff>0</xdr:rowOff>
                  </from>
                  <to>
                    <xdr:col>25</xdr:col>
                    <xdr:colOff>0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98" r:id="rId291" name="Drop Down 406">
              <controlPr defaultSize="0" autoLine="0" autoPict="0">
                <anchor moveWithCells="1">
                  <from>
                    <xdr:col>23</xdr:col>
                    <xdr:colOff>0</xdr:colOff>
                    <xdr:row>88</xdr:row>
                    <xdr:rowOff>0</xdr:rowOff>
                  </from>
                  <to>
                    <xdr:col>24</xdr:col>
                    <xdr:colOff>0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99" r:id="rId292" name="Drop Down 407">
              <controlPr defaultSize="0" autoLine="0" autoPict="0">
                <anchor moveWithCells="1">
                  <from>
                    <xdr:col>23</xdr:col>
                    <xdr:colOff>0</xdr:colOff>
                    <xdr:row>89</xdr:row>
                    <xdr:rowOff>0</xdr:rowOff>
                  </from>
                  <to>
                    <xdr:col>24</xdr:col>
                    <xdr:colOff>0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00" r:id="rId293" name="Drop Down 408">
              <controlPr defaultSize="0" autoLine="0" autoPict="0">
                <anchor moveWithCells="1">
                  <from>
                    <xdr:col>23</xdr:col>
                    <xdr:colOff>0</xdr:colOff>
                    <xdr:row>90</xdr:row>
                    <xdr:rowOff>0</xdr:rowOff>
                  </from>
                  <to>
                    <xdr:col>24</xdr:col>
                    <xdr:colOff>0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01" r:id="rId294" name="Drop Down 409">
              <controlPr defaultSize="0" autoLine="0" autoPict="0">
                <anchor moveWithCells="1">
                  <from>
                    <xdr:col>23</xdr:col>
                    <xdr:colOff>0</xdr:colOff>
                    <xdr:row>91</xdr:row>
                    <xdr:rowOff>0</xdr:rowOff>
                  </from>
                  <to>
                    <xdr:col>24</xdr:col>
                    <xdr:colOff>0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02" r:id="rId295" name="Drop Down 410">
              <controlPr defaultSize="0" autoLine="0" autoPict="0">
                <anchor moveWithCells="1">
                  <from>
                    <xdr:col>24</xdr:col>
                    <xdr:colOff>0</xdr:colOff>
                    <xdr:row>88</xdr:row>
                    <xdr:rowOff>0</xdr:rowOff>
                  </from>
                  <to>
                    <xdr:col>25</xdr:col>
                    <xdr:colOff>0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03" r:id="rId296" name="Drop Down 411">
              <controlPr defaultSize="0" autoLine="0" autoPict="0">
                <anchor moveWithCells="1">
                  <from>
                    <xdr:col>24</xdr:col>
                    <xdr:colOff>0</xdr:colOff>
                    <xdr:row>89</xdr:row>
                    <xdr:rowOff>0</xdr:rowOff>
                  </from>
                  <to>
                    <xdr:col>25</xdr:col>
                    <xdr:colOff>0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04" r:id="rId297" name="Drop Down 412">
              <controlPr defaultSize="0" autoLine="0" autoPict="0">
                <anchor moveWithCells="1">
                  <from>
                    <xdr:col>24</xdr:col>
                    <xdr:colOff>0</xdr:colOff>
                    <xdr:row>90</xdr:row>
                    <xdr:rowOff>0</xdr:rowOff>
                  </from>
                  <to>
                    <xdr:col>25</xdr:col>
                    <xdr:colOff>0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05" r:id="rId298" name="Drop Down 413">
              <controlPr defaultSize="0" autoLine="0" autoPict="0">
                <anchor moveWithCells="1">
                  <from>
                    <xdr:col>24</xdr:col>
                    <xdr:colOff>0</xdr:colOff>
                    <xdr:row>91</xdr:row>
                    <xdr:rowOff>0</xdr:rowOff>
                  </from>
                  <to>
                    <xdr:col>25</xdr:col>
                    <xdr:colOff>0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06" r:id="rId299" name="Drop Down 414">
              <controlPr defaultSize="0" autoLine="0" autoPict="0">
                <anchor moveWithCells="1">
                  <from>
                    <xdr:col>13</xdr:col>
                    <xdr:colOff>0</xdr:colOff>
                    <xdr:row>87</xdr:row>
                    <xdr:rowOff>0</xdr:rowOff>
                  </from>
                  <to>
                    <xdr:col>14</xdr:col>
                    <xdr:colOff>0</xdr:colOff>
                    <xdr:row>88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07" r:id="rId300" name="Drop Down 415">
              <controlPr defaultSize="0" autoLine="0" autoPict="0">
                <anchor moveWithCells="1">
                  <from>
                    <xdr:col>13</xdr:col>
                    <xdr:colOff>0</xdr:colOff>
                    <xdr:row>88</xdr:row>
                    <xdr:rowOff>0</xdr:rowOff>
                  </from>
                  <to>
                    <xdr:col>14</xdr:col>
                    <xdr:colOff>0</xdr:colOff>
                    <xdr:row>89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08" r:id="rId301" name="Drop Down 416">
              <controlPr defaultSize="0" autoLine="0" autoPict="0">
                <anchor moveWithCells="1">
                  <from>
                    <xdr:col>13</xdr:col>
                    <xdr:colOff>0</xdr:colOff>
                    <xdr:row>89</xdr:row>
                    <xdr:rowOff>0</xdr:rowOff>
                  </from>
                  <to>
                    <xdr:col>14</xdr:col>
                    <xdr:colOff>0</xdr:colOff>
                    <xdr:row>90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09" r:id="rId302" name="Drop Down 417">
              <controlPr defaultSize="0" autoLine="0" autoPict="0">
                <anchor moveWithCells="1">
                  <from>
                    <xdr:col>13</xdr:col>
                    <xdr:colOff>0</xdr:colOff>
                    <xdr:row>90</xdr:row>
                    <xdr:rowOff>0</xdr:rowOff>
                  </from>
                  <to>
                    <xdr:col>14</xdr:col>
                    <xdr:colOff>0</xdr:colOff>
                    <xdr:row>91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10" r:id="rId303" name="Drop Down 418">
              <controlPr defaultSize="0" autoLine="0" autoPict="0">
                <anchor moveWithCells="1">
                  <from>
                    <xdr:col>13</xdr:col>
                    <xdr:colOff>0</xdr:colOff>
                    <xdr:row>91</xdr:row>
                    <xdr:rowOff>0</xdr:rowOff>
                  </from>
                  <to>
                    <xdr:col>14</xdr:col>
                    <xdr:colOff>0</xdr:colOff>
                    <xdr:row>92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11" r:id="rId304" name="Drop Down 419">
              <controlPr defaultSize="0" autoLine="0" autoPict="0">
                <anchor moveWithCells="1">
                  <from>
                    <xdr:col>17</xdr:col>
                    <xdr:colOff>0</xdr:colOff>
                    <xdr:row>96</xdr:row>
                    <xdr:rowOff>0</xdr:rowOff>
                  </from>
                  <to>
                    <xdr:col>18</xdr:col>
                    <xdr:colOff>9525</xdr:colOff>
                    <xdr:row>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12" r:id="rId305" name="Drop Down 420">
              <controlPr defaultSize="0" autoLine="0" autoPict="0">
                <anchor moveWithCells="1">
                  <from>
                    <xdr:col>17</xdr:col>
                    <xdr:colOff>0</xdr:colOff>
                    <xdr:row>97</xdr:row>
                    <xdr:rowOff>0</xdr:rowOff>
                  </from>
                  <to>
                    <xdr:col>18</xdr:col>
                    <xdr:colOff>9525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13" r:id="rId306" name="Drop Down 421">
              <controlPr defaultSize="0" autoLine="0" autoPict="0">
                <anchor moveWithCells="1">
                  <from>
                    <xdr:col>17</xdr:col>
                    <xdr:colOff>0</xdr:colOff>
                    <xdr:row>98</xdr:row>
                    <xdr:rowOff>0</xdr:rowOff>
                  </from>
                  <to>
                    <xdr:col>18</xdr:col>
                    <xdr:colOff>9525</xdr:colOff>
                    <xdr:row>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14" r:id="rId307" name="Drop Down 422">
              <controlPr defaultSize="0" autoLine="0" autoPict="0">
                <anchor moveWithCells="1">
                  <from>
                    <xdr:col>17</xdr:col>
                    <xdr:colOff>0</xdr:colOff>
                    <xdr:row>99</xdr:row>
                    <xdr:rowOff>0</xdr:rowOff>
                  </from>
                  <to>
                    <xdr:col>18</xdr:col>
                    <xdr:colOff>9525</xdr:colOff>
                    <xdr:row>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15" r:id="rId308" name="Drop Down 423">
              <controlPr defaultSize="0" autoLine="0" autoPict="0">
                <anchor moveWithCells="1">
                  <from>
                    <xdr:col>17</xdr:col>
                    <xdr:colOff>0</xdr:colOff>
                    <xdr:row>100</xdr:row>
                    <xdr:rowOff>0</xdr:rowOff>
                  </from>
                  <to>
                    <xdr:col>18</xdr:col>
                    <xdr:colOff>9525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16" r:id="rId309" name="Drop Down 424">
              <controlPr defaultSize="0" autoLine="0" autoPict="0">
                <anchor moveWithCells="1">
                  <from>
                    <xdr:col>5</xdr:col>
                    <xdr:colOff>0</xdr:colOff>
                    <xdr:row>96</xdr:row>
                    <xdr:rowOff>0</xdr:rowOff>
                  </from>
                  <to>
                    <xdr:col>7</xdr:col>
                    <xdr:colOff>0</xdr:colOff>
                    <xdr:row>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17" r:id="rId310" name="Drop Down 425">
              <controlPr defaultSize="0" autoLine="0" autoPict="0">
                <anchor moveWithCells="1">
                  <from>
                    <xdr:col>5</xdr:col>
                    <xdr:colOff>0</xdr:colOff>
                    <xdr:row>97</xdr:row>
                    <xdr:rowOff>0</xdr:rowOff>
                  </from>
                  <to>
                    <xdr:col>7</xdr:col>
                    <xdr:colOff>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18" r:id="rId311" name="Drop Down 426">
              <controlPr defaultSize="0" autoLine="0" autoPict="0">
                <anchor moveWithCells="1">
                  <from>
                    <xdr:col>5</xdr:col>
                    <xdr:colOff>0</xdr:colOff>
                    <xdr:row>98</xdr:row>
                    <xdr:rowOff>0</xdr:rowOff>
                  </from>
                  <to>
                    <xdr:col>7</xdr:col>
                    <xdr:colOff>0</xdr:colOff>
                    <xdr:row>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19" r:id="rId312" name="Drop Down 427">
              <controlPr defaultSize="0" autoLine="0" autoPict="0">
                <anchor moveWithCells="1">
                  <from>
                    <xdr:col>5</xdr:col>
                    <xdr:colOff>0</xdr:colOff>
                    <xdr:row>99</xdr:row>
                    <xdr:rowOff>0</xdr:rowOff>
                  </from>
                  <to>
                    <xdr:col>7</xdr:col>
                    <xdr:colOff>0</xdr:colOff>
                    <xdr:row>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20" r:id="rId313" name="Drop Down 428">
              <controlPr defaultSize="0" autoLine="0" autoPict="0">
                <anchor moveWithCells="1">
                  <from>
                    <xdr:col>5</xdr:col>
                    <xdr:colOff>0</xdr:colOff>
                    <xdr:row>100</xdr:row>
                    <xdr:rowOff>0</xdr:rowOff>
                  </from>
                  <to>
                    <xdr:col>7</xdr:col>
                    <xdr:colOff>0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21" r:id="rId314" name="Drop Down 429">
              <controlPr defaultSize="0" autoLine="0" autoPict="0">
                <anchor moveWithCells="1">
                  <from>
                    <xdr:col>4</xdr:col>
                    <xdr:colOff>0</xdr:colOff>
                    <xdr:row>96</xdr:row>
                    <xdr:rowOff>0</xdr:rowOff>
                  </from>
                  <to>
                    <xdr:col>5</xdr:col>
                    <xdr:colOff>0</xdr:colOff>
                    <xdr:row>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22" r:id="rId315" name="Drop Down 430">
              <controlPr defaultSize="0" autoLine="0" autoPict="0">
                <anchor moveWithCells="1">
                  <from>
                    <xdr:col>4</xdr:col>
                    <xdr:colOff>0</xdr:colOff>
                    <xdr:row>97</xdr:row>
                    <xdr:rowOff>0</xdr:rowOff>
                  </from>
                  <to>
                    <xdr:col>5</xdr:col>
                    <xdr:colOff>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23" r:id="rId316" name="Drop Down 431">
              <controlPr defaultSize="0" autoLine="0" autoPict="0">
                <anchor moveWithCells="1">
                  <from>
                    <xdr:col>4</xdr:col>
                    <xdr:colOff>0</xdr:colOff>
                    <xdr:row>98</xdr:row>
                    <xdr:rowOff>0</xdr:rowOff>
                  </from>
                  <to>
                    <xdr:col>5</xdr:col>
                    <xdr:colOff>0</xdr:colOff>
                    <xdr:row>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24" r:id="rId317" name="Drop Down 432">
              <controlPr defaultSize="0" autoLine="0" autoPict="0">
                <anchor moveWithCells="1">
                  <from>
                    <xdr:col>4</xdr:col>
                    <xdr:colOff>0</xdr:colOff>
                    <xdr:row>99</xdr:row>
                    <xdr:rowOff>0</xdr:rowOff>
                  </from>
                  <to>
                    <xdr:col>5</xdr:col>
                    <xdr:colOff>0</xdr:colOff>
                    <xdr:row>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25" r:id="rId318" name="Drop Down 433">
              <controlPr defaultSize="0" autoLine="0" autoPict="0">
                <anchor moveWithCells="1">
                  <from>
                    <xdr:col>4</xdr:col>
                    <xdr:colOff>0</xdr:colOff>
                    <xdr:row>100</xdr:row>
                    <xdr:rowOff>0</xdr:rowOff>
                  </from>
                  <to>
                    <xdr:col>5</xdr:col>
                    <xdr:colOff>0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26" r:id="rId319" name="Drop Down 434">
              <controlPr defaultSize="0" autoLine="0" autoPict="0">
                <anchor moveWithCells="1">
                  <from>
                    <xdr:col>23</xdr:col>
                    <xdr:colOff>0</xdr:colOff>
                    <xdr:row>96</xdr:row>
                    <xdr:rowOff>0</xdr:rowOff>
                  </from>
                  <to>
                    <xdr:col>24</xdr:col>
                    <xdr:colOff>0</xdr:colOff>
                    <xdr:row>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27" r:id="rId320" name="Drop Down 435">
              <controlPr defaultSize="0" autoLine="0" autoPict="0">
                <anchor moveWithCells="1">
                  <from>
                    <xdr:col>24</xdr:col>
                    <xdr:colOff>0</xdr:colOff>
                    <xdr:row>96</xdr:row>
                    <xdr:rowOff>0</xdr:rowOff>
                  </from>
                  <to>
                    <xdr:col>25</xdr:col>
                    <xdr:colOff>0</xdr:colOff>
                    <xdr:row>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28" r:id="rId321" name="Drop Down 436">
              <controlPr defaultSize="0" autoLine="0" autoPict="0">
                <anchor moveWithCells="1">
                  <from>
                    <xdr:col>23</xdr:col>
                    <xdr:colOff>0</xdr:colOff>
                    <xdr:row>97</xdr:row>
                    <xdr:rowOff>0</xdr:rowOff>
                  </from>
                  <to>
                    <xdr:col>24</xdr:col>
                    <xdr:colOff>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29" r:id="rId322" name="Drop Down 437">
              <controlPr defaultSize="0" autoLine="0" autoPict="0">
                <anchor moveWithCells="1">
                  <from>
                    <xdr:col>23</xdr:col>
                    <xdr:colOff>0</xdr:colOff>
                    <xdr:row>98</xdr:row>
                    <xdr:rowOff>0</xdr:rowOff>
                  </from>
                  <to>
                    <xdr:col>24</xdr:col>
                    <xdr:colOff>0</xdr:colOff>
                    <xdr:row>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30" r:id="rId323" name="Drop Down 438">
              <controlPr defaultSize="0" autoLine="0" autoPict="0">
                <anchor moveWithCells="1">
                  <from>
                    <xdr:col>23</xdr:col>
                    <xdr:colOff>0</xdr:colOff>
                    <xdr:row>99</xdr:row>
                    <xdr:rowOff>0</xdr:rowOff>
                  </from>
                  <to>
                    <xdr:col>24</xdr:col>
                    <xdr:colOff>0</xdr:colOff>
                    <xdr:row>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31" r:id="rId324" name="Drop Down 439">
              <controlPr defaultSize="0" autoLine="0" autoPict="0">
                <anchor moveWithCells="1">
                  <from>
                    <xdr:col>23</xdr:col>
                    <xdr:colOff>0</xdr:colOff>
                    <xdr:row>100</xdr:row>
                    <xdr:rowOff>0</xdr:rowOff>
                  </from>
                  <to>
                    <xdr:col>24</xdr:col>
                    <xdr:colOff>0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32" r:id="rId325" name="Drop Down 440">
              <controlPr defaultSize="0" autoLine="0" autoPict="0">
                <anchor moveWithCells="1">
                  <from>
                    <xdr:col>24</xdr:col>
                    <xdr:colOff>0</xdr:colOff>
                    <xdr:row>97</xdr:row>
                    <xdr:rowOff>0</xdr:rowOff>
                  </from>
                  <to>
                    <xdr:col>25</xdr:col>
                    <xdr:colOff>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33" r:id="rId326" name="Drop Down 441">
              <controlPr defaultSize="0" autoLine="0" autoPict="0">
                <anchor moveWithCells="1">
                  <from>
                    <xdr:col>24</xdr:col>
                    <xdr:colOff>0</xdr:colOff>
                    <xdr:row>98</xdr:row>
                    <xdr:rowOff>0</xdr:rowOff>
                  </from>
                  <to>
                    <xdr:col>25</xdr:col>
                    <xdr:colOff>0</xdr:colOff>
                    <xdr:row>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34" r:id="rId327" name="Drop Down 442">
              <controlPr defaultSize="0" autoLine="0" autoPict="0">
                <anchor moveWithCells="1">
                  <from>
                    <xdr:col>24</xdr:col>
                    <xdr:colOff>0</xdr:colOff>
                    <xdr:row>99</xdr:row>
                    <xdr:rowOff>0</xdr:rowOff>
                  </from>
                  <to>
                    <xdr:col>25</xdr:col>
                    <xdr:colOff>0</xdr:colOff>
                    <xdr:row>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35" r:id="rId328" name="Drop Down 443">
              <controlPr defaultSize="0" autoLine="0" autoPict="0">
                <anchor moveWithCells="1">
                  <from>
                    <xdr:col>24</xdr:col>
                    <xdr:colOff>0</xdr:colOff>
                    <xdr:row>100</xdr:row>
                    <xdr:rowOff>0</xdr:rowOff>
                  </from>
                  <to>
                    <xdr:col>25</xdr:col>
                    <xdr:colOff>0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36" r:id="rId329" name="Drop Down 444">
              <controlPr defaultSize="0" autoLine="0" autoPict="0">
                <anchor moveWithCells="1">
                  <from>
                    <xdr:col>13</xdr:col>
                    <xdr:colOff>0</xdr:colOff>
                    <xdr:row>96</xdr:row>
                    <xdr:rowOff>0</xdr:rowOff>
                  </from>
                  <to>
                    <xdr:col>14</xdr:col>
                    <xdr:colOff>0</xdr:colOff>
                    <xdr:row>97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37" r:id="rId330" name="Drop Down 445">
              <controlPr defaultSize="0" autoLine="0" autoPict="0">
                <anchor moveWithCells="1">
                  <from>
                    <xdr:col>13</xdr:col>
                    <xdr:colOff>0</xdr:colOff>
                    <xdr:row>97</xdr:row>
                    <xdr:rowOff>0</xdr:rowOff>
                  </from>
                  <to>
                    <xdr:col>14</xdr:col>
                    <xdr:colOff>0</xdr:colOff>
                    <xdr:row>98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38" r:id="rId331" name="Drop Down 446">
              <controlPr defaultSize="0" autoLine="0" autoPict="0">
                <anchor moveWithCells="1">
                  <from>
                    <xdr:col>13</xdr:col>
                    <xdr:colOff>0</xdr:colOff>
                    <xdr:row>98</xdr:row>
                    <xdr:rowOff>0</xdr:rowOff>
                  </from>
                  <to>
                    <xdr:col>14</xdr:col>
                    <xdr:colOff>0</xdr:colOff>
                    <xdr:row>99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39" r:id="rId332" name="Drop Down 447">
              <controlPr defaultSize="0" autoLine="0" autoPict="0">
                <anchor moveWithCells="1">
                  <from>
                    <xdr:col>13</xdr:col>
                    <xdr:colOff>0</xdr:colOff>
                    <xdr:row>99</xdr:row>
                    <xdr:rowOff>0</xdr:rowOff>
                  </from>
                  <to>
                    <xdr:col>14</xdr:col>
                    <xdr:colOff>0</xdr:colOff>
                    <xdr:row>100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40" r:id="rId333" name="Drop Down 448">
              <controlPr defaultSize="0" autoLine="0" autoPict="0">
                <anchor moveWithCells="1">
                  <from>
                    <xdr:col>13</xdr:col>
                    <xdr:colOff>0</xdr:colOff>
                    <xdr:row>100</xdr:row>
                    <xdr:rowOff>0</xdr:rowOff>
                  </from>
                  <to>
                    <xdr:col>14</xdr:col>
                    <xdr:colOff>0</xdr:colOff>
                    <xdr:row>101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41" r:id="rId334" name="Drop Down 449">
              <controlPr defaultSize="0" autoLine="0" autoPict="0">
                <anchor moveWithCells="1">
                  <from>
                    <xdr:col>17</xdr:col>
                    <xdr:colOff>0</xdr:colOff>
                    <xdr:row>105</xdr:row>
                    <xdr:rowOff>0</xdr:rowOff>
                  </from>
                  <to>
                    <xdr:col>18</xdr:col>
                    <xdr:colOff>9525</xdr:colOff>
                    <xdr:row>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42" r:id="rId335" name="Drop Down 450">
              <controlPr defaultSize="0" autoLine="0" autoPict="0">
                <anchor moveWithCells="1">
                  <from>
                    <xdr:col>17</xdr:col>
                    <xdr:colOff>0</xdr:colOff>
                    <xdr:row>106</xdr:row>
                    <xdr:rowOff>0</xdr:rowOff>
                  </from>
                  <to>
                    <xdr:col>18</xdr:col>
                    <xdr:colOff>9525</xdr:colOff>
                    <xdr:row>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43" r:id="rId336" name="Drop Down 451">
              <controlPr defaultSize="0" autoLine="0" autoPict="0">
                <anchor moveWithCells="1">
                  <from>
                    <xdr:col>17</xdr:col>
                    <xdr:colOff>0</xdr:colOff>
                    <xdr:row>107</xdr:row>
                    <xdr:rowOff>0</xdr:rowOff>
                  </from>
                  <to>
                    <xdr:col>18</xdr:col>
                    <xdr:colOff>9525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44" r:id="rId337" name="Drop Down 452">
              <controlPr defaultSize="0" autoLine="0" autoPict="0">
                <anchor moveWithCells="1">
                  <from>
                    <xdr:col>17</xdr:col>
                    <xdr:colOff>0</xdr:colOff>
                    <xdr:row>108</xdr:row>
                    <xdr:rowOff>0</xdr:rowOff>
                  </from>
                  <to>
                    <xdr:col>18</xdr:col>
                    <xdr:colOff>9525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45" r:id="rId338" name="Drop Down 453">
              <controlPr defaultSize="0" autoLine="0" autoPict="0">
                <anchor moveWithCells="1">
                  <from>
                    <xdr:col>17</xdr:col>
                    <xdr:colOff>0</xdr:colOff>
                    <xdr:row>109</xdr:row>
                    <xdr:rowOff>0</xdr:rowOff>
                  </from>
                  <to>
                    <xdr:col>18</xdr:col>
                    <xdr:colOff>9525</xdr:colOff>
                    <xdr:row>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46" r:id="rId339" name="Drop Down 454">
              <controlPr defaultSize="0" autoLine="0" autoPict="0">
                <anchor moveWithCells="1">
                  <from>
                    <xdr:col>5</xdr:col>
                    <xdr:colOff>0</xdr:colOff>
                    <xdr:row>105</xdr:row>
                    <xdr:rowOff>0</xdr:rowOff>
                  </from>
                  <to>
                    <xdr:col>7</xdr:col>
                    <xdr:colOff>0</xdr:colOff>
                    <xdr:row>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47" r:id="rId340" name="Drop Down 455">
              <controlPr defaultSize="0" autoLine="0" autoPict="0">
                <anchor moveWithCells="1">
                  <from>
                    <xdr:col>5</xdr:col>
                    <xdr:colOff>0</xdr:colOff>
                    <xdr:row>106</xdr:row>
                    <xdr:rowOff>0</xdr:rowOff>
                  </from>
                  <to>
                    <xdr:col>7</xdr:col>
                    <xdr:colOff>0</xdr:colOff>
                    <xdr:row>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48" r:id="rId341" name="Drop Down 456">
              <controlPr defaultSize="0" autoLine="0" autoPict="0">
                <anchor moveWithCells="1">
                  <from>
                    <xdr:col>5</xdr:col>
                    <xdr:colOff>0</xdr:colOff>
                    <xdr:row>107</xdr:row>
                    <xdr:rowOff>0</xdr:rowOff>
                  </from>
                  <to>
                    <xdr:col>7</xdr:col>
                    <xdr:colOff>0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49" r:id="rId342" name="Drop Down 457">
              <controlPr defaultSize="0" autoLine="0" autoPict="0">
                <anchor moveWithCells="1">
                  <from>
                    <xdr:col>5</xdr:col>
                    <xdr:colOff>0</xdr:colOff>
                    <xdr:row>108</xdr:row>
                    <xdr:rowOff>0</xdr:rowOff>
                  </from>
                  <to>
                    <xdr:col>7</xdr:col>
                    <xdr:colOff>0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50" r:id="rId343" name="Drop Down 458">
              <controlPr defaultSize="0" autoLine="0" autoPict="0">
                <anchor moveWithCells="1">
                  <from>
                    <xdr:col>5</xdr:col>
                    <xdr:colOff>0</xdr:colOff>
                    <xdr:row>109</xdr:row>
                    <xdr:rowOff>0</xdr:rowOff>
                  </from>
                  <to>
                    <xdr:col>7</xdr:col>
                    <xdr:colOff>0</xdr:colOff>
                    <xdr:row>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51" r:id="rId344" name="Drop Down 459">
              <controlPr defaultSize="0" autoLine="0" autoPict="0">
                <anchor moveWithCells="1">
                  <from>
                    <xdr:col>4</xdr:col>
                    <xdr:colOff>0</xdr:colOff>
                    <xdr:row>105</xdr:row>
                    <xdr:rowOff>0</xdr:rowOff>
                  </from>
                  <to>
                    <xdr:col>5</xdr:col>
                    <xdr:colOff>0</xdr:colOff>
                    <xdr:row>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52" r:id="rId345" name="Drop Down 460">
              <controlPr defaultSize="0" autoLine="0" autoPict="0">
                <anchor moveWithCells="1">
                  <from>
                    <xdr:col>4</xdr:col>
                    <xdr:colOff>0</xdr:colOff>
                    <xdr:row>106</xdr:row>
                    <xdr:rowOff>0</xdr:rowOff>
                  </from>
                  <to>
                    <xdr:col>5</xdr:col>
                    <xdr:colOff>0</xdr:colOff>
                    <xdr:row>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53" r:id="rId346" name="Drop Down 461">
              <controlPr defaultSize="0" autoLine="0" autoPict="0">
                <anchor moveWithCells="1">
                  <from>
                    <xdr:col>4</xdr:col>
                    <xdr:colOff>0</xdr:colOff>
                    <xdr:row>107</xdr:row>
                    <xdr:rowOff>0</xdr:rowOff>
                  </from>
                  <to>
                    <xdr:col>5</xdr:col>
                    <xdr:colOff>0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54" r:id="rId347" name="Drop Down 462">
              <controlPr defaultSize="0" autoLine="0" autoPict="0">
                <anchor moveWithCells="1">
                  <from>
                    <xdr:col>4</xdr:col>
                    <xdr:colOff>0</xdr:colOff>
                    <xdr:row>108</xdr:row>
                    <xdr:rowOff>0</xdr:rowOff>
                  </from>
                  <to>
                    <xdr:col>5</xdr:col>
                    <xdr:colOff>0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55" r:id="rId348" name="Drop Down 463">
              <controlPr defaultSize="0" autoLine="0" autoPict="0">
                <anchor moveWithCells="1">
                  <from>
                    <xdr:col>4</xdr:col>
                    <xdr:colOff>0</xdr:colOff>
                    <xdr:row>109</xdr:row>
                    <xdr:rowOff>0</xdr:rowOff>
                  </from>
                  <to>
                    <xdr:col>5</xdr:col>
                    <xdr:colOff>0</xdr:colOff>
                    <xdr:row>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56" r:id="rId349" name="Drop Down 464">
              <controlPr defaultSize="0" autoLine="0" autoPict="0">
                <anchor moveWithCells="1">
                  <from>
                    <xdr:col>23</xdr:col>
                    <xdr:colOff>0</xdr:colOff>
                    <xdr:row>105</xdr:row>
                    <xdr:rowOff>0</xdr:rowOff>
                  </from>
                  <to>
                    <xdr:col>24</xdr:col>
                    <xdr:colOff>0</xdr:colOff>
                    <xdr:row>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57" r:id="rId350" name="Drop Down 465">
              <controlPr defaultSize="0" autoLine="0" autoPict="0">
                <anchor moveWithCells="1">
                  <from>
                    <xdr:col>24</xdr:col>
                    <xdr:colOff>0</xdr:colOff>
                    <xdr:row>105</xdr:row>
                    <xdr:rowOff>0</xdr:rowOff>
                  </from>
                  <to>
                    <xdr:col>25</xdr:col>
                    <xdr:colOff>0</xdr:colOff>
                    <xdr:row>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58" r:id="rId351" name="Drop Down 466">
              <controlPr defaultSize="0" autoLine="0" autoPict="0">
                <anchor moveWithCells="1">
                  <from>
                    <xdr:col>23</xdr:col>
                    <xdr:colOff>0</xdr:colOff>
                    <xdr:row>106</xdr:row>
                    <xdr:rowOff>0</xdr:rowOff>
                  </from>
                  <to>
                    <xdr:col>24</xdr:col>
                    <xdr:colOff>0</xdr:colOff>
                    <xdr:row>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59" r:id="rId352" name="Drop Down 467">
              <controlPr defaultSize="0" autoLine="0" autoPict="0">
                <anchor moveWithCells="1">
                  <from>
                    <xdr:col>23</xdr:col>
                    <xdr:colOff>0</xdr:colOff>
                    <xdr:row>107</xdr:row>
                    <xdr:rowOff>0</xdr:rowOff>
                  </from>
                  <to>
                    <xdr:col>24</xdr:col>
                    <xdr:colOff>0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60" r:id="rId353" name="Drop Down 468">
              <controlPr defaultSize="0" autoLine="0" autoPict="0">
                <anchor moveWithCells="1">
                  <from>
                    <xdr:col>23</xdr:col>
                    <xdr:colOff>0</xdr:colOff>
                    <xdr:row>108</xdr:row>
                    <xdr:rowOff>0</xdr:rowOff>
                  </from>
                  <to>
                    <xdr:col>24</xdr:col>
                    <xdr:colOff>0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61" r:id="rId354" name="Drop Down 469">
              <controlPr defaultSize="0" autoLine="0" autoPict="0">
                <anchor moveWithCells="1">
                  <from>
                    <xdr:col>23</xdr:col>
                    <xdr:colOff>0</xdr:colOff>
                    <xdr:row>109</xdr:row>
                    <xdr:rowOff>0</xdr:rowOff>
                  </from>
                  <to>
                    <xdr:col>24</xdr:col>
                    <xdr:colOff>0</xdr:colOff>
                    <xdr:row>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62" r:id="rId355" name="Drop Down 470">
              <controlPr defaultSize="0" autoLine="0" autoPict="0">
                <anchor moveWithCells="1">
                  <from>
                    <xdr:col>24</xdr:col>
                    <xdr:colOff>0</xdr:colOff>
                    <xdr:row>106</xdr:row>
                    <xdr:rowOff>0</xdr:rowOff>
                  </from>
                  <to>
                    <xdr:col>25</xdr:col>
                    <xdr:colOff>0</xdr:colOff>
                    <xdr:row>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63" r:id="rId356" name="Drop Down 471">
              <controlPr defaultSize="0" autoLine="0" autoPict="0">
                <anchor moveWithCells="1">
                  <from>
                    <xdr:col>24</xdr:col>
                    <xdr:colOff>0</xdr:colOff>
                    <xdr:row>107</xdr:row>
                    <xdr:rowOff>0</xdr:rowOff>
                  </from>
                  <to>
                    <xdr:col>25</xdr:col>
                    <xdr:colOff>0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64" r:id="rId357" name="Drop Down 472">
              <controlPr defaultSize="0" autoLine="0" autoPict="0">
                <anchor moveWithCells="1">
                  <from>
                    <xdr:col>24</xdr:col>
                    <xdr:colOff>0</xdr:colOff>
                    <xdr:row>108</xdr:row>
                    <xdr:rowOff>0</xdr:rowOff>
                  </from>
                  <to>
                    <xdr:col>25</xdr:col>
                    <xdr:colOff>0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65" r:id="rId358" name="Drop Down 473">
              <controlPr defaultSize="0" autoLine="0" autoPict="0">
                <anchor moveWithCells="1">
                  <from>
                    <xdr:col>24</xdr:col>
                    <xdr:colOff>0</xdr:colOff>
                    <xdr:row>109</xdr:row>
                    <xdr:rowOff>0</xdr:rowOff>
                  </from>
                  <to>
                    <xdr:col>25</xdr:col>
                    <xdr:colOff>0</xdr:colOff>
                    <xdr:row>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66" r:id="rId359" name="Drop Down 474">
              <controlPr defaultSize="0" autoLine="0" autoPict="0">
                <anchor moveWithCells="1">
                  <from>
                    <xdr:col>13</xdr:col>
                    <xdr:colOff>0</xdr:colOff>
                    <xdr:row>105</xdr:row>
                    <xdr:rowOff>0</xdr:rowOff>
                  </from>
                  <to>
                    <xdr:col>14</xdr:col>
                    <xdr:colOff>0</xdr:colOff>
                    <xdr:row>106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67" r:id="rId360" name="Drop Down 475">
              <controlPr defaultSize="0" autoLine="0" autoPict="0">
                <anchor moveWithCells="1">
                  <from>
                    <xdr:col>13</xdr:col>
                    <xdr:colOff>0</xdr:colOff>
                    <xdr:row>106</xdr:row>
                    <xdr:rowOff>0</xdr:rowOff>
                  </from>
                  <to>
                    <xdr:col>14</xdr:col>
                    <xdr:colOff>0</xdr:colOff>
                    <xdr:row>107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68" r:id="rId361" name="Drop Down 476">
              <controlPr defaultSize="0" autoLine="0" autoPict="0">
                <anchor moveWithCells="1">
                  <from>
                    <xdr:col>13</xdr:col>
                    <xdr:colOff>0</xdr:colOff>
                    <xdr:row>107</xdr:row>
                    <xdr:rowOff>0</xdr:rowOff>
                  </from>
                  <to>
                    <xdr:col>14</xdr:col>
                    <xdr:colOff>0</xdr:colOff>
                    <xdr:row>108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69" r:id="rId362" name="Drop Down 477">
              <controlPr defaultSize="0" autoLine="0" autoPict="0">
                <anchor moveWithCells="1">
                  <from>
                    <xdr:col>13</xdr:col>
                    <xdr:colOff>0</xdr:colOff>
                    <xdr:row>108</xdr:row>
                    <xdr:rowOff>0</xdr:rowOff>
                  </from>
                  <to>
                    <xdr:col>14</xdr:col>
                    <xdr:colOff>0</xdr:colOff>
                    <xdr:row>109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70" r:id="rId363" name="Drop Down 478">
              <controlPr defaultSize="0" autoLine="0" autoPict="0">
                <anchor moveWithCells="1">
                  <from>
                    <xdr:col>13</xdr:col>
                    <xdr:colOff>0</xdr:colOff>
                    <xdr:row>109</xdr:row>
                    <xdr:rowOff>0</xdr:rowOff>
                  </from>
                  <to>
                    <xdr:col>14</xdr:col>
                    <xdr:colOff>0</xdr:colOff>
                    <xdr:row>110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8">
    <tabColor rgb="FF00B050"/>
  </sheetPr>
  <dimension ref="B3:CQ55"/>
  <sheetViews>
    <sheetView topLeftCell="A17" zoomScale="80" zoomScaleNormal="80" workbookViewId="0">
      <selection activeCell="G29" sqref="G29"/>
    </sheetView>
  </sheetViews>
  <sheetFormatPr defaultColWidth="9.140625" defaultRowHeight="12.75" x14ac:dyDescent="0.2"/>
  <cols>
    <col min="1" max="2" width="9.140625" style="93"/>
    <col min="3" max="3" width="18.28515625" style="93" customWidth="1"/>
    <col min="4" max="5" width="9.140625" style="93"/>
    <col min="6" max="6" width="8.7109375" style="93" bestFit="1" customWidth="1"/>
    <col min="7" max="7" width="18.5703125" style="93" bestFit="1" customWidth="1"/>
    <col min="8" max="8" width="13.85546875" style="93" bestFit="1" customWidth="1"/>
    <col min="9" max="9" width="15.28515625" style="93" customWidth="1"/>
    <col min="10" max="11" width="9" style="93" customWidth="1"/>
    <col min="12" max="12" width="17.7109375" style="93" bestFit="1" customWidth="1"/>
    <col min="13" max="13" width="18.5703125" style="93" bestFit="1" customWidth="1"/>
    <col min="14" max="14" width="25.140625" style="93" bestFit="1" customWidth="1"/>
    <col min="15" max="15" width="10.28515625" style="93" bestFit="1" customWidth="1"/>
    <col min="16" max="16" width="15.42578125" style="93" bestFit="1" customWidth="1"/>
    <col min="17" max="17" width="13.7109375" style="93" bestFit="1" customWidth="1"/>
    <col min="18" max="18" width="11.140625" style="93" bestFit="1" customWidth="1"/>
    <col min="19" max="20" width="6.42578125" style="93" customWidth="1"/>
    <col min="21" max="22" width="9.140625" style="93"/>
    <col min="23" max="23" width="11.28515625" style="93" customWidth="1"/>
    <col min="24" max="24" width="12.28515625" style="93" bestFit="1" customWidth="1"/>
    <col min="25" max="16384" width="9.140625" style="93"/>
  </cols>
  <sheetData>
    <row r="3" spans="2:95" s="7" customFormat="1" ht="18.75" thickBot="1" x14ac:dyDescent="0.3">
      <c r="C3" s="97" t="s">
        <v>300</v>
      </c>
    </row>
    <row r="6" spans="2:95" x14ac:dyDescent="0.2">
      <c r="J6" s="2625" t="s">
        <v>449</v>
      </c>
      <c r="K6" s="2625"/>
    </row>
    <row r="7" spans="2:95" x14ac:dyDescent="0.2">
      <c r="C7" s="99" t="s">
        <v>425</v>
      </c>
      <c r="D7" s="2630" t="s">
        <v>79</v>
      </c>
      <c r="E7" s="2631"/>
      <c r="F7" s="117" t="s">
        <v>42</v>
      </c>
      <c r="G7" s="117" t="s">
        <v>445</v>
      </c>
      <c r="H7" s="142" t="s">
        <v>446</v>
      </c>
      <c r="I7" s="99" t="s">
        <v>437</v>
      </c>
      <c r="J7" s="99" t="s">
        <v>292</v>
      </c>
      <c r="K7" s="99" t="s">
        <v>80</v>
      </c>
      <c r="L7" s="89"/>
      <c r="M7" s="91"/>
      <c r="N7" s="91"/>
      <c r="O7" s="89"/>
      <c r="P7" s="89"/>
      <c r="Q7" s="89"/>
      <c r="CQ7" s="89"/>
    </row>
    <row r="8" spans="2:95" ht="15.75" customHeight="1" x14ac:dyDescent="0.2">
      <c r="C8" s="2727" t="s">
        <v>447</v>
      </c>
      <c r="D8" s="2719">
        <v>2</v>
      </c>
      <c r="E8" s="2633"/>
      <c r="F8" s="140" t="str">
        <f>VLOOKUP(D8,Dados!$A$14:$X$81,24)</f>
        <v>Anual</v>
      </c>
      <c r="G8" s="28">
        <v>50</v>
      </c>
      <c r="H8" s="143">
        <v>12</v>
      </c>
      <c r="I8" s="106">
        <f t="shared" ref="I8:I13" si="0">IF(D8=1,0,G8*H8)</f>
        <v>600</v>
      </c>
      <c r="J8" s="3">
        <v>1</v>
      </c>
      <c r="K8" s="3">
        <v>1</v>
      </c>
      <c r="L8" s="144"/>
      <c r="M8" s="114"/>
      <c r="N8" s="114"/>
      <c r="O8" s="114"/>
      <c r="P8" s="114"/>
      <c r="Q8" s="115"/>
      <c r="CQ8" s="6"/>
    </row>
    <row r="9" spans="2:95" ht="15.75" customHeight="1" x14ac:dyDescent="0.2">
      <c r="C9" s="2721"/>
      <c r="D9" s="2718">
        <v>3</v>
      </c>
      <c r="E9" s="2719"/>
      <c r="F9" s="140" t="str">
        <f>VLOOKUP(D9,Dados!$A$14:$X$81,24)</f>
        <v>Anual</v>
      </c>
      <c r="G9" s="28">
        <f>'Mão-de-obra'!D7/2</f>
        <v>362</v>
      </c>
      <c r="H9" s="143">
        <v>1</v>
      </c>
      <c r="I9" s="106">
        <f t="shared" si="0"/>
        <v>362</v>
      </c>
      <c r="J9" s="3">
        <v>1</v>
      </c>
      <c r="K9" s="3">
        <v>1</v>
      </c>
      <c r="L9" s="144"/>
      <c r="M9" s="114"/>
      <c r="N9" s="114"/>
      <c r="O9" s="114"/>
      <c r="P9" s="114"/>
      <c r="Q9" s="115"/>
      <c r="CQ9" s="6"/>
    </row>
    <row r="10" spans="2:95" ht="15.75" customHeight="1" x14ac:dyDescent="0.2">
      <c r="C10" s="2721"/>
      <c r="D10" s="2718">
        <v>1</v>
      </c>
      <c r="E10" s="2719"/>
      <c r="F10" s="140">
        <f>VLOOKUP(D10,Dados!$A$14:$X$81,24)</f>
        <v>0</v>
      </c>
      <c r="G10" s="28"/>
      <c r="H10" s="143">
        <v>1</v>
      </c>
      <c r="I10" s="106">
        <f t="shared" si="0"/>
        <v>0</v>
      </c>
      <c r="J10" s="3">
        <v>1</v>
      </c>
      <c r="K10" s="3">
        <v>1</v>
      </c>
      <c r="L10" s="144"/>
      <c r="M10" s="114"/>
      <c r="N10" s="114"/>
      <c r="O10" s="114"/>
      <c r="P10" s="114"/>
      <c r="Q10" s="115"/>
      <c r="CQ10" s="6"/>
    </row>
    <row r="11" spans="2:95" ht="15.75" customHeight="1" x14ac:dyDescent="0.2">
      <c r="B11" s="33"/>
      <c r="C11" s="2721"/>
      <c r="D11" s="2718">
        <v>1</v>
      </c>
      <c r="E11" s="2719"/>
      <c r="F11" s="140">
        <f>VLOOKUP(D11,Dados!$A$14:$X$81,24)</f>
        <v>0</v>
      </c>
      <c r="G11" s="28"/>
      <c r="H11" s="143"/>
      <c r="I11" s="106">
        <f t="shared" si="0"/>
        <v>0</v>
      </c>
      <c r="J11" s="3">
        <v>1</v>
      </c>
      <c r="K11" s="3">
        <v>1</v>
      </c>
      <c r="L11" s="144"/>
      <c r="M11" s="114"/>
      <c r="N11" s="114"/>
      <c r="O11" s="114"/>
      <c r="P11" s="114"/>
      <c r="Q11" s="115"/>
      <c r="CQ11" s="6"/>
    </row>
    <row r="12" spans="2:95" ht="15.75" customHeight="1" x14ac:dyDescent="0.2">
      <c r="C12" s="2721"/>
      <c r="D12" s="2726">
        <v>1</v>
      </c>
      <c r="E12" s="2719"/>
      <c r="F12" s="140">
        <f>VLOOKUP(D12,Dados!$A$14:$X$81,24)</f>
        <v>0</v>
      </c>
      <c r="G12" s="28"/>
      <c r="H12" s="143"/>
      <c r="I12" s="106">
        <f t="shared" si="0"/>
        <v>0</v>
      </c>
      <c r="J12" s="3">
        <v>1</v>
      </c>
      <c r="K12" s="3">
        <v>1</v>
      </c>
      <c r="L12" s="144"/>
      <c r="M12" s="114"/>
      <c r="N12" s="114"/>
      <c r="O12" s="114"/>
      <c r="P12" s="114"/>
      <c r="Q12" s="115"/>
      <c r="CQ12" s="6"/>
    </row>
    <row r="13" spans="2:95" ht="15.75" customHeight="1" x14ac:dyDescent="0.2">
      <c r="C13" s="2722"/>
      <c r="D13" s="2633">
        <v>1</v>
      </c>
      <c r="E13" s="2633"/>
      <c r="F13" s="140">
        <f>VLOOKUP(D13,Dados!$A$14:$X$81,24)</f>
        <v>0</v>
      </c>
      <c r="G13" s="28"/>
      <c r="H13" s="143"/>
      <c r="I13" s="106">
        <f t="shared" si="0"/>
        <v>0</v>
      </c>
      <c r="J13" s="3">
        <v>1</v>
      </c>
      <c r="K13" s="3">
        <v>1</v>
      </c>
      <c r="L13" s="144"/>
      <c r="M13" s="114"/>
      <c r="N13" s="114"/>
      <c r="O13" s="114"/>
      <c r="P13" s="114"/>
      <c r="Q13" s="115"/>
      <c r="CQ13" s="6"/>
    </row>
    <row r="14" spans="2:95" x14ac:dyDescent="0.2">
      <c r="H14" s="95" t="s">
        <v>2</v>
      </c>
      <c r="I14" s="96">
        <f>SUM(I8:I13)</f>
        <v>962</v>
      </c>
      <c r="CQ14" s="6"/>
    </row>
    <row r="15" spans="2:95" x14ac:dyDescent="0.2">
      <c r="H15" s="91"/>
      <c r="I15" s="103"/>
      <c r="CQ15" s="6"/>
    </row>
    <row r="16" spans="2:95" x14ac:dyDescent="0.2">
      <c r="J16" s="2625" t="s">
        <v>449</v>
      </c>
      <c r="K16" s="2625"/>
      <c r="CQ16" s="6"/>
    </row>
    <row r="17" spans="2:95" x14ac:dyDescent="0.2">
      <c r="C17" s="99" t="s">
        <v>425</v>
      </c>
      <c r="D17" s="2630" t="s">
        <v>79</v>
      </c>
      <c r="E17" s="2631"/>
      <c r="F17" s="117" t="s">
        <v>42</v>
      </c>
      <c r="G17" s="117" t="s">
        <v>445</v>
      </c>
      <c r="H17" s="142" t="s">
        <v>446</v>
      </c>
      <c r="I17" s="99" t="s">
        <v>437</v>
      </c>
      <c r="J17" s="99" t="s">
        <v>292</v>
      </c>
      <c r="K17" s="99" t="s">
        <v>80</v>
      </c>
      <c r="L17" s="89"/>
      <c r="M17" s="91"/>
      <c r="N17" s="91"/>
      <c r="O17" s="89"/>
      <c r="P17" s="89"/>
      <c r="Q17" s="89"/>
      <c r="CQ17" s="89"/>
    </row>
    <row r="18" spans="2:95" ht="15.75" customHeight="1" x14ac:dyDescent="0.2">
      <c r="C18" s="2730" t="s">
        <v>8</v>
      </c>
      <c r="D18" s="2719">
        <v>2</v>
      </c>
      <c r="E18" s="2633"/>
      <c r="F18" s="140" t="str">
        <f>VLOOKUP(D18,Dados!$A$14:$Z$81,26)</f>
        <v>Anual</v>
      </c>
      <c r="G18" s="28">
        <v>100</v>
      </c>
      <c r="H18" s="143">
        <v>12</v>
      </c>
      <c r="I18" s="106">
        <f>IF(D18=1,0,G18*H18)</f>
        <v>1200</v>
      </c>
      <c r="J18" s="93">
        <v>1</v>
      </c>
      <c r="K18" s="93">
        <v>1</v>
      </c>
      <c r="L18" s="144"/>
      <c r="M18" s="114"/>
      <c r="N18" s="114"/>
      <c r="O18" s="114"/>
      <c r="P18" s="114"/>
      <c r="Q18" s="115"/>
      <c r="CQ18" s="6"/>
    </row>
    <row r="19" spans="2:95" ht="15.75" customHeight="1" x14ac:dyDescent="0.2">
      <c r="C19" s="2730"/>
      <c r="D19" s="2718">
        <v>3</v>
      </c>
      <c r="E19" s="2719"/>
      <c r="F19" s="140" t="str">
        <f>VLOOKUP(D19,Dados!$A$14:$Z$81,26)</f>
        <v>Anual</v>
      </c>
      <c r="G19" s="28">
        <f>Inventário!D115</f>
        <v>3.3</v>
      </c>
      <c r="H19" s="143">
        <f>10*12</f>
        <v>120</v>
      </c>
      <c r="I19" s="106">
        <f>IF(D19=1,0,G19*H19)</f>
        <v>396</v>
      </c>
      <c r="J19" s="93">
        <v>1</v>
      </c>
      <c r="K19" s="93">
        <v>1</v>
      </c>
      <c r="L19" s="144"/>
      <c r="M19" s="114"/>
      <c r="N19" s="114"/>
      <c r="O19" s="114"/>
      <c r="P19" s="114"/>
      <c r="Q19" s="115"/>
      <c r="CQ19" s="6"/>
    </row>
    <row r="20" spans="2:95" ht="15.75" customHeight="1" x14ac:dyDescent="0.2">
      <c r="C20" s="2730"/>
      <c r="D20" s="2731">
        <v>1</v>
      </c>
      <c r="E20" s="2732"/>
      <c r="F20" s="140">
        <f>VLOOKUP(D20,Dados!$A$14:$Z$81,26)</f>
        <v>0</v>
      </c>
      <c r="G20" s="28"/>
      <c r="H20" s="143"/>
      <c r="I20" s="106">
        <f>IF(D20=1,0,G20*H20)</f>
        <v>0</v>
      </c>
      <c r="J20" s="93">
        <v>1</v>
      </c>
      <c r="K20" s="93">
        <v>1</v>
      </c>
      <c r="L20" s="144"/>
      <c r="M20" s="114"/>
      <c r="N20" s="114"/>
      <c r="O20" s="114"/>
      <c r="P20" s="114"/>
      <c r="Q20" s="115"/>
      <c r="CQ20" s="6"/>
    </row>
    <row r="21" spans="2:95" ht="15.75" customHeight="1" x14ac:dyDescent="0.2">
      <c r="C21" s="2730"/>
      <c r="D21" s="2733">
        <v>1</v>
      </c>
      <c r="E21" s="2697"/>
      <c r="F21" s="140">
        <f>VLOOKUP(D21,Dados!$A$14:$Z$81,26)</f>
        <v>0</v>
      </c>
      <c r="G21" s="28"/>
      <c r="H21" s="143"/>
      <c r="I21" s="106">
        <f>IF(D21=1,0,G21*H21)</f>
        <v>0</v>
      </c>
      <c r="J21" s="93">
        <v>1</v>
      </c>
      <c r="K21" s="93">
        <v>1</v>
      </c>
      <c r="L21" s="144"/>
      <c r="M21" s="114"/>
      <c r="N21" s="114"/>
      <c r="O21" s="114"/>
      <c r="P21" s="114"/>
      <c r="Q21" s="115"/>
      <c r="CQ21" s="6"/>
    </row>
    <row r="22" spans="2:95" ht="15.75" customHeight="1" x14ac:dyDescent="0.2">
      <c r="C22" s="2730"/>
      <c r="D22" s="2733">
        <v>1</v>
      </c>
      <c r="E22" s="2697"/>
      <c r="F22" s="140">
        <f>VLOOKUP(D22,Dados!$A$14:$Z$81,26)</f>
        <v>0</v>
      </c>
      <c r="G22" s="28"/>
      <c r="H22" s="143"/>
      <c r="I22" s="106">
        <f>IF(D22=1,0,G22*H22)</f>
        <v>0</v>
      </c>
      <c r="J22" s="93">
        <v>1</v>
      </c>
      <c r="K22" s="93">
        <v>1</v>
      </c>
      <c r="L22" s="144"/>
      <c r="M22" s="114"/>
      <c r="N22" s="114"/>
      <c r="O22" s="114"/>
      <c r="P22" s="114"/>
      <c r="Q22" s="115"/>
      <c r="CQ22" s="6"/>
    </row>
    <row r="23" spans="2:95" x14ac:dyDescent="0.2">
      <c r="H23" s="95" t="s">
        <v>2</v>
      </c>
      <c r="I23" s="96">
        <f>SUM(I18:I22)</f>
        <v>1596</v>
      </c>
    </row>
    <row r="25" spans="2:95" ht="13.5" thickBot="1" x14ac:dyDescent="0.25">
      <c r="J25" s="2625" t="s">
        <v>449</v>
      </c>
      <c r="K25" s="2625"/>
    </row>
    <row r="26" spans="2:95" ht="13.5" thickBot="1" x14ac:dyDescent="0.25">
      <c r="C26" s="99" t="s">
        <v>425</v>
      </c>
      <c r="D26" s="2630" t="s">
        <v>79</v>
      </c>
      <c r="E26" s="2631"/>
      <c r="F26" s="117" t="s">
        <v>42</v>
      </c>
      <c r="G26" s="117" t="s">
        <v>445</v>
      </c>
      <c r="H26" s="142" t="s">
        <v>446</v>
      </c>
      <c r="I26" s="99" t="s">
        <v>437</v>
      </c>
      <c r="J26" s="99" t="s">
        <v>292</v>
      </c>
      <c r="K26" s="99" t="s">
        <v>80</v>
      </c>
      <c r="L26" s="89"/>
      <c r="M26" s="91"/>
      <c r="N26" s="91"/>
      <c r="O26" s="89"/>
      <c r="P26" s="89"/>
      <c r="Q26" s="89"/>
      <c r="W26" s="2707" t="s">
        <v>550</v>
      </c>
      <c r="X26" s="2709"/>
      <c r="CQ26" s="89"/>
    </row>
    <row r="27" spans="2:95" ht="15.75" customHeight="1" x14ac:dyDescent="0.2">
      <c r="C27" s="2730" t="s">
        <v>454</v>
      </c>
      <c r="D27" s="2719">
        <v>3</v>
      </c>
      <c r="E27" s="2633"/>
      <c r="F27" s="140" t="str">
        <f>VLOOKUP(D27,Dados!$A$14:$AB$81,28)</f>
        <v>Anual</v>
      </c>
      <c r="G27" s="2404">
        <v>600</v>
      </c>
      <c r="H27" s="143">
        <v>1</v>
      </c>
      <c r="I27" s="106">
        <f>IF(D27=1,0,G27*H27)</f>
        <v>600</v>
      </c>
      <c r="J27" s="3">
        <v>1</v>
      </c>
      <c r="K27" s="3">
        <v>1</v>
      </c>
      <c r="L27" s="346" t="s">
        <v>1436</v>
      </c>
      <c r="M27" s="114"/>
      <c r="N27" s="114"/>
      <c r="O27" s="114"/>
      <c r="P27" s="114"/>
      <c r="Q27" s="115"/>
      <c r="W27" s="2728" t="s">
        <v>1078</v>
      </c>
      <c r="X27" s="885">
        <f>IF(D27=6,G27,0)</f>
        <v>0</v>
      </c>
      <c r="CQ27" s="6"/>
    </row>
    <row r="28" spans="2:95" ht="15.75" customHeight="1" x14ac:dyDescent="0.2">
      <c r="C28" s="2730"/>
      <c r="D28" s="2718">
        <v>4</v>
      </c>
      <c r="E28" s="2719"/>
      <c r="F28" s="140" t="str">
        <f>VLOOKUP(D28,Dados!$A$14:$AB$81,28)</f>
        <v>Anual</v>
      </c>
      <c r="G28" s="2404">
        <v>800</v>
      </c>
      <c r="H28" s="143">
        <v>1</v>
      </c>
      <c r="I28" s="106">
        <f>IF(D28=1,0,G28*H28)</f>
        <v>800</v>
      </c>
      <c r="J28" s="3">
        <v>1</v>
      </c>
      <c r="K28" s="3">
        <v>1</v>
      </c>
      <c r="L28" s="346" t="s">
        <v>1436</v>
      </c>
      <c r="M28" s="114"/>
      <c r="N28" s="114"/>
      <c r="O28" s="114"/>
      <c r="P28" s="114"/>
      <c r="Q28" s="115"/>
      <c r="W28" s="2728"/>
      <c r="X28" s="885">
        <f>IF(D28=6,G28,0)</f>
        <v>0</v>
      </c>
      <c r="CQ28" s="6"/>
    </row>
    <row r="29" spans="2:95" ht="15.75" customHeight="1" x14ac:dyDescent="0.2">
      <c r="B29" s="33"/>
      <c r="C29" s="2730"/>
      <c r="D29" s="2718">
        <v>1</v>
      </c>
      <c r="E29" s="2719"/>
      <c r="F29" s="140">
        <f>VLOOKUP(D29,Dados!$A$14:$AB$81,28)</f>
        <v>0</v>
      </c>
      <c r="G29" s="28"/>
      <c r="H29" s="143">
        <v>1</v>
      </c>
      <c r="I29" s="106">
        <f>IF(D29=1,0,G29*H29)</f>
        <v>0</v>
      </c>
      <c r="J29" s="3">
        <v>1</v>
      </c>
      <c r="K29" s="3">
        <v>1</v>
      </c>
      <c r="L29" s="144"/>
      <c r="M29" s="114"/>
      <c r="N29" s="114"/>
      <c r="O29" s="114"/>
      <c r="P29" s="114"/>
      <c r="Q29" s="115"/>
      <c r="W29" s="2728"/>
      <c r="X29" s="885">
        <f>IF(D29=6,G29,0)</f>
        <v>0</v>
      </c>
      <c r="CQ29" s="6"/>
    </row>
    <row r="30" spans="2:95" ht="15.75" customHeight="1" x14ac:dyDescent="0.2">
      <c r="B30" s="33"/>
      <c r="C30" s="2730"/>
      <c r="D30" s="2718">
        <v>10</v>
      </c>
      <c r="E30" s="2719"/>
      <c r="F30" s="140" t="str">
        <f>VLOOKUP(D30,Dados!$A$14:$AB$81,28)</f>
        <v>Anual</v>
      </c>
      <c r="G30" s="28">
        <f>Inventário!F105*Inventário!I105*0.02</f>
        <v>1820</v>
      </c>
      <c r="H30" s="143">
        <v>1</v>
      </c>
      <c r="I30" s="106">
        <f>IF(D30=1,0,G30*H30)</f>
        <v>1820</v>
      </c>
      <c r="J30" s="3">
        <v>1</v>
      </c>
      <c r="K30" s="3">
        <v>1</v>
      </c>
      <c r="L30" s="144"/>
      <c r="M30" s="114"/>
      <c r="N30" s="114"/>
      <c r="O30" s="114"/>
      <c r="P30" s="114"/>
      <c r="Q30" s="115"/>
      <c r="W30" s="2728"/>
      <c r="X30" s="885">
        <f>IF(D30=6,G30,0)</f>
        <v>0</v>
      </c>
      <c r="CQ30" s="6"/>
    </row>
    <row r="31" spans="2:95" ht="15.75" customHeight="1" x14ac:dyDescent="0.2">
      <c r="B31" s="33"/>
      <c r="C31" s="2730"/>
      <c r="D31" s="2718">
        <v>11</v>
      </c>
      <c r="E31" s="2719"/>
      <c r="F31" s="140" t="str">
        <f>VLOOKUP(D31,Dados!$A$14:$AB$81,28)</f>
        <v>Anual</v>
      </c>
      <c r="G31" s="28">
        <v>5000</v>
      </c>
      <c r="H31" s="143">
        <v>1</v>
      </c>
      <c r="I31" s="106">
        <f>IF(D31=1,0,G31*H31)</f>
        <v>5000</v>
      </c>
      <c r="J31" s="3">
        <v>1</v>
      </c>
      <c r="K31" s="3">
        <v>1</v>
      </c>
      <c r="L31" s="144"/>
      <c r="M31" s="114"/>
      <c r="N31" s="114"/>
      <c r="O31" s="114"/>
      <c r="P31" s="114"/>
      <c r="Q31" s="115"/>
      <c r="W31" s="2728"/>
      <c r="X31" s="885">
        <f>IF(D31=6,G31,0)</f>
        <v>0</v>
      </c>
      <c r="CQ31" s="6"/>
    </row>
    <row r="32" spans="2:95" ht="15.75" customHeight="1" x14ac:dyDescent="0.2">
      <c r="B32" s="33"/>
      <c r="C32" s="2730"/>
      <c r="D32" s="2726">
        <v>10</v>
      </c>
      <c r="E32" s="2719"/>
      <c r="F32" s="140" t="str">
        <f>VLOOKUP(D32,Dados!$A$14:$AB$81,28)</f>
        <v>Anual</v>
      </c>
      <c r="G32" s="28">
        <f>Inventário!F106*Inventário!I106*0.02</f>
        <v>200</v>
      </c>
      <c r="H32" s="143">
        <v>1</v>
      </c>
      <c r="I32" s="106">
        <f t="shared" ref="I32:I36" si="1">IF(D32=1,0,G32*H32)</f>
        <v>200</v>
      </c>
      <c r="J32" s="3">
        <v>1</v>
      </c>
      <c r="K32" s="3">
        <v>1</v>
      </c>
      <c r="L32" s="144"/>
      <c r="M32" s="114"/>
      <c r="N32" s="114"/>
      <c r="O32" s="114"/>
      <c r="P32" s="114"/>
      <c r="Q32" s="115"/>
      <c r="W32" s="2728"/>
      <c r="X32" s="885"/>
      <c r="CQ32" s="6"/>
    </row>
    <row r="33" spans="2:95" ht="15.75" customHeight="1" x14ac:dyDescent="0.2">
      <c r="B33" s="33"/>
      <c r="C33" s="2730"/>
      <c r="D33" s="2726">
        <v>1</v>
      </c>
      <c r="E33" s="2719"/>
      <c r="F33" s="140">
        <f>VLOOKUP(D33,Dados!$A$14:$AB$81,28)</f>
        <v>0</v>
      </c>
      <c r="G33" s="28"/>
      <c r="H33" s="143">
        <v>1</v>
      </c>
      <c r="I33" s="106">
        <f t="shared" si="1"/>
        <v>0</v>
      </c>
      <c r="J33" s="3">
        <v>1</v>
      </c>
      <c r="K33" s="3">
        <v>1</v>
      </c>
      <c r="L33" s="144"/>
      <c r="M33" s="114"/>
      <c r="N33" s="114"/>
      <c r="O33" s="114"/>
      <c r="P33" s="114"/>
      <c r="Q33" s="115"/>
      <c r="W33" s="2728"/>
      <c r="X33" s="885"/>
      <c r="CQ33" s="6"/>
    </row>
    <row r="34" spans="2:95" ht="15.75" customHeight="1" x14ac:dyDescent="0.2">
      <c r="B34" s="33"/>
      <c r="C34" s="2730"/>
      <c r="D34" s="2726">
        <v>1</v>
      </c>
      <c r="E34" s="2719"/>
      <c r="F34" s="140">
        <f>VLOOKUP(D34,Dados!$A$14:$AB$81,28)</f>
        <v>0</v>
      </c>
      <c r="G34" s="28"/>
      <c r="H34" s="143"/>
      <c r="I34" s="106">
        <f t="shared" si="1"/>
        <v>0</v>
      </c>
      <c r="J34" s="3">
        <v>1</v>
      </c>
      <c r="K34" s="3">
        <v>1</v>
      </c>
      <c r="L34" s="144"/>
      <c r="M34" s="114"/>
      <c r="N34" s="114"/>
      <c r="O34" s="114"/>
      <c r="P34" s="114"/>
      <c r="Q34" s="115"/>
      <c r="W34" s="2728"/>
      <c r="X34" s="885"/>
      <c r="CQ34" s="6"/>
    </row>
    <row r="35" spans="2:95" ht="15.75" customHeight="1" x14ac:dyDescent="0.2">
      <c r="B35" s="33"/>
      <c r="C35" s="2730"/>
      <c r="D35" s="2726">
        <v>1</v>
      </c>
      <c r="E35" s="2719"/>
      <c r="F35" s="140">
        <f>VLOOKUP(D35,Dados!$A$14:$AB$81,28)</f>
        <v>0</v>
      </c>
      <c r="G35" s="28"/>
      <c r="H35" s="143"/>
      <c r="I35" s="106">
        <f t="shared" si="1"/>
        <v>0</v>
      </c>
      <c r="J35" s="3">
        <v>1</v>
      </c>
      <c r="K35" s="3">
        <v>1</v>
      </c>
      <c r="L35" s="144"/>
      <c r="M35" s="114"/>
      <c r="N35" s="114"/>
      <c r="O35" s="114"/>
      <c r="P35" s="114"/>
      <c r="Q35" s="115"/>
      <c r="W35" s="2728"/>
      <c r="X35" s="885"/>
      <c r="CQ35" s="6"/>
    </row>
    <row r="36" spans="2:95" ht="15.75" customHeight="1" thickBot="1" x14ac:dyDescent="0.25">
      <c r="C36" s="2730"/>
      <c r="D36" s="2718">
        <v>1</v>
      </c>
      <c r="E36" s="2719"/>
      <c r="F36" s="140">
        <f>VLOOKUP(D36,Dados!$A$14:$AB$81,28)</f>
        <v>0</v>
      </c>
      <c r="G36" s="28"/>
      <c r="H36" s="143"/>
      <c r="I36" s="106">
        <f t="shared" si="1"/>
        <v>0</v>
      </c>
      <c r="J36" s="3">
        <v>1</v>
      </c>
      <c r="K36" s="3">
        <v>1</v>
      </c>
      <c r="L36" s="144"/>
      <c r="M36" s="114"/>
      <c r="N36" s="114"/>
      <c r="O36" s="114"/>
      <c r="P36" s="114"/>
      <c r="Q36" s="115"/>
      <c r="W36" s="2729"/>
      <c r="X36" s="885">
        <f t="shared" ref="X36" si="2">IF(D36=6,G36,0)</f>
        <v>0</v>
      </c>
      <c r="CQ36" s="6"/>
    </row>
    <row r="37" spans="2:95" ht="13.5" thickBot="1" x14ac:dyDescent="0.25">
      <c r="C37" s="42"/>
      <c r="H37" s="95" t="s">
        <v>2</v>
      </c>
      <c r="I37" s="96">
        <f>SUM(I27:I36)</f>
        <v>8420</v>
      </c>
      <c r="W37" s="351" t="s">
        <v>2</v>
      </c>
      <c r="X37" s="915">
        <f>SUM(X27:X36)</f>
        <v>0</v>
      </c>
    </row>
    <row r="38" spans="2:95" x14ac:dyDescent="0.2">
      <c r="C38" s="42"/>
      <c r="W38" s="91"/>
      <c r="X38" s="963"/>
    </row>
    <row r="39" spans="2:95" x14ac:dyDescent="0.2">
      <c r="J39" s="2625" t="s">
        <v>449</v>
      </c>
      <c r="K39" s="2625"/>
      <c r="W39" s="91"/>
      <c r="X39" s="963"/>
    </row>
    <row r="40" spans="2:95" x14ac:dyDescent="0.2">
      <c r="C40" s="99" t="s">
        <v>425</v>
      </c>
      <c r="D40" s="2630" t="s">
        <v>1106</v>
      </c>
      <c r="E40" s="2631"/>
      <c r="F40" s="117" t="s">
        <v>1168</v>
      </c>
      <c r="G40" s="117" t="s">
        <v>75</v>
      </c>
      <c r="H40" s="142" t="s">
        <v>1313</v>
      </c>
      <c r="I40" s="99" t="s">
        <v>1170</v>
      </c>
      <c r="J40" s="99" t="s">
        <v>292</v>
      </c>
      <c r="K40" s="99" t="s">
        <v>80</v>
      </c>
      <c r="W40" s="91"/>
      <c r="X40" s="963"/>
    </row>
    <row r="41" spans="2:95" ht="15.75" customHeight="1" x14ac:dyDescent="0.2">
      <c r="C41" s="2730" t="s">
        <v>1167</v>
      </c>
      <c r="D41" s="2713">
        <v>16</v>
      </c>
      <c r="E41" s="2713"/>
      <c r="F41" s="140">
        <f>IF(D41=1,0,VLOOKUP(D41,Dados!$A$86:$O$129,13))</f>
        <v>0</v>
      </c>
      <c r="G41" s="58">
        <f>400000*1.08</f>
        <v>432000</v>
      </c>
      <c r="H41" s="1471">
        <v>6.5000000000000002E-2</v>
      </c>
      <c r="I41" s="964">
        <f>(G41*H41)</f>
        <v>28080</v>
      </c>
      <c r="J41" s="93">
        <v>1</v>
      </c>
      <c r="K41" s="93">
        <v>1</v>
      </c>
      <c r="W41" s="91"/>
      <c r="X41" s="963"/>
    </row>
    <row r="42" spans="2:95" ht="15.75" customHeight="1" x14ac:dyDescent="0.2">
      <c r="C42" s="2730"/>
      <c r="D42" s="2702">
        <v>1</v>
      </c>
      <c r="E42" s="2703"/>
      <c r="F42" s="140">
        <f>IF(D42=1,0,VLOOKUP(D42,Dados!$A$86:$O$129,13))</f>
        <v>0</v>
      </c>
      <c r="G42" s="58"/>
      <c r="H42" s="1471">
        <f>IF(D42=1,0,VLOOKUP(D42,Dados!A86:P129,14))</f>
        <v>0</v>
      </c>
      <c r="I42" s="964">
        <f>(G42*H42)</f>
        <v>0</v>
      </c>
      <c r="J42" s="93">
        <v>1</v>
      </c>
      <c r="K42" s="93">
        <v>1</v>
      </c>
      <c r="W42" s="91"/>
      <c r="X42" s="963"/>
    </row>
    <row r="43" spans="2:95" ht="15.75" customHeight="1" x14ac:dyDescent="0.2">
      <c r="C43" s="2730"/>
      <c r="D43" s="2713">
        <v>1</v>
      </c>
      <c r="E43" s="2713"/>
      <c r="F43" s="140">
        <f>IF(D43=1,0,VLOOKUP(D43,Dados!$A$86:$O$129,13))</f>
        <v>0</v>
      </c>
      <c r="G43" s="90"/>
      <c r="H43" s="1471">
        <f>IF(D43=1,0,VLOOKUP(D43,Dados!A86:P129,14))</f>
        <v>0</v>
      </c>
      <c r="I43" s="964">
        <f>(G43*H43)</f>
        <v>0</v>
      </c>
      <c r="J43" s="93">
        <v>1</v>
      </c>
      <c r="K43" s="93">
        <v>1</v>
      </c>
      <c r="W43" s="91"/>
      <c r="X43" s="963"/>
    </row>
    <row r="44" spans="2:95" ht="15.75" customHeight="1" x14ac:dyDescent="0.2">
      <c r="C44" s="2730"/>
      <c r="D44" s="2713">
        <v>1</v>
      </c>
      <c r="E44" s="2713"/>
      <c r="F44" s="140">
        <f>IF(D44=1,0,VLOOKUP(D44,Dados!$A$86:$O$129,13))</f>
        <v>0</v>
      </c>
      <c r="G44" s="90"/>
      <c r="H44" s="1471">
        <f>IF(D44=1,0,VLOOKUP(D44,Dados!A86:P129,14))</f>
        <v>0</v>
      </c>
      <c r="I44" s="964">
        <f>(G44*H44)</f>
        <v>0</v>
      </c>
      <c r="J44" s="93">
        <v>1</v>
      </c>
      <c r="K44" s="93">
        <v>1</v>
      </c>
      <c r="W44" s="91"/>
      <c r="X44" s="963"/>
    </row>
    <row r="45" spans="2:95" ht="15.75" customHeight="1" x14ac:dyDescent="0.2">
      <c r="C45" s="2730"/>
      <c r="D45" s="2713">
        <v>1</v>
      </c>
      <c r="E45" s="2713"/>
      <c r="F45" s="140">
        <f>IF(D45=1,0,VLOOKUP(D45,Dados!$A$86:$O$129,13))</f>
        <v>0</v>
      </c>
      <c r="G45" s="90"/>
      <c r="H45" s="1471">
        <f>IF(D45=1,0,VLOOKUP(D45,Dados!A86:P129,14))</f>
        <v>0</v>
      </c>
      <c r="I45" s="964">
        <f>(G45*H45)</f>
        <v>0</v>
      </c>
      <c r="J45" s="93">
        <v>1</v>
      </c>
      <c r="K45" s="93">
        <v>1</v>
      </c>
      <c r="W45" s="91"/>
      <c r="X45" s="963"/>
    </row>
    <row r="46" spans="2:95" x14ac:dyDescent="0.2">
      <c r="C46" s="42"/>
      <c r="H46" s="95" t="s">
        <v>2</v>
      </c>
      <c r="I46" s="96">
        <f>SUM(I41:I45)</f>
        <v>28080</v>
      </c>
      <c r="W46" s="91"/>
      <c r="X46" s="963"/>
    </row>
    <row r="48" spans="2:95" x14ac:dyDescent="0.2">
      <c r="J48" s="2625" t="s">
        <v>449</v>
      </c>
      <c r="K48" s="2625"/>
    </row>
    <row r="49" spans="3:84" x14ac:dyDescent="0.2">
      <c r="C49" s="99" t="s">
        <v>425</v>
      </c>
      <c r="D49" s="2630" t="s">
        <v>692</v>
      </c>
      <c r="E49" s="2631"/>
      <c r="F49" s="117" t="s">
        <v>693</v>
      </c>
      <c r="G49" s="117" t="s">
        <v>694</v>
      </c>
      <c r="H49" s="2625" t="s">
        <v>2</v>
      </c>
      <c r="I49" s="2625"/>
      <c r="J49" s="99" t="s">
        <v>292</v>
      </c>
      <c r="K49" s="99" t="s">
        <v>80</v>
      </c>
      <c r="CE49" s="99" t="s">
        <v>484</v>
      </c>
      <c r="CF49" s="99" t="s">
        <v>485</v>
      </c>
    </row>
    <row r="50" spans="3:84" ht="15.75" customHeight="1" x14ac:dyDescent="0.2">
      <c r="C50" s="2730" t="s">
        <v>691</v>
      </c>
      <c r="D50" s="2713"/>
      <c r="E50" s="2713"/>
      <c r="F50" s="520"/>
      <c r="G50" s="521"/>
      <c r="H50" s="2734">
        <f>(F50*G50)</f>
        <v>0</v>
      </c>
      <c r="I50" s="2734"/>
      <c r="J50" s="93">
        <v>1</v>
      </c>
      <c r="K50" s="93">
        <v>1</v>
      </c>
      <c r="CE50" s="198" t="e">
        <f>VLOOKUP(D50,'Mão-de-obra'!$CJ$10:$CL$29,2)</f>
        <v>#N/A</v>
      </c>
      <c r="CF50" s="3">
        <f>G50</f>
        <v>0</v>
      </c>
    </row>
    <row r="51" spans="3:84" ht="15.75" customHeight="1" x14ac:dyDescent="0.2">
      <c r="C51" s="2730"/>
      <c r="D51" s="2713"/>
      <c r="E51" s="2713"/>
      <c r="F51" s="296"/>
      <c r="G51" s="297"/>
      <c r="H51" s="2734">
        <f>(F51*G51)</f>
        <v>0</v>
      </c>
      <c r="I51" s="2734"/>
      <c r="J51" s="93">
        <v>1</v>
      </c>
      <c r="K51" s="93">
        <v>1</v>
      </c>
      <c r="CE51" s="198" t="e">
        <f>VLOOKUP(D51,'Mão-de-obra'!$CJ$10:$CL$29,2)</f>
        <v>#N/A</v>
      </c>
      <c r="CF51" s="3">
        <f>G51</f>
        <v>0</v>
      </c>
    </row>
    <row r="52" spans="3:84" ht="15.75" customHeight="1" x14ac:dyDescent="0.2">
      <c r="C52" s="2730"/>
      <c r="D52" s="2713"/>
      <c r="E52" s="2713"/>
      <c r="F52" s="296"/>
      <c r="G52" s="297"/>
      <c r="H52" s="2734">
        <f>(F52*G52)</f>
        <v>0</v>
      </c>
      <c r="I52" s="2734"/>
      <c r="J52" s="93">
        <v>1</v>
      </c>
      <c r="K52" s="93">
        <v>1</v>
      </c>
      <c r="CE52" s="198" t="e">
        <f>VLOOKUP(D52,'Mão-de-obra'!$CJ$10:$CL$29,2)</f>
        <v>#N/A</v>
      </c>
      <c r="CF52" s="3">
        <f>G52</f>
        <v>0</v>
      </c>
    </row>
    <row r="53" spans="3:84" ht="15.75" customHeight="1" x14ac:dyDescent="0.2">
      <c r="C53" s="2730"/>
      <c r="D53" s="2713"/>
      <c r="E53" s="2713"/>
      <c r="F53" s="296"/>
      <c r="G53" s="297"/>
      <c r="H53" s="2734">
        <f>(F53*G53)</f>
        <v>0</v>
      </c>
      <c r="I53" s="2734"/>
      <c r="J53" s="93">
        <v>1</v>
      </c>
      <c r="K53" s="93">
        <v>1</v>
      </c>
      <c r="CE53" s="198" t="e">
        <f>VLOOKUP(D53,'Mão-de-obra'!$CJ$10:$CL$29,2)</f>
        <v>#N/A</v>
      </c>
      <c r="CF53" s="3">
        <f>G53</f>
        <v>0</v>
      </c>
    </row>
    <row r="54" spans="3:84" x14ac:dyDescent="0.2">
      <c r="CE54" s="198" t="s">
        <v>2</v>
      </c>
      <c r="CF54" s="3">
        <f>SUM(CF50:CF53)</f>
        <v>0</v>
      </c>
    </row>
    <row r="55" spans="3:84" x14ac:dyDescent="0.2">
      <c r="CE55" s="197"/>
    </row>
  </sheetData>
  <mergeCells count="52">
    <mergeCell ref="D34:E34"/>
    <mergeCell ref="D33:E33"/>
    <mergeCell ref="D32:E32"/>
    <mergeCell ref="J39:K39"/>
    <mergeCell ref="C41:C45"/>
    <mergeCell ref="D41:E41"/>
    <mergeCell ref="D43:E43"/>
    <mergeCell ref="D44:E44"/>
    <mergeCell ref="D45:E45"/>
    <mergeCell ref="D42:E42"/>
    <mergeCell ref="D40:E40"/>
    <mergeCell ref="H52:I52"/>
    <mergeCell ref="H53:I53"/>
    <mergeCell ref="J48:K48"/>
    <mergeCell ref="H49:I49"/>
    <mergeCell ref="H50:I50"/>
    <mergeCell ref="H51:I51"/>
    <mergeCell ref="C50:C53"/>
    <mergeCell ref="D49:E49"/>
    <mergeCell ref="D50:E50"/>
    <mergeCell ref="D51:E51"/>
    <mergeCell ref="D52:E52"/>
    <mergeCell ref="D53:E53"/>
    <mergeCell ref="C8:C13"/>
    <mergeCell ref="D8:E8"/>
    <mergeCell ref="D9:E9"/>
    <mergeCell ref="D10:E10"/>
    <mergeCell ref="D11:E11"/>
    <mergeCell ref="D12:E12"/>
    <mergeCell ref="D13:E13"/>
    <mergeCell ref="J6:K6"/>
    <mergeCell ref="D17:E17"/>
    <mergeCell ref="D18:E18"/>
    <mergeCell ref="D19:E19"/>
    <mergeCell ref="J16:K16"/>
    <mergeCell ref="D7:E7"/>
    <mergeCell ref="W26:X26"/>
    <mergeCell ref="W27:W36"/>
    <mergeCell ref="C18:C22"/>
    <mergeCell ref="D20:E20"/>
    <mergeCell ref="D21:E21"/>
    <mergeCell ref="D22:E22"/>
    <mergeCell ref="J25:K25"/>
    <mergeCell ref="D26:E26"/>
    <mergeCell ref="C27:C36"/>
    <mergeCell ref="D27:E27"/>
    <mergeCell ref="D28:E28"/>
    <mergeCell ref="D29:E29"/>
    <mergeCell ref="D36:E36"/>
    <mergeCell ref="D31:E31"/>
    <mergeCell ref="D30:E30"/>
    <mergeCell ref="D35:E35"/>
  </mergeCells>
  <phoneticPr fontId="0" type="noConversion"/>
  <conditionalFormatting sqref="F8:H13 F18:H22 F27:H36">
    <cfRule type="expression" dxfId="99" priority="8" stopIfTrue="1">
      <formula>$D8=1</formula>
    </cfRule>
  </conditionalFormatting>
  <conditionalFormatting sqref="L8:L13 L18:L22 L27:L36">
    <cfRule type="expression" dxfId="98" priority="9" stopIfTrue="1">
      <formula>$I8=1</formula>
    </cfRule>
  </conditionalFormatting>
  <conditionalFormatting sqref="G50:G53">
    <cfRule type="expression" dxfId="97" priority="10" stopIfTrue="1">
      <formula>$D50&gt;1</formula>
    </cfRule>
  </conditionalFormatting>
  <conditionalFormatting sqref="G41:G45">
    <cfRule type="expression" dxfId="96" priority="7" stopIfTrue="1">
      <formula>$D41&gt;1</formula>
    </cfRule>
  </conditionalFormatting>
  <conditionalFormatting sqref="F41:F45">
    <cfRule type="expression" dxfId="95" priority="6" stopIfTrue="1">
      <formula>$D41=1</formula>
    </cfRule>
  </conditionalFormatting>
  <conditionalFormatting sqref="G8:H9">
    <cfRule type="expression" dxfId="94" priority="5" stopIfTrue="1">
      <formula>$D8=1</formula>
    </cfRule>
  </conditionalFormatting>
  <conditionalFormatting sqref="G18:H18">
    <cfRule type="expression" dxfId="93" priority="4" stopIfTrue="1">
      <formula>$D18=1</formula>
    </cfRule>
  </conditionalFormatting>
  <conditionalFormatting sqref="G27:H30">
    <cfRule type="expression" dxfId="92" priority="3" stopIfTrue="1">
      <formula>$D27=1</formula>
    </cfRule>
  </conditionalFormatting>
  <conditionalFormatting sqref="H41">
    <cfRule type="expression" dxfId="91" priority="2" stopIfTrue="1">
      <formula>D41&gt;1</formula>
    </cfRule>
  </conditionalFormatting>
  <conditionalFormatting sqref="H42:H45">
    <cfRule type="expression" dxfId="90" priority="1" stopIfTrue="1">
      <formula>D42&gt;1</formula>
    </cfRule>
  </conditionalFormatting>
  <pageMargins left="0.78740157499999996" right="0.78740157499999996" top="0.984251969" bottom="0.984251969" header="0.5" footer="0.5"/>
  <pageSetup scale="8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5874" r:id="rId4" name="Drop Down 34">
              <controlPr defaultSize="0" autoLine="0" autoPict="0">
                <anchor moveWithCells="1">
                  <from>
                    <xdr:col>3</xdr:col>
                    <xdr:colOff>0</xdr:colOff>
                    <xdr:row>7</xdr:row>
                    <xdr:rowOff>0</xdr:rowOff>
                  </from>
                  <to>
                    <xdr:col>5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10" r:id="rId5" name="Drop Down 70">
              <controlPr defaultSize="0" autoLine="0" autoPict="0">
                <anchor moveWithCells="1">
                  <from>
                    <xdr:col>3</xdr:col>
                    <xdr:colOff>0</xdr:colOff>
                    <xdr:row>8</xdr:row>
                    <xdr:rowOff>0</xdr:rowOff>
                  </from>
                  <to>
                    <xdr:col>5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11" r:id="rId6" name="Drop Down 71">
              <controlPr defaultSize="0" autoLine="0" autoPict="0">
                <anchor moveWithCells="1">
                  <from>
                    <xdr:col>3</xdr:col>
                    <xdr:colOff>0</xdr:colOff>
                    <xdr:row>9</xdr:row>
                    <xdr:rowOff>0</xdr:rowOff>
                  </from>
                  <to>
                    <xdr:col>5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12" r:id="rId7" name="Drop Down 72">
              <controlPr defaultSize="0" autoLine="0" autoPict="0">
                <anchor moveWithCells="1">
                  <from>
                    <xdr:col>3</xdr:col>
                    <xdr:colOff>0</xdr:colOff>
                    <xdr:row>10</xdr:row>
                    <xdr:rowOff>0</xdr:rowOff>
                  </from>
                  <to>
                    <xdr:col>5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13" r:id="rId8" name="Drop Down 73">
              <controlPr defaultSize="0" autoLine="0" autoPict="0">
                <anchor moveWithCells="1">
                  <from>
                    <xdr:col>3</xdr:col>
                    <xdr:colOff>0</xdr:colOff>
                    <xdr:row>11</xdr:row>
                    <xdr:rowOff>0</xdr:rowOff>
                  </from>
                  <to>
                    <xdr:col>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14" r:id="rId9" name="Drop Down 74">
              <controlPr defaultSize="0" autoLine="0" autoPict="0">
                <anchor moveWithCells="1">
                  <from>
                    <xdr:col>3</xdr:col>
                    <xdr:colOff>0</xdr:colOff>
                    <xdr:row>12</xdr:row>
                    <xdr:rowOff>0</xdr:rowOff>
                  </from>
                  <to>
                    <xdr:col>5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27" r:id="rId10" name="Drop Down 87">
              <controlPr defaultSize="0" autoLine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5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45" r:id="rId11" name="Drop Down 105">
              <controlPr defaultSize="0" autoLine="0" autoPict="0">
                <anchor moveWithCells="1">
                  <from>
                    <xdr:col>3</xdr:col>
                    <xdr:colOff>0</xdr:colOff>
                    <xdr:row>18</xdr:row>
                    <xdr:rowOff>0</xdr:rowOff>
                  </from>
                  <to>
                    <xdr:col>5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73" r:id="rId12" name="Drop Down 133">
              <controlPr defaultSize="0" autoLine="0" autoPict="0">
                <anchor moveWithCells="1">
                  <from>
                    <xdr:col>3</xdr:col>
                    <xdr:colOff>0</xdr:colOff>
                    <xdr:row>26</xdr:row>
                    <xdr:rowOff>0</xdr:rowOff>
                  </from>
                  <to>
                    <xdr:col>5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91" r:id="rId13" name="Drop Down 151">
              <controlPr defaultSize="0" autoLine="0" autoPict="0">
                <anchor moveWithCells="1">
                  <from>
                    <xdr:col>3</xdr:col>
                    <xdr:colOff>0</xdr:colOff>
                    <xdr:row>27</xdr:row>
                    <xdr:rowOff>0</xdr:rowOff>
                  </from>
                  <to>
                    <xdr:col>5</xdr:col>
                    <xdr:colOff>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92" r:id="rId14" name="Drop Down 152">
              <controlPr defaultSize="0" autoLine="0" autoPict="0">
                <anchor moveWithCells="1">
                  <from>
                    <xdr:col>3</xdr:col>
                    <xdr:colOff>0</xdr:colOff>
                    <xdr:row>28</xdr:row>
                    <xdr:rowOff>0</xdr:rowOff>
                  </from>
                  <to>
                    <xdr:col>5</xdr:col>
                    <xdr:colOff>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93" r:id="rId15" name="Drop Down 153">
              <controlPr defaultSize="0" autoLine="0" autoPict="0">
                <anchor moveWithCells="1">
                  <from>
                    <xdr:col>3</xdr:col>
                    <xdr:colOff>0</xdr:colOff>
                    <xdr:row>35</xdr:row>
                    <xdr:rowOff>0</xdr:rowOff>
                  </from>
                  <to>
                    <xdr:col>5</xdr:col>
                    <xdr:colOff>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43" r:id="rId16" name="Drop Down 203">
              <controlPr defaultSize="0" autoLine="0" autoPict="0">
                <anchor moveWithCells="1">
                  <from>
                    <xdr:col>9</xdr:col>
                    <xdr:colOff>0</xdr:colOff>
                    <xdr:row>7</xdr:row>
                    <xdr:rowOff>0</xdr:rowOff>
                  </from>
                  <to>
                    <xdr:col>10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44" r:id="rId17" name="Drop Down 204">
              <controlPr defaultSize="0" autoLine="0" autoPict="0">
                <anchor moveWithCells="1">
                  <from>
                    <xdr:col>10</xdr:col>
                    <xdr:colOff>0</xdr:colOff>
                    <xdr:row>7</xdr:row>
                    <xdr:rowOff>0</xdr:rowOff>
                  </from>
                  <to>
                    <xdr:col>11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45" r:id="rId18" name="Drop Down 205">
              <controlPr defaultSize="0" autoLine="0" autoPict="0">
                <anchor moveWithCells="1">
                  <from>
                    <xdr:col>9</xdr:col>
                    <xdr:colOff>0</xdr:colOff>
                    <xdr:row>8</xdr:row>
                    <xdr:rowOff>0</xdr:rowOff>
                  </from>
                  <to>
                    <xdr:col>10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46" r:id="rId19" name="Drop Down 206">
              <controlPr defaultSize="0" autoLine="0" autoPict="0">
                <anchor moveWithCells="1">
                  <from>
                    <xdr:col>9</xdr:col>
                    <xdr:colOff>0</xdr:colOff>
                    <xdr:row>9</xdr:row>
                    <xdr:rowOff>0</xdr:rowOff>
                  </from>
                  <to>
                    <xdr:col>10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47" r:id="rId20" name="Drop Down 207">
              <controlPr defaultSize="0" autoLine="0" autoPict="0">
                <anchor moveWithCells="1">
                  <from>
                    <xdr:col>9</xdr:col>
                    <xdr:colOff>0</xdr:colOff>
                    <xdr:row>10</xdr:row>
                    <xdr:rowOff>0</xdr:rowOff>
                  </from>
                  <to>
                    <xdr:col>10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48" r:id="rId21" name="Drop Down 208">
              <controlPr defaultSize="0" autoLine="0" autoPict="0">
                <anchor moveWithCells="1">
                  <from>
                    <xdr:col>9</xdr:col>
                    <xdr:colOff>0</xdr:colOff>
                    <xdr:row>11</xdr:row>
                    <xdr:rowOff>0</xdr:rowOff>
                  </from>
                  <to>
                    <xdr:col>10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49" r:id="rId22" name="Drop Down 209">
              <controlPr defaultSize="0" autoLine="0" autoPict="0">
                <anchor moveWithCells="1">
                  <from>
                    <xdr:col>9</xdr:col>
                    <xdr:colOff>0</xdr:colOff>
                    <xdr:row>12</xdr:row>
                    <xdr:rowOff>0</xdr:rowOff>
                  </from>
                  <to>
                    <xdr:col>10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50" r:id="rId23" name="Drop Down 210">
              <controlPr defaultSize="0" autoLine="0" autoPict="0">
                <anchor moveWithCells="1">
                  <from>
                    <xdr:col>10</xdr:col>
                    <xdr:colOff>0</xdr:colOff>
                    <xdr:row>8</xdr:row>
                    <xdr:rowOff>0</xdr:rowOff>
                  </from>
                  <to>
                    <xdr:col>11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51" r:id="rId24" name="Drop Down 211">
              <controlPr defaultSize="0" autoLine="0" autoPict="0">
                <anchor moveWithCells="1">
                  <from>
                    <xdr:col>10</xdr:col>
                    <xdr:colOff>0</xdr:colOff>
                    <xdr:row>9</xdr:row>
                    <xdr:rowOff>0</xdr:rowOff>
                  </from>
                  <to>
                    <xdr:col>11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52" r:id="rId25" name="Drop Down 212">
              <controlPr defaultSize="0" autoLine="0" autoPict="0">
                <anchor moveWithCells="1">
                  <from>
                    <xdr:col>10</xdr:col>
                    <xdr:colOff>0</xdr:colOff>
                    <xdr:row>10</xdr:row>
                    <xdr:rowOff>0</xdr:rowOff>
                  </from>
                  <to>
                    <xdr:col>11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53" r:id="rId26" name="Drop Down 213">
              <controlPr defaultSize="0" autoLine="0" autoPict="0">
                <anchor moveWithCells="1">
                  <from>
                    <xdr:col>10</xdr:col>
                    <xdr:colOff>0</xdr:colOff>
                    <xdr:row>11</xdr:row>
                    <xdr:rowOff>0</xdr:rowOff>
                  </from>
                  <to>
                    <xdr:col>11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54" r:id="rId27" name="Drop Down 214">
              <controlPr defaultSize="0" autoLine="0" autoPict="0">
                <anchor moveWithCells="1">
                  <from>
                    <xdr:col>10</xdr:col>
                    <xdr:colOff>0</xdr:colOff>
                    <xdr:row>12</xdr:row>
                    <xdr:rowOff>0</xdr:rowOff>
                  </from>
                  <to>
                    <xdr:col>11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55" r:id="rId28" name="Drop Down 215">
              <controlPr defaultSize="0" autoLine="0" autoPict="0">
                <anchor moveWithCells="1">
                  <from>
                    <xdr:col>9</xdr:col>
                    <xdr:colOff>0</xdr:colOff>
                    <xdr:row>17</xdr:row>
                    <xdr:rowOff>0</xdr:rowOff>
                  </from>
                  <to>
                    <xdr:col>10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56" r:id="rId29" name="Drop Down 216">
              <controlPr defaultSize="0" autoLine="0" autoPict="0">
                <anchor moveWithCells="1">
                  <from>
                    <xdr:col>10</xdr:col>
                    <xdr:colOff>0</xdr:colOff>
                    <xdr:row>17</xdr:row>
                    <xdr:rowOff>0</xdr:rowOff>
                  </from>
                  <to>
                    <xdr:col>11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57" r:id="rId30" name="Drop Down 217">
              <controlPr defaultSize="0" autoLine="0" autoPict="0">
                <anchor moveWithCells="1">
                  <from>
                    <xdr:col>9</xdr:col>
                    <xdr:colOff>0</xdr:colOff>
                    <xdr:row>18</xdr:row>
                    <xdr:rowOff>0</xdr:rowOff>
                  </from>
                  <to>
                    <xdr:col>10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58" r:id="rId31" name="Drop Down 218">
              <controlPr defaultSize="0" autoLine="0" autoPict="0">
                <anchor moveWithCells="1">
                  <from>
                    <xdr:col>10</xdr:col>
                    <xdr:colOff>0</xdr:colOff>
                    <xdr:row>18</xdr:row>
                    <xdr:rowOff>0</xdr:rowOff>
                  </from>
                  <to>
                    <xdr:col>11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59" r:id="rId32" name="Drop Down 219">
              <controlPr defaultSize="0" autoLine="0" autoPict="0">
                <anchor moveWithCells="1">
                  <from>
                    <xdr:col>9</xdr:col>
                    <xdr:colOff>0</xdr:colOff>
                    <xdr:row>26</xdr:row>
                    <xdr:rowOff>0</xdr:rowOff>
                  </from>
                  <to>
                    <xdr:col>10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60" r:id="rId33" name="Drop Down 220">
              <controlPr defaultSize="0" autoLine="0" autoPict="0">
                <anchor moveWithCells="1">
                  <from>
                    <xdr:col>10</xdr:col>
                    <xdr:colOff>0</xdr:colOff>
                    <xdr:row>26</xdr:row>
                    <xdr:rowOff>0</xdr:rowOff>
                  </from>
                  <to>
                    <xdr:col>11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61" r:id="rId34" name="Drop Down 221">
              <controlPr defaultSize="0" autoLine="0" autoPict="0">
                <anchor moveWithCells="1">
                  <from>
                    <xdr:col>9</xdr:col>
                    <xdr:colOff>0</xdr:colOff>
                    <xdr:row>27</xdr:row>
                    <xdr:rowOff>0</xdr:rowOff>
                  </from>
                  <to>
                    <xdr:col>10</xdr:col>
                    <xdr:colOff>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62" r:id="rId35" name="Drop Down 222">
              <controlPr defaultSize="0" autoLine="0" autoPict="0">
                <anchor moveWithCells="1">
                  <from>
                    <xdr:col>9</xdr:col>
                    <xdr:colOff>0</xdr:colOff>
                    <xdr:row>28</xdr:row>
                    <xdr:rowOff>0</xdr:rowOff>
                  </from>
                  <to>
                    <xdr:col>10</xdr:col>
                    <xdr:colOff>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63" r:id="rId36" name="Drop Down 223">
              <controlPr defaultSize="0" autoLine="0" autoPict="0">
                <anchor moveWithCells="1">
                  <from>
                    <xdr:col>9</xdr:col>
                    <xdr:colOff>0</xdr:colOff>
                    <xdr:row>35</xdr:row>
                    <xdr:rowOff>0</xdr:rowOff>
                  </from>
                  <to>
                    <xdr:col>10</xdr:col>
                    <xdr:colOff>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64" r:id="rId37" name="Drop Down 224">
              <controlPr defaultSize="0" autoLine="0" autoPict="0">
                <anchor moveWithCells="1">
                  <from>
                    <xdr:col>10</xdr:col>
                    <xdr:colOff>0</xdr:colOff>
                    <xdr:row>27</xdr:row>
                    <xdr:rowOff>0</xdr:rowOff>
                  </from>
                  <to>
                    <xdr:col>11</xdr:col>
                    <xdr:colOff>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65" r:id="rId38" name="Drop Down 225">
              <controlPr defaultSize="0" autoLine="0" autoPict="0">
                <anchor moveWithCells="1">
                  <from>
                    <xdr:col>10</xdr:col>
                    <xdr:colOff>0</xdr:colOff>
                    <xdr:row>28</xdr:row>
                    <xdr:rowOff>0</xdr:rowOff>
                  </from>
                  <to>
                    <xdr:col>11</xdr:col>
                    <xdr:colOff>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66" r:id="rId39" name="Drop Down 226">
              <controlPr defaultSize="0" autoLine="0" autoPict="0">
                <anchor moveWithCells="1">
                  <from>
                    <xdr:col>10</xdr:col>
                    <xdr:colOff>0</xdr:colOff>
                    <xdr:row>35</xdr:row>
                    <xdr:rowOff>0</xdr:rowOff>
                  </from>
                  <to>
                    <xdr:col>11</xdr:col>
                    <xdr:colOff>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71" r:id="rId40" name="Drop Down 231">
              <controlPr defaultSize="0" autoLine="0" autoPict="0">
                <anchor moveWithCells="1">
                  <from>
                    <xdr:col>9</xdr:col>
                    <xdr:colOff>0</xdr:colOff>
                    <xdr:row>49</xdr:row>
                    <xdr:rowOff>0</xdr:rowOff>
                  </from>
                  <to>
                    <xdr:col>10</xdr:col>
                    <xdr:colOff>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72" r:id="rId41" name="Drop Down 232">
              <controlPr defaultSize="0" autoLine="0" autoPict="0">
                <anchor moveWithCells="1">
                  <from>
                    <xdr:col>10</xdr:col>
                    <xdr:colOff>0</xdr:colOff>
                    <xdr:row>49</xdr:row>
                    <xdr:rowOff>0</xdr:rowOff>
                  </from>
                  <to>
                    <xdr:col>11</xdr:col>
                    <xdr:colOff>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73" r:id="rId42" name="Drop Down 233">
              <controlPr defaultSize="0" autoLine="0" autoPict="0">
                <anchor moveWithCells="1">
                  <from>
                    <xdr:col>10</xdr:col>
                    <xdr:colOff>0</xdr:colOff>
                    <xdr:row>50</xdr:row>
                    <xdr:rowOff>0</xdr:rowOff>
                  </from>
                  <to>
                    <xdr:col>11</xdr:col>
                    <xdr:colOff>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74" r:id="rId43" name="Drop Down 234">
              <controlPr defaultSize="0" autoLine="0" autoPict="0">
                <anchor moveWithCells="1">
                  <from>
                    <xdr:col>10</xdr:col>
                    <xdr:colOff>0</xdr:colOff>
                    <xdr:row>51</xdr:row>
                    <xdr:rowOff>0</xdr:rowOff>
                  </from>
                  <to>
                    <xdr:col>11</xdr:col>
                    <xdr:colOff>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75" r:id="rId44" name="Drop Down 235">
              <controlPr defaultSize="0" autoLine="0" autoPict="0">
                <anchor moveWithCells="1">
                  <from>
                    <xdr:col>10</xdr:col>
                    <xdr:colOff>0</xdr:colOff>
                    <xdr:row>52</xdr:row>
                    <xdr:rowOff>0</xdr:rowOff>
                  </from>
                  <to>
                    <xdr:col>11</xdr:col>
                    <xdr:colOff>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76" r:id="rId45" name="Drop Down 236">
              <controlPr defaultSize="0" autoLine="0" autoPict="0">
                <anchor moveWithCells="1">
                  <from>
                    <xdr:col>9</xdr:col>
                    <xdr:colOff>0</xdr:colOff>
                    <xdr:row>50</xdr:row>
                    <xdr:rowOff>0</xdr:rowOff>
                  </from>
                  <to>
                    <xdr:col>10</xdr:col>
                    <xdr:colOff>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77" r:id="rId46" name="Drop Down 237">
              <controlPr defaultSize="0" autoLine="0" autoPict="0">
                <anchor moveWithCells="1">
                  <from>
                    <xdr:col>9</xdr:col>
                    <xdr:colOff>0</xdr:colOff>
                    <xdr:row>51</xdr:row>
                    <xdr:rowOff>0</xdr:rowOff>
                  </from>
                  <to>
                    <xdr:col>10</xdr:col>
                    <xdr:colOff>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78" r:id="rId47" name="Drop Down 238">
              <controlPr defaultSize="0" autoLine="0" autoPict="0">
                <anchor moveWithCells="1">
                  <from>
                    <xdr:col>9</xdr:col>
                    <xdr:colOff>0</xdr:colOff>
                    <xdr:row>52</xdr:row>
                    <xdr:rowOff>0</xdr:rowOff>
                  </from>
                  <to>
                    <xdr:col>10</xdr:col>
                    <xdr:colOff>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79" r:id="rId48" name="Drop Down 239">
              <controlPr defaultSize="0" autoLine="0" autoPict="0">
                <anchor moveWithCells="1">
                  <from>
                    <xdr:col>3</xdr:col>
                    <xdr:colOff>0</xdr:colOff>
                    <xdr:row>19</xdr:row>
                    <xdr:rowOff>0</xdr:rowOff>
                  </from>
                  <to>
                    <xdr:col>5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80" r:id="rId49" name="Drop Down 240">
              <controlPr defaultSize="0" autoLine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5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81" r:id="rId50" name="Drop Down 241">
              <controlPr defaultSize="0" autoLine="0" autoPict="0">
                <anchor moveWithCells="1">
                  <from>
                    <xdr:col>3</xdr:col>
                    <xdr:colOff>0</xdr:colOff>
                    <xdr:row>21</xdr:row>
                    <xdr:rowOff>0</xdr:rowOff>
                  </from>
                  <to>
                    <xdr:col>5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82" r:id="rId51" name="Drop Down 242">
              <controlPr defaultSize="0" autoLine="0" autoPict="0">
                <anchor moveWithCells="1">
                  <from>
                    <xdr:col>9</xdr:col>
                    <xdr:colOff>0</xdr:colOff>
                    <xdr:row>19</xdr:row>
                    <xdr:rowOff>0</xdr:rowOff>
                  </from>
                  <to>
                    <xdr:col>10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83" r:id="rId52" name="Drop Down 243">
              <controlPr defaultSize="0" autoLine="0" autoPict="0">
                <anchor moveWithCells="1">
                  <from>
                    <xdr:col>9</xdr:col>
                    <xdr:colOff>0</xdr:colOff>
                    <xdr:row>20</xdr:row>
                    <xdr:rowOff>0</xdr:rowOff>
                  </from>
                  <to>
                    <xdr:col>10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84" r:id="rId53" name="Drop Down 244">
              <controlPr defaultSize="0" autoLine="0" autoPict="0">
                <anchor moveWithCells="1">
                  <from>
                    <xdr:col>9</xdr:col>
                    <xdr:colOff>0</xdr:colOff>
                    <xdr:row>21</xdr:row>
                    <xdr:rowOff>0</xdr:rowOff>
                  </from>
                  <to>
                    <xdr:col>10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85" r:id="rId54" name="Drop Down 245">
              <controlPr defaultSize="0" autoLine="0" autoPict="0">
                <anchor moveWithCells="1">
                  <from>
                    <xdr:col>10</xdr:col>
                    <xdr:colOff>0</xdr:colOff>
                    <xdr:row>19</xdr:row>
                    <xdr:rowOff>0</xdr:rowOff>
                  </from>
                  <to>
                    <xdr:col>11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86" r:id="rId55" name="Drop Down 246">
              <controlPr defaultSize="0" autoLine="0" autoPict="0">
                <anchor moveWithCells="1">
                  <from>
                    <xdr:col>10</xdr:col>
                    <xdr:colOff>0</xdr:colOff>
                    <xdr:row>20</xdr:row>
                    <xdr:rowOff>0</xdr:rowOff>
                  </from>
                  <to>
                    <xdr:col>11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87" r:id="rId56" name="Drop Down 247">
              <controlPr defaultSize="0" autoLine="0" autoPict="0">
                <anchor moveWithCells="1">
                  <from>
                    <xdr:col>10</xdr:col>
                    <xdr:colOff>0</xdr:colOff>
                    <xdr:row>21</xdr:row>
                    <xdr:rowOff>0</xdr:rowOff>
                  </from>
                  <to>
                    <xdr:col>11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88" r:id="rId57" name="Drop Down 248">
              <controlPr defaultSize="0" autoLine="0" autoPict="0">
                <anchor moveWithCells="1">
                  <from>
                    <xdr:col>3</xdr:col>
                    <xdr:colOff>0</xdr:colOff>
                    <xdr:row>30</xdr:row>
                    <xdr:rowOff>0</xdr:rowOff>
                  </from>
                  <to>
                    <xdr:col>5</xdr:col>
                    <xdr:colOff>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89" r:id="rId58" name="Drop Down 249">
              <controlPr defaultSize="0" autoLine="0" autoPict="0">
                <anchor moveWithCells="1">
                  <from>
                    <xdr:col>9</xdr:col>
                    <xdr:colOff>0</xdr:colOff>
                    <xdr:row>30</xdr:row>
                    <xdr:rowOff>0</xdr:rowOff>
                  </from>
                  <to>
                    <xdr:col>10</xdr:col>
                    <xdr:colOff>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90" r:id="rId59" name="Drop Down 250">
              <controlPr defaultSize="0" autoLine="0" autoPict="0">
                <anchor moveWithCells="1">
                  <from>
                    <xdr:col>10</xdr:col>
                    <xdr:colOff>0</xdr:colOff>
                    <xdr:row>30</xdr:row>
                    <xdr:rowOff>0</xdr:rowOff>
                  </from>
                  <to>
                    <xdr:col>11</xdr:col>
                    <xdr:colOff>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91" r:id="rId60" name="Drop Down 251">
              <controlPr defaultSize="0" autoLine="0" autoPict="0">
                <anchor moveWithCells="1">
                  <from>
                    <xdr:col>3</xdr:col>
                    <xdr:colOff>0</xdr:colOff>
                    <xdr:row>29</xdr:row>
                    <xdr:rowOff>0</xdr:rowOff>
                  </from>
                  <to>
                    <xdr:col>5</xdr:col>
                    <xdr:colOff>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92" r:id="rId61" name="Drop Down 252">
              <controlPr defaultSize="0" autoLine="0" autoPict="0">
                <anchor moveWithCells="1">
                  <from>
                    <xdr:col>9</xdr:col>
                    <xdr:colOff>0</xdr:colOff>
                    <xdr:row>29</xdr:row>
                    <xdr:rowOff>0</xdr:rowOff>
                  </from>
                  <to>
                    <xdr:col>10</xdr:col>
                    <xdr:colOff>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93" r:id="rId62" name="Drop Down 253">
              <controlPr defaultSize="0" autoLine="0" autoPict="0">
                <anchor moveWithCells="1">
                  <from>
                    <xdr:col>10</xdr:col>
                    <xdr:colOff>0</xdr:colOff>
                    <xdr:row>29</xdr:row>
                    <xdr:rowOff>0</xdr:rowOff>
                  </from>
                  <to>
                    <xdr:col>11</xdr:col>
                    <xdr:colOff>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96" r:id="rId63" name="Drop Down 256">
              <controlPr defaultSize="0" autoLine="0" autoPict="0">
                <anchor moveWithCells="1">
                  <from>
                    <xdr:col>3</xdr:col>
                    <xdr:colOff>0</xdr:colOff>
                    <xdr:row>32</xdr:row>
                    <xdr:rowOff>0</xdr:rowOff>
                  </from>
                  <to>
                    <xdr:col>5</xdr:col>
                    <xdr:colOff>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97" r:id="rId64" name="Drop Down 257">
              <controlPr defaultSize="0" autoLine="0" autoPict="0">
                <anchor moveWithCells="1">
                  <from>
                    <xdr:col>3</xdr:col>
                    <xdr:colOff>0</xdr:colOff>
                    <xdr:row>33</xdr:row>
                    <xdr:rowOff>0</xdr:rowOff>
                  </from>
                  <to>
                    <xdr:col>5</xdr:col>
                    <xdr:colOff>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98" r:id="rId65" name="Drop Down 258">
              <controlPr defaultSize="0" autoLine="0" autoPict="0">
                <anchor moveWithCells="1">
                  <from>
                    <xdr:col>3</xdr:col>
                    <xdr:colOff>0</xdr:colOff>
                    <xdr:row>34</xdr:row>
                    <xdr:rowOff>0</xdr:rowOff>
                  </from>
                  <to>
                    <xdr:col>5</xdr:col>
                    <xdr:colOff>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99" r:id="rId66" name="Drop Down 259">
              <controlPr defaultSize="0" autoLine="0" autoPict="0">
                <anchor moveWithCells="1">
                  <from>
                    <xdr:col>3</xdr:col>
                    <xdr:colOff>0</xdr:colOff>
                    <xdr:row>31</xdr:row>
                    <xdr:rowOff>0</xdr:rowOff>
                  </from>
                  <to>
                    <xdr:col>5</xdr:col>
                    <xdr:colOff>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00" r:id="rId67" name="Drop Down 260">
              <controlPr defaultSize="0" autoLine="0" autoPict="0">
                <anchor moveWithCells="1">
                  <from>
                    <xdr:col>9</xdr:col>
                    <xdr:colOff>0</xdr:colOff>
                    <xdr:row>32</xdr:row>
                    <xdr:rowOff>0</xdr:rowOff>
                  </from>
                  <to>
                    <xdr:col>10</xdr:col>
                    <xdr:colOff>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01" r:id="rId68" name="Drop Down 261">
              <controlPr defaultSize="0" autoLine="0" autoPict="0">
                <anchor moveWithCells="1">
                  <from>
                    <xdr:col>9</xdr:col>
                    <xdr:colOff>0</xdr:colOff>
                    <xdr:row>33</xdr:row>
                    <xdr:rowOff>0</xdr:rowOff>
                  </from>
                  <to>
                    <xdr:col>10</xdr:col>
                    <xdr:colOff>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02" r:id="rId69" name="Drop Down 262">
              <controlPr defaultSize="0" autoLine="0" autoPict="0">
                <anchor moveWithCells="1">
                  <from>
                    <xdr:col>9</xdr:col>
                    <xdr:colOff>0</xdr:colOff>
                    <xdr:row>34</xdr:row>
                    <xdr:rowOff>0</xdr:rowOff>
                  </from>
                  <to>
                    <xdr:col>10</xdr:col>
                    <xdr:colOff>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03" r:id="rId70" name="Drop Down 263">
              <controlPr defaultSize="0" autoLine="0" autoPict="0">
                <anchor moveWithCells="1">
                  <from>
                    <xdr:col>9</xdr:col>
                    <xdr:colOff>0</xdr:colOff>
                    <xdr:row>31</xdr:row>
                    <xdr:rowOff>0</xdr:rowOff>
                  </from>
                  <to>
                    <xdr:col>10</xdr:col>
                    <xdr:colOff>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04" r:id="rId71" name="Drop Down 264">
              <controlPr defaultSize="0" autoLine="0" autoPict="0">
                <anchor moveWithCells="1">
                  <from>
                    <xdr:col>10</xdr:col>
                    <xdr:colOff>0</xdr:colOff>
                    <xdr:row>31</xdr:row>
                    <xdr:rowOff>0</xdr:rowOff>
                  </from>
                  <to>
                    <xdr:col>11</xdr:col>
                    <xdr:colOff>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05" r:id="rId72" name="Drop Down 265">
              <controlPr defaultSize="0" autoLine="0" autoPict="0">
                <anchor moveWithCells="1">
                  <from>
                    <xdr:col>10</xdr:col>
                    <xdr:colOff>0</xdr:colOff>
                    <xdr:row>32</xdr:row>
                    <xdr:rowOff>0</xdr:rowOff>
                  </from>
                  <to>
                    <xdr:col>11</xdr:col>
                    <xdr:colOff>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06" r:id="rId73" name="Drop Down 266">
              <controlPr defaultSize="0" autoLine="0" autoPict="0">
                <anchor moveWithCells="1">
                  <from>
                    <xdr:col>10</xdr:col>
                    <xdr:colOff>0</xdr:colOff>
                    <xdr:row>33</xdr:row>
                    <xdr:rowOff>0</xdr:rowOff>
                  </from>
                  <to>
                    <xdr:col>11</xdr:col>
                    <xdr:colOff>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07" r:id="rId74" name="Drop Down 267">
              <controlPr defaultSize="0" autoLine="0" autoPict="0">
                <anchor moveWithCells="1">
                  <from>
                    <xdr:col>10</xdr:col>
                    <xdr:colOff>0</xdr:colOff>
                    <xdr:row>34</xdr:row>
                    <xdr:rowOff>0</xdr:rowOff>
                  </from>
                  <to>
                    <xdr:col>11</xdr:col>
                    <xdr:colOff>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08" r:id="rId75" name="Drop Down 268">
              <controlPr defaultSize="0" autoLine="0" autoPict="0">
                <anchor moveWithCells="1">
                  <from>
                    <xdr:col>9</xdr:col>
                    <xdr:colOff>0</xdr:colOff>
                    <xdr:row>40</xdr:row>
                    <xdr:rowOff>0</xdr:rowOff>
                  </from>
                  <to>
                    <xdr:col>10</xdr:col>
                    <xdr:colOff>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09" r:id="rId76" name="Drop Down 269">
              <controlPr defaultSize="0" autoLine="0" autoPict="0">
                <anchor moveWithCells="1">
                  <from>
                    <xdr:col>10</xdr:col>
                    <xdr:colOff>0</xdr:colOff>
                    <xdr:row>40</xdr:row>
                    <xdr:rowOff>0</xdr:rowOff>
                  </from>
                  <to>
                    <xdr:col>11</xdr:col>
                    <xdr:colOff>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10" r:id="rId77" name="Drop Down 270">
              <controlPr defaultSize="0" autoLine="0" autoPict="0">
                <anchor moveWithCells="1">
                  <from>
                    <xdr:col>10</xdr:col>
                    <xdr:colOff>0</xdr:colOff>
                    <xdr:row>42</xdr:row>
                    <xdr:rowOff>0</xdr:rowOff>
                  </from>
                  <to>
                    <xdr:col>11</xdr:col>
                    <xdr:colOff>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11" r:id="rId78" name="Drop Down 271">
              <controlPr defaultSize="0" autoLine="0" autoPict="0">
                <anchor moveWithCells="1">
                  <from>
                    <xdr:col>10</xdr:col>
                    <xdr:colOff>0</xdr:colOff>
                    <xdr:row>43</xdr:row>
                    <xdr:rowOff>0</xdr:rowOff>
                  </from>
                  <to>
                    <xdr:col>11</xdr:col>
                    <xdr:colOff>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12" r:id="rId79" name="Drop Down 272">
              <controlPr defaultSize="0" autoLine="0" autoPict="0">
                <anchor moveWithCells="1">
                  <from>
                    <xdr:col>10</xdr:col>
                    <xdr:colOff>0</xdr:colOff>
                    <xdr:row>44</xdr:row>
                    <xdr:rowOff>0</xdr:rowOff>
                  </from>
                  <to>
                    <xdr:col>11</xdr:col>
                    <xdr:colOff>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13" r:id="rId80" name="Drop Down 273">
              <controlPr defaultSize="0" autoLine="0" autoPict="0">
                <anchor moveWithCells="1">
                  <from>
                    <xdr:col>9</xdr:col>
                    <xdr:colOff>0</xdr:colOff>
                    <xdr:row>42</xdr:row>
                    <xdr:rowOff>0</xdr:rowOff>
                  </from>
                  <to>
                    <xdr:col>10</xdr:col>
                    <xdr:colOff>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14" r:id="rId81" name="Drop Down 274">
              <controlPr defaultSize="0" autoLine="0" autoPict="0">
                <anchor moveWithCells="1">
                  <from>
                    <xdr:col>9</xdr:col>
                    <xdr:colOff>0</xdr:colOff>
                    <xdr:row>43</xdr:row>
                    <xdr:rowOff>0</xdr:rowOff>
                  </from>
                  <to>
                    <xdr:col>10</xdr:col>
                    <xdr:colOff>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15" r:id="rId82" name="Drop Down 275">
              <controlPr defaultSize="0" autoLine="0" autoPict="0">
                <anchor moveWithCells="1">
                  <from>
                    <xdr:col>9</xdr:col>
                    <xdr:colOff>0</xdr:colOff>
                    <xdr:row>44</xdr:row>
                    <xdr:rowOff>0</xdr:rowOff>
                  </from>
                  <to>
                    <xdr:col>10</xdr:col>
                    <xdr:colOff>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16" r:id="rId83" name="Drop Down 276">
              <controlPr defaultSize="0" autoLine="0" autoPict="0">
                <anchor moveWithCells="1">
                  <from>
                    <xdr:col>9</xdr:col>
                    <xdr:colOff>0</xdr:colOff>
                    <xdr:row>41</xdr:row>
                    <xdr:rowOff>0</xdr:rowOff>
                  </from>
                  <to>
                    <xdr:col>10</xdr:col>
                    <xdr:colOff>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17" r:id="rId84" name="Drop Down 277">
              <controlPr defaultSize="0" autoLine="0" autoPict="0">
                <anchor moveWithCells="1">
                  <from>
                    <xdr:col>10</xdr:col>
                    <xdr:colOff>9525</xdr:colOff>
                    <xdr:row>41</xdr:row>
                    <xdr:rowOff>0</xdr:rowOff>
                  </from>
                  <to>
                    <xdr:col>11</xdr:col>
                    <xdr:colOff>9525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18" r:id="rId85" name="Drop Down 278">
              <controlPr defaultSize="0" autoLine="0" autoPict="0">
                <anchor moveWithCells="1">
                  <from>
                    <xdr:col>3</xdr:col>
                    <xdr:colOff>9525</xdr:colOff>
                    <xdr:row>42</xdr:row>
                    <xdr:rowOff>9525</xdr:rowOff>
                  </from>
                  <to>
                    <xdr:col>5</xdr:col>
                    <xdr:colOff>9525</xdr:colOff>
                    <xdr:row>43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19" r:id="rId86" name="Drop Down 279">
              <controlPr defaultSize="0" autoLine="0" autoPict="0">
                <anchor moveWithCells="1">
                  <from>
                    <xdr:col>3</xdr:col>
                    <xdr:colOff>9525</xdr:colOff>
                    <xdr:row>43</xdr:row>
                    <xdr:rowOff>9525</xdr:rowOff>
                  </from>
                  <to>
                    <xdr:col>5</xdr:col>
                    <xdr:colOff>9525</xdr:colOff>
                    <xdr:row>44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20" r:id="rId87" name="Drop Down 280">
              <controlPr defaultSize="0" autoLine="0" autoPict="0">
                <anchor moveWithCells="1">
                  <from>
                    <xdr:col>3</xdr:col>
                    <xdr:colOff>9525</xdr:colOff>
                    <xdr:row>44</xdr:row>
                    <xdr:rowOff>9525</xdr:rowOff>
                  </from>
                  <to>
                    <xdr:col>5</xdr:col>
                    <xdr:colOff>9525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21" r:id="rId88" name="Drop Down 281">
              <controlPr defaultSize="0" autoLine="0" autoPict="0">
                <anchor moveWithCells="1">
                  <from>
                    <xdr:col>3</xdr:col>
                    <xdr:colOff>9525</xdr:colOff>
                    <xdr:row>41</xdr:row>
                    <xdr:rowOff>9525</xdr:rowOff>
                  </from>
                  <to>
                    <xdr:col>5</xdr:col>
                    <xdr:colOff>9525</xdr:colOff>
                    <xdr:row>42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22" r:id="rId89" name="Drop Down 282">
              <controlPr defaultSize="0" autoLine="0" autoPict="0">
                <anchor moveWithCells="1">
                  <from>
                    <xdr:col>3</xdr:col>
                    <xdr:colOff>9525</xdr:colOff>
                    <xdr:row>40</xdr:row>
                    <xdr:rowOff>9525</xdr:rowOff>
                  </from>
                  <to>
                    <xdr:col>5</xdr:col>
                    <xdr:colOff>9525</xdr:colOff>
                    <xdr:row>41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B1:DL278"/>
  <sheetViews>
    <sheetView topLeftCell="A71" zoomScale="85" zoomScaleNormal="85" workbookViewId="0">
      <selection activeCell="C45" sqref="C45"/>
    </sheetView>
  </sheetViews>
  <sheetFormatPr defaultColWidth="9.140625" defaultRowHeight="12.75" x14ac:dyDescent="0.2"/>
  <cols>
    <col min="1" max="1" width="1.5703125" style="437" customWidth="1"/>
    <col min="2" max="2" width="58.5703125" style="437" customWidth="1"/>
    <col min="3" max="3" width="18.5703125" style="437" customWidth="1"/>
    <col min="4" max="4" width="11.28515625" style="442" customWidth="1"/>
    <col min="5" max="5" width="9.42578125" style="442" customWidth="1"/>
    <col min="6" max="6" width="9.140625" style="442" customWidth="1"/>
    <col min="7" max="7" width="9.28515625" style="442" customWidth="1"/>
    <col min="8" max="8" width="20.7109375" style="442" customWidth="1"/>
    <col min="9" max="9" width="26.42578125" style="437" customWidth="1"/>
    <col min="10" max="10" width="18.5703125" style="437" customWidth="1"/>
    <col min="11" max="11" width="17.28515625" style="437" customWidth="1"/>
    <col min="12" max="12" width="19.7109375" style="437" customWidth="1"/>
    <col min="13" max="13" width="18.5703125" style="437" customWidth="1"/>
    <col min="14" max="14" width="17.7109375" style="437" customWidth="1"/>
    <col min="15" max="15" width="19.28515625" style="437" customWidth="1"/>
    <col min="16" max="16" width="17.5703125" style="437" customWidth="1"/>
    <col min="17" max="17" width="14.85546875" style="437" customWidth="1"/>
    <col min="18" max="19" width="9.140625" style="437"/>
    <col min="20" max="20" width="32.140625" style="437" customWidth="1"/>
    <col min="21" max="23" width="16.5703125" style="437" customWidth="1"/>
    <col min="24" max="28" width="16.140625" style="437" customWidth="1"/>
    <col min="29" max="30" width="16" style="437" customWidth="1"/>
    <col min="31" max="51" width="9.140625" style="437"/>
    <col min="52" max="52" width="16.140625" style="437" customWidth="1"/>
    <col min="53" max="53" width="33.28515625" style="443" customWidth="1"/>
    <col min="54" max="54" width="15" style="437" customWidth="1"/>
    <col min="55" max="55" width="15.7109375" style="437" customWidth="1"/>
    <col min="56" max="56" width="13.7109375" style="437" customWidth="1"/>
    <col min="57" max="58" width="13.85546875" style="437" customWidth="1"/>
    <col min="59" max="60" width="12.7109375" style="437" customWidth="1"/>
    <col min="61" max="61" width="14.85546875" style="437" customWidth="1"/>
    <col min="62" max="63" width="12.5703125" style="437" customWidth="1"/>
    <col min="64" max="64" width="14.28515625" style="437" customWidth="1"/>
    <col min="65" max="65" width="13.85546875" style="437" customWidth="1"/>
    <col min="66" max="66" width="14" style="437" customWidth="1"/>
    <col min="67" max="70" width="11" style="437" customWidth="1"/>
    <col min="71" max="71" width="16.5703125" style="437" customWidth="1"/>
    <col min="72" max="72" width="22.85546875" style="437" customWidth="1"/>
    <col min="73" max="73" width="14.7109375" style="437" customWidth="1"/>
    <col min="74" max="74" width="11.28515625" style="437" customWidth="1"/>
    <col min="75" max="75" width="9.28515625" style="437" customWidth="1"/>
    <col min="76" max="76" width="11.28515625" style="437" customWidth="1"/>
    <col min="77" max="77" width="12.85546875" style="437" customWidth="1"/>
    <col min="78" max="78" width="11.140625" style="437" customWidth="1"/>
    <col min="79" max="79" width="8.140625" style="437" customWidth="1"/>
    <col min="80" max="80" width="13.85546875" style="437" customWidth="1"/>
    <col min="81" max="82" width="9.140625" style="437"/>
    <col min="83" max="83" width="14.85546875" style="437" bestFit="1" customWidth="1"/>
    <col min="84" max="84" width="13.85546875" style="437" bestFit="1" customWidth="1"/>
    <col min="85" max="85" width="9.140625" style="437"/>
    <col min="86" max="86" width="16.140625" style="437" bestFit="1" customWidth="1"/>
    <col min="87" max="87" width="9.140625" style="437"/>
    <col min="88" max="88" width="16" style="437" customWidth="1"/>
    <col min="89" max="89" width="22.7109375" style="437" bestFit="1" customWidth="1"/>
    <col min="90" max="91" width="13.85546875" style="437" bestFit="1" customWidth="1"/>
    <col min="92" max="92" width="9.140625" style="437"/>
    <col min="93" max="93" width="13.85546875" style="437" bestFit="1" customWidth="1"/>
    <col min="94" max="94" width="12.7109375" style="437" bestFit="1" customWidth="1"/>
    <col min="95" max="95" width="11.140625" style="437" bestFit="1" customWidth="1"/>
    <col min="96" max="96" width="9.140625" style="437"/>
    <col min="97" max="97" width="12.7109375" style="437" bestFit="1" customWidth="1"/>
    <col min="98" max="99" width="9.140625" style="437"/>
    <col min="100" max="101" width="13.85546875" style="437" bestFit="1" customWidth="1"/>
    <col min="102" max="106" width="9.140625" style="437"/>
    <col min="107" max="107" width="17.85546875" style="437" customWidth="1"/>
    <col min="108" max="108" width="22.7109375" style="437" bestFit="1" customWidth="1"/>
    <col min="109" max="110" width="13.42578125" style="437" bestFit="1" customWidth="1"/>
    <col min="111" max="111" width="9.28515625" style="437" bestFit="1" customWidth="1"/>
    <col min="112" max="112" width="14.5703125" style="437" bestFit="1" customWidth="1"/>
    <col min="113" max="114" width="13.42578125" style="437" bestFit="1" customWidth="1"/>
    <col min="115" max="117" width="9.28515625" style="437" bestFit="1" customWidth="1"/>
    <col min="118" max="118" width="9.140625" style="437"/>
    <col min="119" max="119" width="14.5703125" style="437" bestFit="1" customWidth="1"/>
    <col min="120" max="120" width="13.5703125" style="437" bestFit="1" customWidth="1"/>
    <col min="121" max="16384" width="9.140625" style="437"/>
  </cols>
  <sheetData>
    <row r="1" spans="2:116" ht="18.75" thickBot="1" x14ac:dyDescent="0.3">
      <c r="B1" s="441" t="s">
        <v>304</v>
      </c>
      <c r="BB1" s="437">
        <v>1</v>
      </c>
      <c r="BC1" s="437">
        <v>2</v>
      </c>
      <c r="BD1" s="437">
        <v>3</v>
      </c>
      <c r="BE1" s="437">
        <v>4</v>
      </c>
      <c r="BF1" s="437">
        <v>5</v>
      </c>
      <c r="BG1" s="437">
        <v>6</v>
      </c>
      <c r="BH1" s="437">
        <v>7</v>
      </c>
      <c r="BI1" s="437">
        <v>8</v>
      </c>
      <c r="BJ1" s="437">
        <v>9</v>
      </c>
      <c r="BK1" s="437">
        <v>10</v>
      </c>
      <c r="BL1" s="437">
        <v>11</v>
      </c>
      <c r="BM1" s="437">
        <v>12</v>
      </c>
      <c r="BN1" s="437">
        <v>13</v>
      </c>
      <c r="BO1" s="437">
        <v>14</v>
      </c>
      <c r="BP1" s="437">
        <v>15</v>
      </c>
      <c r="BQ1" s="437">
        <v>16</v>
      </c>
      <c r="BR1" s="437">
        <v>17</v>
      </c>
      <c r="BS1" s="437">
        <v>18</v>
      </c>
      <c r="BT1" s="437">
        <v>19</v>
      </c>
    </row>
    <row r="2" spans="2:116" ht="16.5" thickBot="1" x14ac:dyDescent="0.3">
      <c r="B2" s="444" t="s">
        <v>584</v>
      </c>
      <c r="AZ2" s="444" t="s">
        <v>487</v>
      </c>
      <c r="CE2" s="2736" t="s">
        <v>550</v>
      </c>
      <c r="CF2" s="2737"/>
    </row>
    <row r="3" spans="2:116" ht="14.25" customHeight="1" thickBot="1" x14ac:dyDescent="0.25">
      <c r="BA3" s="445" t="s">
        <v>64</v>
      </c>
      <c r="BB3" s="446">
        <v>36892</v>
      </c>
      <c r="BC3" s="447">
        <v>36923</v>
      </c>
      <c r="BD3" s="447">
        <v>36951</v>
      </c>
      <c r="BE3" s="447">
        <v>36982</v>
      </c>
      <c r="BF3" s="447">
        <v>37012</v>
      </c>
      <c r="BG3" s="447">
        <v>37043</v>
      </c>
      <c r="BH3" s="447">
        <v>37073</v>
      </c>
      <c r="BI3" s="447">
        <v>37104</v>
      </c>
      <c r="BJ3" s="447">
        <v>37135</v>
      </c>
      <c r="BK3" s="447">
        <v>37165</v>
      </c>
      <c r="BL3" s="447">
        <v>37196</v>
      </c>
      <c r="BM3" s="447">
        <v>37226</v>
      </c>
      <c r="BN3" s="447">
        <v>37257</v>
      </c>
      <c r="BO3" s="447">
        <v>37288</v>
      </c>
      <c r="BP3" s="447">
        <v>37316</v>
      </c>
      <c r="BQ3" s="447">
        <v>37347</v>
      </c>
      <c r="BR3" s="447">
        <v>37377</v>
      </c>
      <c r="BS3" s="447">
        <v>37408</v>
      </c>
      <c r="BT3" s="448">
        <v>37438</v>
      </c>
      <c r="BU3" s="449"/>
      <c r="BV3" s="449"/>
      <c r="BW3" s="449"/>
      <c r="BX3" s="449"/>
      <c r="BY3" s="449"/>
      <c r="BZ3" s="449"/>
      <c r="CA3" s="449"/>
      <c r="CB3" s="449"/>
      <c r="CC3" s="449"/>
      <c r="CD3" s="449"/>
      <c r="CE3" s="450" t="e">
        <f>VLOOKUP(Descrição!C21,Descrição!C21,2)</f>
        <v>#REF!</v>
      </c>
      <c r="CF3" s="627">
        <f>Descrição!C21</f>
        <v>0.06</v>
      </c>
      <c r="CG3" s="451"/>
      <c r="CJ3" s="451"/>
      <c r="CK3" s="451"/>
      <c r="CL3" s="451"/>
      <c r="CM3" s="451"/>
      <c r="CN3" s="451"/>
      <c r="CO3" s="451"/>
      <c r="CP3" s="451"/>
      <c r="CQ3" s="451"/>
      <c r="CR3" s="451"/>
      <c r="CS3" s="451"/>
      <c r="CT3" s="451"/>
      <c r="CU3" s="451"/>
      <c r="CV3" s="451"/>
      <c r="CW3" s="451"/>
      <c r="CX3" s="451"/>
      <c r="CY3" s="451"/>
      <c r="CZ3" s="451"/>
      <c r="DA3" s="451"/>
      <c r="DB3" s="451"/>
      <c r="DC3" s="451"/>
      <c r="DD3" s="451"/>
      <c r="DE3" s="451"/>
      <c r="DF3" s="451"/>
      <c r="DG3" s="451"/>
      <c r="DH3" s="451"/>
      <c r="DI3" s="451"/>
      <c r="DJ3" s="451"/>
      <c r="DK3" s="451"/>
      <c r="DL3" s="451"/>
    </row>
    <row r="4" spans="2:116" ht="13.5" thickBot="1" x14ac:dyDescent="0.25">
      <c r="B4" s="452" t="s">
        <v>585</v>
      </c>
      <c r="C4" s="704"/>
      <c r="I4" s="453"/>
      <c r="J4" s="440"/>
      <c r="BA4" s="454" t="str">
        <f>VLOOKUP(Rebanho!$C79,Rebanho!$AD$46:$AE$56,2)</f>
        <v>Boi gordo</v>
      </c>
      <c r="BB4" s="455">
        <f>IF(AND(Rebanho!$K79=Rebanho!$J79,Rebanho!$J79=BB$1),Rebanho!$I79,IF(AND(Rebanho!$K79&gt;=Rebanho!$J79,AND(Rebanho!$J79&lt;=BB$1,Rebanho!$K79&gt;=BB$1)),Rebanho!$I79/(Rebanho!$K79-Rebanho!$J79+1),0))</f>
        <v>1746242.1884112596</v>
      </c>
      <c r="BC4" s="455">
        <f>IF(AND(Rebanho!$K79=Rebanho!$J79,Rebanho!$J79=BC$1),Rebanho!$I79,IF(AND(Rebanho!$K79&gt;=Rebanho!$J79,AND(Rebanho!$J79&lt;=BC$1,Rebanho!$K79&gt;=BC$1)),Rebanho!$I79/(Rebanho!$K79-Rebanho!$J79+1),0))</f>
        <v>0</v>
      </c>
      <c r="BD4" s="455">
        <f>IF(AND(Rebanho!$K79=Rebanho!$J79,Rebanho!$J79=BD$1),Rebanho!$I79,IF(AND(Rebanho!$K79&gt;=Rebanho!$J79,AND(Rebanho!$J79&lt;=BD$1,Rebanho!$K79&gt;=BD$1)),Rebanho!$I79/(Rebanho!$K79-Rebanho!$J79+1),0))</f>
        <v>0</v>
      </c>
      <c r="BE4" s="455">
        <f>IF(AND(Rebanho!$K79=Rebanho!$J79,Rebanho!$J79=BE$1),Rebanho!$I79,IF(AND(Rebanho!$K79&gt;=Rebanho!$J79,AND(Rebanho!$J79&lt;=BE$1,Rebanho!$K79&gt;=BE$1)),Rebanho!$I79/(Rebanho!$K79-Rebanho!$J79+1),0))</f>
        <v>0</v>
      </c>
      <c r="BF4" s="455">
        <f>IF(AND(Rebanho!$K79=Rebanho!$J79,Rebanho!$J79=BF$1),Rebanho!$I79,IF(AND(Rebanho!$K79&gt;=Rebanho!$J79,AND(Rebanho!$J79&lt;=BF$1,Rebanho!$K79&gt;=BF$1)),Rebanho!$I79/(Rebanho!$K79-Rebanho!$J79+1),0))</f>
        <v>0</v>
      </c>
      <c r="BG4" s="455">
        <f>IF(AND(Rebanho!$K79=Rebanho!$J79,Rebanho!$J79=BG$1),Rebanho!$I79,IF(AND(Rebanho!$K79&gt;=Rebanho!$J79,AND(Rebanho!$J79&lt;=BG$1,Rebanho!$K79&gt;=BG$1)),Rebanho!$I79/(Rebanho!$K79-Rebanho!$J79+1),0))</f>
        <v>0</v>
      </c>
      <c r="BH4" s="455">
        <f>IF(AND(Rebanho!$K79=Rebanho!$J79,Rebanho!$J79=BH$1),Rebanho!$I79,IF(AND(Rebanho!$K79&gt;=Rebanho!$J79,AND(Rebanho!$J79&lt;=BH$1,Rebanho!$K79&gt;=BH$1)),Rebanho!$I79/(Rebanho!$K79-Rebanho!$J79+1),0))</f>
        <v>0</v>
      </c>
      <c r="BI4" s="455">
        <f>IF(AND(Rebanho!$K79=Rebanho!$J79,Rebanho!$J79=BI$1),Rebanho!$I79,IF(AND(Rebanho!$K79&gt;=Rebanho!$J79,AND(Rebanho!$J79&lt;=BI$1,Rebanho!$K79&gt;=BI$1)),Rebanho!$I79/(Rebanho!$K79-Rebanho!$J79+1),0))</f>
        <v>0</v>
      </c>
      <c r="BJ4" s="455">
        <f>IF(AND(Rebanho!$K79=Rebanho!$J79,Rebanho!$J79=BJ$1),Rebanho!$I79,IF(AND(Rebanho!$K79&gt;=Rebanho!$J79,AND(Rebanho!$J79&lt;=BJ$1,Rebanho!$K79&gt;=BJ$1)),Rebanho!$I79/(Rebanho!$K79-Rebanho!$J79+1),0))</f>
        <v>0</v>
      </c>
      <c r="BK4" s="455">
        <f>IF(AND(Rebanho!$K79=Rebanho!$J79,Rebanho!$J79=BK$1),Rebanho!$I79,IF(AND(Rebanho!$K79&gt;=Rebanho!$J79,AND(Rebanho!$J79&lt;=BK$1,Rebanho!$K79&gt;=BK$1)),Rebanho!$I79/(Rebanho!$K79-Rebanho!$J79+1),0))</f>
        <v>0</v>
      </c>
      <c r="BL4" s="455">
        <f>IF(AND(Rebanho!$K79=Rebanho!$J79,Rebanho!$J79=BL$1),Rebanho!$I79,IF(AND(Rebanho!$K79&gt;=Rebanho!$J79,AND(Rebanho!$J79&lt;=BL$1,Rebanho!$K79&gt;=BL$1)),Rebanho!$I79/(Rebanho!$K79-Rebanho!$J79+1),0))</f>
        <v>0</v>
      </c>
      <c r="BM4" s="455">
        <f>IF(AND(Rebanho!$K79=Rebanho!$J79,Rebanho!$J79=BM$1),Rebanho!$I79,IF(AND(Rebanho!$K79&gt;=Rebanho!$J79,AND(Rebanho!$J79&lt;=BM$1,Rebanho!$K79&gt;=BM$1)),Rebanho!$I79/(Rebanho!$K79-Rebanho!$J79+1),0))</f>
        <v>0</v>
      </c>
      <c r="BN4" s="455">
        <f>IF(AND(Rebanho!$K79=Rebanho!$J79,Rebanho!$J79=BN$1),Rebanho!$I79,IF(AND(Rebanho!$K79&gt;=Rebanho!$J79,AND(Rebanho!$J79&lt;=BN$1,Rebanho!$K79&gt;=BN$1)),Rebanho!$I79/(Rebanho!$K79-Rebanho!$J79+1),0))</f>
        <v>0</v>
      </c>
      <c r="BO4" s="455">
        <f>IF(AND(Rebanho!$K79=Rebanho!$J79,Rebanho!$J79=BO$1),Rebanho!$I79,IF(AND(Rebanho!$K79&gt;=Rebanho!$J79,AND(Rebanho!$J79&lt;=BO$1,Rebanho!$K79&gt;=BO$1)),Rebanho!$I79/(Rebanho!$K79-Rebanho!$J79+1),0))</f>
        <v>0</v>
      </c>
      <c r="BP4" s="455">
        <f>IF(AND(Rebanho!$K79=Rebanho!$J79,Rebanho!$J79=BP$1),Rebanho!$I79,IF(AND(Rebanho!$K79&gt;=Rebanho!$J79,AND(Rebanho!$J79&lt;=BP$1,Rebanho!$K79&gt;=BP$1)),Rebanho!$I79/(Rebanho!$K79-Rebanho!$J79+1),0))</f>
        <v>0</v>
      </c>
      <c r="BQ4" s="455">
        <f>IF(AND(Rebanho!$K79=Rebanho!$J79,Rebanho!$J79=BQ$1),Rebanho!$I79,IF(AND(Rebanho!$K79&gt;=Rebanho!$J79,AND(Rebanho!$J79&lt;=BQ$1,Rebanho!$K79&gt;=BQ$1)),Rebanho!$I79/(Rebanho!$K79-Rebanho!$J79+1),0))</f>
        <v>0</v>
      </c>
      <c r="BR4" s="455">
        <f>IF(AND(Rebanho!$K79=Rebanho!$J79,Rebanho!$J79=BR$1),Rebanho!$I79,IF(AND(Rebanho!$K79&gt;=Rebanho!$J79,AND(Rebanho!$J79&lt;=BR$1,Rebanho!$K79&gt;=BR$1)),Rebanho!$I79/(Rebanho!$K79-Rebanho!$J79+1),0))</f>
        <v>0</v>
      </c>
      <c r="BS4" s="455">
        <f>IF(AND(Rebanho!$K79=Rebanho!$J79,Rebanho!$J79=BS$1),Rebanho!$I79,IF(AND(Rebanho!$K79&gt;=Rebanho!$J79,AND(Rebanho!$J79&lt;=BS$1,Rebanho!$K79&gt;=BS$1)),Rebanho!$I79/(Rebanho!$K79-Rebanho!$J79+1),0))</f>
        <v>0</v>
      </c>
      <c r="BT4" s="456">
        <f>IF(AND(Rebanho!$K79=Rebanho!$J79,Rebanho!$J79=BT$1),Rebanho!$I79,IF(AND(Rebanho!$K79&gt;=Rebanho!$J79,AND(Rebanho!$J79&lt;=BT$1,Rebanho!$K79&gt;=BT$1)),Rebanho!$I79/(Rebanho!$K79-Rebanho!$J79+1),0))</f>
        <v>0</v>
      </c>
      <c r="BU4" s="457"/>
      <c r="BV4" s="457"/>
      <c r="BW4" s="457"/>
      <c r="BX4" s="457"/>
      <c r="BY4" s="457"/>
      <c r="CH4" s="677" t="s">
        <v>982</v>
      </c>
      <c r="CI4" s="678"/>
      <c r="CJ4" s="679"/>
    </row>
    <row r="5" spans="2:116" ht="13.5" thickBot="1" x14ac:dyDescent="0.25">
      <c r="B5" s="1040" t="s">
        <v>1190</v>
      </c>
      <c r="C5" s="1030">
        <f>Rebanho!S89</f>
        <v>1746242.1884112596</v>
      </c>
      <c r="D5" s="1124">
        <f>C5/$C$9</f>
        <v>1</v>
      </c>
      <c r="E5" s="1250"/>
      <c r="F5" s="1250"/>
      <c r="G5" s="1250"/>
      <c r="H5" s="2746"/>
      <c r="I5" s="1027"/>
      <c r="J5" s="458"/>
      <c r="BA5" s="459" t="e">
        <f>VLOOKUP(Rebanho!$C80,Rebanho!$AD$46:$AE$56,2)</f>
        <v>#N/A</v>
      </c>
      <c r="BB5" s="460">
        <f>IF(AND(Rebanho!$K80=Rebanho!$J80,Rebanho!$J80=BB$1),Rebanho!$I80,IF(AND(Rebanho!$K80&gt;=Rebanho!$J80,AND(Rebanho!$J80&lt;=BB$1,Rebanho!$K80&gt;=BB$1)),Rebanho!$I80/(Rebanho!$K80-Rebanho!$J80+1),0))</f>
        <v>0</v>
      </c>
      <c r="BC5" s="460">
        <f>IF(AND(Rebanho!$K80=Rebanho!$J80,Rebanho!$J80=BC$1),Rebanho!$I80,IF(AND(Rebanho!$K80&gt;=Rebanho!$J80,AND(Rebanho!$J80&lt;=BC$1,Rebanho!$K80&gt;=BC$1)),Rebanho!$I80/(Rebanho!$K80-Rebanho!$J80+1),0))</f>
        <v>0</v>
      </c>
      <c r="BD5" s="460">
        <f>IF(AND(Rebanho!$K80=Rebanho!$J80,Rebanho!$J80=BD$1),Rebanho!$I80,IF(AND(Rebanho!$K80&gt;=Rebanho!$J80,AND(Rebanho!$J80&lt;=BD$1,Rebanho!$K80&gt;=BD$1)),Rebanho!$I80/(Rebanho!$K80-Rebanho!$J80+1),0))</f>
        <v>0</v>
      </c>
      <c r="BE5" s="460">
        <f>IF(AND(Rebanho!$K80=Rebanho!$J80,Rebanho!$J80=BE$1),Rebanho!$I80,IF(AND(Rebanho!$K80&gt;=Rebanho!$J80,AND(Rebanho!$J80&lt;=BE$1,Rebanho!$K80&gt;=BE$1)),Rebanho!$I80/(Rebanho!$K80-Rebanho!$J80+1),0))</f>
        <v>0</v>
      </c>
      <c r="BF5" s="460">
        <f>IF(AND(Rebanho!$K80=Rebanho!$J80,Rebanho!$J80=BF$1),Rebanho!$I80,IF(AND(Rebanho!$K80&gt;=Rebanho!$J80,AND(Rebanho!$J80&lt;=BF$1,Rebanho!$K80&gt;=BF$1)),Rebanho!$I80/(Rebanho!$K80-Rebanho!$J80+1),0))</f>
        <v>0</v>
      </c>
      <c r="BG5" s="460">
        <f>IF(AND(Rebanho!$K80=Rebanho!$J80,Rebanho!$J80=BG$1),Rebanho!$I80,IF(AND(Rebanho!$K80&gt;=Rebanho!$J80,AND(Rebanho!$J80&lt;=BG$1,Rebanho!$K80&gt;=BG$1)),Rebanho!$I80/(Rebanho!$K80-Rebanho!$J80+1),0))</f>
        <v>0</v>
      </c>
      <c r="BH5" s="460">
        <f>IF(AND(Rebanho!$K80=Rebanho!$J80,Rebanho!$J80=BH$1),Rebanho!$I80,IF(AND(Rebanho!$K80&gt;=Rebanho!$J80,AND(Rebanho!$J80&lt;=BH$1,Rebanho!$K80&gt;=BH$1)),Rebanho!$I80/(Rebanho!$K80-Rebanho!$J80+1),0))</f>
        <v>0</v>
      </c>
      <c r="BI5" s="460">
        <f>IF(AND(Rebanho!$K80=Rebanho!$J80,Rebanho!$J80=BI$1),Rebanho!$I80,IF(AND(Rebanho!$K80&gt;=Rebanho!$J80,AND(Rebanho!$J80&lt;=BI$1,Rebanho!$K80&gt;=BI$1)),Rebanho!$I80/(Rebanho!$K80-Rebanho!$J80+1),0))</f>
        <v>0</v>
      </c>
      <c r="BJ5" s="460">
        <f>IF(AND(Rebanho!$K80=Rebanho!$J80,Rebanho!$J80=BJ$1),Rebanho!$I80,IF(AND(Rebanho!$K80&gt;=Rebanho!$J80,AND(Rebanho!$J80&lt;=BJ$1,Rebanho!$K80&gt;=BJ$1)),Rebanho!$I80/(Rebanho!$K80-Rebanho!$J80+1),0))</f>
        <v>0</v>
      </c>
      <c r="BK5" s="460">
        <f>IF(AND(Rebanho!$K80=Rebanho!$J80,Rebanho!$J80=BK$1),Rebanho!$I80,IF(AND(Rebanho!$K80&gt;=Rebanho!$J80,AND(Rebanho!$J80&lt;=BK$1,Rebanho!$K80&gt;=BK$1)),Rebanho!$I80/(Rebanho!$K80-Rebanho!$J80+1),0))</f>
        <v>0</v>
      </c>
      <c r="BL5" s="460">
        <f>IF(AND(Rebanho!$K80=Rebanho!$J80,Rebanho!$J80=BL$1),Rebanho!$I80,IF(AND(Rebanho!$K80&gt;=Rebanho!$J80,AND(Rebanho!$J80&lt;=BL$1,Rebanho!$K80&gt;=BL$1)),Rebanho!$I80/(Rebanho!$K80-Rebanho!$J80+1),0))</f>
        <v>0</v>
      </c>
      <c r="BM5" s="460">
        <f>IF(AND(Rebanho!$K80=Rebanho!$J80,Rebanho!$J80=BM$1),Rebanho!$I80,IF(AND(Rebanho!$K80&gt;=Rebanho!$J80,AND(Rebanho!$J80&lt;=BM$1,Rebanho!$K80&gt;=BM$1)),Rebanho!$I80/(Rebanho!$K80-Rebanho!$J80+1),0))</f>
        <v>0</v>
      </c>
      <c r="BN5" s="460">
        <f>IF(AND(Rebanho!$K80=Rebanho!$J80,Rebanho!$J80=BN$1),Rebanho!$I80,IF(AND(Rebanho!$K80&gt;=Rebanho!$J80,AND(Rebanho!$J80&lt;=BN$1,Rebanho!$K80&gt;=BN$1)),Rebanho!$I80/(Rebanho!$K80-Rebanho!$J80+1),0))</f>
        <v>0</v>
      </c>
      <c r="BO5" s="460">
        <f>IF(AND(Rebanho!$K80=Rebanho!$J80,Rebanho!$J80=BO$1),Rebanho!$I80,IF(AND(Rebanho!$K80&gt;=Rebanho!$J80,AND(Rebanho!$J80&lt;=BO$1,Rebanho!$K80&gt;=BO$1)),Rebanho!$I80/(Rebanho!$K80-Rebanho!$J80+1),0))</f>
        <v>0</v>
      </c>
      <c r="BP5" s="460">
        <f>IF(AND(Rebanho!$K80=Rebanho!$J80,Rebanho!$J80=BP$1),Rebanho!$I80,IF(AND(Rebanho!$K80&gt;=Rebanho!$J80,AND(Rebanho!$J80&lt;=BP$1,Rebanho!$K80&gt;=BP$1)),Rebanho!$I80/(Rebanho!$K80-Rebanho!$J80+1),0))</f>
        <v>0</v>
      </c>
      <c r="BQ5" s="460">
        <f>IF(AND(Rebanho!$K80=Rebanho!$J80,Rebanho!$J80=BQ$1),Rebanho!$I80,IF(AND(Rebanho!$K80&gt;=Rebanho!$J80,AND(Rebanho!$J80&lt;=BQ$1,Rebanho!$K80&gt;=BQ$1)),Rebanho!$I80/(Rebanho!$K80-Rebanho!$J80+1),0))</f>
        <v>0</v>
      </c>
      <c r="BR5" s="460">
        <f>IF(AND(Rebanho!$K80=Rebanho!$J80,Rebanho!$J80=BR$1),Rebanho!$I80,IF(AND(Rebanho!$K80&gt;=Rebanho!$J80,AND(Rebanho!$J80&lt;=BR$1,Rebanho!$K80&gt;=BR$1)),Rebanho!$I80/(Rebanho!$K80-Rebanho!$J80+1),0))</f>
        <v>0</v>
      </c>
      <c r="BS5" s="460">
        <f>IF(AND(Rebanho!$K80=Rebanho!$J80,Rebanho!$J80=BS$1),Rebanho!$I80,IF(AND(Rebanho!$K80&gt;=Rebanho!$J80,AND(Rebanho!$J80&lt;=BS$1,Rebanho!$K80&gt;=BS$1)),Rebanho!$I80/(Rebanho!$K80-Rebanho!$J80+1),0))</f>
        <v>0</v>
      </c>
      <c r="BT5" s="461">
        <f>IF(AND(Rebanho!$K80=Rebanho!$J80,Rebanho!$J80=BT$1),Rebanho!$I80,IF(AND(Rebanho!$K80&gt;=Rebanho!$J80,AND(Rebanho!$J80&lt;=BT$1,Rebanho!$K80&gt;=BT$1)),Rebanho!$I80/(Rebanho!$K80-Rebanho!$J80+1),0))</f>
        <v>0</v>
      </c>
      <c r="CH5" s="680" t="s">
        <v>983</v>
      </c>
      <c r="CI5" s="681"/>
      <c r="CJ5" s="682"/>
    </row>
    <row r="6" spans="2:116" x14ac:dyDescent="0.2">
      <c r="B6" s="567" t="s">
        <v>728</v>
      </c>
      <c r="C6" s="1031">
        <f>Rebanho!T89</f>
        <v>0</v>
      </c>
      <c r="D6" s="1125">
        <f>C6/$C$9</f>
        <v>0</v>
      </c>
      <c r="E6" s="1250"/>
      <c r="F6" s="1250"/>
      <c r="G6" s="1250"/>
      <c r="H6" s="2746"/>
      <c r="I6" s="1027"/>
      <c r="J6" s="458"/>
      <c r="BA6" s="459" t="e">
        <f>VLOOKUP(Rebanho!$C81,Rebanho!$AD$46:$AE$56,2)</f>
        <v>#N/A</v>
      </c>
      <c r="BB6" s="460">
        <f>IF(AND(Rebanho!$K81=Rebanho!$J81,Rebanho!$J81=BB$1),Rebanho!$I81,IF(AND(Rebanho!$K81&gt;=Rebanho!$J81,AND(Rebanho!$J81&lt;=BB$1,Rebanho!$K81&gt;=BB$1)),Rebanho!$I81/(Rebanho!$K81-Rebanho!$J81+1),0))</f>
        <v>0</v>
      </c>
      <c r="BC6" s="460">
        <f>IF(AND(Rebanho!$K81=Rebanho!$J81,Rebanho!$J81=BC$1),Rebanho!$I81,IF(AND(Rebanho!$K81&gt;=Rebanho!$J81,AND(Rebanho!$J81&lt;=BC$1,Rebanho!$K81&gt;=BC$1)),Rebanho!$I81/(Rebanho!$K81-Rebanho!$J81+1),0))</f>
        <v>0</v>
      </c>
      <c r="BD6" s="460">
        <f>IF(AND(Rebanho!$K81=Rebanho!$J81,Rebanho!$J81=BD$1),Rebanho!$I81,IF(AND(Rebanho!$K81&gt;=Rebanho!$J81,AND(Rebanho!$J81&lt;=BD$1,Rebanho!$K81&gt;=BD$1)),Rebanho!$I81/(Rebanho!$K81-Rebanho!$J81+1),0))</f>
        <v>0</v>
      </c>
      <c r="BE6" s="460">
        <f>IF(AND(Rebanho!$K81=Rebanho!$J81,Rebanho!$J81=BE$1),Rebanho!$I81,IF(AND(Rebanho!$K81&gt;=Rebanho!$J81,AND(Rebanho!$J81&lt;=BE$1,Rebanho!$K81&gt;=BE$1)),Rebanho!$I81/(Rebanho!$K81-Rebanho!$J81+1),0))</f>
        <v>0</v>
      </c>
      <c r="BF6" s="460">
        <f>IF(AND(Rebanho!$K81=Rebanho!$J81,Rebanho!$J81=BF$1),Rebanho!$I81,IF(AND(Rebanho!$K81&gt;=Rebanho!$J81,AND(Rebanho!$J81&lt;=BF$1,Rebanho!$K81&gt;=BF$1)),Rebanho!$I81/(Rebanho!$K81-Rebanho!$J81+1),0))</f>
        <v>0</v>
      </c>
      <c r="BG6" s="460">
        <f>IF(AND(Rebanho!$K81=Rebanho!$J81,Rebanho!$J81=BG$1),Rebanho!$I81,IF(AND(Rebanho!$K81&gt;=Rebanho!$J81,AND(Rebanho!$J81&lt;=BG$1,Rebanho!$K81&gt;=BG$1)),Rebanho!$I81/(Rebanho!$K81-Rebanho!$J81+1),0))</f>
        <v>0</v>
      </c>
      <c r="BH6" s="460">
        <f>IF(AND(Rebanho!$K81=Rebanho!$J81,Rebanho!$J81=BH$1),Rebanho!$I81,IF(AND(Rebanho!$K81&gt;=Rebanho!$J81,AND(Rebanho!$J81&lt;=BH$1,Rebanho!$K81&gt;=BH$1)),Rebanho!$I81/(Rebanho!$K81-Rebanho!$J81+1),0))</f>
        <v>0</v>
      </c>
      <c r="BI6" s="460">
        <f>IF(AND(Rebanho!$K81=Rebanho!$J81,Rebanho!$J81=BI$1),Rebanho!$I81,IF(AND(Rebanho!$K81&gt;=Rebanho!$J81,AND(Rebanho!$J81&lt;=BI$1,Rebanho!$K81&gt;=BI$1)),Rebanho!$I81/(Rebanho!$K81-Rebanho!$J81+1),0))</f>
        <v>0</v>
      </c>
      <c r="BJ6" s="460">
        <f>IF(AND(Rebanho!$K81=Rebanho!$J81,Rebanho!$J81=BJ$1),Rebanho!$I81,IF(AND(Rebanho!$K81&gt;=Rebanho!$J81,AND(Rebanho!$J81&lt;=BJ$1,Rebanho!$K81&gt;=BJ$1)),Rebanho!$I81/(Rebanho!$K81-Rebanho!$J81+1),0))</f>
        <v>0</v>
      </c>
      <c r="BK6" s="460">
        <f>IF(AND(Rebanho!$K81=Rebanho!$J81,Rebanho!$J81=BK$1),Rebanho!$I81,IF(AND(Rebanho!$K81&gt;=Rebanho!$J81,AND(Rebanho!$J81&lt;=BK$1,Rebanho!$K81&gt;=BK$1)),Rebanho!$I81/(Rebanho!$K81-Rebanho!$J81+1),0))</f>
        <v>0</v>
      </c>
      <c r="BL6" s="460">
        <f>IF(AND(Rebanho!$K81=Rebanho!$J81,Rebanho!$J81=BL$1),Rebanho!$I81,IF(AND(Rebanho!$K81&gt;=Rebanho!$J81,AND(Rebanho!$J81&lt;=BL$1,Rebanho!$K81&gt;=BL$1)),Rebanho!$I81/(Rebanho!$K81-Rebanho!$J81+1),0))</f>
        <v>0</v>
      </c>
      <c r="BM6" s="460">
        <f>IF(AND(Rebanho!$K81=Rebanho!$J81,Rebanho!$J81=BM$1),Rebanho!$I81,IF(AND(Rebanho!$K81&gt;=Rebanho!$J81,AND(Rebanho!$J81&lt;=BM$1,Rebanho!$K81&gt;=BM$1)),Rebanho!$I81/(Rebanho!$K81-Rebanho!$J81+1),0))</f>
        <v>0</v>
      </c>
      <c r="BN6" s="460">
        <f>IF(AND(Rebanho!$K81=Rebanho!$J81,Rebanho!$J81=BN$1),Rebanho!$I81,IF(AND(Rebanho!$K81&gt;=Rebanho!$J81,AND(Rebanho!$J81&lt;=BN$1,Rebanho!$K81&gt;=BN$1)),Rebanho!$I81/(Rebanho!$K81-Rebanho!$J81+1),0))</f>
        <v>0</v>
      </c>
      <c r="BO6" s="460">
        <f>IF(AND(Rebanho!$K81=Rebanho!$J81,Rebanho!$J81=BO$1),Rebanho!$I81,IF(AND(Rebanho!$K81&gt;=Rebanho!$J81,AND(Rebanho!$J81&lt;=BO$1,Rebanho!$K81&gt;=BO$1)),Rebanho!$I81/(Rebanho!$K81-Rebanho!$J81+1),0))</f>
        <v>0</v>
      </c>
      <c r="BP6" s="460">
        <f>IF(AND(Rebanho!$K81=Rebanho!$J81,Rebanho!$J81=BP$1),Rebanho!$I81,IF(AND(Rebanho!$K81&gt;=Rebanho!$J81,AND(Rebanho!$J81&lt;=BP$1,Rebanho!$K81&gt;=BP$1)),Rebanho!$I81/(Rebanho!$K81-Rebanho!$J81+1),0))</f>
        <v>0</v>
      </c>
      <c r="BQ6" s="460">
        <f>IF(AND(Rebanho!$K81=Rebanho!$J81,Rebanho!$J81=BQ$1),Rebanho!$I81,IF(AND(Rebanho!$K81&gt;=Rebanho!$J81,AND(Rebanho!$J81&lt;=BQ$1,Rebanho!$K81&gt;=BQ$1)),Rebanho!$I81/(Rebanho!$K81-Rebanho!$J81+1),0))</f>
        <v>0</v>
      </c>
      <c r="BR6" s="460">
        <f>IF(AND(Rebanho!$K81=Rebanho!$J81,Rebanho!$J81=BR$1),Rebanho!$I81,IF(AND(Rebanho!$K81&gt;=Rebanho!$J81,AND(Rebanho!$J81&lt;=BR$1,Rebanho!$K81&gt;=BR$1)),Rebanho!$I81/(Rebanho!$K81-Rebanho!$J81+1),0))</f>
        <v>0</v>
      </c>
      <c r="BS6" s="460">
        <f>IF(AND(Rebanho!$K81=Rebanho!$J81,Rebanho!$J81=BS$1),Rebanho!$I81,IF(AND(Rebanho!$K81&gt;=Rebanho!$J81,AND(Rebanho!$J81&lt;=BS$1,Rebanho!$K81&gt;=BS$1)),Rebanho!$I81/(Rebanho!$K81-Rebanho!$J81+1),0))</f>
        <v>0</v>
      </c>
      <c r="BT6" s="461">
        <f>IF(AND(Rebanho!$K81=Rebanho!$J81,Rebanho!$J81=BT$1),Rebanho!$I81,IF(AND(Rebanho!$K81&gt;=Rebanho!$J81,AND(Rebanho!$J81&lt;=BT$1,Rebanho!$K81&gt;=BT$1)),Rebanho!$I81/(Rebanho!$K81-Rebanho!$J81+1),0))</f>
        <v>0</v>
      </c>
      <c r="CH6" s="652"/>
      <c r="CI6" s="676"/>
      <c r="CJ6" s="653"/>
    </row>
    <row r="7" spans="2:116" x14ac:dyDescent="0.2">
      <c r="B7" s="567" t="s">
        <v>1187</v>
      </c>
      <c r="C7" s="1031">
        <f>Agricultura!E5*Agricultura!C4</f>
        <v>0</v>
      </c>
      <c r="D7" s="1125">
        <f>C7/$C$9</f>
        <v>0</v>
      </c>
      <c r="E7" s="1250"/>
      <c r="F7" s="1250"/>
      <c r="G7" s="1250"/>
      <c r="H7" s="1028"/>
      <c r="I7" s="1027"/>
      <c r="J7" s="458"/>
      <c r="BA7" s="972"/>
      <c r="BB7" s="460"/>
      <c r="BC7" s="460"/>
      <c r="BD7" s="460"/>
      <c r="BE7" s="460"/>
      <c r="BF7" s="460"/>
      <c r="BG7" s="460"/>
      <c r="BH7" s="460"/>
      <c r="BI7" s="460"/>
      <c r="BJ7" s="460"/>
      <c r="BK7" s="460"/>
      <c r="BL7" s="460"/>
      <c r="BM7" s="460"/>
      <c r="BN7" s="460"/>
      <c r="BO7" s="460"/>
      <c r="BP7" s="460"/>
      <c r="BQ7" s="460"/>
      <c r="BR7" s="460"/>
      <c r="BS7" s="460"/>
      <c r="BT7" s="461"/>
      <c r="CH7" s="652"/>
      <c r="CI7" s="676"/>
      <c r="CJ7" s="653"/>
    </row>
    <row r="8" spans="2:116" ht="13.5" thickBot="1" x14ac:dyDescent="0.25">
      <c r="B8" s="862" t="s">
        <v>691</v>
      </c>
      <c r="C8" s="1032">
        <f>SUM(Geral!H50:I53)</f>
        <v>0</v>
      </c>
      <c r="D8" s="1126">
        <f>C8/$C$9</f>
        <v>0</v>
      </c>
      <c r="E8" s="1250"/>
      <c r="F8" s="1250"/>
      <c r="G8" s="1250"/>
      <c r="H8" s="1028"/>
      <c r="I8" s="1027"/>
      <c r="J8" s="458"/>
      <c r="L8" s="704"/>
      <c r="M8" s="704"/>
      <c r="N8" s="704"/>
      <c r="O8" s="704"/>
      <c r="P8" s="704"/>
      <c r="Q8" s="704"/>
      <c r="BA8" s="972"/>
      <c r="BB8" s="460"/>
      <c r="BC8" s="460"/>
      <c r="BD8" s="460"/>
      <c r="BE8" s="460"/>
      <c r="BF8" s="460"/>
      <c r="BG8" s="460"/>
      <c r="BH8" s="460"/>
      <c r="BI8" s="460"/>
      <c r="BJ8" s="460"/>
      <c r="BK8" s="460"/>
      <c r="BL8" s="460"/>
      <c r="BM8" s="460"/>
      <c r="BN8" s="460"/>
      <c r="BO8" s="460"/>
      <c r="BP8" s="460"/>
      <c r="BQ8" s="460"/>
      <c r="BR8" s="460"/>
      <c r="BS8" s="460"/>
      <c r="BT8" s="461"/>
      <c r="CH8" s="652"/>
      <c r="CI8" s="676"/>
      <c r="CJ8" s="653"/>
    </row>
    <row r="9" spans="2:116" ht="13.5" thickBot="1" x14ac:dyDescent="0.25">
      <c r="B9" s="1034" t="s">
        <v>1094</v>
      </c>
      <c r="C9" s="1035">
        <f>SUM(C5:C8)</f>
        <v>1746242.1884112596</v>
      </c>
      <c r="D9" s="704"/>
      <c r="E9" s="704"/>
      <c r="F9" s="704"/>
      <c r="G9" s="704"/>
      <c r="H9" s="704"/>
      <c r="I9" s="704"/>
      <c r="J9" s="434"/>
      <c r="L9" s="704"/>
      <c r="M9" s="704"/>
      <c r="N9" s="704"/>
      <c r="O9" s="704"/>
      <c r="P9" s="704"/>
      <c r="Q9" s="704"/>
      <c r="BA9" s="459" t="e">
        <f>VLOOKUP(Rebanho!$C82,Rebanho!$AD$46:$AE$56,2)</f>
        <v>#N/A</v>
      </c>
      <c r="BB9" s="460">
        <f>IF(AND(Rebanho!$K82=Rebanho!$J82,Rebanho!$J82=BB$1),Rebanho!$I82,IF(AND(Rebanho!$K82&gt;=Rebanho!$J82,AND(Rebanho!$J82&lt;=BB$1,Rebanho!$K82&gt;=BB$1)),Rebanho!$I82/(Rebanho!$K82-Rebanho!$J82+1),0))</f>
        <v>0</v>
      </c>
      <c r="BC9" s="460">
        <f>IF(AND(Rebanho!$K82=Rebanho!$J82,Rebanho!$J82=BC$1),Rebanho!$I82,IF(AND(Rebanho!$K82&gt;=Rebanho!$J82,AND(Rebanho!$J82&lt;=BC$1,Rebanho!$K82&gt;=BC$1)),Rebanho!$I82/(Rebanho!$K82-Rebanho!$J82+1),0))</f>
        <v>0</v>
      </c>
      <c r="BD9" s="460">
        <f>IF(AND(Rebanho!$K82=Rebanho!$J82,Rebanho!$J82=BD$1),Rebanho!$I82,IF(AND(Rebanho!$K82&gt;=Rebanho!$J82,AND(Rebanho!$J82&lt;=BD$1,Rebanho!$K82&gt;=BD$1)),Rebanho!$I82/(Rebanho!$K82-Rebanho!$J82+1),0))</f>
        <v>0</v>
      </c>
      <c r="BE9" s="460">
        <f>IF(AND(Rebanho!$K82=Rebanho!$J82,Rebanho!$J82=BE$1),Rebanho!$I82,IF(AND(Rebanho!$K82&gt;=Rebanho!$J82,AND(Rebanho!$J82&lt;=BE$1,Rebanho!$K82&gt;=BE$1)),Rebanho!$I82/(Rebanho!$K82-Rebanho!$J82+1),0))</f>
        <v>0</v>
      </c>
      <c r="BF9" s="460">
        <f>IF(AND(Rebanho!$K82=Rebanho!$J82,Rebanho!$J82=BF$1),Rebanho!$I82,IF(AND(Rebanho!$K82&gt;=Rebanho!$J82,AND(Rebanho!$J82&lt;=BF$1,Rebanho!$K82&gt;=BF$1)),Rebanho!$I82/(Rebanho!$K82-Rebanho!$J82+1),0))</f>
        <v>0</v>
      </c>
      <c r="BG9" s="460">
        <f>IF(AND(Rebanho!$K82=Rebanho!$J82,Rebanho!$J82=BG$1),Rebanho!$I82,IF(AND(Rebanho!$K82&gt;=Rebanho!$J82,AND(Rebanho!$J82&lt;=BG$1,Rebanho!$K82&gt;=BG$1)),Rebanho!$I82/(Rebanho!$K82-Rebanho!$J82+1),0))</f>
        <v>0</v>
      </c>
      <c r="BH9" s="460">
        <f>IF(AND(Rebanho!$K82=Rebanho!$J82,Rebanho!$J82=BH$1),Rebanho!$I82,IF(AND(Rebanho!$K82&gt;=Rebanho!$J82,AND(Rebanho!$J82&lt;=BH$1,Rebanho!$K82&gt;=BH$1)),Rebanho!$I82/(Rebanho!$K82-Rebanho!$J82+1),0))</f>
        <v>0</v>
      </c>
      <c r="BI9" s="460">
        <f>IF(AND(Rebanho!$K82=Rebanho!$J82,Rebanho!$J82=BI$1),Rebanho!$I82,IF(AND(Rebanho!$K82&gt;=Rebanho!$J82,AND(Rebanho!$J82&lt;=BI$1,Rebanho!$K82&gt;=BI$1)),Rebanho!$I82/(Rebanho!$K82-Rebanho!$J82+1),0))</f>
        <v>0</v>
      </c>
      <c r="BJ9" s="460">
        <f>IF(AND(Rebanho!$K82=Rebanho!$J82,Rebanho!$J82=BJ$1),Rebanho!$I82,IF(AND(Rebanho!$K82&gt;=Rebanho!$J82,AND(Rebanho!$J82&lt;=BJ$1,Rebanho!$K82&gt;=BJ$1)),Rebanho!$I82/(Rebanho!$K82-Rebanho!$J82+1),0))</f>
        <v>0</v>
      </c>
      <c r="BK9" s="460">
        <f>IF(AND(Rebanho!$K82=Rebanho!$J82,Rebanho!$J82=BK$1),Rebanho!$I82,IF(AND(Rebanho!$K82&gt;=Rebanho!$J82,AND(Rebanho!$J82&lt;=BK$1,Rebanho!$K82&gt;=BK$1)),Rebanho!$I82/(Rebanho!$K82-Rebanho!$J82+1),0))</f>
        <v>0</v>
      </c>
      <c r="BL9" s="460">
        <f>IF(AND(Rebanho!$K82=Rebanho!$J82,Rebanho!$J82=BL$1),Rebanho!$I82,IF(AND(Rebanho!$K82&gt;=Rebanho!$J82,AND(Rebanho!$J82&lt;=BL$1,Rebanho!$K82&gt;=BL$1)),Rebanho!$I82/(Rebanho!$K82-Rebanho!$J82+1),0))</f>
        <v>0</v>
      </c>
      <c r="BM9" s="460">
        <f>IF(AND(Rebanho!$K82=Rebanho!$J82,Rebanho!$J82=BM$1),Rebanho!$I82,IF(AND(Rebanho!$K82&gt;=Rebanho!$J82,AND(Rebanho!$J82&lt;=BM$1,Rebanho!$K82&gt;=BM$1)),Rebanho!$I82/(Rebanho!$K82-Rebanho!$J82+1),0))</f>
        <v>0</v>
      </c>
      <c r="BN9" s="460">
        <f>IF(AND(Rebanho!$K82=Rebanho!$J82,Rebanho!$J82=BN$1),Rebanho!$I82,IF(AND(Rebanho!$K82&gt;=Rebanho!$J82,AND(Rebanho!$J82&lt;=BN$1,Rebanho!$K82&gt;=BN$1)),Rebanho!$I82/(Rebanho!$K82-Rebanho!$J82+1),0))</f>
        <v>0</v>
      </c>
      <c r="BO9" s="460">
        <f>IF(AND(Rebanho!$K82=Rebanho!$J82,Rebanho!$J82=BO$1),Rebanho!$I82,IF(AND(Rebanho!$K82&gt;=Rebanho!$J82,AND(Rebanho!$J82&lt;=BO$1,Rebanho!$K82&gt;=BO$1)),Rebanho!$I82/(Rebanho!$K82-Rebanho!$J82+1),0))</f>
        <v>0</v>
      </c>
      <c r="BP9" s="460">
        <f>IF(AND(Rebanho!$K82=Rebanho!$J82,Rebanho!$J82=BP$1),Rebanho!$I82,IF(AND(Rebanho!$K82&gt;=Rebanho!$J82,AND(Rebanho!$J82&lt;=BP$1,Rebanho!$K82&gt;=BP$1)),Rebanho!$I82/(Rebanho!$K82-Rebanho!$J82+1),0))</f>
        <v>0</v>
      </c>
      <c r="BQ9" s="460">
        <f>IF(AND(Rebanho!$K82=Rebanho!$J82,Rebanho!$J82=BQ$1),Rebanho!$I82,IF(AND(Rebanho!$K82&gt;=Rebanho!$J82,AND(Rebanho!$J82&lt;=BQ$1,Rebanho!$K82&gt;=BQ$1)),Rebanho!$I82/(Rebanho!$K82-Rebanho!$J82+1),0))</f>
        <v>0</v>
      </c>
      <c r="BR9" s="460">
        <f>IF(AND(Rebanho!$K82=Rebanho!$J82,Rebanho!$J82=BR$1),Rebanho!$I82,IF(AND(Rebanho!$K82&gt;=Rebanho!$J82,AND(Rebanho!$J82&lt;=BR$1,Rebanho!$K82&gt;=BR$1)),Rebanho!$I82/(Rebanho!$K82-Rebanho!$J82+1),0))</f>
        <v>0</v>
      </c>
      <c r="BS9" s="460">
        <f>IF(AND(Rebanho!$K82=Rebanho!$J82,Rebanho!$J82=BS$1),Rebanho!$I82,IF(AND(Rebanho!$K82&gt;=Rebanho!$J82,AND(Rebanho!$J82&lt;=BS$1,Rebanho!$K82&gt;=BS$1)),Rebanho!$I82/(Rebanho!$K82-Rebanho!$J82+1),0))</f>
        <v>0</v>
      </c>
      <c r="BT9" s="461">
        <f>IF(AND(Rebanho!$K82=Rebanho!$J82,Rebanho!$J82=BT$1),Rebanho!$I82,IF(AND(Rebanho!$K82&gt;=Rebanho!$J82,AND(Rebanho!$J82&lt;=BT$1,Rebanho!$K82&gt;=BT$1)),Rebanho!$I82/(Rebanho!$K82-Rebanho!$J82+1),0))</f>
        <v>0</v>
      </c>
      <c r="CH9" s="645"/>
      <c r="CI9" s="670"/>
      <c r="CJ9" s="646"/>
    </row>
    <row r="10" spans="2:116" ht="13.5" customHeight="1" thickBot="1" x14ac:dyDescent="0.25">
      <c r="B10" s="1038"/>
      <c r="C10" s="1039"/>
      <c r="D10" s="2739" t="s">
        <v>1252</v>
      </c>
      <c r="E10" s="2740"/>
      <c r="F10" s="2740"/>
      <c r="G10" s="2741"/>
      <c r="H10" s="704"/>
      <c r="I10" s="704"/>
      <c r="J10" s="704"/>
      <c r="L10" s="704"/>
      <c r="M10" s="704"/>
      <c r="N10" s="704"/>
      <c r="O10" s="704"/>
      <c r="P10" s="704"/>
      <c r="U10" s="2738"/>
      <c r="V10" s="2738"/>
      <c r="W10" s="2738"/>
      <c r="X10" s="2738"/>
      <c r="Y10" s="2738"/>
      <c r="Z10" s="2738"/>
      <c r="BA10" s="972"/>
      <c r="BB10" s="460"/>
      <c r="BC10" s="460"/>
      <c r="BD10" s="460"/>
      <c r="BE10" s="460"/>
      <c r="BF10" s="460"/>
      <c r="BG10" s="460"/>
      <c r="BH10" s="460"/>
      <c r="BI10" s="460"/>
      <c r="BJ10" s="460"/>
      <c r="BK10" s="460"/>
      <c r="BL10" s="460"/>
      <c r="BM10" s="460"/>
      <c r="BN10" s="460"/>
      <c r="BO10" s="460"/>
      <c r="BP10" s="460"/>
      <c r="BQ10" s="460"/>
      <c r="BR10" s="460"/>
      <c r="BS10" s="460"/>
      <c r="BT10" s="461"/>
      <c r="CH10" s="645"/>
      <c r="CI10" s="670"/>
      <c r="CJ10" s="646"/>
    </row>
    <row r="11" spans="2:116" ht="13.5" thickBot="1" x14ac:dyDescent="0.25">
      <c r="B11" s="1037" t="s">
        <v>1189</v>
      </c>
      <c r="C11" s="1036"/>
      <c r="D11" s="1239" t="s">
        <v>800</v>
      </c>
      <c r="E11" s="1239" t="s">
        <v>813</v>
      </c>
      <c r="F11" s="1029" t="s">
        <v>814</v>
      </c>
      <c r="G11" s="1240" t="s">
        <v>1218</v>
      </c>
      <c r="H11" s="1355" t="str">
        <f>IF(CF3=7,"R$/litro leite","R$/@ produzidas")</f>
        <v>R$/@ produzidas</v>
      </c>
      <c r="I11" s="1029" t="s">
        <v>803</v>
      </c>
      <c r="J11" s="704"/>
      <c r="K11" s="435"/>
      <c r="L11" s="435"/>
      <c r="M11" s="435"/>
      <c r="N11" s="435"/>
      <c r="O11" s="435"/>
      <c r="P11" s="435"/>
      <c r="U11" s="2738"/>
      <c r="V11" s="2738"/>
      <c r="W11" s="2738"/>
      <c r="X11" s="2738"/>
      <c r="Y11" s="2738"/>
      <c r="Z11" s="2738"/>
      <c r="AB11" s="416"/>
      <c r="BA11" s="972"/>
      <c r="BB11" s="460"/>
      <c r="BC11" s="460"/>
      <c r="BD11" s="460"/>
      <c r="BE11" s="460"/>
      <c r="BF11" s="460"/>
      <c r="BG11" s="460"/>
      <c r="BH11" s="460"/>
      <c r="BI11" s="460"/>
      <c r="BJ11" s="460"/>
      <c r="BK11" s="460"/>
      <c r="BL11" s="460"/>
      <c r="BM11" s="460"/>
      <c r="BN11" s="460"/>
      <c r="BO11" s="460"/>
      <c r="BP11" s="460"/>
      <c r="BQ11" s="460"/>
      <c r="BR11" s="460"/>
      <c r="BS11" s="460"/>
      <c r="BT11" s="461"/>
      <c r="CH11" s="645"/>
      <c r="CI11" s="670"/>
      <c r="CJ11" s="646"/>
    </row>
    <row r="12" spans="2:116" ht="13.5" customHeight="1" thickBot="1" x14ac:dyDescent="0.3">
      <c r="B12" s="1033" t="s">
        <v>1185</v>
      </c>
      <c r="C12" s="1278">
        <f>SUM(Geral!I27:I36)+SUM(Geral!I8:I13)+SUM(Geral!I18:I22)+SUM(Geral!I41:I45)</f>
        <v>39058</v>
      </c>
      <c r="D12" s="1252">
        <f ca="1">IF($C$45=0,0,C12/$C$45)</f>
        <v>2.8148684533362934E-2</v>
      </c>
      <c r="E12" s="1252">
        <f t="shared" ref="E12:E32" ca="1" si="0">IF(C12=0,"-",C12/$C$45)</f>
        <v>2.8148684533362934E-2</v>
      </c>
      <c r="F12" s="1277">
        <f t="shared" ref="F12:F32" ca="1" si="1">IF(C12=0,"-",C12/$C$66)</f>
        <v>2.3520950243407328E-2</v>
      </c>
      <c r="G12" s="1260">
        <f t="shared" ref="G12:G32" ca="1" si="2">IF(C12=0,"-",C12/$C$80)</f>
        <v>1.7349528291508112E-2</v>
      </c>
      <c r="H12" s="1370">
        <f>IF(C12=0,0,C12/'Análise TEC'!$C$20)</f>
        <v>3.8238760610421241</v>
      </c>
      <c r="I12" s="1393">
        <f>IF(C12=0,0,C12/Rebanho!$X$89)</f>
        <v>2.5721918928591148</v>
      </c>
      <c r="J12" s="434"/>
      <c r="K12" s="2751" t="s">
        <v>1034</v>
      </c>
      <c r="L12" s="2752"/>
      <c r="M12" s="2752"/>
      <c r="N12" s="2752"/>
      <c r="O12" s="2752"/>
      <c r="P12" s="2753"/>
      <c r="U12" s="2738"/>
      <c r="V12" s="2738"/>
      <c r="W12" s="2738"/>
      <c r="X12" s="2738"/>
      <c r="Y12" s="2738"/>
      <c r="Z12" s="2738"/>
      <c r="BA12" s="459" t="e">
        <f>VLOOKUP(Rebanho!$C83,Rebanho!$AD$46:$AE$56,2)</f>
        <v>#N/A</v>
      </c>
      <c r="BB12" s="460">
        <f>IF(AND(Rebanho!$K83=Rebanho!$J83,Rebanho!$J83=BB$1),Rebanho!$I83,IF(AND(Rebanho!$K83&gt;=Rebanho!$J83,AND(Rebanho!$J83&lt;=BB$1,Rebanho!$K83&gt;=BB$1)),Rebanho!$I83/(Rebanho!$K83-Rebanho!$J83+1),0))</f>
        <v>0</v>
      </c>
      <c r="BC12" s="460">
        <f>IF(AND(Rebanho!$K83=Rebanho!$J83,Rebanho!$J83=BC$1),Rebanho!$I83,IF(AND(Rebanho!$K83&gt;=Rebanho!$J83,AND(Rebanho!$J83&lt;=BC$1,Rebanho!$K83&gt;=BC$1)),Rebanho!$I83/(Rebanho!$K83-Rebanho!$J83+1),0))</f>
        <v>0</v>
      </c>
      <c r="BD12" s="460">
        <f>IF(AND(Rebanho!$K83=Rebanho!$J83,Rebanho!$J83=BD$1),Rebanho!$I83,IF(AND(Rebanho!$K83&gt;=Rebanho!$J83,AND(Rebanho!$J83&lt;=BD$1,Rebanho!$K83&gt;=BD$1)),Rebanho!$I83/(Rebanho!$K83-Rebanho!$J83+1),0))</f>
        <v>0</v>
      </c>
      <c r="BE12" s="460">
        <f>IF(AND(Rebanho!$K83=Rebanho!$J83,Rebanho!$J83=BE$1),Rebanho!$I83,IF(AND(Rebanho!$K83&gt;=Rebanho!$J83,AND(Rebanho!$J83&lt;=BE$1,Rebanho!$K83&gt;=BE$1)),Rebanho!$I83/(Rebanho!$K83-Rebanho!$J83+1),0))</f>
        <v>0</v>
      </c>
      <c r="BF12" s="460">
        <f>IF(AND(Rebanho!$K83=Rebanho!$J83,Rebanho!$J83=BF$1),Rebanho!$I83,IF(AND(Rebanho!$K83&gt;=Rebanho!$J83,AND(Rebanho!$J83&lt;=BF$1,Rebanho!$K83&gt;=BF$1)),Rebanho!$I83/(Rebanho!$K83-Rebanho!$J83+1),0))</f>
        <v>0</v>
      </c>
      <c r="BG12" s="460">
        <f>IF(AND(Rebanho!$K83=Rebanho!$J83,Rebanho!$J83=BG$1),Rebanho!$I83,IF(AND(Rebanho!$K83&gt;=Rebanho!$J83,AND(Rebanho!$J83&lt;=BG$1,Rebanho!$K83&gt;=BG$1)),Rebanho!$I83/(Rebanho!$K83-Rebanho!$J83+1),0))</f>
        <v>0</v>
      </c>
      <c r="BH12" s="460">
        <f>IF(AND(Rebanho!$K83=Rebanho!$J83,Rebanho!$J83=BH$1),Rebanho!$I83,IF(AND(Rebanho!$K83&gt;=Rebanho!$J83,AND(Rebanho!$J83&lt;=BH$1,Rebanho!$K83&gt;=BH$1)),Rebanho!$I83/(Rebanho!$K83-Rebanho!$J83+1),0))</f>
        <v>0</v>
      </c>
      <c r="BI12" s="460">
        <f>IF(AND(Rebanho!$K83=Rebanho!$J83,Rebanho!$J83=BI$1),Rebanho!$I83,IF(AND(Rebanho!$K83&gt;=Rebanho!$J83,AND(Rebanho!$J83&lt;=BI$1,Rebanho!$K83&gt;=BI$1)),Rebanho!$I83/(Rebanho!$K83-Rebanho!$J83+1),0))</f>
        <v>0</v>
      </c>
      <c r="BJ12" s="460">
        <f>IF(AND(Rebanho!$K83=Rebanho!$J83,Rebanho!$J83=BJ$1),Rebanho!$I83,IF(AND(Rebanho!$K83&gt;=Rebanho!$J83,AND(Rebanho!$J83&lt;=BJ$1,Rebanho!$K83&gt;=BJ$1)),Rebanho!$I83/(Rebanho!$K83-Rebanho!$J83+1),0))</f>
        <v>0</v>
      </c>
      <c r="BK12" s="460">
        <f>IF(AND(Rebanho!$K83=Rebanho!$J83,Rebanho!$J83=BK$1),Rebanho!$I83,IF(AND(Rebanho!$K83&gt;=Rebanho!$J83,AND(Rebanho!$J83&lt;=BK$1,Rebanho!$K83&gt;=BK$1)),Rebanho!$I83/(Rebanho!$K83-Rebanho!$J83+1),0))</f>
        <v>0</v>
      </c>
      <c r="BL12" s="460">
        <f>IF(AND(Rebanho!$K83=Rebanho!$J83,Rebanho!$J83=BL$1),Rebanho!$I83,IF(AND(Rebanho!$K83&gt;=Rebanho!$J83,AND(Rebanho!$J83&lt;=BL$1,Rebanho!$K83&gt;=BL$1)),Rebanho!$I83/(Rebanho!$K83-Rebanho!$J83+1),0))</f>
        <v>0</v>
      </c>
      <c r="BM12" s="460">
        <f>IF(AND(Rebanho!$K83=Rebanho!$J83,Rebanho!$J83=BM$1),Rebanho!$I83,IF(AND(Rebanho!$K83&gt;=Rebanho!$J83,AND(Rebanho!$J83&lt;=BM$1,Rebanho!$K83&gt;=BM$1)),Rebanho!$I83/(Rebanho!$K83-Rebanho!$J83+1),0))</f>
        <v>0</v>
      </c>
      <c r="BN12" s="460">
        <f>IF(AND(Rebanho!$K83=Rebanho!$J83,Rebanho!$J83=BN$1),Rebanho!$I83,IF(AND(Rebanho!$K83&gt;=Rebanho!$J83,AND(Rebanho!$J83&lt;=BN$1,Rebanho!$K83&gt;=BN$1)),Rebanho!$I83/(Rebanho!$K83-Rebanho!$J83+1),0))</f>
        <v>0</v>
      </c>
      <c r="BO12" s="460">
        <f>IF(AND(Rebanho!$K83=Rebanho!$J83,Rebanho!$J83=BO$1),Rebanho!$I83,IF(AND(Rebanho!$K83&gt;=Rebanho!$J83,AND(Rebanho!$J83&lt;=BO$1,Rebanho!$K83&gt;=BO$1)),Rebanho!$I83/(Rebanho!$K83-Rebanho!$J83+1),0))</f>
        <v>0</v>
      </c>
      <c r="BP12" s="460">
        <f>IF(AND(Rebanho!$K83=Rebanho!$J83,Rebanho!$J83=BP$1),Rebanho!$I83,IF(AND(Rebanho!$K83&gt;=Rebanho!$J83,AND(Rebanho!$J83&lt;=BP$1,Rebanho!$K83&gt;=BP$1)),Rebanho!$I83/(Rebanho!$K83-Rebanho!$J83+1),0))</f>
        <v>0</v>
      </c>
      <c r="BQ12" s="460">
        <f>IF(AND(Rebanho!$K83=Rebanho!$J83,Rebanho!$J83=BQ$1),Rebanho!$I83,IF(AND(Rebanho!$K83&gt;=Rebanho!$J83,AND(Rebanho!$J83&lt;=BQ$1,Rebanho!$K83&gt;=BQ$1)),Rebanho!$I83/(Rebanho!$K83-Rebanho!$J83+1),0))</f>
        <v>0</v>
      </c>
      <c r="BR12" s="460">
        <f>IF(AND(Rebanho!$K83=Rebanho!$J83,Rebanho!$J83=BR$1),Rebanho!$I83,IF(AND(Rebanho!$K83&gt;=Rebanho!$J83,AND(Rebanho!$J83&lt;=BR$1,Rebanho!$K83&gt;=BR$1)),Rebanho!$I83/(Rebanho!$K83-Rebanho!$J83+1),0))</f>
        <v>0</v>
      </c>
      <c r="BS12" s="460">
        <f>IF(AND(Rebanho!$K83=Rebanho!$J83,Rebanho!$J83=BS$1),Rebanho!$I83,IF(AND(Rebanho!$K83&gt;=Rebanho!$J83,AND(Rebanho!$J83&lt;=BS$1,Rebanho!$K83&gt;=BS$1)),Rebanho!$I83/(Rebanho!$K83-Rebanho!$J83+1),0))</f>
        <v>0</v>
      </c>
      <c r="BT12" s="461">
        <f>IF(AND(Rebanho!$K83=Rebanho!$J83,Rebanho!$J83=BT$1),Rebanho!$I83,IF(AND(Rebanho!$K83&gt;=Rebanho!$J83,AND(Rebanho!$J83&lt;=BT$1,Rebanho!$K83&gt;=BT$1)),Rebanho!$I83/(Rebanho!$K83-Rebanho!$J83+1),0))</f>
        <v>0</v>
      </c>
      <c r="CH12" s="645"/>
      <c r="CI12" s="670"/>
      <c r="CJ12" s="646"/>
    </row>
    <row r="13" spans="2:116" ht="14.25" thickTop="1" thickBot="1" x14ac:dyDescent="0.25">
      <c r="B13" s="863" t="s">
        <v>783</v>
      </c>
      <c r="C13" s="1279">
        <f>Rebanho!G104+Rebanho!G127+Agricultura!N8</f>
        <v>25359.088284444446</v>
      </c>
      <c r="D13" s="1253">
        <f ca="1">IF($C$45=0,0,C13/$C$45)</f>
        <v>1.8276024788072266E-2</v>
      </c>
      <c r="E13" s="1253">
        <f t="shared" ca="1" si="0"/>
        <v>1.8276024788072266E-2</v>
      </c>
      <c r="F13" s="1269">
        <f t="shared" ca="1" si="1"/>
        <v>1.5271387520011047E-2</v>
      </c>
      <c r="G13" s="1261">
        <f t="shared" ca="1" si="2"/>
        <v>1.126448409129553E-2</v>
      </c>
      <c r="H13" s="1380">
        <f>IF(C13=0,0,C13/'Análise TEC'!$C$20)</f>
        <v>2.4827182810369428</v>
      </c>
      <c r="I13" s="1384">
        <f>IF(C13=0,0,C13/Rebanho!$X$89)</f>
        <v>1.6700404858299596</v>
      </c>
      <c r="J13" s="465"/>
      <c r="K13" s="2760" t="s">
        <v>357</v>
      </c>
      <c r="L13" s="2761"/>
      <c r="M13" s="848" t="s">
        <v>1035</v>
      </c>
      <c r="N13" s="848" t="s">
        <v>800</v>
      </c>
      <c r="O13" s="848" t="str">
        <f>IF(CM5=7,"R$/litro leite","R$/@ produzidas")</f>
        <v>R$/@ produzidas</v>
      </c>
      <c r="P13" s="1419" t="s">
        <v>803</v>
      </c>
      <c r="T13" s="1140"/>
      <c r="U13" s="1141"/>
      <c r="V13" s="1141"/>
      <c r="W13" s="1144"/>
      <c r="X13" s="1144"/>
      <c r="Y13" s="1144"/>
      <c r="Z13" s="463"/>
      <c r="AA13" s="463"/>
      <c r="AB13" s="463"/>
      <c r="AC13" s="463"/>
      <c r="BA13" s="459" t="e">
        <f>VLOOKUP(Rebanho!$C84,Rebanho!$AD$46:$AE$56,2)</f>
        <v>#N/A</v>
      </c>
      <c r="BB13" s="460">
        <f>IF(AND(Rebanho!$K83=Rebanho!$J83,Rebanho!$J83=BB$1),Rebanho!$I83,IF(AND(Rebanho!$K83&gt;=Rebanho!$J83,AND(Rebanho!$J83&lt;=BB$1,Rebanho!$K83&gt;=BB$1)),Rebanho!$I83/(Rebanho!$K83-Rebanho!$J83+1),0))</f>
        <v>0</v>
      </c>
      <c r="BC13" s="460">
        <f>IF(AND(Rebanho!$K83=Rebanho!$J83,Rebanho!$J83=BC$1),Rebanho!$I83,IF(AND(Rebanho!$K83&gt;=Rebanho!$J83,AND(Rebanho!$J83&lt;=BC$1,Rebanho!$K83&gt;=BC$1)),Rebanho!$I83/(Rebanho!$K83-Rebanho!$J83+1),0))</f>
        <v>0</v>
      </c>
      <c r="BD13" s="460">
        <f>IF(AND(Rebanho!$K83=Rebanho!$J83,Rebanho!$J83=BD$1),Rebanho!$I83,IF(AND(Rebanho!$K83&gt;=Rebanho!$J83,AND(Rebanho!$J83&lt;=BD$1,Rebanho!$K83&gt;=BD$1)),Rebanho!$I83/(Rebanho!$K83-Rebanho!$J83+1),0))</f>
        <v>0</v>
      </c>
      <c r="BE13" s="460">
        <f>IF(AND(Rebanho!$K83=Rebanho!$J83,Rebanho!$J83=BE$1),Rebanho!$I83,IF(AND(Rebanho!$K83&gt;=Rebanho!$J83,AND(Rebanho!$J83&lt;=BE$1,Rebanho!$K83&gt;=BE$1)),Rebanho!$I83/(Rebanho!$K83-Rebanho!$J83+1),0))</f>
        <v>0</v>
      </c>
      <c r="BF13" s="460">
        <f>IF(AND(Rebanho!$K83=Rebanho!$J83,Rebanho!$J83=BF$1),Rebanho!$I83,IF(AND(Rebanho!$K83&gt;=Rebanho!$J83,AND(Rebanho!$J83&lt;=BF$1,Rebanho!$K83&gt;=BF$1)),Rebanho!$I83/(Rebanho!$K83-Rebanho!$J83+1),0))</f>
        <v>0</v>
      </c>
      <c r="BG13" s="460">
        <f>IF(AND(Rebanho!$K83=Rebanho!$J83,Rebanho!$J83=BG$1),Rebanho!$I83,IF(AND(Rebanho!$K83&gt;=Rebanho!$J83,AND(Rebanho!$J83&lt;=BG$1,Rebanho!$K83&gt;=BG$1)),Rebanho!$I83/(Rebanho!$K83-Rebanho!$J83+1),0))</f>
        <v>0</v>
      </c>
      <c r="BH13" s="460">
        <f>IF(AND(Rebanho!$K83=Rebanho!$J83,Rebanho!$J83=BH$1),Rebanho!$I83,IF(AND(Rebanho!$K83&gt;=Rebanho!$J83,AND(Rebanho!$J83&lt;=BH$1,Rebanho!$K83&gt;=BH$1)),Rebanho!$I83/(Rebanho!$K83-Rebanho!$J83+1),0))</f>
        <v>0</v>
      </c>
      <c r="BI13" s="460">
        <f>IF(AND(Rebanho!$K83=Rebanho!$J83,Rebanho!$J83=BI$1),Rebanho!$I83,IF(AND(Rebanho!$K83&gt;=Rebanho!$J83,AND(Rebanho!$J83&lt;=BI$1,Rebanho!$K83&gt;=BI$1)),Rebanho!$I83/(Rebanho!$K83-Rebanho!$J83+1),0))</f>
        <v>0</v>
      </c>
      <c r="BJ13" s="460">
        <f>IF(AND(Rebanho!$K83=Rebanho!$J83,Rebanho!$J83=BJ$1),Rebanho!$I83,IF(AND(Rebanho!$K83&gt;=Rebanho!$J83,AND(Rebanho!$J83&lt;=BJ$1,Rebanho!$K83&gt;=BJ$1)),Rebanho!$I83/(Rebanho!$K83-Rebanho!$J83+1),0))</f>
        <v>0</v>
      </c>
      <c r="BK13" s="460">
        <f>IF(AND(Rebanho!$K83=Rebanho!$J83,Rebanho!$J83=BK$1),Rebanho!$I83,IF(AND(Rebanho!$K83&gt;=Rebanho!$J83,AND(Rebanho!$J83&lt;=BK$1,Rebanho!$K83&gt;=BK$1)),Rebanho!$I83/(Rebanho!$K83-Rebanho!$J83+1),0))</f>
        <v>0</v>
      </c>
      <c r="BL13" s="460">
        <f>IF(AND(Rebanho!$K83=Rebanho!$J83,Rebanho!$J83=BL$1),Rebanho!$I83,IF(AND(Rebanho!$K83&gt;=Rebanho!$J83,AND(Rebanho!$J83&lt;=BL$1,Rebanho!$K83&gt;=BL$1)),Rebanho!$I83/(Rebanho!$K83-Rebanho!$J83+1),0))</f>
        <v>0</v>
      </c>
      <c r="BM13" s="460">
        <f>IF(AND(Rebanho!$K83=Rebanho!$J83,Rebanho!$J83=BM$1),Rebanho!$I83,IF(AND(Rebanho!$K83&gt;=Rebanho!$J83,AND(Rebanho!$J83&lt;=BM$1,Rebanho!$K83&gt;=BM$1)),Rebanho!$I83/(Rebanho!$K83-Rebanho!$J83+1),0))</f>
        <v>0</v>
      </c>
      <c r="BN13" s="460">
        <f>IF(AND(Rebanho!$K83=Rebanho!$J83,Rebanho!$J83=BN$1),Rebanho!$I83,IF(AND(Rebanho!$K83&gt;=Rebanho!$J83,AND(Rebanho!$J83&lt;=BN$1,Rebanho!$K83&gt;=BN$1)),Rebanho!$I83/(Rebanho!$K83-Rebanho!$J83+1),0))</f>
        <v>0</v>
      </c>
      <c r="BO13" s="460">
        <f>IF(AND(Rebanho!$K83=Rebanho!$J83,Rebanho!$J83=BO$1),Rebanho!$I83,IF(AND(Rebanho!$K83&gt;=Rebanho!$J83,AND(Rebanho!$J83&lt;=BO$1,Rebanho!$K83&gt;=BO$1)),Rebanho!$I83/(Rebanho!$K83-Rebanho!$J83+1),0))</f>
        <v>0</v>
      </c>
      <c r="BP13" s="460">
        <f>IF(AND(Rebanho!$K83=Rebanho!$J83,Rebanho!$J83=BP$1),Rebanho!$I83,IF(AND(Rebanho!$K83&gt;=Rebanho!$J83,AND(Rebanho!$J83&lt;=BP$1,Rebanho!$K83&gt;=BP$1)),Rebanho!$I83/(Rebanho!$K83-Rebanho!$J83+1),0))</f>
        <v>0</v>
      </c>
      <c r="BQ13" s="460">
        <f>IF(AND(Rebanho!$K83=Rebanho!$J83,Rebanho!$J83=BQ$1),Rebanho!$I83,IF(AND(Rebanho!$K83&gt;=Rebanho!$J83,AND(Rebanho!$J83&lt;=BQ$1,Rebanho!$K83&gt;=BQ$1)),Rebanho!$I83/(Rebanho!$K83-Rebanho!$J83+1),0))</f>
        <v>0</v>
      </c>
      <c r="BR13" s="460">
        <f>IF(AND(Rebanho!$K83=Rebanho!$J83,Rebanho!$J83=BR$1),Rebanho!$I83,IF(AND(Rebanho!$K83&gt;=Rebanho!$J83,AND(Rebanho!$J83&lt;=BR$1,Rebanho!$K83&gt;=BR$1)),Rebanho!$I83/(Rebanho!$K83-Rebanho!$J83+1),0))</f>
        <v>0</v>
      </c>
      <c r="BS13" s="460">
        <f>IF(AND(Rebanho!$K83=Rebanho!$J83,Rebanho!$J83=BS$1),Rebanho!$I83,IF(AND(Rebanho!$K83&gt;=Rebanho!$J83,AND(Rebanho!$J83&lt;=BS$1,Rebanho!$K83&gt;=BS$1)),Rebanho!$I83/(Rebanho!$K83-Rebanho!$J83+1),0))</f>
        <v>0</v>
      </c>
      <c r="BT13" s="461">
        <f>IF(AND(Rebanho!$K83=Rebanho!$J83,Rebanho!$J83=BT$1),Rebanho!$I83,IF(AND(Rebanho!$K83&gt;=Rebanho!$J83,AND(Rebanho!$J83&lt;=BT$1,Rebanho!$K83&gt;=BT$1)),Rebanho!$I83/(Rebanho!$K83-Rebanho!$J83+1),0))</f>
        <v>0</v>
      </c>
      <c r="CH13" s="645"/>
      <c r="CI13" s="670"/>
      <c r="CJ13" s="646"/>
    </row>
    <row r="14" spans="2:116" ht="13.5" thickTop="1" x14ac:dyDescent="0.2">
      <c r="B14" s="566" t="s">
        <v>752</v>
      </c>
      <c r="C14" s="1280">
        <f ca="1">Inventário!Q26</f>
        <v>1903.2393227807484</v>
      </c>
      <c r="D14" s="1252">
        <f ca="1">IF($C$45=0,0,C14/$C$45)</f>
        <v>1.371644305608239E-3</v>
      </c>
      <c r="E14" s="1252">
        <f t="shared" ca="1" si="0"/>
        <v>1.371644305608239E-3</v>
      </c>
      <c r="F14" s="1268">
        <f t="shared" ca="1" si="1"/>
        <v>1.1461415692667889E-3</v>
      </c>
      <c r="G14" s="1260">
        <f t="shared" ca="1" si="2"/>
        <v>8.4541718664794233E-4</v>
      </c>
      <c r="H14" s="1386">
        <f ca="1">IF(C14=0,0,C14/'Análise TEC'!$C$20)</f>
        <v>0.18633189832595956</v>
      </c>
      <c r="I14" s="1389">
        <f ca="1">IF(C14=0,0,C14/Rebanho!$X$89)</f>
        <v>0.12533915603019388</v>
      </c>
      <c r="J14" s="1122"/>
      <c r="K14" s="2758" t="s">
        <v>1185</v>
      </c>
      <c r="L14" s="2759"/>
      <c r="M14" s="821">
        <f>SUM(C12)</f>
        <v>39058</v>
      </c>
      <c r="N14" s="849">
        <f ca="1">M14/$M$27</f>
        <v>2.8148684533362934E-2</v>
      </c>
      <c r="O14" s="850">
        <f>M14/'Análise TEC'!$C$20</f>
        <v>3.8238760610421241</v>
      </c>
      <c r="P14" s="1420">
        <f>M14/'Análise TEC'!$C$22</f>
        <v>2.5721918928591148</v>
      </c>
      <c r="T14" s="1140"/>
      <c r="U14" s="1141"/>
      <c r="V14" s="1141"/>
      <c r="W14" s="1144"/>
      <c r="X14" s="1144"/>
      <c r="Y14" s="1144"/>
      <c r="Z14" s="463"/>
      <c r="AA14" s="463"/>
      <c r="AB14" s="463"/>
      <c r="AC14" s="463"/>
      <c r="BA14" s="459" t="e">
        <f>VLOOKUP(Rebanho!$C87,Rebanho!$AD$46:$AE$56,2)</f>
        <v>#N/A</v>
      </c>
      <c r="BB14" s="460">
        <f>IF(AND(Rebanho!$K86=Rebanho!$J86,Rebanho!$J86=BB$1),Rebanho!$I86,IF(AND(Rebanho!$K86&gt;=Rebanho!$J86,AND(Rebanho!$J86&lt;=BB$1,Rebanho!$K86&gt;=BB$1)),Rebanho!$I86/(Rebanho!$K86-Rebanho!$J86+1),0))</f>
        <v>0</v>
      </c>
      <c r="BC14" s="460">
        <f>IF(AND(Rebanho!$K86=Rebanho!$J86,Rebanho!$J86=BC$1),Rebanho!$I86,IF(AND(Rebanho!$K86&gt;=Rebanho!$J86,AND(Rebanho!$J86&lt;=BC$1,Rebanho!$K86&gt;=BC$1)),Rebanho!$I86/(Rebanho!$K86-Rebanho!$J86+1),0))</f>
        <v>0</v>
      </c>
      <c r="BD14" s="460">
        <f>IF(AND(Rebanho!$K86=Rebanho!$J86,Rebanho!$J86=BD$1),Rebanho!$I86,IF(AND(Rebanho!$K86&gt;=Rebanho!$J86,AND(Rebanho!$J86&lt;=BD$1,Rebanho!$K86&gt;=BD$1)),Rebanho!$I86/(Rebanho!$K86-Rebanho!$J86+1),0))</f>
        <v>0</v>
      </c>
      <c r="BE14" s="460">
        <f>IF(AND(Rebanho!$K86=Rebanho!$J86,Rebanho!$J86=BE$1),Rebanho!$I86,IF(AND(Rebanho!$K86&gt;=Rebanho!$J86,AND(Rebanho!$J86&lt;=BE$1,Rebanho!$K86&gt;=BE$1)),Rebanho!$I86/(Rebanho!$K86-Rebanho!$J86+1),0))</f>
        <v>0</v>
      </c>
      <c r="BF14" s="460">
        <f>IF(AND(Rebanho!$K86=Rebanho!$J86,Rebanho!$J86=BF$1),Rebanho!$I86,IF(AND(Rebanho!$K86&gt;=Rebanho!$J86,AND(Rebanho!$J86&lt;=BF$1,Rebanho!$K86&gt;=BF$1)),Rebanho!$I86/(Rebanho!$K86-Rebanho!$J86+1),0))</f>
        <v>0</v>
      </c>
      <c r="BG14" s="460">
        <f>IF(AND(Rebanho!$K86=Rebanho!$J86,Rebanho!$J86=BG$1),Rebanho!$I86,IF(AND(Rebanho!$K86&gt;=Rebanho!$J86,AND(Rebanho!$J86&lt;=BG$1,Rebanho!$K86&gt;=BG$1)),Rebanho!$I86/(Rebanho!$K86-Rebanho!$J86+1),0))</f>
        <v>0</v>
      </c>
      <c r="BH14" s="460">
        <f>IF(AND(Rebanho!$K86=Rebanho!$J86,Rebanho!$J86=BH$1),Rebanho!$I86,IF(AND(Rebanho!$K86&gt;=Rebanho!$J86,AND(Rebanho!$J86&lt;=BH$1,Rebanho!$K86&gt;=BH$1)),Rebanho!$I86/(Rebanho!$K86-Rebanho!$J86+1),0))</f>
        <v>0</v>
      </c>
      <c r="BI14" s="460">
        <f>IF(AND(Rebanho!$K86=Rebanho!$J86,Rebanho!$J86=BI$1),Rebanho!$I86,IF(AND(Rebanho!$K86&gt;=Rebanho!$J86,AND(Rebanho!$J86&lt;=BI$1,Rebanho!$K86&gt;=BI$1)),Rebanho!$I86/(Rebanho!$K86-Rebanho!$J86+1),0))</f>
        <v>0</v>
      </c>
      <c r="BJ14" s="460">
        <f>IF(AND(Rebanho!$K86=Rebanho!$J86,Rebanho!$J86=BJ$1),Rebanho!$I86,IF(AND(Rebanho!$K86&gt;=Rebanho!$J86,AND(Rebanho!$J86&lt;=BJ$1,Rebanho!$K86&gt;=BJ$1)),Rebanho!$I86/(Rebanho!$K86-Rebanho!$J86+1),0))</f>
        <v>0</v>
      </c>
      <c r="BK14" s="460">
        <f>IF(AND(Rebanho!$K86=Rebanho!$J86,Rebanho!$J86=BK$1),Rebanho!$I86,IF(AND(Rebanho!$K86&gt;=Rebanho!$J86,AND(Rebanho!$J86&lt;=BK$1,Rebanho!$K86&gt;=BK$1)),Rebanho!$I86/(Rebanho!$K86-Rebanho!$J86+1),0))</f>
        <v>0</v>
      </c>
      <c r="BL14" s="460">
        <f>IF(AND(Rebanho!$K86=Rebanho!$J86,Rebanho!$J86=BL$1),Rebanho!$I86,IF(AND(Rebanho!$K86&gt;=Rebanho!$J86,AND(Rebanho!$J86&lt;=BL$1,Rebanho!$K86&gt;=BL$1)),Rebanho!$I86/(Rebanho!$K86-Rebanho!$J86+1),0))</f>
        <v>0</v>
      </c>
      <c r="BM14" s="460">
        <f>IF(AND(Rebanho!$K86=Rebanho!$J86,Rebanho!$J86=BM$1),Rebanho!$I86,IF(AND(Rebanho!$K86&gt;=Rebanho!$J86,AND(Rebanho!$J86&lt;=BM$1,Rebanho!$K86&gt;=BM$1)),Rebanho!$I86/(Rebanho!$K86-Rebanho!$J86+1),0))</f>
        <v>0</v>
      </c>
      <c r="BN14" s="460">
        <f>IF(AND(Rebanho!$K86=Rebanho!$J86,Rebanho!$J86=BN$1),Rebanho!$I86,IF(AND(Rebanho!$K86&gt;=Rebanho!$J86,AND(Rebanho!$J86&lt;=BN$1,Rebanho!$K86&gt;=BN$1)),Rebanho!$I86/(Rebanho!$K86-Rebanho!$J86+1),0))</f>
        <v>0</v>
      </c>
      <c r="BO14" s="460">
        <f>IF(AND(Rebanho!$K86=Rebanho!$J86,Rebanho!$J86=BO$1),Rebanho!$I86,IF(AND(Rebanho!$K86&gt;=Rebanho!$J86,AND(Rebanho!$J86&lt;=BO$1,Rebanho!$K86&gt;=BO$1)),Rebanho!$I86/(Rebanho!$K86-Rebanho!$J86+1),0))</f>
        <v>0</v>
      </c>
      <c r="BP14" s="460">
        <f>IF(AND(Rebanho!$K86=Rebanho!$J86,Rebanho!$J86=BP$1),Rebanho!$I86,IF(AND(Rebanho!$K86&gt;=Rebanho!$J86,AND(Rebanho!$J86&lt;=BP$1,Rebanho!$K86&gt;=BP$1)),Rebanho!$I86/(Rebanho!$K86-Rebanho!$J86+1),0))</f>
        <v>0</v>
      </c>
      <c r="BQ14" s="460">
        <f>IF(AND(Rebanho!$K86=Rebanho!$J86,Rebanho!$J86=BQ$1),Rebanho!$I86,IF(AND(Rebanho!$K86&gt;=Rebanho!$J86,AND(Rebanho!$J86&lt;=BQ$1,Rebanho!$K86&gt;=BQ$1)),Rebanho!$I86/(Rebanho!$K86-Rebanho!$J86+1),0))</f>
        <v>0</v>
      </c>
      <c r="BR14" s="460">
        <f>IF(AND(Rebanho!$K86=Rebanho!$J86,Rebanho!$J86=BR$1),Rebanho!$I86,IF(AND(Rebanho!$K86&gt;=Rebanho!$J86,AND(Rebanho!$J86&lt;=BR$1,Rebanho!$K86&gt;=BR$1)),Rebanho!$I86/(Rebanho!$K86-Rebanho!$J86+1),0))</f>
        <v>0</v>
      </c>
      <c r="BS14" s="460">
        <f>IF(AND(Rebanho!$K86=Rebanho!$J86,Rebanho!$J86=BS$1),Rebanho!$I86,IF(AND(Rebanho!$K86&gt;=Rebanho!$J86,AND(Rebanho!$J86&lt;=BS$1,Rebanho!$K86&gt;=BS$1)),Rebanho!$I86/(Rebanho!$K86-Rebanho!$J86+1),0))</f>
        <v>0</v>
      </c>
      <c r="BT14" s="461">
        <f>IF(AND(Rebanho!$K86=Rebanho!$J86,Rebanho!$J86=BT$1),Rebanho!$I86,IF(AND(Rebanho!$K86&gt;=Rebanho!$J86,AND(Rebanho!$J86&lt;=BT$1,Rebanho!$K86&gt;=BT$1)),Rebanho!$I86/(Rebanho!$K86-Rebanho!$J86+1),0))</f>
        <v>0</v>
      </c>
      <c r="CH14" s="645"/>
      <c r="CI14" s="670"/>
      <c r="CJ14" s="646"/>
    </row>
    <row r="15" spans="2:116" x14ac:dyDescent="0.2">
      <c r="B15" s="464" t="s">
        <v>753</v>
      </c>
      <c r="C15" s="1281">
        <f>Inventário!R100</f>
        <v>1490</v>
      </c>
      <c r="D15" s="1254">
        <f t="shared" ref="D15:D23" ca="1" si="3">IF($C$45=0,0,C15/$C$45)</f>
        <v>1.0738271277257099E-3</v>
      </c>
      <c r="E15" s="1254">
        <f t="shared" ca="1" si="0"/>
        <v>1.0738271277257099E-3</v>
      </c>
      <c r="F15" s="1270">
        <f t="shared" ca="1" si="1"/>
        <v>8.9728649348857895E-4</v>
      </c>
      <c r="G15" s="1262">
        <f t="shared" ca="1" si="2"/>
        <v>6.6185665303771532E-4</v>
      </c>
      <c r="H15" s="1379">
        <f>IF(C15=0,0,C15/'Análise TEC'!$C$20)</f>
        <v>0.14587473324166023</v>
      </c>
      <c r="I15" s="1383">
        <f>IF(C15=0,0,C15/Rebanho!$X$89)</f>
        <v>9.8124991560245803E-2</v>
      </c>
      <c r="J15" s="1122"/>
      <c r="K15" s="2749" t="s">
        <v>1339</v>
      </c>
      <c r="L15" s="2748"/>
      <c r="M15" s="819">
        <f>C13</f>
        <v>25359.088284444446</v>
      </c>
      <c r="N15" s="851">
        <f t="shared" ref="N15:N26" ca="1" si="4">M15/$M$27</f>
        <v>1.8276024788072266E-2</v>
      </c>
      <c r="O15" s="850">
        <f>M15/'Análise TEC'!$C$20</f>
        <v>2.4827182810369428</v>
      </c>
      <c r="P15" s="1421">
        <f>M15/'Análise TEC'!$C$22</f>
        <v>1.6700404858299596</v>
      </c>
      <c r="T15" s="1140"/>
      <c r="U15" s="1141"/>
      <c r="V15" s="1141"/>
      <c r="W15" s="1144"/>
      <c r="X15" s="1144"/>
      <c r="Y15" s="1144"/>
      <c r="Z15" s="463"/>
      <c r="AA15" s="463"/>
      <c r="AB15" s="463"/>
      <c r="AC15" s="463"/>
      <c r="BA15" s="459" t="str">
        <f>VLOOKUP(Rebanho!$C88,Rebanho!$AD$46:$AE$56,2)</f>
        <v>Touro</v>
      </c>
      <c r="BB15" s="460">
        <f>IF(AND(Rebanho!$K87=Rebanho!$J87,Rebanho!$J87=BB$1),Rebanho!$I87,IF(AND(Rebanho!$K87&gt;=Rebanho!$J87,AND(Rebanho!$J87&lt;=BB$1,Rebanho!$K87&gt;=BB$1)),Rebanho!$I87/(Rebanho!$K87-Rebanho!$J87+1),0))</f>
        <v>0</v>
      </c>
      <c r="BC15" s="460">
        <f>IF(AND(Rebanho!$K87=Rebanho!$J87,Rebanho!$J87=BC$1),Rebanho!$I87,IF(AND(Rebanho!$K87&gt;=Rebanho!$J87,AND(Rebanho!$J87&lt;=BC$1,Rebanho!$K87&gt;=BC$1)),Rebanho!$I87/(Rebanho!$K87-Rebanho!$J87+1),0))</f>
        <v>0</v>
      </c>
      <c r="BD15" s="460">
        <f>IF(AND(Rebanho!$K87=Rebanho!$J87,Rebanho!$J87=BD$1),Rebanho!$I87,IF(AND(Rebanho!$K87&gt;=Rebanho!$J87,AND(Rebanho!$J87&lt;=BD$1,Rebanho!$K87&gt;=BD$1)),Rebanho!$I87/(Rebanho!$K87-Rebanho!$J87+1),0))</f>
        <v>0</v>
      </c>
      <c r="BE15" s="460">
        <f>IF(AND(Rebanho!$K87=Rebanho!$J87,Rebanho!$J87=BE$1),Rebanho!$I87,IF(AND(Rebanho!$K87&gt;=Rebanho!$J87,AND(Rebanho!$J87&lt;=BE$1,Rebanho!$K87&gt;=BE$1)),Rebanho!$I87/(Rebanho!$K87-Rebanho!$J87+1),0))</f>
        <v>0</v>
      </c>
      <c r="BF15" s="460">
        <f>IF(AND(Rebanho!$K87=Rebanho!$J87,Rebanho!$J87=BF$1),Rebanho!$I87,IF(AND(Rebanho!$K87&gt;=Rebanho!$J87,AND(Rebanho!$J87&lt;=BF$1,Rebanho!$K87&gt;=BF$1)),Rebanho!$I87/(Rebanho!$K87-Rebanho!$J87+1),0))</f>
        <v>0</v>
      </c>
      <c r="BG15" s="460">
        <f>IF(AND(Rebanho!$K87=Rebanho!$J87,Rebanho!$J87=BG$1),Rebanho!$I87,IF(AND(Rebanho!$K87&gt;=Rebanho!$J87,AND(Rebanho!$J87&lt;=BG$1,Rebanho!$K87&gt;=BG$1)),Rebanho!$I87/(Rebanho!$K87-Rebanho!$J87+1),0))</f>
        <v>0</v>
      </c>
      <c r="BH15" s="460">
        <f>IF(AND(Rebanho!$K87=Rebanho!$J87,Rebanho!$J87=BH$1),Rebanho!$I87,IF(AND(Rebanho!$K87&gt;=Rebanho!$J87,AND(Rebanho!$J87&lt;=BH$1,Rebanho!$K87&gt;=BH$1)),Rebanho!$I87/(Rebanho!$K87-Rebanho!$J87+1),0))</f>
        <v>0</v>
      </c>
      <c r="BI15" s="460">
        <f>IF(AND(Rebanho!$K87=Rebanho!$J87,Rebanho!$J87=BI$1),Rebanho!$I87,IF(AND(Rebanho!$K87&gt;=Rebanho!$J87,AND(Rebanho!$J87&lt;=BI$1,Rebanho!$K87&gt;=BI$1)),Rebanho!$I87/(Rebanho!$K87-Rebanho!$J87+1),0))</f>
        <v>0</v>
      </c>
      <c r="BJ15" s="460">
        <f>IF(AND(Rebanho!$K87=Rebanho!$J87,Rebanho!$J87=BJ$1),Rebanho!$I87,IF(AND(Rebanho!$K87&gt;=Rebanho!$J87,AND(Rebanho!$J87&lt;=BJ$1,Rebanho!$K87&gt;=BJ$1)),Rebanho!$I87/(Rebanho!$K87-Rebanho!$J87+1),0))</f>
        <v>0</v>
      </c>
      <c r="BK15" s="460">
        <f>IF(AND(Rebanho!$K87=Rebanho!$J87,Rebanho!$J87=BK$1),Rebanho!$I87,IF(AND(Rebanho!$K87&gt;=Rebanho!$J87,AND(Rebanho!$J87&lt;=BK$1,Rebanho!$K87&gt;=BK$1)),Rebanho!$I87/(Rebanho!$K87-Rebanho!$J87+1),0))</f>
        <v>0</v>
      </c>
      <c r="BL15" s="460">
        <f>IF(AND(Rebanho!$K87=Rebanho!$J87,Rebanho!$J87=BL$1),Rebanho!$I87,IF(AND(Rebanho!$K87&gt;=Rebanho!$J87,AND(Rebanho!$J87&lt;=BL$1,Rebanho!$K87&gt;=BL$1)),Rebanho!$I87/(Rebanho!$K87-Rebanho!$J87+1),0))</f>
        <v>0</v>
      </c>
      <c r="BM15" s="460">
        <f>IF(AND(Rebanho!$K87=Rebanho!$J87,Rebanho!$J87=BM$1),Rebanho!$I87,IF(AND(Rebanho!$K87&gt;=Rebanho!$J87,AND(Rebanho!$J87&lt;=BM$1,Rebanho!$K87&gt;=BM$1)),Rebanho!$I87/(Rebanho!$K87-Rebanho!$J87+1),0))</f>
        <v>0</v>
      </c>
      <c r="BN15" s="460">
        <f>IF(AND(Rebanho!$K87=Rebanho!$J87,Rebanho!$J87=BN$1),Rebanho!$I87,IF(AND(Rebanho!$K87&gt;=Rebanho!$J87,AND(Rebanho!$J87&lt;=BN$1,Rebanho!$K87&gt;=BN$1)),Rebanho!$I87/(Rebanho!$K87-Rebanho!$J87+1),0))</f>
        <v>0</v>
      </c>
      <c r="BO15" s="460">
        <f>IF(AND(Rebanho!$K87=Rebanho!$J87,Rebanho!$J87=BO$1),Rebanho!$I87,IF(AND(Rebanho!$K87&gt;=Rebanho!$J87,AND(Rebanho!$J87&lt;=BO$1,Rebanho!$K87&gt;=BO$1)),Rebanho!$I87/(Rebanho!$K87-Rebanho!$J87+1),0))</f>
        <v>0</v>
      </c>
      <c r="BP15" s="460">
        <f>IF(AND(Rebanho!$K87=Rebanho!$J87,Rebanho!$J87=BP$1),Rebanho!$I87,IF(AND(Rebanho!$K87&gt;=Rebanho!$J87,AND(Rebanho!$J87&lt;=BP$1,Rebanho!$K87&gt;=BP$1)),Rebanho!$I87/(Rebanho!$K87-Rebanho!$J87+1),0))</f>
        <v>0</v>
      </c>
      <c r="BQ15" s="460">
        <f>IF(AND(Rebanho!$K87=Rebanho!$J87,Rebanho!$J87=BQ$1),Rebanho!$I87,IF(AND(Rebanho!$K87&gt;=Rebanho!$J87,AND(Rebanho!$J87&lt;=BQ$1,Rebanho!$K87&gt;=BQ$1)),Rebanho!$I87/(Rebanho!$K87-Rebanho!$J87+1),0))</f>
        <v>0</v>
      </c>
      <c r="BR15" s="460">
        <f>IF(AND(Rebanho!$K87=Rebanho!$J87,Rebanho!$J87=BR$1),Rebanho!$I87,IF(AND(Rebanho!$K87&gt;=Rebanho!$J87,AND(Rebanho!$J87&lt;=BR$1,Rebanho!$K87&gt;=BR$1)),Rebanho!$I87/(Rebanho!$K87-Rebanho!$J87+1),0))</f>
        <v>0</v>
      </c>
      <c r="BS15" s="460">
        <f>IF(AND(Rebanho!$K87=Rebanho!$J87,Rebanho!$J87=BS$1),Rebanho!$I87,IF(AND(Rebanho!$K87&gt;=Rebanho!$J87,AND(Rebanho!$J87&lt;=BS$1,Rebanho!$K87&gt;=BS$1)),Rebanho!$I87/(Rebanho!$K87-Rebanho!$J87+1),0))</f>
        <v>0</v>
      </c>
      <c r="BT15" s="461">
        <f>IF(AND(Rebanho!$K87=Rebanho!$J87,Rebanho!$J87=BT$1),Rebanho!$I87,IF(AND(Rebanho!$K87&gt;=Rebanho!$J87,AND(Rebanho!$J87&lt;=BT$1,Rebanho!$K87&gt;=BT$1)),Rebanho!$I87/(Rebanho!$K87-Rebanho!$J87+1),0))</f>
        <v>0</v>
      </c>
      <c r="CH15" s="645"/>
      <c r="CI15" s="670"/>
      <c r="CJ15" s="646"/>
    </row>
    <row r="16" spans="2:116" x14ac:dyDescent="0.2">
      <c r="B16" s="464" t="s">
        <v>919</v>
      </c>
      <c r="C16" s="1281">
        <f>Inventário!O112</f>
        <v>3533.333333333333</v>
      </c>
      <c r="D16" s="1254">
        <f t="shared" ca="1" si="3"/>
        <v>2.5464356943831149E-3</v>
      </c>
      <c r="E16" s="1254">
        <f t="shared" ca="1" si="0"/>
        <v>2.5464356943831149E-3</v>
      </c>
      <c r="F16" s="1270">
        <f t="shared" ca="1" si="1"/>
        <v>2.1277934744919321E-3</v>
      </c>
      <c r="G16" s="1262">
        <f t="shared" ca="1" si="2"/>
        <v>1.5695034725279155E-3</v>
      </c>
      <c r="H16" s="1379">
        <f>IF(C16=0,0,C16/'Análise TEC'!$C$20)</f>
        <v>0.34592218621064841</v>
      </c>
      <c r="I16" s="1383">
        <f>IF(C16=0,0,C16/Rebanho!$X$89)</f>
        <v>0.23269013658581778</v>
      </c>
      <c r="J16" s="1122"/>
      <c r="K16" s="2747" t="s">
        <v>1028</v>
      </c>
      <c r="L16" s="2748"/>
      <c r="M16" s="819">
        <f ca="1">SUM(C14:C22)</f>
        <v>24536.789322780751</v>
      </c>
      <c r="N16" s="851">
        <f t="shared" ca="1" si="4"/>
        <v>1.7683402685968134E-2</v>
      </c>
      <c r="O16" s="850">
        <f ca="1">M16/'Análise TEC'!$C$20</f>
        <v>2.4022131523942676</v>
      </c>
      <c r="P16" s="1421">
        <f ca="1">M16/'Análise TEC'!$C$22</f>
        <v>1.615887412894893</v>
      </c>
      <c r="T16" s="1140"/>
      <c r="U16" s="1141"/>
      <c r="V16" s="1141"/>
      <c r="W16" s="1144"/>
      <c r="X16" s="1144"/>
      <c r="Y16" s="1144"/>
      <c r="Z16" s="463"/>
      <c r="AA16" s="463"/>
      <c r="AB16" s="463"/>
      <c r="AC16" s="463"/>
      <c r="BA16" s="459"/>
      <c r="BB16" s="477"/>
      <c r="BC16" s="477"/>
      <c r="BD16" s="477"/>
      <c r="BE16" s="477"/>
      <c r="BF16" s="477"/>
      <c r="BG16" s="477"/>
      <c r="BH16" s="477"/>
      <c r="BI16" s="477"/>
      <c r="BJ16" s="477"/>
      <c r="BK16" s="477"/>
      <c r="BL16" s="477"/>
      <c r="BM16" s="477"/>
      <c r="BN16" s="477"/>
      <c r="BO16" s="477"/>
      <c r="BP16" s="477"/>
      <c r="BQ16" s="477"/>
      <c r="BR16" s="477"/>
      <c r="BS16" s="477"/>
      <c r="BT16" s="493"/>
      <c r="CH16" s="645"/>
      <c r="CI16" s="670"/>
      <c r="CJ16" s="646"/>
    </row>
    <row r="17" spans="2:88" x14ac:dyDescent="0.2">
      <c r="B17" s="464" t="s">
        <v>917</v>
      </c>
      <c r="C17" s="1281">
        <f>SUM(CH17:CJ17)</f>
        <v>2902.5</v>
      </c>
      <c r="D17" s="1254">
        <f t="shared" ca="1" si="3"/>
        <v>2.0918008310227333E-3</v>
      </c>
      <c r="E17" s="1254">
        <f t="shared" ca="1" si="0"/>
        <v>2.0918008310227333E-3</v>
      </c>
      <c r="F17" s="1270">
        <f t="shared" ca="1" si="1"/>
        <v>1.7479020452017453E-3</v>
      </c>
      <c r="G17" s="1262">
        <f t="shared" ca="1" si="2"/>
        <v>1.2892878761355496E-3</v>
      </c>
      <c r="H17" s="1379">
        <f>IF(C17=0,0,C17/'Análise TEC'!$C$20)</f>
        <v>0.28416202230464349</v>
      </c>
      <c r="I17" s="1383">
        <f>IF(C17=0,0,C17/Rebanho!$X$89)</f>
        <v>0.19114616644537816</v>
      </c>
      <c r="J17" s="1122"/>
      <c r="K17" s="2747" t="s">
        <v>350</v>
      </c>
      <c r="L17" s="2748"/>
      <c r="M17" s="819">
        <f>SUM(C23:C27)</f>
        <v>38052.422999999995</v>
      </c>
      <c r="N17" s="851">
        <f t="shared" ca="1" si="4"/>
        <v>2.742397590140519E-2</v>
      </c>
      <c r="O17" s="850">
        <f>M17/'Análise TEC'!$C$20</f>
        <v>3.7254275532374601</v>
      </c>
      <c r="P17" s="1421">
        <f>M17/'Análise TEC'!$C$22</f>
        <v>2.5059689165918813</v>
      </c>
      <c r="T17" s="1140"/>
      <c r="U17" s="1141"/>
      <c r="V17" s="1141"/>
      <c r="W17" s="1144"/>
      <c r="X17" s="1144"/>
      <c r="Y17" s="1144"/>
      <c r="Z17" s="463"/>
      <c r="AA17" s="463"/>
      <c r="AB17" s="463"/>
      <c r="AC17" s="463"/>
      <c r="BA17" s="459"/>
      <c r="BB17" s="477"/>
      <c r="BC17" s="477"/>
      <c r="BD17" s="477"/>
      <c r="BE17" s="477"/>
      <c r="BF17" s="477"/>
      <c r="BG17" s="477"/>
      <c r="BH17" s="477"/>
      <c r="BI17" s="477"/>
      <c r="BJ17" s="477"/>
      <c r="BK17" s="477"/>
      <c r="BL17" s="477"/>
      <c r="BM17" s="477"/>
      <c r="BN17" s="477"/>
      <c r="BO17" s="477"/>
      <c r="BP17" s="477"/>
      <c r="BQ17" s="477"/>
      <c r="BR17" s="477"/>
      <c r="BS17" s="477"/>
      <c r="BT17" s="493"/>
      <c r="CG17" s="589" t="s">
        <v>917</v>
      </c>
      <c r="CH17" s="666">
        <f>Pastagem!AB15</f>
        <v>2902.5</v>
      </c>
      <c r="CI17" s="671"/>
      <c r="CJ17" s="667"/>
    </row>
    <row r="18" spans="2:88" x14ac:dyDescent="0.2">
      <c r="B18" s="464" t="s">
        <v>918</v>
      </c>
      <c r="C18" s="1281">
        <f>SUM(CH18:CJ18)</f>
        <v>396.67499999999995</v>
      </c>
      <c r="D18" s="1254">
        <f t="shared" ca="1" si="3"/>
        <v>2.8587944690644019E-4</v>
      </c>
      <c r="E18" s="1254">
        <f t="shared" ca="1" si="0"/>
        <v>2.8587944690644019E-4</v>
      </c>
      <c r="F18" s="1270">
        <f t="shared" ca="1" si="1"/>
        <v>2.3887994617757181E-4</v>
      </c>
      <c r="G18" s="1262">
        <f t="shared" ca="1" si="2"/>
        <v>1.7620267640519174E-4</v>
      </c>
      <c r="H18" s="1379">
        <f>IF(C18=0,0,C18/'Análise TEC'!$C$20)</f>
        <v>3.8835476381634607E-2</v>
      </c>
      <c r="I18" s="1383">
        <f>IF(C18=0,0,C18/Rebanho!$X$89)</f>
        <v>2.6123309414201677E-2</v>
      </c>
      <c r="J18" s="1122"/>
      <c r="K18" s="2747" t="s">
        <v>1029</v>
      </c>
      <c r="L18" s="2748"/>
      <c r="M18" s="819">
        <f>SUM(C28:C29)</f>
        <v>20317.5</v>
      </c>
      <c r="N18" s="851">
        <f t="shared" ca="1" si="4"/>
        <v>1.4642605817159133E-2</v>
      </c>
      <c r="O18" s="850">
        <f>M18/'Análise TEC'!$C$20</f>
        <v>1.9891341561325044</v>
      </c>
      <c r="P18" s="1421">
        <f>M18/'Análise TEC'!$C$22</f>
        <v>1.3380231651176471</v>
      </c>
      <c r="T18" s="1140"/>
      <c r="U18" s="1141"/>
      <c r="V18" s="1141"/>
      <c r="W18" s="1144"/>
      <c r="X18" s="1144"/>
      <c r="Y18" s="1144"/>
      <c r="Z18" s="463"/>
      <c r="AA18" s="463"/>
      <c r="AB18" s="463"/>
      <c r="AC18" s="463"/>
      <c r="BA18" s="459"/>
      <c r="BB18" s="477"/>
      <c r="BC18" s="477"/>
      <c r="BD18" s="477"/>
      <c r="BE18" s="477"/>
      <c r="BF18" s="477"/>
      <c r="BG18" s="477"/>
      <c r="BH18" s="477"/>
      <c r="BI18" s="477"/>
      <c r="BJ18" s="477"/>
      <c r="BK18" s="477"/>
      <c r="BL18" s="477"/>
      <c r="BM18" s="477"/>
      <c r="BN18" s="477"/>
      <c r="BO18" s="477"/>
      <c r="BP18" s="477"/>
      <c r="BQ18" s="477"/>
      <c r="BR18" s="477"/>
      <c r="BS18" s="477"/>
      <c r="BT18" s="493"/>
      <c r="CG18" s="589" t="s">
        <v>918</v>
      </c>
      <c r="CH18" s="666">
        <f>Pastagem!AB16</f>
        <v>396.67499999999995</v>
      </c>
      <c r="CI18" s="671"/>
      <c r="CJ18" s="667"/>
    </row>
    <row r="19" spans="2:88" x14ac:dyDescent="0.2">
      <c r="B19" s="464" t="s">
        <v>923</v>
      </c>
      <c r="C19" s="1281">
        <f>SUM(CH19:CJ19)</f>
        <v>0</v>
      </c>
      <c r="D19" s="1254">
        <f t="shared" ca="1" si="3"/>
        <v>0</v>
      </c>
      <c r="E19" s="1254" t="str">
        <f t="shared" si="0"/>
        <v>-</v>
      </c>
      <c r="F19" s="1270" t="str">
        <f t="shared" si="1"/>
        <v>-</v>
      </c>
      <c r="G19" s="1262" t="str">
        <f t="shared" si="2"/>
        <v>-</v>
      </c>
      <c r="H19" s="1379">
        <f>IF(C19=0,0,C19/'Análise TEC'!$C$20)</f>
        <v>0</v>
      </c>
      <c r="I19" s="1383">
        <f>IF(C19=0,0,C19/Rebanho!$X$89)</f>
        <v>0</v>
      </c>
      <c r="J19" s="1122"/>
      <c r="K19" s="2749" t="s">
        <v>1340</v>
      </c>
      <c r="L19" s="2750"/>
      <c r="M19" s="819">
        <f>SUM(C30:C31,C33)</f>
        <v>6720</v>
      </c>
      <c r="N19" s="851">
        <f t="shared" ca="1" si="4"/>
        <v>4.8430324149776978E-3</v>
      </c>
      <c r="O19" s="850">
        <f>M19/'Análise TEC'!$C$20</f>
        <v>0.65790483717044079</v>
      </c>
      <c r="P19" s="1421">
        <f>M19/'Análise TEC'!$C$22</f>
        <v>0.44255029750661196</v>
      </c>
      <c r="T19" s="1140"/>
      <c r="U19" s="1141"/>
      <c r="V19" s="1141"/>
      <c r="W19" s="1144"/>
      <c r="X19" s="1144"/>
      <c r="Y19" s="1144"/>
      <c r="Z19" s="463"/>
      <c r="AA19" s="463"/>
      <c r="AB19" s="463"/>
      <c r="AC19" s="463"/>
      <c r="BA19" s="459"/>
      <c r="BB19" s="477"/>
      <c r="BC19" s="477"/>
      <c r="BD19" s="477"/>
      <c r="BE19" s="477"/>
      <c r="BF19" s="477"/>
      <c r="BG19" s="477"/>
      <c r="BH19" s="477"/>
      <c r="BI19" s="477"/>
      <c r="BJ19" s="477"/>
      <c r="BK19" s="477"/>
      <c r="BL19" s="477"/>
      <c r="BM19" s="477"/>
      <c r="BN19" s="477"/>
      <c r="BO19" s="477"/>
      <c r="BP19" s="477"/>
      <c r="BQ19" s="477"/>
      <c r="BR19" s="477"/>
      <c r="BS19" s="477"/>
      <c r="BT19" s="493"/>
      <c r="CG19" s="589" t="s">
        <v>923</v>
      </c>
      <c r="CH19" s="647">
        <f>Agricultura!AB15</f>
        <v>0</v>
      </c>
      <c r="CI19" s="670"/>
      <c r="CJ19" s="646"/>
    </row>
    <row r="20" spans="2:88" x14ac:dyDescent="0.2">
      <c r="B20" s="464" t="s">
        <v>924</v>
      </c>
      <c r="C20" s="1281">
        <f>SUM(CH20:CJ20)</f>
        <v>0</v>
      </c>
      <c r="D20" s="1255">
        <f t="shared" ca="1" si="3"/>
        <v>0</v>
      </c>
      <c r="E20" s="1255" t="str">
        <f t="shared" si="0"/>
        <v>-</v>
      </c>
      <c r="F20" s="1271" t="str">
        <f t="shared" si="1"/>
        <v>-</v>
      </c>
      <c r="G20" s="1263" t="str">
        <f t="shared" si="2"/>
        <v>-</v>
      </c>
      <c r="H20" s="1379">
        <f>IF(C20=0,0,C20/'Análise TEC'!$C$20)</f>
        <v>0</v>
      </c>
      <c r="I20" s="1383">
        <f>IF(C20=0,0,C20/Rebanho!$X$89)</f>
        <v>0</v>
      </c>
      <c r="J20" s="1122"/>
      <c r="K20" s="2747" t="s">
        <v>1030</v>
      </c>
      <c r="L20" s="2748"/>
      <c r="M20" s="819">
        <f>SUM(C32)</f>
        <v>23002.155733333333</v>
      </c>
      <c r="N20" s="851">
        <f t="shared" ca="1" si="4"/>
        <v>1.6577408605788456E-2</v>
      </c>
      <c r="O20" s="850">
        <f>M20/'Análise TEC'!$C$20</f>
        <v>2.2519686789148494</v>
      </c>
      <c r="P20" s="1421">
        <f>M20/'Análise TEC'!$C$22</f>
        <v>1.5148230451012035</v>
      </c>
      <c r="T20" s="1140"/>
      <c r="U20" s="1141"/>
      <c r="V20" s="1141"/>
      <c r="W20" s="1144"/>
      <c r="X20" s="1144"/>
      <c r="Y20" s="1144"/>
      <c r="Z20" s="463"/>
      <c r="AA20" s="463"/>
      <c r="AB20" s="463"/>
      <c r="AC20" s="463"/>
      <c r="BA20" s="459"/>
      <c r="BB20" s="477"/>
      <c r="BC20" s="477"/>
      <c r="BD20" s="477"/>
      <c r="BE20" s="477"/>
      <c r="BF20" s="477"/>
      <c r="BG20" s="477"/>
      <c r="BH20" s="477"/>
      <c r="BI20" s="477"/>
      <c r="BJ20" s="477"/>
      <c r="BK20" s="477"/>
      <c r="BL20" s="477"/>
      <c r="BM20" s="477"/>
      <c r="BN20" s="477"/>
      <c r="BO20" s="477"/>
      <c r="BP20" s="477"/>
      <c r="BQ20" s="477"/>
      <c r="BR20" s="477"/>
      <c r="BS20" s="477"/>
      <c r="BT20" s="493"/>
      <c r="CG20" s="589" t="s">
        <v>924</v>
      </c>
      <c r="CH20" s="647">
        <f>Agricultura!AB16</f>
        <v>0</v>
      </c>
      <c r="CI20" s="670"/>
      <c r="CJ20" s="646"/>
    </row>
    <row r="21" spans="2:88" x14ac:dyDescent="0.2">
      <c r="B21" s="464" t="s">
        <v>1060</v>
      </c>
      <c r="C21" s="1281">
        <f>Suplementação!AD48</f>
        <v>10782.291666666668</v>
      </c>
      <c r="D21" s="1255">
        <f t="shared" ca="1" si="3"/>
        <v>7.7706827454480029E-3</v>
      </c>
      <c r="E21" s="1255">
        <f t="shared" ca="1" si="0"/>
        <v>7.7706827454480029E-3</v>
      </c>
      <c r="F21" s="1271">
        <f t="shared" ca="1" si="1"/>
        <v>6.4931575042647387E-3</v>
      </c>
      <c r="G21" s="1263">
        <f t="shared" ca="1" si="2"/>
        <v>4.7894842111251348E-3</v>
      </c>
      <c r="H21" s="1379">
        <f>IF(C21=0,0,C21/'Análise TEC'!$C$20)</f>
        <v>1.0556133695360914</v>
      </c>
      <c r="I21" s="1383">
        <f>IF(C21=0,0,C21/Rebanho!$X$89)</f>
        <v>0.71007535489380902</v>
      </c>
      <c r="J21" s="1122"/>
      <c r="K21" s="2747" t="s">
        <v>1031</v>
      </c>
      <c r="L21" s="2748"/>
      <c r="M21" s="819">
        <f>C34</f>
        <v>0</v>
      </c>
      <c r="N21" s="851">
        <f t="shared" ca="1" si="4"/>
        <v>0</v>
      </c>
      <c r="O21" s="850">
        <f>M21/'Análise TEC'!$C$20</f>
        <v>0</v>
      </c>
      <c r="P21" s="1421">
        <f>M21/'Análise TEC'!$C$22</f>
        <v>0</v>
      </c>
      <c r="T21" s="1140"/>
      <c r="U21" s="1141"/>
      <c r="V21" s="1141"/>
      <c r="W21" s="1144"/>
      <c r="X21" s="1144"/>
      <c r="Y21" s="1144"/>
      <c r="Z21" s="463"/>
      <c r="AA21" s="463"/>
      <c r="AB21" s="463"/>
      <c r="AC21" s="463"/>
      <c r="BA21" s="459"/>
      <c r="BB21" s="477"/>
      <c r="BC21" s="477"/>
      <c r="BD21" s="477"/>
      <c r="BE21" s="477"/>
      <c r="BF21" s="477"/>
      <c r="BG21" s="477"/>
      <c r="BH21" s="477"/>
      <c r="BI21" s="477"/>
      <c r="BJ21" s="477"/>
      <c r="BK21" s="477"/>
      <c r="BL21" s="477"/>
      <c r="BM21" s="477"/>
      <c r="BN21" s="477"/>
      <c r="BO21" s="477"/>
      <c r="BP21" s="477"/>
      <c r="BQ21" s="477"/>
      <c r="BR21" s="477"/>
      <c r="BS21" s="477"/>
      <c r="BT21" s="493"/>
      <c r="CG21" s="589"/>
      <c r="CH21" s="647"/>
      <c r="CI21" s="670"/>
      <c r="CJ21" s="646"/>
    </row>
    <row r="22" spans="2:88" ht="13.5" thickBot="1" x14ac:dyDescent="0.25">
      <c r="B22" s="863" t="s">
        <v>1061</v>
      </c>
      <c r="C22" s="1279">
        <f>Alimentação!W33</f>
        <v>3528.75</v>
      </c>
      <c r="D22" s="1256">
        <f t="shared" ca="1" si="3"/>
        <v>2.5431325348738917E-3</v>
      </c>
      <c r="E22" s="1256">
        <f t="shared" ca="1" si="0"/>
        <v>2.5431325348738917E-3</v>
      </c>
      <c r="F22" s="1272">
        <f t="shared" ca="1" si="1"/>
        <v>2.1250333650320958E-3</v>
      </c>
      <c r="G22" s="1264">
        <f t="shared" ca="1" si="2"/>
        <v>1.5674675600045893E-3</v>
      </c>
      <c r="H22" s="1380">
        <f>IF(C22=0,0,C22/'Análise TEC'!$C$20)</f>
        <v>0.34547346639362986</v>
      </c>
      <c r="I22" s="1384">
        <f>IF(C22=0,0,C22/Rebanho!$X$89)</f>
        <v>0.23238829796524657</v>
      </c>
      <c r="J22" s="1122"/>
      <c r="K22" s="2747" t="s">
        <v>1032</v>
      </c>
      <c r="L22" s="2748"/>
      <c r="M22" s="819">
        <f>SUM(C35:C38,C40,C41)</f>
        <v>29929.271818998521</v>
      </c>
      <c r="N22" s="851">
        <f t="shared" ca="1" si="4"/>
        <v>2.1569707377394103E-2</v>
      </c>
      <c r="O22" s="850">
        <f>M22/'Análise TEC'!$C$20</f>
        <v>2.9301506998077507</v>
      </c>
      <c r="P22" s="1421">
        <f>M22/'Análise TEC'!$C$22</f>
        <v>1.9710131172104246</v>
      </c>
      <c r="T22" s="1140"/>
      <c r="U22" s="1141"/>
      <c r="V22" s="1141"/>
      <c r="W22" s="1144"/>
      <c r="X22" s="1144"/>
      <c r="Y22" s="1144"/>
      <c r="Z22" s="463"/>
      <c r="AA22" s="463"/>
      <c r="AB22" s="463"/>
      <c r="AC22" s="463"/>
      <c r="BA22" s="459"/>
      <c r="BB22" s="477"/>
      <c r="BC22" s="477"/>
      <c r="BD22" s="477"/>
      <c r="BE22" s="477"/>
      <c r="BF22" s="477"/>
      <c r="BG22" s="477"/>
      <c r="BH22" s="477"/>
      <c r="BI22" s="477"/>
      <c r="BJ22" s="477"/>
      <c r="BK22" s="477"/>
      <c r="BL22" s="477"/>
      <c r="BM22" s="477"/>
      <c r="BN22" s="477"/>
      <c r="BO22" s="477"/>
      <c r="BP22" s="477"/>
      <c r="BQ22" s="477"/>
      <c r="BR22" s="477"/>
      <c r="BS22" s="477"/>
      <c r="BT22" s="493"/>
      <c r="CG22" s="589"/>
      <c r="CH22" s="647"/>
      <c r="CI22" s="670"/>
      <c r="CJ22" s="646"/>
    </row>
    <row r="23" spans="2:88" ht="13.5" thickTop="1" x14ac:dyDescent="0.2">
      <c r="B23" s="566" t="s">
        <v>916</v>
      </c>
      <c r="C23" s="1280">
        <f>Inventário!P112</f>
        <v>16224</v>
      </c>
      <c r="D23" s="1252">
        <f t="shared" ca="1" si="3"/>
        <v>1.1692463973303299E-2</v>
      </c>
      <c r="E23" s="1252">
        <f t="shared" ca="1" si="0"/>
        <v>1.1692463973303299E-2</v>
      </c>
      <c r="F23" s="1268">
        <f t="shared" ca="1" si="1"/>
        <v>9.7701852821199357E-3</v>
      </c>
      <c r="G23" s="1260">
        <f t="shared" ca="1" si="2"/>
        <v>7.2066861334791231E-3</v>
      </c>
      <c r="H23" s="1386">
        <f>IF(C23=0,0,C23/'Análise TEC'!$C$20)</f>
        <v>1.588370249740064</v>
      </c>
      <c r="I23" s="1389">
        <f>IF(C23=0,0,C23/Rebanho!$X$89)</f>
        <v>1.068442861123106</v>
      </c>
      <c r="J23" s="1122"/>
      <c r="K23" s="2747" t="s">
        <v>789</v>
      </c>
      <c r="L23" s="2748"/>
      <c r="M23" s="819">
        <f>C39</f>
        <v>0</v>
      </c>
      <c r="N23" s="851">
        <f t="shared" ca="1" si="4"/>
        <v>0</v>
      </c>
      <c r="O23" s="850">
        <f>M23/'Análise TEC'!$C$20</f>
        <v>0</v>
      </c>
      <c r="P23" s="1421">
        <f>M23/'Análise TEC'!$C$22</f>
        <v>0</v>
      </c>
      <c r="T23" s="1140"/>
      <c r="U23" s="1141"/>
      <c r="V23" s="1141"/>
      <c r="W23" s="1144"/>
      <c r="X23" s="1144"/>
      <c r="Y23" s="1144"/>
      <c r="Z23" s="463"/>
      <c r="AA23" s="463"/>
      <c r="AB23" s="463"/>
      <c r="AC23" s="463"/>
      <c r="BA23" s="459"/>
      <c r="BB23" s="477"/>
      <c r="BC23" s="477"/>
      <c r="BD23" s="477"/>
      <c r="BE23" s="477"/>
      <c r="BF23" s="477"/>
      <c r="BG23" s="477"/>
      <c r="BH23" s="477"/>
      <c r="BI23" s="477"/>
      <c r="BJ23" s="477"/>
      <c r="BK23" s="477"/>
      <c r="BL23" s="477"/>
      <c r="BM23" s="477"/>
      <c r="BN23" s="477"/>
      <c r="BO23" s="477"/>
      <c r="BP23" s="477"/>
      <c r="BQ23" s="477"/>
      <c r="BR23" s="477"/>
      <c r="BS23" s="477"/>
      <c r="BT23" s="493"/>
      <c r="CG23" s="589"/>
      <c r="CH23" s="647"/>
      <c r="CI23" s="670"/>
      <c r="CJ23" s="646"/>
    </row>
    <row r="24" spans="2:88" x14ac:dyDescent="0.2">
      <c r="B24" s="464" t="s">
        <v>922</v>
      </c>
      <c r="C24" s="1281">
        <f>SUM(CH24:CJ24)</f>
        <v>4461.723</v>
      </c>
      <c r="D24" s="1254">
        <f t="shared" ref="D24:D32" ca="1" si="5">IF($C$45=0,0,C24/$C$45)</f>
        <v>3.2155162374481456E-3</v>
      </c>
      <c r="E24" s="1254">
        <f t="shared" ca="1" si="0"/>
        <v>3.2155162374481456E-3</v>
      </c>
      <c r="F24" s="1270">
        <f t="shared" ca="1" si="1"/>
        <v>2.686875023884123E-3</v>
      </c>
      <c r="G24" s="1262">
        <f t="shared" ca="1" si="2"/>
        <v>1.9818933231955669E-3</v>
      </c>
      <c r="H24" s="1379">
        <f>IF(C24=0,0,C24/'Análise TEC'!$C$20)</f>
        <v>0.43681386068669797</v>
      </c>
      <c r="I24" s="1383">
        <f>IF(C24=0,0,C24/Rebanho!$X$89)</f>
        <v>0.29382988705983532</v>
      </c>
      <c r="J24" s="1122"/>
      <c r="K24" s="2747" t="s">
        <v>416</v>
      </c>
      <c r="L24" s="2748"/>
      <c r="M24" s="819">
        <f>C42</f>
        <v>89643.665792029264</v>
      </c>
      <c r="N24" s="851">
        <f t="shared" ca="1" si="4"/>
        <v>6.4605235004200165E-2</v>
      </c>
      <c r="O24" s="850">
        <f>M24/'Análise TEC'!$C$20</f>
        <v>8.7763394860515511</v>
      </c>
      <c r="P24" s="1421">
        <f>M24/'Análise TEC'!$C$22</f>
        <v>5.9035462746794414</v>
      </c>
      <c r="T24" s="1140"/>
      <c r="U24" s="1141"/>
      <c r="V24" s="1141"/>
      <c r="W24" s="1144"/>
      <c r="X24" s="1144"/>
      <c r="Y24" s="1144"/>
      <c r="Z24" s="463"/>
      <c r="AA24" s="463"/>
      <c r="AB24" s="463"/>
      <c r="AC24" s="463"/>
      <c r="BA24" s="459"/>
      <c r="BB24" s="477"/>
      <c r="BC24" s="477"/>
      <c r="BD24" s="477"/>
      <c r="BE24" s="477"/>
      <c r="BF24" s="477"/>
      <c r="BG24" s="477"/>
      <c r="BH24" s="477"/>
      <c r="BI24" s="477"/>
      <c r="BJ24" s="477"/>
      <c r="BK24" s="477"/>
      <c r="BL24" s="477"/>
      <c r="BM24" s="477"/>
      <c r="BN24" s="477"/>
      <c r="BO24" s="477"/>
      <c r="BP24" s="477"/>
      <c r="BQ24" s="477"/>
      <c r="BR24" s="477"/>
      <c r="BS24" s="477"/>
      <c r="BT24" s="493"/>
      <c r="CG24" s="589" t="s">
        <v>922</v>
      </c>
      <c r="CH24" s="668">
        <f>Pastagem!AB17</f>
        <v>4461.723</v>
      </c>
      <c r="CI24" s="671"/>
      <c r="CJ24" s="667"/>
    </row>
    <row r="25" spans="2:88" ht="13.5" thickBot="1" x14ac:dyDescent="0.25">
      <c r="B25" s="464" t="s">
        <v>925</v>
      </c>
      <c r="C25" s="1281">
        <f>SUM(CH25:CJ25)</f>
        <v>0</v>
      </c>
      <c r="D25" s="1254">
        <f t="shared" ca="1" si="5"/>
        <v>0</v>
      </c>
      <c r="E25" s="1254" t="str">
        <f t="shared" si="0"/>
        <v>-</v>
      </c>
      <c r="F25" s="1270" t="str">
        <f t="shared" si="1"/>
        <v>-</v>
      </c>
      <c r="G25" s="1262" t="str">
        <f t="shared" si="2"/>
        <v>-</v>
      </c>
      <c r="H25" s="1379">
        <f>IF(C25=0,0,C25/'Análise TEC'!$C$20)</f>
        <v>0</v>
      </c>
      <c r="I25" s="1383">
        <f>IF(C25=0,0,C25/Rebanho!$X$89)</f>
        <v>0</v>
      </c>
      <c r="J25" s="1123"/>
      <c r="K25" s="2747" t="s">
        <v>687</v>
      </c>
      <c r="L25" s="2748"/>
      <c r="M25" s="819">
        <f>C43</f>
        <v>210941.50709333335</v>
      </c>
      <c r="N25" s="851">
        <f t="shared" ca="1" si="4"/>
        <v>0.15202329710078294</v>
      </c>
      <c r="O25" s="850">
        <f>M25/'Análise TEC'!$C$20</f>
        <v>20.651702064989113</v>
      </c>
      <c r="P25" s="1421">
        <f>M25/'Análise TEC'!$C$22</f>
        <v>13.8917004048583</v>
      </c>
      <c r="T25" s="1140"/>
      <c r="U25" s="1141"/>
      <c r="V25" s="1141"/>
      <c r="W25" s="1144"/>
      <c r="X25" s="1144"/>
      <c r="Y25" s="1144"/>
      <c r="Z25" s="463"/>
      <c r="AA25" s="463"/>
      <c r="AB25" s="463"/>
      <c r="AC25" s="463"/>
      <c r="BA25" s="459" t="str">
        <f>VLOOKUP(Rebanho!$C89,Rebanho!$AD$46:$AE$56,2)</f>
        <v>Vacas primíparas</v>
      </c>
      <c r="BB25" s="466">
        <f>IF(AND(Rebanho!$K89=Rebanho!$J89,Rebanho!$J89=BB$1),Rebanho!$I89,IF(AND(Rebanho!$K89&gt;=Rebanho!$J89,AND(Rebanho!$J89&lt;=BB$1,Rebanho!$K89&gt;=BB$1)),Rebanho!$I89/(Rebanho!$K89-Rebanho!$J89+1),0))</f>
        <v>0</v>
      </c>
      <c r="BC25" s="466">
        <f>IF(AND(Rebanho!$K89=Rebanho!$J89,Rebanho!$J89=BC$1),Rebanho!$I89,IF(AND(Rebanho!$K89&gt;=Rebanho!$J89,AND(Rebanho!$J89&lt;=BC$1,Rebanho!$K89&gt;=BC$1)),Rebanho!$I89/(Rebanho!$K89-Rebanho!$J89+1),0))</f>
        <v>0</v>
      </c>
      <c r="BD25" s="466">
        <f>IF(AND(Rebanho!$K89=Rebanho!$J89,Rebanho!$J89=BD$1),Rebanho!$I89,IF(AND(Rebanho!$K89&gt;=Rebanho!$J89,AND(Rebanho!$J89&lt;=BD$1,Rebanho!$K89&gt;=BD$1)),Rebanho!$I89/(Rebanho!$K89-Rebanho!$J89+1),0))</f>
        <v>0</v>
      </c>
      <c r="BE25" s="466">
        <f>IF(AND(Rebanho!$K89=Rebanho!$J89,Rebanho!$J89=BE$1),Rebanho!$I89,IF(AND(Rebanho!$K89&gt;=Rebanho!$J89,AND(Rebanho!$J89&lt;=BE$1,Rebanho!$K89&gt;=BE$1)),Rebanho!$I89/(Rebanho!$K89-Rebanho!$J89+1),0))</f>
        <v>0</v>
      </c>
      <c r="BF25" s="466">
        <f>IF(AND(Rebanho!$K89=Rebanho!$J89,Rebanho!$J89=BF$1),Rebanho!$I89,IF(AND(Rebanho!$K89&gt;=Rebanho!$J89,AND(Rebanho!$J89&lt;=BF$1,Rebanho!$K89&gt;=BF$1)),Rebanho!$I89/(Rebanho!$K89-Rebanho!$J89+1),0))</f>
        <v>0</v>
      </c>
      <c r="BG25" s="466">
        <f>IF(AND(Rebanho!$K89=Rebanho!$J89,Rebanho!$J89=BG$1),Rebanho!$I89,IF(AND(Rebanho!$K89&gt;=Rebanho!$J89,AND(Rebanho!$J89&lt;=BG$1,Rebanho!$K89&gt;=BG$1)),Rebanho!$I89/(Rebanho!$K89-Rebanho!$J89+1),0))</f>
        <v>0</v>
      </c>
      <c r="BH25" s="466">
        <f>IF(AND(Rebanho!$K89=Rebanho!$J89,Rebanho!$J89=BH$1),Rebanho!$I89,IF(AND(Rebanho!$K89&gt;=Rebanho!$J89,AND(Rebanho!$J89&lt;=BH$1,Rebanho!$K89&gt;=BH$1)),Rebanho!$I89/(Rebanho!$K89-Rebanho!$J89+1),0))</f>
        <v>0</v>
      </c>
      <c r="BI25" s="466">
        <f>IF(AND(Rebanho!$K89=Rebanho!$J89,Rebanho!$J89=BI$1),Rebanho!$I89,IF(AND(Rebanho!$K89&gt;=Rebanho!$J89,AND(Rebanho!$J89&lt;=BI$1,Rebanho!$K89&gt;=BI$1)),Rebanho!$I89/(Rebanho!$K89-Rebanho!$J89+1),0))</f>
        <v>0</v>
      </c>
      <c r="BJ25" s="466">
        <f>IF(AND(Rebanho!$K89=Rebanho!$J89,Rebanho!$J89=BJ$1),Rebanho!$I89,IF(AND(Rebanho!$K89&gt;=Rebanho!$J89,AND(Rebanho!$J89&lt;=BJ$1,Rebanho!$K89&gt;=BJ$1)),Rebanho!$I89/(Rebanho!$K89-Rebanho!$J89+1),0))</f>
        <v>0</v>
      </c>
      <c r="BK25" s="466">
        <f>IF(AND(Rebanho!$K89=Rebanho!$J89,Rebanho!$J89=BK$1),Rebanho!$I89,IF(AND(Rebanho!$K89&gt;=Rebanho!$J89,AND(Rebanho!$J89&lt;=BK$1,Rebanho!$K89&gt;=BK$1)),Rebanho!$I89/(Rebanho!$K89-Rebanho!$J89+1),0))</f>
        <v>0</v>
      </c>
      <c r="BL25" s="466">
        <f>IF(AND(Rebanho!$K89=Rebanho!$J89,Rebanho!$J89=BL$1),Rebanho!$I89,IF(AND(Rebanho!$K89&gt;=Rebanho!$J89,AND(Rebanho!$J89&lt;=BL$1,Rebanho!$K89&gt;=BL$1)),Rebanho!$I89/(Rebanho!$K89-Rebanho!$J89+1),0))</f>
        <v>0</v>
      </c>
      <c r="BM25" s="466">
        <f>IF(AND(Rebanho!$K89=Rebanho!$J89,Rebanho!$J89=BM$1),Rebanho!$I89,IF(AND(Rebanho!$K89&gt;=Rebanho!$J89,AND(Rebanho!$J89&lt;=BM$1,Rebanho!$K89&gt;=BM$1)),Rebanho!$I89/(Rebanho!$K89-Rebanho!$J89+1),0))</f>
        <v>0</v>
      </c>
      <c r="BN25" s="466">
        <f>IF(AND(Rebanho!$K89=Rebanho!$J89,Rebanho!$J89=BN$1),Rebanho!$I89,IF(AND(Rebanho!$K89&gt;=Rebanho!$J89,AND(Rebanho!$J89&lt;=BN$1,Rebanho!$K89&gt;=BN$1)),Rebanho!$I89/(Rebanho!$K89-Rebanho!$J89+1),0))</f>
        <v>0</v>
      </c>
      <c r="BO25" s="466">
        <f>IF(AND(Rebanho!$K89=Rebanho!$J89,Rebanho!$J89=BO$1),Rebanho!$I89,IF(AND(Rebanho!$K89&gt;=Rebanho!$J89,AND(Rebanho!$J89&lt;=BO$1,Rebanho!$K89&gt;=BO$1)),Rebanho!$I89/(Rebanho!$K89-Rebanho!$J89+1),0))</f>
        <v>0</v>
      </c>
      <c r="BP25" s="466">
        <f>IF(AND(Rebanho!$K89=Rebanho!$J89,Rebanho!$J89=BP$1),Rebanho!$I89,IF(AND(Rebanho!$K89&gt;=Rebanho!$J89,AND(Rebanho!$J89&lt;=BP$1,Rebanho!$K89&gt;=BP$1)),Rebanho!$I89/(Rebanho!$K89-Rebanho!$J89+1),0))</f>
        <v>0</v>
      </c>
      <c r="BQ25" s="466">
        <f>IF(AND(Rebanho!$K89=Rebanho!$J89,Rebanho!$J89=BQ$1),Rebanho!$I89,IF(AND(Rebanho!$K89&gt;=Rebanho!$J89,AND(Rebanho!$J89&lt;=BQ$1,Rebanho!$K89&gt;=BQ$1)),Rebanho!$I89/(Rebanho!$K89-Rebanho!$J89+1),0))</f>
        <v>0</v>
      </c>
      <c r="BR25" s="466">
        <f>IF(AND(Rebanho!$K89=Rebanho!$J89,Rebanho!$J89=BR$1),Rebanho!$I89,IF(AND(Rebanho!$K89&gt;=Rebanho!$J89,AND(Rebanho!$J89&lt;=BR$1,Rebanho!$K89&gt;=BR$1)),Rebanho!$I89/(Rebanho!$K89-Rebanho!$J89+1),0))</f>
        <v>0</v>
      </c>
      <c r="BS25" s="466">
        <f>IF(AND(Rebanho!$K89=Rebanho!$J89,Rebanho!$J89=BS$1),Rebanho!$I89,IF(AND(Rebanho!$K89&gt;=Rebanho!$J89,AND(Rebanho!$J89&lt;=BS$1,Rebanho!$K89&gt;=BS$1)),Rebanho!$I89/(Rebanho!$K89-Rebanho!$J89+1),0))</f>
        <v>0</v>
      </c>
      <c r="BT25" s="467">
        <f>IF(AND(Rebanho!$K89=Rebanho!$J89,Rebanho!$J89=BT$1),Rebanho!$I89,IF(AND(Rebanho!$K89&gt;=Rebanho!$J89,AND(Rebanho!$J89&lt;=BT$1,Rebanho!$K89&gt;=BT$1)),Rebanho!$I89/(Rebanho!$K89-Rebanho!$J89+1),0))</f>
        <v>0</v>
      </c>
      <c r="CG25" s="589" t="s">
        <v>925</v>
      </c>
      <c r="CH25" s="645">
        <f>Agricultura!AB17</f>
        <v>0</v>
      </c>
      <c r="CI25" s="670"/>
      <c r="CJ25" s="646"/>
    </row>
    <row r="26" spans="2:88" ht="13.5" thickBot="1" x14ac:dyDescent="0.25">
      <c r="B26" s="464" t="s">
        <v>1062</v>
      </c>
      <c r="C26" s="1281">
        <f>Suplementação!AE48</f>
        <v>13084.5</v>
      </c>
      <c r="D26" s="1254">
        <f t="shared" ca="1" si="5"/>
        <v>9.4298597669309064E-3</v>
      </c>
      <c r="E26" s="1254">
        <f t="shared" ca="1" si="0"/>
        <v>9.4298597669309064E-3</v>
      </c>
      <c r="F26" s="1270">
        <f t="shared" ca="1" si="1"/>
        <v>7.8795604859404778E-3</v>
      </c>
      <c r="G26" s="1262">
        <f t="shared" ca="1" si="2"/>
        <v>5.812123071591937E-3</v>
      </c>
      <c r="H26" s="1379">
        <f>IF(C26=0,0,C26/'Análise TEC'!$C$20)</f>
        <v>1.2810053336244989</v>
      </c>
      <c r="I26" s="1383">
        <f>IF(C26=0,0,C26/Rebanho!$X$89)</f>
        <v>0.86168889400673576</v>
      </c>
      <c r="J26" s="1123"/>
      <c r="K26" s="2754" t="s">
        <v>1033</v>
      </c>
      <c r="L26" s="2755"/>
      <c r="M26" s="820">
        <f>C44</f>
        <v>880000</v>
      </c>
      <c r="N26" s="852">
        <f t="shared" ca="1" si="4"/>
        <v>0.63420662577088904</v>
      </c>
      <c r="O26" s="853">
        <f>M26/'Análise TEC'!$C$20</f>
        <v>86.154204867557723</v>
      </c>
      <c r="P26" s="1422">
        <f>M26/'Análise TEC'!$C$22</f>
        <v>57.953015149675373</v>
      </c>
      <c r="T26" s="1140"/>
      <c r="U26" s="1141"/>
      <c r="V26" s="1141"/>
      <c r="W26" s="1144"/>
      <c r="X26" s="1144"/>
      <c r="Y26" s="1144"/>
      <c r="Z26" s="463"/>
      <c r="AA26" s="463"/>
      <c r="AB26" s="463"/>
      <c r="AC26" s="463"/>
      <c r="BA26" s="859"/>
      <c r="BB26" s="860"/>
      <c r="BC26" s="860"/>
      <c r="BD26" s="860"/>
      <c r="BE26" s="860"/>
      <c r="BF26" s="860"/>
      <c r="BG26" s="860"/>
      <c r="BH26" s="860"/>
      <c r="BI26" s="860"/>
      <c r="BJ26" s="860"/>
      <c r="BK26" s="860"/>
      <c r="BL26" s="860"/>
      <c r="BM26" s="860"/>
      <c r="BN26" s="860"/>
      <c r="BO26" s="860"/>
      <c r="BP26" s="860"/>
      <c r="BQ26" s="860"/>
      <c r="BR26" s="860"/>
      <c r="BS26" s="860"/>
      <c r="BT26" s="861"/>
      <c r="CG26" s="589"/>
      <c r="CH26" s="645"/>
      <c r="CI26" s="670"/>
      <c r="CJ26" s="646"/>
    </row>
    <row r="27" spans="2:88" ht="13.5" thickBot="1" x14ac:dyDescent="0.25">
      <c r="B27" s="863" t="s">
        <v>1063</v>
      </c>
      <c r="C27" s="1279">
        <f>Alimentação!X33</f>
        <v>4282.2</v>
      </c>
      <c r="D27" s="1257">
        <f t="shared" ca="1" si="5"/>
        <v>3.086135923722842E-3</v>
      </c>
      <c r="E27" s="1257">
        <f t="shared" ca="1" si="0"/>
        <v>3.086135923722842E-3</v>
      </c>
      <c r="F27" s="1273">
        <f t="shared" ca="1" si="1"/>
        <v>2.5787652499441563E-3</v>
      </c>
      <c r="G27" s="1265">
        <f t="shared" ca="1" si="2"/>
        <v>1.9021493688846339E-3</v>
      </c>
      <c r="H27" s="1380">
        <f>IF(C27=0,0,C27/'Análise TEC'!$C$20)</f>
        <v>0.41923810918619958</v>
      </c>
      <c r="I27" s="1384">
        <f>IF(C27=0,0,C27/Rebanho!$X$89)</f>
        <v>0.28200727440220441</v>
      </c>
      <c r="J27" s="704"/>
      <c r="K27" s="2765" t="s">
        <v>813</v>
      </c>
      <c r="L27" s="2766"/>
      <c r="M27" s="1096">
        <f ca="1">SUM(M14:M26)</f>
        <v>1387560.4010449196</v>
      </c>
      <c r="N27" s="1097"/>
      <c r="O27" s="1097"/>
      <c r="P27" s="1423"/>
      <c r="T27" s="1140"/>
      <c r="U27" s="1141"/>
      <c r="V27" s="1141"/>
      <c r="W27" s="1144"/>
      <c r="X27" s="1144"/>
      <c r="Y27" s="1144"/>
      <c r="Z27" s="463"/>
      <c r="AA27" s="463"/>
      <c r="AB27" s="463"/>
      <c r="AC27" s="463"/>
      <c r="BA27" s="859"/>
      <c r="BB27" s="860"/>
      <c r="BC27" s="860"/>
      <c r="BD27" s="860"/>
      <c r="BE27" s="860"/>
      <c r="BF27" s="860"/>
      <c r="BG27" s="860"/>
      <c r="BH27" s="860"/>
      <c r="BI27" s="860"/>
      <c r="BJ27" s="860"/>
      <c r="BK27" s="860"/>
      <c r="BL27" s="860"/>
      <c r="BM27" s="860"/>
      <c r="BN27" s="860"/>
      <c r="BO27" s="860"/>
      <c r="BP27" s="860"/>
      <c r="BQ27" s="860"/>
      <c r="BR27" s="860"/>
      <c r="BS27" s="860"/>
      <c r="BT27" s="861"/>
      <c r="CG27" s="589"/>
      <c r="CH27" s="645"/>
      <c r="CI27" s="670"/>
      <c r="CJ27" s="646"/>
    </row>
    <row r="28" spans="2:88" ht="14.25" thickTop="1" thickBot="1" x14ac:dyDescent="0.25">
      <c r="B28" s="566" t="s">
        <v>920</v>
      </c>
      <c r="C28" s="1280">
        <f>SUM(CH28:CJ28)</f>
        <v>20317.5</v>
      </c>
      <c r="D28" s="1252">
        <f t="shared" ca="1" si="5"/>
        <v>1.4642605817159133E-2</v>
      </c>
      <c r="E28" s="1252">
        <f t="shared" ca="1" si="0"/>
        <v>1.4642605817159133E-2</v>
      </c>
      <c r="F28" s="1268">
        <f t="shared" ca="1" si="1"/>
        <v>1.2235314316412216E-2</v>
      </c>
      <c r="G28" s="1260">
        <f t="shared" ca="1" si="2"/>
        <v>9.0250151329488472E-3</v>
      </c>
      <c r="H28" s="1386">
        <f>IF(C28=0,0,C28/'Análise TEC'!$C$20)</f>
        <v>1.9891341561325044</v>
      </c>
      <c r="I28" s="1389">
        <f>IF(C28=0,0,C28/Rebanho!$X$89)</f>
        <v>1.3380231651176471</v>
      </c>
      <c r="M28" s="1297">
        <f ca="1">M27-M26-M24-M22-M23-M25-M15</f>
        <v>151686.86805611409</v>
      </c>
      <c r="T28" s="1140"/>
      <c r="U28" s="1141"/>
      <c r="V28" s="1141"/>
      <c r="W28" s="1144"/>
      <c r="X28" s="1144"/>
      <c r="Y28" s="1144"/>
      <c r="Z28" s="463"/>
      <c r="AA28" s="463"/>
      <c r="AB28" s="463"/>
      <c r="AC28" s="463"/>
      <c r="BA28" s="468" t="s">
        <v>2</v>
      </c>
      <c r="BB28" s="469">
        <f t="shared" ref="BB28:BT28" si="6">SUM(BB4:BB25)</f>
        <v>1746242.1884112596</v>
      </c>
      <c r="BC28" s="470">
        <f t="shared" si="6"/>
        <v>0</v>
      </c>
      <c r="BD28" s="470">
        <f t="shared" si="6"/>
        <v>0</v>
      </c>
      <c r="BE28" s="470">
        <f t="shared" si="6"/>
        <v>0</v>
      </c>
      <c r="BF28" s="470">
        <f t="shared" si="6"/>
        <v>0</v>
      </c>
      <c r="BG28" s="470">
        <f t="shared" si="6"/>
        <v>0</v>
      </c>
      <c r="BH28" s="470">
        <f t="shared" si="6"/>
        <v>0</v>
      </c>
      <c r="BI28" s="470">
        <f t="shared" si="6"/>
        <v>0</v>
      </c>
      <c r="BJ28" s="470">
        <f t="shared" si="6"/>
        <v>0</v>
      </c>
      <c r="BK28" s="470">
        <f t="shared" si="6"/>
        <v>0</v>
      </c>
      <c r="BL28" s="470">
        <f t="shared" si="6"/>
        <v>0</v>
      </c>
      <c r="BM28" s="470">
        <f t="shared" si="6"/>
        <v>0</v>
      </c>
      <c r="BN28" s="470">
        <f t="shared" si="6"/>
        <v>0</v>
      </c>
      <c r="BO28" s="470">
        <f t="shared" si="6"/>
        <v>0</v>
      </c>
      <c r="BP28" s="470">
        <f t="shared" si="6"/>
        <v>0</v>
      </c>
      <c r="BQ28" s="470">
        <f t="shared" si="6"/>
        <v>0</v>
      </c>
      <c r="BR28" s="470">
        <f t="shared" si="6"/>
        <v>0</v>
      </c>
      <c r="BS28" s="470">
        <f t="shared" si="6"/>
        <v>0</v>
      </c>
      <c r="BT28" s="471">
        <f t="shared" si="6"/>
        <v>0</v>
      </c>
      <c r="CG28" s="589" t="s">
        <v>920</v>
      </c>
      <c r="CH28" s="666">
        <f>Pastagem!AB18</f>
        <v>20317.5</v>
      </c>
      <c r="CI28" s="671"/>
      <c r="CJ28" s="667"/>
    </row>
    <row r="29" spans="2:88" ht="15.75" thickBot="1" x14ac:dyDescent="0.3">
      <c r="B29" s="863" t="s">
        <v>926</v>
      </c>
      <c r="C29" s="1279">
        <f>SUM(CH29:CJ29)</f>
        <v>0</v>
      </c>
      <c r="D29" s="1257">
        <f t="shared" ca="1" si="5"/>
        <v>0</v>
      </c>
      <c r="E29" s="1257" t="str">
        <f t="shared" si="0"/>
        <v>-</v>
      </c>
      <c r="F29" s="1273" t="str">
        <f t="shared" si="1"/>
        <v>-</v>
      </c>
      <c r="G29" s="1265" t="str">
        <f t="shared" si="2"/>
        <v>-</v>
      </c>
      <c r="H29" s="1380">
        <f>IF(C29=0,0,C29/'Análise TEC'!$C$20)</f>
        <v>0</v>
      </c>
      <c r="I29" s="1384">
        <f>IF(C29=0,0,C29/Rebanho!$X$89)</f>
        <v>0</v>
      </c>
      <c r="K29" s="2751" t="s">
        <v>1290</v>
      </c>
      <c r="L29" s="2752"/>
      <c r="M29" s="2752"/>
      <c r="N29" s="2752"/>
      <c r="O29" s="2752"/>
      <c r="P29" s="2753"/>
      <c r="T29" s="1140"/>
      <c r="U29" s="1141"/>
      <c r="V29" s="1141"/>
      <c r="W29" s="1144"/>
      <c r="X29" s="1144"/>
      <c r="Y29" s="1144"/>
      <c r="Z29" s="463"/>
      <c r="AA29" s="463"/>
      <c r="AB29" s="463"/>
      <c r="AC29" s="463"/>
      <c r="BA29" s="489"/>
      <c r="BB29" s="440"/>
      <c r="BC29" s="440"/>
      <c r="BD29" s="440"/>
      <c r="BE29" s="440"/>
      <c r="BF29" s="440"/>
      <c r="BG29" s="440"/>
      <c r="BH29" s="440"/>
      <c r="BI29" s="440"/>
      <c r="BJ29" s="440"/>
      <c r="BK29" s="440"/>
      <c r="BL29" s="440"/>
      <c r="BM29" s="440"/>
      <c r="BN29" s="440"/>
      <c r="BO29" s="440"/>
      <c r="BP29" s="440"/>
      <c r="BQ29" s="440"/>
      <c r="BR29" s="440"/>
      <c r="BS29" s="440"/>
      <c r="BT29" s="440"/>
      <c r="CG29" s="589" t="s">
        <v>926</v>
      </c>
      <c r="CH29" s="645">
        <f>Agricultura!AB18</f>
        <v>0</v>
      </c>
      <c r="CI29" s="670"/>
      <c r="CJ29" s="646"/>
    </row>
    <row r="30" spans="2:88" ht="14.25" thickTop="1" thickBot="1" x14ac:dyDescent="0.25">
      <c r="B30" s="1427" t="s">
        <v>921</v>
      </c>
      <c r="C30" s="1280">
        <f>SUM(CH30:CJ30)</f>
        <v>0</v>
      </c>
      <c r="D30" s="1252">
        <f t="shared" ca="1" si="5"/>
        <v>0</v>
      </c>
      <c r="E30" s="1252" t="str">
        <f t="shared" si="0"/>
        <v>-</v>
      </c>
      <c r="F30" s="1268" t="str">
        <f t="shared" si="1"/>
        <v>-</v>
      </c>
      <c r="G30" s="1260" t="str">
        <f t="shared" si="2"/>
        <v>-</v>
      </c>
      <c r="H30" s="1386">
        <f>IF(C30=0,0,C30/'Análise TEC'!$C$20)</f>
        <v>0</v>
      </c>
      <c r="I30" s="1389">
        <f>IF(C30=0,0,C30/Rebanho!$X$89)</f>
        <v>0</v>
      </c>
      <c r="K30" s="2742" t="s">
        <v>53</v>
      </c>
      <c r="L30" s="2743"/>
      <c r="M30" s="1424" t="s">
        <v>1291</v>
      </c>
      <c r="N30" s="848" t="s">
        <v>1292</v>
      </c>
      <c r="O30" s="848" t="s">
        <v>1293</v>
      </c>
      <c r="P30" s="1419" t="s">
        <v>1294</v>
      </c>
      <c r="T30" s="1142"/>
      <c r="U30" s="1143"/>
      <c r="V30" s="1141"/>
      <c r="BA30" s="489"/>
      <c r="BB30" s="440"/>
      <c r="BC30" s="440"/>
      <c r="BD30" s="440"/>
      <c r="BE30" s="440"/>
      <c r="BF30" s="440"/>
      <c r="BG30" s="440"/>
      <c r="BH30" s="440"/>
      <c r="BI30" s="440"/>
      <c r="BJ30" s="440"/>
      <c r="BK30" s="440"/>
      <c r="BL30" s="440"/>
      <c r="BM30" s="440"/>
      <c r="BN30" s="440"/>
      <c r="BO30" s="440"/>
      <c r="BP30" s="440"/>
      <c r="BQ30" s="440"/>
      <c r="BR30" s="440"/>
      <c r="BS30" s="440"/>
      <c r="BT30" s="440"/>
      <c r="CG30" s="589" t="s">
        <v>921</v>
      </c>
      <c r="CH30" s="666">
        <f>Pastagem!AB19</f>
        <v>0</v>
      </c>
      <c r="CI30" s="671"/>
      <c r="CJ30" s="667"/>
    </row>
    <row r="31" spans="2:88" ht="14.25" thickTop="1" thickBot="1" x14ac:dyDescent="0.25">
      <c r="B31" s="464" t="s">
        <v>927</v>
      </c>
      <c r="C31" s="1281">
        <f>SUM(CH31:CJ31)</f>
        <v>0</v>
      </c>
      <c r="D31" s="1254">
        <f t="shared" ca="1" si="5"/>
        <v>0</v>
      </c>
      <c r="E31" s="1254" t="str">
        <f t="shared" si="0"/>
        <v>-</v>
      </c>
      <c r="F31" s="1270" t="str">
        <f t="shared" si="1"/>
        <v>-</v>
      </c>
      <c r="G31" s="1262" t="str">
        <f t="shared" si="2"/>
        <v>-</v>
      </c>
      <c r="H31" s="1379">
        <f>IF(C31=0,0,C31/'Análise TEC'!$C$20)</f>
        <v>0</v>
      </c>
      <c r="I31" s="1383">
        <f>IF(C31=0,0,C31/Rebanho!$X$89)</f>
        <v>0</v>
      </c>
      <c r="K31" s="2756" t="s">
        <v>12</v>
      </c>
      <c r="L31" s="2757"/>
      <c r="M31" s="821" t="e">
        <f>SUMIF(Rebanho!$C$79:$C$89,2,Rebanho!$I$79:$I$89)/SUMIF(Rebanho!$C$79:$C$89,2,Rebanho!$D$79:$D$89)</f>
        <v>#DIV/0!</v>
      </c>
      <c r="N31" s="1425" t="e">
        <f ca="1">$C$45/SUMIF(Rebanho!$C$79:$C$89,2,Rebanho!$D$79:$D$89)</f>
        <v>#DIV/0!</v>
      </c>
      <c r="O31" s="1426" t="e">
        <f ca="1">$C$66/SUMIF(Rebanho!$C$79:$C$89,2,Rebanho!$D$79:$D$89)</f>
        <v>#DIV/0!</v>
      </c>
      <c r="P31" s="1429" t="e">
        <f ca="1">$C$80/SUMIF(Rebanho!$C$79:$C$89,2,Rebanho!$D$79:$D$89)</f>
        <v>#DIV/0!</v>
      </c>
      <c r="T31" s="1139"/>
      <c r="BA31" s="489"/>
      <c r="BB31" s="440"/>
      <c r="BC31" s="440"/>
      <c r="BD31" s="440"/>
      <c r="BE31" s="440"/>
      <c r="BF31" s="440"/>
      <c r="BG31" s="440"/>
      <c r="BH31" s="440"/>
      <c r="BI31" s="440"/>
      <c r="BJ31" s="440"/>
      <c r="BK31" s="440"/>
      <c r="BL31" s="440"/>
      <c r="BM31" s="440"/>
      <c r="BN31" s="440"/>
      <c r="BO31" s="440"/>
      <c r="BP31" s="440"/>
      <c r="BQ31" s="440"/>
      <c r="BR31" s="440"/>
      <c r="BS31" s="440"/>
      <c r="BT31" s="440"/>
      <c r="CG31" s="589" t="s">
        <v>927</v>
      </c>
      <c r="CH31" s="645">
        <f>Agricultura!AB19</f>
        <v>0</v>
      </c>
      <c r="CI31" s="670"/>
      <c r="CJ31" s="646"/>
    </row>
    <row r="32" spans="2:88" ht="14.25" thickTop="1" thickBot="1" x14ac:dyDescent="0.25">
      <c r="B32" s="1418" t="s">
        <v>1288</v>
      </c>
      <c r="C32" s="1281">
        <f>SUM('Mão-de-obra'!W11:W29)-C33-C34</f>
        <v>23002.155733333333</v>
      </c>
      <c r="D32" s="1254">
        <f t="shared" ca="1" si="5"/>
        <v>1.6577408605788456E-2</v>
      </c>
      <c r="E32" s="1254">
        <f t="shared" ca="1" si="0"/>
        <v>1.6577408605788456E-2</v>
      </c>
      <c r="F32" s="1270">
        <f t="shared" ca="1" si="1"/>
        <v>1.3852029302443543E-2</v>
      </c>
      <c r="G32" s="1262">
        <f t="shared" ca="1" si="2"/>
        <v>1.0217536782762614E-2</v>
      </c>
      <c r="H32" s="1379">
        <f>IF(C32=0,0,C32/'Análise TEC'!$C$20)</f>
        <v>2.2519686789148494</v>
      </c>
      <c r="I32" s="1383">
        <f>IF(C32=0,0,C32/Rebanho!$X$89)</f>
        <v>1.5148230451012035</v>
      </c>
      <c r="K32" s="2744" t="s">
        <v>695</v>
      </c>
      <c r="L32" s="2745"/>
      <c r="M32" s="821" t="e">
        <f>SUMIF(Rebanho!$C$79:$C$89,2,Rebanho!$I$79:$I$89)/SUMIF(Rebanho!$C$79:$C$89,3,Rebanho!$D$79:$D$89)</f>
        <v>#DIV/0!</v>
      </c>
      <c r="N32" s="1425" t="e">
        <f ca="1">$C$45/SUMIF(Rebanho!$C$79:$C$89,3,Rebanho!$D$79:$D$89)</f>
        <v>#DIV/0!</v>
      </c>
      <c r="O32" s="1426" t="e">
        <f ca="1">$C$66/SUMIF(Rebanho!$C$79:$C$89,3,Rebanho!$D$79:$D$89)</f>
        <v>#DIV/0!</v>
      </c>
      <c r="P32" s="1429" t="e">
        <f ca="1">$C$80/SUMIF(Rebanho!$C$79:$C$89,3,Rebanho!$D$79:$D$89)</f>
        <v>#DIV/0!</v>
      </c>
      <c r="BA32" s="489"/>
      <c r="BB32" s="440"/>
      <c r="BC32" s="440"/>
      <c r="BD32" s="440"/>
      <c r="BE32" s="440"/>
      <c r="BF32" s="440"/>
      <c r="BG32" s="440"/>
      <c r="BH32" s="440"/>
      <c r="BI32" s="440"/>
      <c r="BJ32" s="440"/>
      <c r="BK32" s="440"/>
      <c r="BL32" s="440"/>
      <c r="BM32" s="440"/>
      <c r="BN32" s="440"/>
      <c r="BO32" s="440"/>
      <c r="BP32" s="440"/>
      <c r="BQ32" s="440"/>
      <c r="BR32" s="440"/>
      <c r="BS32" s="440"/>
      <c r="BT32" s="440"/>
      <c r="CG32" s="589"/>
      <c r="CH32" s="645"/>
      <c r="CI32" s="670"/>
      <c r="CJ32" s="646"/>
    </row>
    <row r="33" spans="2:88" ht="14.25" thickTop="1" thickBot="1" x14ac:dyDescent="0.25">
      <c r="B33" s="1418" t="s">
        <v>1289</v>
      </c>
      <c r="C33" s="1281">
        <f>SUMIF('Mão-de-obra'!C11:C29,12,'Mão-de-obra'!W11:W29)</f>
        <v>6720</v>
      </c>
      <c r="D33" s="1254">
        <f t="shared" ref="D33:D34" ca="1" si="7">IF($C$45=0,0,C33/$C$45)</f>
        <v>4.8430324149776978E-3</v>
      </c>
      <c r="E33" s="1254">
        <f t="shared" ref="E33:E34" ca="1" si="8">IF(C33=0,"-",C33/$C$45)</f>
        <v>4.8430324149776978E-3</v>
      </c>
      <c r="F33" s="1270">
        <f t="shared" ref="F33:F34" ca="1" si="9">IF(C33=0,"-",C33/$C$66)</f>
        <v>4.0468223062035237E-3</v>
      </c>
      <c r="G33" s="1262">
        <f t="shared" ref="G33:G34" ca="1" si="10">IF(C33=0,"-",C33/$C$80)</f>
        <v>2.9850179251096958E-3</v>
      </c>
      <c r="H33" s="1379">
        <f>IF(C33=0,0,C33/'Análise TEC'!$C$20)</f>
        <v>0.65790483717044079</v>
      </c>
      <c r="I33" s="1383">
        <f>IF(C33=0,0,C33/Rebanho!$X$89)</f>
        <v>0.44255029750661196</v>
      </c>
      <c r="K33" s="2744" t="s">
        <v>373</v>
      </c>
      <c r="L33" s="2745"/>
      <c r="M33" s="821" t="e">
        <f>SUMIF(Rebanho!$C$79:$C$89,2,Rebanho!$I$79:$I$89)/SUMIF(Rebanho!$C$79:$C$89,4,Rebanho!$D$79:$D$89)</f>
        <v>#DIV/0!</v>
      </c>
      <c r="N33" s="1425" t="e">
        <f ca="1">$C$45/SUMIF(Rebanho!$C$79:$C$89,4,Rebanho!$D$79:$D$89)</f>
        <v>#DIV/0!</v>
      </c>
      <c r="O33" s="1426" t="e">
        <f ca="1">$C$66/SUMIF(Rebanho!$C$79:$C$89,4,Rebanho!$D$79:$D$89)</f>
        <v>#DIV/0!</v>
      </c>
      <c r="P33" s="1429" t="e">
        <f ca="1">$C$80/SUMIF(Rebanho!$C$79:$C$89,4,Rebanho!$D$79:$D$89)</f>
        <v>#DIV/0!</v>
      </c>
      <c r="CG33" s="589"/>
      <c r="CH33" s="645"/>
      <c r="CI33" s="670"/>
      <c r="CJ33" s="646"/>
    </row>
    <row r="34" spans="2:88" ht="14.25" thickTop="1" thickBot="1" x14ac:dyDescent="0.25">
      <c r="B34" s="1417" t="s">
        <v>1287</v>
      </c>
      <c r="C34" s="1279">
        <f>SUMIF('Mão-de-obra'!C11:C29,3,'Mão-de-obra'!W11:W29)+SUMIF('Mão-de-obra'!C11:C29,4,'Mão-de-obra'!W11:W29)+SUMIF('Mão-de-obra'!C11:C29,5,'Mão-de-obra'!W11:W29)</f>
        <v>0</v>
      </c>
      <c r="D34" s="1257">
        <f t="shared" ca="1" si="7"/>
        <v>0</v>
      </c>
      <c r="E34" s="1257" t="str">
        <f t="shared" si="8"/>
        <v>-</v>
      </c>
      <c r="F34" s="1273" t="str">
        <f t="shared" si="9"/>
        <v>-</v>
      </c>
      <c r="G34" s="1265" t="str">
        <f t="shared" si="10"/>
        <v>-</v>
      </c>
      <c r="H34" s="1380">
        <f>IF(C34=0,0,C34/'Análise TEC'!$C$20)</f>
        <v>0</v>
      </c>
      <c r="I34" s="1384">
        <f>IF(C34=0,0,C34/Rebanho!$X$89)</f>
        <v>0</v>
      </c>
      <c r="K34" s="2744" t="s">
        <v>383</v>
      </c>
      <c r="L34" s="2745"/>
      <c r="M34" s="821" t="e">
        <f>SUMIF(Rebanho!$C$79:$C$89,2,Rebanho!$I$79:$I$89)/SUMIF(Rebanho!$C$79:$C$89,4,Rebanho!$D$79:$D$89)</f>
        <v>#DIV/0!</v>
      </c>
      <c r="N34" s="1425" t="e">
        <f ca="1">$C$45/SUMIF(Rebanho!$C$79:$C$89,5,Rebanho!$D$79:$D$89)</f>
        <v>#DIV/0!</v>
      </c>
      <c r="O34" s="1426" t="e">
        <f ca="1">$C$66/SUMIF(Rebanho!$C$79:$C$89,5,Rebanho!$D$79:$D$89)</f>
        <v>#DIV/0!</v>
      </c>
      <c r="P34" s="1429" t="e">
        <f ca="1">$C$80/SUMIF(Rebanho!$C$79:$C$89,5,Rebanho!$D$79:$D$89)</f>
        <v>#DIV/0!</v>
      </c>
      <c r="CG34" s="589"/>
      <c r="CH34" s="645"/>
      <c r="CI34" s="670"/>
      <c r="CJ34" s="646"/>
    </row>
    <row r="35" spans="2:88" ht="14.25" thickTop="1" thickBot="1" x14ac:dyDescent="0.25">
      <c r="B35" s="566" t="s">
        <v>751</v>
      </c>
      <c r="C35" s="1280">
        <f>Sanidade!BC9+Sanidade!BC18+Sanidade!BC27+Sanidade!BC36+Sanidade!BC45+Sanidade!BC54+Sanidade!BC63+Sanidade!BC72+Sanidade!BC81+Sanidade!BC90+Sanidade!BC99+Sanidade!BC108</f>
        <v>250</v>
      </c>
      <c r="D35" s="1252">
        <f t="shared" ref="D35:D44" ca="1" si="11">IF($C$45=0,0,C35/$C$45)</f>
        <v>1.8017233686672983E-4</v>
      </c>
      <c r="E35" s="1252">
        <f t="shared" ref="E35:E44" ca="1" si="12">IF(C35=0,"-",C35/$C$45)</f>
        <v>1.8017233686672983E-4</v>
      </c>
      <c r="F35" s="1268">
        <f t="shared" ref="F35:F44" ca="1" si="13">IF(C35=0,"-",C35/$C$66)</f>
        <v>1.5055142508197633E-4</v>
      </c>
      <c r="G35" s="1260">
        <f t="shared" ref="G35:G44" ca="1" si="14">IF(C35=0,"-",C35/$C$80)</f>
        <v>1.1104977399961666E-4</v>
      </c>
      <c r="H35" s="1386">
        <f>IF(C35=0,0,C35/'Análise TEC'!$C$20)</f>
        <v>2.4475626382828897E-2</v>
      </c>
      <c r="I35" s="1389">
        <f>IF(C35=0,0,C35/Rebanho!$X$89)</f>
        <v>1.6463924758430504E-2</v>
      </c>
      <c r="K35" s="2744" t="s">
        <v>374</v>
      </c>
      <c r="L35" s="2745"/>
      <c r="M35" s="821">
        <f>SUMIF(Rebanho!$C$79:$C$89,2,Rebanho!$I$79:$I$89)/SUMIF(Rebanho!$C$79:$C$89,6,Rebanho!$D$79:$D$89)</f>
        <v>0</v>
      </c>
      <c r="N35" s="1425">
        <f ca="1">$C$45/SUMIF(Rebanho!$C$79:$C$89,6,Rebanho!$D$79:$D$89)</f>
        <v>1805.6443008075391</v>
      </c>
      <c r="O35" s="1426">
        <f ca="1">$C$66/SUMIF(Rebanho!$C$79:$C$89,6,Rebanho!$D$79:$D$89)</f>
        <v>2160.903844313953</v>
      </c>
      <c r="P35" s="1429">
        <f ca="1">$C$80/SUMIF(Rebanho!$C$79:$C$89,6,Rebanho!$D$79:$D$89)</f>
        <v>2929.5615966558362</v>
      </c>
      <c r="CG35" s="589"/>
      <c r="CH35" s="645"/>
      <c r="CI35" s="670"/>
      <c r="CJ35" s="646"/>
    </row>
    <row r="36" spans="2:88" ht="14.25" thickTop="1" thickBot="1" x14ac:dyDescent="0.25">
      <c r="B36" s="464" t="s">
        <v>750</v>
      </c>
      <c r="C36" s="1281">
        <f>Sanidade!BC8+Sanidade!BC17+Sanidade!BC26+Sanidade!BC35+Sanidade!BC44+Sanidade!BC53+Sanidade!BC71+Sanidade!BC80+Sanidade!BC89+Sanidade!BC98+Sanidade!BC107</f>
        <v>18913.364192331854</v>
      </c>
      <c r="D36" s="1254">
        <f t="shared" ca="1" si="11"/>
        <v>1.3630660098175842E-2</v>
      </c>
      <c r="E36" s="1254">
        <f t="shared" ca="1" si="12"/>
        <v>1.3630660098175842E-2</v>
      </c>
      <c r="F36" s="1270">
        <f t="shared" ca="1" si="13"/>
        <v>1.1389735728999931E-2</v>
      </c>
      <c r="G36" s="1262">
        <f t="shared" ca="1" si="14"/>
        <v>8.4012992765235793E-3</v>
      </c>
      <c r="H36" s="1379">
        <f>IF(C36=0,0,C36/'Análise TEC'!$C$20)</f>
        <v>1.8516657424555556</v>
      </c>
      <c r="I36" s="1383">
        <f>IF(C36=0,0,C36/Rebanho!$X$89)</f>
        <v>1.2455528199653816</v>
      </c>
      <c r="K36" s="2744" t="s">
        <v>379</v>
      </c>
      <c r="L36" s="2745"/>
      <c r="M36" s="821" t="e">
        <f>SUMIF(Rebanho!$C$79:$C$89,2,Rebanho!$I$79:$I$89)/SUMIF(Rebanho!$C$79:$C$89,7,Rebanho!$D$79:$D$89)</f>
        <v>#DIV/0!</v>
      </c>
      <c r="N36" s="1425" t="e">
        <f ca="1">$C$45/SUMIF(Rebanho!$C$79:$C$89,7,Rebanho!$D$79:$D$89)</f>
        <v>#DIV/0!</v>
      </c>
      <c r="O36" s="1426" t="e">
        <f ca="1">$C$66/SUMIF(Rebanho!$C$79:$C$89,7,Rebanho!$D$79:$D$89)</f>
        <v>#DIV/0!</v>
      </c>
      <c r="P36" s="1429" t="e">
        <f ca="1">$C$80/SUMIF(Rebanho!$C$79:$C$89,7,Rebanho!$D$79:$D$89)</f>
        <v>#DIV/0!</v>
      </c>
      <c r="BA36" s="472" t="s">
        <v>488</v>
      </c>
      <c r="CG36" s="589"/>
      <c r="CH36" s="645"/>
      <c r="CI36" s="670"/>
      <c r="CJ36" s="646"/>
    </row>
    <row r="37" spans="2:88" ht="14.25" thickTop="1" thickBot="1" x14ac:dyDescent="0.25">
      <c r="B37" s="464" t="s">
        <v>749</v>
      </c>
      <c r="C37" s="1281">
        <f>Sanidade!BC7+Sanidade!BC16+Sanidade!BC25+Sanidade!BC34+Sanidade!BC43+Sanidade!BC52+Sanidade!BC61+Sanidade!BC70+Sanidade!BC79+Sanidade!BC88+Sanidade!BC97+Sanidade!BC106</f>
        <v>9385.9076266666671</v>
      </c>
      <c r="D37" s="1254">
        <f t="shared" ca="1" si="11"/>
        <v>6.7643236428471818E-3</v>
      </c>
      <c r="E37" s="1254">
        <f t="shared" ca="1" si="12"/>
        <v>6.7643236428471818E-3</v>
      </c>
      <c r="F37" s="1270">
        <f t="shared" ca="1" si="13"/>
        <v>5.6522470755298281E-3</v>
      </c>
      <c r="G37" s="1262">
        <f t="shared" ca="1" si="14"/>
        <v>4.1692116828904472E-3</v>
      </c>
      <c r="H37" s="1379">
        <f>IF(C37=0,0,C37/'Análise TEC'!$C$20)</f>
        <v>0.91890387333615053</v>
      </c>
      <c r="I37" s="1383">
        <f>IF(C37=0,0,C37/Rebanho!$X$89)</f>
        <v>0.61811550782007618</v>
      </c>
      <c r="K37" s="2744" t="s">
        <v>13</v>
      </c>
      <c r="L37" s="2745"/>
      <c r="M37" s="821" t="e">
        <f>SUMIF(Rebanho!$C$79:$C$89,2,Rebanho!$I$79:$I$89)/SUMIF(Rebanho!$C$79:$C$89,8,Rebanho!$D$79:$D$89)</f>
        <v>#DIV/0!</v>
      </c>
      <c r="N37" s="1425" t="e">
        <f ca="1">$C$45/SUMIF(Rebanho!$C$79:$C$89,8,Rebanho!$D$79:$D$89)</f>
        <v>#DIV/0!</v>
      </c>
      <c r="O37" s="1426" t="e">
        <f ca="1">$C$66/SUMIF(Rebanho!$C$79:$C$89,8,Rebanho!$D$79:$D$89)</f>
        <v>#DIV/0!</v>
      </c>
      <c r="P37" s="1429" t="e">
        <f ca="1">$C$80/SUMIF(Rebanho!$C$79:$C$89,8,Rebanho!$D$79:$D$89)</f>
        <v>#DIV/0!</v>
      </c>
      <c r="BA37" s="454" t="str">
        <f>VLOOKUP(Rebanho!$C109,Rebanho!$AD$46:$AF$60,3)</f>
        <v>Bezerro desmamados</v>
      </c>
      <c r="BB37" s="455" t="e">
        <f>IF(AND(Rebanho!$I109=Rebanho!$H109,Rebanho!$H109=BB$1),Rebanho!#REF!,IF(AND(Rebanho!$I109&gt;=Rebanho!$H109,AND(Rebanho!$H109&lt;=BB$1,Rebanho!$I109&gt;=BB$1)),Rebanho!#REF!/(Rebanho!$I109-Rebanho!$H109+1),0))</f>
        <v>#REF!</v>
      </c>
      <c r="BC37" s="455">
        <f>IF(AND(Rebanho!$I109=Rebanho!$H109,Rebanho!$H109=BC$1),Rebanho!#REF!,IF(AND(Rebanho!$I109&gt;=Rebanho!$H109,AND(Rebanho!$H109&lt;=BC$1,Rebanho!$I109&gt;=BC$1)),Rebanho!#REF!/(Rebanho!$I109-Rebanho!$H109+1),0))</f>
        <v>0</v>
      </c>
      <c r="BD37" s="455">
        <f>IF(AND(Rebanho!$I109=Rebanho!$H109,Rebanho!$H109=BD$1),Rebanho!#REF!,IF(AND(Rebanho!$I109&gt;=Rebanho!$H109,AND(Rebanho!$H109&lt;=BD$1,Rebanho!$I109&gt;=BD$1)),Rebanho!#REF!/(Rebanho!$I109-Rebanho!$H109+1),0))</f>
        <v>0</v>
      </c>
      <c r="BE37" s="455">
        <f>IF(AND(Rebanho!$I109=Rebanho!$H109,Rebanho!$H109=BE$1),Rebanho!#REF!,IF(AND(Rebanho!$I109&gt;=Rebanho!$H109,AND(Rebanho!$H109&lt;=BE$1,Rebanho!$I109&gt;=BE$1)),Rebanho!#REF!/(Rebanho!$I109-Rebanho!$H109+1),0))</f>
        <v>0</v>
      </c>
      <c r="BF37" s="455">
        <f>IF(AND(Rebanho!$I109=Rebanho!$H109,Rebanho!$H109=BF$1),Rebanho!#REF!,IF(AND(Rebanho!$I109&gt;=Rebanho!$H109,AND(Rebanho!$H109&lt;=BF$1,Rebanho!$I109&gt;=BF$1)),Rebanho!#REF!/(Rebanho!$I109-Rebanho!$H109+1),0))</f>
        <v>0</v>
      </c>
      <c r="BG37" s="455">
        <f>IF(AND(Rebanho!$I109=Rebanho!$H109,Rebanho!$H109=BG$1),Rebanho!#REF!,IF(AND(Rebanho!$I109&gt;=Rebanho!$H109,AND(Rebanho!$H109&lt;=BG$1,Rebanho!$I109&gt;=BG$1)),Rebanho!#REF!/(Rebanho!$I109-Rebanho!$H109+1),0))</f>
        <v>0</v>
      </c>
      <c r="BH37" s="455">
        <f>IF(AND(Rebanho!$I109=Rebanho!$H109,Rebanho!$H109=BH$1),Rebanho!#REF!,IF(AND(Rebanho!$I109&gt;=Rebanho!$H109,AND(Rebanho!$H109&lt;=BH$1,Rebanho!$I109&gt;=BH$1)),Rebanho!#REF!/(Rebanho!$I109-Rebanho!$H109+1),0))</f>
        <v>0</v>
      </c>
      <c r="BI37" s="455">
        <f>IF(AND(Rebanho!$I109=Rebanho!$H109,Rebanho!$H109=BI$1),Rebanho!#REF!,IF(AND(Rebanho!$I109&gt;=Rebanho!$H109,AND(Rebanho!$H109&lt;=BI$1,Rebanho!$I109&gt;=BI$1)),Rebanho!#REF!/(Rebanho!$I109-Rebanho!$H109+1),0))</f>
        <v>0</v>
      </c>
      <c r="BJ37" s="455">
        <f>IF(AND(Rebanho!$I109=Rebanho!$H109,Rebanho!$H109=BJ$1),Rebanho!#REF!,IF(AND(Rebanho!$I109&gt;=Rebanho!$H109,AND(Rebanho!$H109&lt;=BJ$1,Rebanho!$I109&gt;=BJ$1)),Rebanho!#REF!/(Rebanho!$I109-Rebanho!$H109+1),0))</f>
        <v>0</v>
      </c>
      <c r="BK37" s="455">
        <f>IF(AND(Rebanho!$I109=Rebanho!$H109,Rebanho!$H109=BK$1),Rebanho!#REF!,IF(AND(Rebanho!$I109&gt;=Rebanho!$H109,AND(Rebanho!$H109&lt;=BK$1,Rebanho!$I109&gt;=BK$1)),Rebanho!#REF!/(Rebanho!$I109-Rebanho!$H109+1),0))</f>
        <v>0</v>
      </c>
      <c r="BL37" s="455">
        <f>IF(AND(Rebanho!$I109=Rebanho!$H109,Rebanho!$H109=BL$1),Rebanho!#REF!,IF(AND(Rebanho!$I109&gt;=Rebanho!$H109,AND(Rebanho!$H109&lt;=BL$1,Rebanho!$I109&gt;=BL$1)),Rebanho!#REF!/(Rebanho!$I109-Rebanho!$H109+1),0))</f>
        <v>0</v>
      </c>
      <c r="BM37" s="455">
        <f>IF(AND(Rebanho!$I109=Rebanho!$H109,Rebanho!$H109=BM$1),Rebanho!#REF!,IF(AND(Rebanho!$I109&gt;=Rebanho!$H109,AND(Rebanho!$H109&lt;=BM$1,Rebanho!$I109&gt;=BM$1)),Rebanho!#REF!/(Rebanho!$I109-Rebanho!$H109+1),0))</f>
        <v>0</v>
      </c>
      <c r="BN37" s="455">
        <f>IF(AND(Rebanho!$I109=Rebanho!$H109,Rebanho!$H109=BN$1),Rebanho!#REF!,IF(AND(Rebanho!$I109&gt;=Rebanho!$H109,AND(Rebanho!$H109&lt;=BN$1,Rebanho!$I109&gt;=BN$1)),Rebanho!#REF!/(Rebanho!$I109-Rebanho!$H109+1),0))</f>
        <v>0</v>
      </c>
      <c r="BO37" s="455">
        <f>IF(AND(Rebanho!$I109=Rebanho!$H109,Rebanho!$H109=BO$1),Rebanho!#REF!,IF(AND(Rebanho!$I109&gt;=Rebanho!$H109,AND(Rebanho!$H109&lt;=BO$1,Rebanho!$I109&gt;=BO$1)),Rebanho!#REF!/(Rebanho!$I109-Rebanho!$H109+1),0))</f>
        <v>0</v>
      </c>
      <c r="BP37" s="455">
        <f>IF(AND(Rebanho!$I109=Rebanho!$H109,Rebanho!$H109=BP$1),Rebanho!#REF!,IF(AND(Rebanho!$I109&gt;=Rebanho!$H109,AND(Rebanho!$H109&lt;=BP$1,Rebanho!$I109&gt;=BP$1)),Rebanho!#REF!/(Rebanho!$I109-Rebanho!$H109+1),0))</f>
        <v>0</v>
      </c>
      <c r="BQ37" s="455">
        <f>IF(AND(Rebanho!$I109=Rebanho!$H109,Rebanho!$H109=BQ$1),Rebanho!#REF!,IF(AND(Rebanho!$I109&gt;=Rebanho!$H109,AND(Rebanho!$H109&lt;=BQ$1,Rebanho!$I109&gt;=BQ$1)),Rebanho!#REF!/(Rebanho!$I109-Rebanho!$H109+1),0))</f>
        <v>0</v>
      </c>
      <c r="BR37" s="455">
        <f>IF(AND(Rebanho!$I109=Rebanho!$H109,Rebanho!$H109=BR$1),Rebanho!#REF!,IF(AND(Rebanho!$I109&gt;=Rebanho!$H109,AND(Rebanho!$H109&lt;=BR$1,Rebanho!$I109&gt;=BR$1)),Rebanho!#REF!/(Rebanho!$I109-Rebanho!$H109+1),0))</f>
        <v>0</v>
      </c>
      <c r="BS37" s="455">
        <f>IF(AND(Rebanho!$I109=Rebanho!$H109,Rebanho!$H109=BS$1),Rebanho!#REF!,IF(AND(Rebanho!$I109&gt;=Rebanho!$H109,AND(Rebanho!$H109&lt;=BS$1,Rebanho!$I109&gt;=BS$1)),Rebanho!#REF!/(Rebanho!$I109-Rebanho!$H109+1),0))</f>
        <v>0</v>
      </c>
      <c r="BT37" s="456">
        <f>IF(AND(Rebanho!$I109=Rebanho!$H109,Rebanho!$H109=BT$1),Rebanho!#REF!,IF(AND(Rebanho!$I109&gt;=Rebanho!$H109,AND(Rebanho!$H109&lt;=BT$1,Rebanho!$I109&gt;=BT$1)),Rebanho!#REF!/(Rebanho!$I109-Rebanho!$H109+1),0))</f>
        <v>0</v>
      </c>
      <c r="CG37" s="589"/>
      <c r="CH37" s="645"/>
      <c r="CI37" s="670"/>
      <c r="CJ37" s="646"/>
    </row>
    <row r="38" spans="2:88" ht="14.25" thickTop="1" thickBot="1" x14ac:dyDescent="0.25">
      <c r="B38" s="462" t="s">
        <v>303</v>
      </c>
      <c r="C38" s="1281">
        <f>Sanidade!BC10+Sanidade!BC19+Sanidade!BC28+Sanidade!BC37+Sanidade!BC46+Sanidade!BC55+Sanidade!BC64+Sanidade!BC73+Sanidade!BC82+Sanidade!BC91+Sanidade!BC100+Sanidade!BC109</f>
        <v>1380</v>
      </c>
      <c r="D38" s="1254">
        <f t="shared" ca="1" si="11"/>
        <v>9.9455129950434861E-4</v>
      </c>
      <c r="E38" s="1254">
        <f t="shared" ca="1" si="12"/>
        <v>9.9455129950434861E-4</v>
      </c>
      <c r="F38" s="1270">
        <f t="shared" ca="1" si="13"/>
        <v>8.3104386645250941E-4</v>
      </c>
      <c r="G38" s="1262">
        <f t="shared" ca="1" si="14"/>
        <v>6.1299475247788399E-4</v>
      </c>
      <c r="H38" s="1379">
        <f>IF(C38=0,0,C38/'Análise TEC'!$C$20)</f>
        <v>0.13510545763321552</v>
      </c>
      <c r="I38" s="1383">
        <f>IF(C38=0,0,C38/Rebanho!$X$89)</f>
        <v>9.0880864666536387E-2</v>
      </c>
      <c r="K38" s="2744" t="s">
        <v>696</v>
      </c>
      <c r="L38" s="2745"/>
      <c r="M38" s="821" t="e">
        <f>SUMIF(Rebanho!$C$79:$C$89,2,Rebanho!$I$79:$I$89)/SUMIF(Rebanho!$C$79:$C$89,9,Rebanho!$D$79:$D$89)</f>
        <v>#DIV/0!</v>
      </c>
      <c r="N38" s="1425" t="e">
        <f ca="1">$C$45/SUMIF(Rebanho!$C$79:$C$89,9,Rebanho!$D$79:$D$89)</f>
        <v>#DIV/0!</v>
      </c>
      <c r="O38" s="1426" t="e">
        <f ca="1">$C$66/SUMIF(Rebanho!$C$79:$C$89,9,Rebanho!$D$79:$D$89)</f>
        <v>#DIV/0!</v>
      </c>
      <c r="P38" s="1429" t="e">
        <f ca="1">$C$80/SUMIF(Rebanho!$C$79:$C$89,9,Rebanho!$D$79:$D$89)</f>
        <v>#DIV/0!</v>
      </c>
      <c r="BA38" s="459" t="e">
        <f>VLOOKUP(Rebanho!$C110,Rebanho!$AD$46:$AF$60,3)</f>
        <v>#N/A</v>
      </c>
      <c r="BB38" s="460" t="e">
        <f>IF(AND(Rebanho!$I111=Rebanho!$H111,Rebanho!$H111=BB$1),Rebanho!#REF!,IF(AND(Rebanho!$I111&gt;=Rebanho!$H111,AND(Rebanho!$H111&lt;=BB$1,Rebanho!$I111&gt;=BB$1)),Rebanho!#REF!/(Rebanho!$I111-Rebanho!$H111+1),0))</f>
        <v>#REF!</v>
      </c>
      <c r="BC38" s="460">
        <f>IF(AND(Rebanho!$I111=Rebanho!$H111,Rebanho!$H111=BC$1),Rebanho!#REF!,IF(AND(Rebanho!$I111&gt;=Rebanho!$H111,AND(Rebanho!$H111&lt;=BC$1,Rebanho!$I111&gt;=BC$1)),Rebanho!#REF!/(Rebanho!$I111-Rebanho!$H111+1),0))</f>
        <v>0</v>
      </c>
      <c r="BD38" s="460">
        <f>IF(AND(Rebanho!$I111=Rebanho!$H111,Rebanho!$H111=BD$1),Rebanho!#REF!,IF(AND(Rebanho!$I111&gt;=Rebanho!$H111,AND(Rebanho!$H111&lt;=BD$1,Rebanho!$I111&gt;=BD$1)),Rebanho!#REF!/(Rebanho!$I111-Rebanho!$H111+1),0))</f>
        <v>0</v>
      </c>
      <c r="BE38" s="460">
        <f>IF(AND(Rebanho!$I111=Rebanho!$H111,Rebanho!$H111=BE$1),Rebanho!#REF!,IF(AND(Rebanho!$I111&gt;=Rebanho!$H111,AND(Rebanho!$H111&lt;=BE$1,Rebanho!$I111&gt;=BE$1)),Rebanho!#REF!/(Rebanho!$I111-Rebanho!$H111+1),0))</f>
        <v>0</v>
      </c>
      <c r="BF38" s="460">
        <f>IF(AND(Rebanho!$I111=Rebanho!$H111,Rebanho!$H111=BF$1),Rebanho!#REF!,IF(AND(Rebanho!$I111&gt;=Rebanho!$H111,AND(Rebanho!$H111&lt;=BF$1,Rebanho!$I111&gt;=BF$1)),Rebanho!#REF!/(Rebanho!$I111-Rebanho!$H111+1),0))</f>
        <v>0</v>
      </c>
      <c r="BG38" s="460">
        <f>IF(AND(Rebanho!$I111=Rebanho!$H111,Rebanho!$H111=BG$1),Rebanho!#REF!,IF(AND(Rebanho!$I111&gt;=Rebanho!$H111,AND(Rebanho!$H111&lt;=BG$1,Rebanho!$I111&gt;=BG$1)),Rebanho!#REF!/(Rebanho!$I111-Rebanho!$H111+1),0))</f>
        <v>0</v>
      </c>
      <c r="BH38" s="460">
        <f>IF(AND(Rebanho!$I111=Rebanho!$H111,Rebanho!$H111=BH$1),Rebanho!#REF!,IF(AND(Rebanho!$I111&gt;=Rebanho!$H111,AND(Rebanho!$H111&lt;=BH$1,Rebanho!$I111&gt;=BH$1)),Rebanho!#REF!/(Rebanho!$I111-Rebanho!$H111+1),0))</f>
        <v>0</v>
      </c>
      <c r="BI38" s="460">
        <f>IF(AND(Rebanho!$I111=Rebanho!$H111,Rebanho!$H111=BI$1),Rebanho!#REF!,IF(AND(Rebanho!$I111&gt;=Rebanho!$H111,AND(Rebanho!$H111&lt;=BI$1,Rebanho!$I111&gt;=BI$1)),Rebanho!#REF!/(Rebanho!$I111-Rebanho!$H111+1),0))</f>
        <v>0</v>
      </c>
      <c r="BJ38" s="460">
        <f>IF(AND(Rebanho!$I111=Rebanho!$H111,Rebanho!$H111=BJ$1),Rebanho!#REF!,IF(AND(Rebanho!$I111&gt;=Rebanho!$H111,AND(Rebanho!$H111&lt;=BJ$1,Rebanho!$I111&gt;=BJ$1)),Rebanho!#REF!/(Rebanho!$I111-Rebanho!$H111+1),0))</f>
        <v>0</v>
      </c>
      <c r="BK38" s="460">
        <f>IF(AND(Rebanho!$I111=Rebanho!$H111,Rebanho!$H111=BK$1),Rebanho!#REF!,IF(AND(Rebanho!$I111&gt;=Rebanho!$H111,AND(Rebanho!$H111&lt;=BK$1,Rebanho!$I111&gt;=BK$1)),Rebanho!#REF!/(Rebanho!$I111-Rebanho!$H111+1),0))</f>
        <v>0</v>
      </c>
      <c r="BL38" s="460">
        <f>IF(AND(Rebanho!$I111=Rebanho!$H111,Rebanho!$H111=BL$1),Rebanho!#REF!,IF(AND(Rebanho!$I111&gt;=Rebanho!$H111,AND(Rebanho!$H111&lt;=BL$1,Rebanho!$I111&gt;=BL$1)),Rebanho!#REF!/(Rebanho!$I111-Rebanho!$H111+1),0))</f>
        <v>0</v>
      </c>
      <c r="BM38" s="460">
        <f>IF(AND(Rebanho!$I111=Rebanho!$H111,Rebanho!$H111=BM$1),Rebanho!#REF!,IF(AND(Rebanho!$I111&gt;=Rebanho!$H111,AND(Rebanho!$H111&lt;=BM$1,Rebanho!$I111&gt;=BM$1)),Rebanho!#REF!/(Rebanho!$I111-Rebanho!$H111+1),0))</f>
        <v>0</v>
      </c>
      <c r="BN38" s="460">
        <f>IF(AND(Rebanho!$I111=Rebanho!$H111,Rebanho!$H111=BN$1),Rebanho!#REF!,IF(AND(Rebanho!$I111&gt;=Rebanho!$H111,AND(Rebanho!$H111&lt;=BN$1,Rebanho!$I111&gt;=BN$1)),Rebanho!#REF!/(Rebanho!$I111-Rebanho!$H111+1),0))</f>
        <v>0</v>
      </c>
      <c r="BO38" s="460">
        <f>IF(AND(Rebanho!$I111=Rebanho!$H111,Rebanho!$H111=BO$1),Rebanho!#REF!,IF(AND(Rebanho!$I111&gt;=Rebanho!$H111,AND(Rebanho!$H111&lt;=BO$1,Rebanho!$I111&gt;=BO$1)),Rebanho!#REF!/(Rebanho!$I111-Rebanho!$H111+1),0))</f>
        <v>0</v>
      </c>
      <c r="BP38" s="460">
        <f>IF(AND(Rebanho!$I111=Rebanho!$H111,Rebanho!$H111=BP$1),Rebanho!#REF!,IF(AND(Rebanho!$I111&gt;=Rebanho!$H111,AND(Rebanho!$H111&lt;=BP$1,Rebanho!$I111&gt;=BP$1)),Rebanho!#REF!/(Rebanho!$I111-Rebanho!$H111+1),0))</f>
        <v>0</v>
      </c>
      <c r="BQ38" s="460">
        <f>IF(AND(Rebanho!$I111=Rebanho!$H111,Rebanho!$H111=BQ$1),Rebanho!#REF!,IF(AND(Rebanho!$I111&gt;=Rebanho!$H111,AND(Rebanho!$H111&lt;=BQ$1,Rebanho!$I111&gt;=BQ$1)),Rebanho!#REF!/(Rebanho!$I111-Rebanho!$H111+1),0))</f>
        <v>0</v>
      </c>
      <c r="BR38" s="460">
        <f>IF(AND(Rebanho!$I111=Rebanho!$H111,Rebanho!$H111=BR$1),Rebanho!#REF!,IF(AND(Rebanho!$I111&gt;=Rebanho!$H111,AND(Rebanho!$H111&lt;=BR$1,Rebanho!$I111&gt;=BR$1)),Rebanho!#REF!/(Rebanho!$I111-Rebanho!$H111+1),0))</f>
        <v>0</v>
      </c>
      <c r="BS38" s="460">
        <f>IF(AND(Rebanho!$I111=Rebanho!$H111,Rebanho!$H111=BS$1),Rebanho!#REF!,IF(AND(Rebanho!$I111&gt;=Rebanho!$H111,AND(Rebanho!$H111&lt;=BS$1,Rebanho!$I111&gt;=BS$1)),Rebanho!#REF!/(Rebanho!$I111-Rebanho!$H111+1),0))</f>
        <v>0</v>
      </c>
      <c r="BT38" s="461">
        <f>IF(AND(Rebanho!$I111=Rebanho!$H111,Rebanho!$H111=BT$1),Rebanho!#REF!,IF(AND(Rebanho!$I111&gt;=Rebanho!$H111,AND(Rebanho!$H111&lt;=BT$1,Rebanho!$I111&gt;=BT$1)),Rebanho!#REF!/(Rebanho!$I111-Rebanho!$H111+1),0))</f>
        <v>0</v>
      </c>
      <c r="CG38" s="589"/>
      <c r="CH38" s="645"/>
      <c r="CI38" s="670"/>
      <c r="CJ38" s="646"/>
    </row>
    <row r="39" spans="2:88" ht="14.25" thickTop="1" thickBot="1" x14ac:dyDescent="0.25">
      <c r="B39" s="462" t="s">
        <v>789</v>
      </c>
      <c r="C39" s="1281">
        <f>Sanidade!BC13+Sanidade!BC22+Sanidade!BC31+Sanidade!BC40+Sanidade!BC49+Sanidade!BC58+Sanidade!BC67+Sanidade!BC76+Sanidade!BC85+Sanidade!BC94+Sanidade!BC103+Sanidade!BC112</f>
        <v>0</v>
      </c>
      <c r="D39" s="1254">
        <f t="shared" ca="1" si="11"/>
        <v>0</v>
      </c>
      <c r="E39" s="1254" t="str">
        <f t="shared" si="12"/>
        <v>-</v>
      </c>
      <c r="F39" s="1270" t="str">
        <f t="shared" si="13"/>
        <v>-</v>
      </c>
      <c r="G39" s="1262" t="str">
        <f t="shared" si="14"/>
        <v>-</v>
      </c>
      <c r="H39" s="1379">
        <f>IF(C39=0,0,C39/'Análise TEC'!$C$20)</f>
        <v>0</v>
      </c>
      <c r="I39" s="1383">
        <f>IF(C39=0,0,C39/Rebanho!$X$89)</f>
        <v>0</v>
      </c>
      <c r="K39" s="2744" t="s">
        <v>697</v>
      </c>
      <c r="L39" s="2745"/>
      <c r="M39" s="821" t="e">
        <f>SUMIF(Rebanho!$C$79:$C$89,2,Rebanho!$I$79:$I$89)/SUMIF(Rebanho!$C$79:$C$89,10,Rebanho!$D$79:$D$89)</f>
        <v>#DIV/0!</v>
      </c>
      <c r="N39" s="1425" t="e">
        <f ca="1">$C$45/SUMIF(Rebanho!$C$79:$C$89,10,Rebanho!$D$79:$D$89)</f>
        <v>#DIV/0!</v>
      </c>
      <c r="O39" s="1426" t="e">
        <f ca="1">$C$66/SUMIF(Rebanho!$C$79:$C$89,10,Rebanho!$D$79:$D$89)</f>
        <v>#DIV/0!</v>
      </c>
      <c r="P39" s="1429" t="e">
        <f ca="1">$C$80/SUMIF(Rebanho!$C$79:$C$89,10,Rebanho!$D$79:$D$89)</f>
        <v>#DIV/0!</v>
      </c>
      <c r="BA39" s="459" t="e">
        <f>VLOOKUP(Rebanho!$C111,Rebanho!$AD$46:$AF$60,3)</f>
        <v>#N/A</v>
      </c>
      <c r="BB39" s="460" t="e">
        <f>IF(AND(Rebanho!$I112=Rebanho!$H112,Rebanho!$H112=BB$1),Rebanho!#REF!,IF(AND(Rebanho!$I112&gt;=Rebanho!$H112,AND(Rebanho!$H112&lt;=BB$1,Rebanho!$I112&gt;=BB$1)),Rebanho!#REF!/(Rebanho!$I112-Rebanho!$H112+1),0))</f>
        <v>#REF!</v>
      </c>
      <c r="BC39" s="460">
        <f>IF(AND(Rebanho!$I112=Rebanho!$H112,Rebanho!$H112=BC$1),Rebanho!#REF!,IF(AND(Rebanho!$I112&gt;=Rebanho!$H112,AND(Rebanho!$H112&lt;=BC$1,Rebanho!$I112&gt;=BC$1)),Rebanho!#REF!/(Rebanho!$I112-Rebanho!$H112+1),0))</f>
        <v>0</v>
      </c>
      <c r="BD39" s="460">
        <f>IF(AND(Rebanho!$I112=Rebanho!$H112,Rebanho!$H112=BD$1),Rebanho!#REF!,IF(AND(Rebanho!$I112&gt;=Rebanho!$H112,AND(Rebanho!$H112&lt;=BD$1,Rebanho!$I112&gt;=BD$1)),Rebanho!#REF!/(Rebanho!$I112-Rebanho!$H112+1),0))</f>
        <v>0</v>
      </c>
      <c r="BE39" s="460">
        <f>IF(AND(Rebanho!$I112=Rebanho!$H112,Rebanho!$H112=BE$1),Rebanho!#REF!,IF(AND(Rebanho!$I112&gt;=Rebanho!$H112,AND(Rebanho!$H112&lt;=BE$1,Rebanho!$I112&gt;=BE$1)),Rebanho!#REF!/(Rebanho!$I112-Rebanho!$H112+1),0))</f>
        <v>0</v>
      </c>
      <c r="BF39" s="460">
        <f>IF(AND(Rebanho!$I112=Rebanho!$H112,Rebanho!$H112=BF$1),Rebanho!#REF!,IF(AND(Rebanho!$I112&gt;=Rebanho!$H112,AND(Rebanho!$H112&lt;=BF$1,Rebanho!$I112&gt;=BF$1)),Rebanho!#REF!/(Rebanho!$I112-Rebanho!$H112+1),0))</f>
        <v>0</v>
      </c>
      <c r="BG39" s="460">
        <f>IF(AND(Rebanho!$I112=Rebanho!$H112,Rebanho!$H112=BG$1),Rebanho!#REF!,IF(AND(Rebanho!$I112&gt;=Rebanho!$H112,AND(Rebanho!$H112&lt;=BG$1,Rebanho!$I112&gt;=BG$1)),Rebanho!#REF!/(Rebanho!$I112-Rebanho!$H112+1),0))</f>
        <v>0</v>
      </c>
      <c r="BH39" s="460">
        <f>IF(AND(Rebanho!$I112=Rebanho!$H112,Rebanho!$H112=BH$1),Rebanho!#REF!,IF(AND(Rebanho!$I112&gt;=Rebanho!$H112,AND(Rebanho!$H112&lt;=BH$1,Rebanho!$I112&gt;=BH$1)),Rebanho!#REF!/(Rebanho!$I112-Rebanho!$H112+1),0))</f>
        <v>0</v>
      </c>
      <c r="BI39" s="460">
        <f>IF(AND(Rebanho!$I112=Rebanho!$H112,Rebanho!$H112=BI$1),Rebanho!#REF!,IF(AND(Rebanho!$I112&gt;=Rebanho!$H112,AND(Rebanho!$H112&lt;=BI$1,Rebanho!$I112&gt;=BI$1)),Rebanho!#REF!/(Rebanho!$I112-Rebanho!$H112+1),0))</f>
        <v>0</v>
      </c>
      <c r="BJ39" s="460">
        <f>IF(AND(Rebanho!$I112=Rebanho!$H112,Rebanho!$H112=BJ$1),Rebanho!#REF!,IF(AND(Rebanho!$I112&gt;=Rebanho!$H112,AND(Rebanho!$H112&lt;=BJ$1,Rebanho!$I112&gt;=BJ$1)),Rebanho!#REF!/(Rebanho!$I112-Rebanho!$H112+1),0))</f>
        <v>0</v>
      </c>
      <c r="BK39" s="460">
        <f>IF(AND(Rebanho!$I112=Rebanho!$H112,Rebanho!$H112=BK$1),Rebanho!#REF!,IF(AND(Rebanho!$I112&gt;=Rebanho!$H112,AND(Rebanho!$H112&lt;=BK$1,Rebanho!$I112&gt;=BK$1)),Rebanho!#REF!/(Rebanho!$I112-Rebanho!$H112+1),0))</f>
        <v>0</v>
      </c>
      <c r="BL39" s="460">
        <f>IF(AND(Rebanho!$I112=Rebanho!$H112,Rebanho!$H112=BL$1),Rebanho!#REF!,IF(AND(Rebanho!$I112&gt;=Rebanho!$H112,AND(Rebanho!$H112&lt;=BL$1,Rebanho!$I112&gt;=BL$1)),Rebanho!#REF!/(Rebanho!$I112-Rebanho!$H112+1),0))</f>
        <v>0</v>
      </c>
      <c r="BM39" s="460">
        <f>IF(AND(Rebanho!$I112=Rebanho!$H112,Rebanho!$H112=BM$1),Rebanho!#REF!,IF(AND(Rebanho!$I112&gt;=Rebanho!$H112,AND(Rebanho!$H112&lt;=BM$1,Rebanho!$I112&gt;=BM$1)),Rebanho!#REF!/(Rebanho!$I112-Rebanho!$H112+1),0))</f>
        <v>0</v>
      </c>
      <c r="BN39" s="460">
        <f>IF(AND(Rebanho!$I112=Rebanho!$H112,Rebanho!$H112=BN$1),Rebanho!#REF!,IF(AND(Rebanho!$I112&gt;=Rebanho!$H112,AND(Rebanho!$H112&lt;=BN$1,Rebanho!$I112&gt;=BN$1)),Rebanho!#REF!/(Rebanho!$I112-Rebanho!$H112+1),0))</f>
        <v>0</v>
      </c>
      <c r="BO39" s="460">
        <f>IF(AND(Rebanho!$I112=Rebanho!$H112,Rebanho!$H112=BO$1),Rebanho!#REF!,IF(AND(Rebanho!$I112&gt;=Rebanho!$H112,AND(Rebanho!$H112&lt;=BO$1,Rebanho!$I112&gt;=BO$1)),Rebanho!#REF!/(Rebanho!$I112-Rebanho!$H112+1),0))</f>
        <v>0</v>
      </c>
      <c r="BP39" s="460">
        <f>IF(AND(Rebanho!$I112=Rebanho!$H112,Rebanho!$H112=BP$1),Rebanho!#REF!,IF(AND(Rebanho!$I112&gt;=Rebanho!$H112,AND(Rebanho!$H112&lt;=BP$1,Rebanho!$I112&gt;=BP$1)),Rebanho!#REF!/(Rebanho!$I112-Rebanho!$H112+1),0))</f>
        <v>0</v>
      </c>
      <c r="BQ39" s="460">
        <f>IF(AND(Rebanho!$I112=Rebanho!$H112,Rebanho!$H112=BQ$1),Rebanho!#REF!,IF(AND(Rebanho!$I112&gt;=Rebanho!$H112,AND(Rebanho!$H112&lt;=BQ$1,Rebanho!$I112&gt;=BQ$1)),Rebanho!#REF!/(Rebanho!$I112-Rebanho!$H112+1),0))</f>
        <v>0</v>
      </c>
      <c r="BR39" s="460">
        <f>IF(AND(Rebanho!$I112=Rebanho!$H112,Rebanho!$H112=BR$1),Rebanho!#REF!,IF(AND(Rebanho!$I112&gt;=Rebanho!$H112,AND(Rebanho!$H112&lt;=BR$1,Rebanho!$I112&gt;=BR$1)),Rebanho!#REF!/(Rebanho!$I112-Rebanho!$H112+1),0))</f>
        <v>0</v>
      </c>
      <c r="BS39" s="460">
        <f>IF(AND(Rebanho!$I112=Rebanho!$H112,Rebanho!$H112=BS$1),Rebanho!#REF!,IF(AND(Rebanho!$I112&gt;=Rebanho!$H112,AND(Rebanho!$H112&lt;=BS$1,Rebanho!$I112&gt;=BS$1)),Rebanho!#REF!/(Rebanho!$I112-Rebanho!$H112+1),0))</f>
        <v>0</v>
      </c>
      <c r="BT39" s="461">
        <f>IF(AND(Rebanho!$I112=Rebanho!$H112,Rebanho!$H112=BT$1),Rebanho!#REF!,IF(AND(Rebanho!$I112&gt;=Rebanho!$H112,AND(Rebanho!$H112&lt;=BT$1,Rebanho!$I112&gt;=BT$1)),Rebanho!#REF!/(Rebanho!$I112-Rebanho!$H112+1),0))</f>
        <v>0</v>
      </c>
      <c r="CG39" s="878"/>
      <c r="CH39" s="645"/>
      <c r="CI39" s="670"/>
      <c r="CJ39" s="646"/>
    </row>
    <row r="40" spans="2:88" ht="14.25" thickTop="1" thickBot="1" x14ac:dyDescent="0.25">
      <c r="B40" s="462" t="s">
        <v>498</v>
      </c>
      <c r="C40" s="1281">
        <f>Sanidade!BC11+Sanidade!BC20+Sanidade!BC29+Sanidade!BC38+Sanidade!BC47+Sanidade!BC56+Sanidade!BC65+Sanidade!BC74+Sanidade!BC83+Sanidade!BC92+Sanidade!BC101+Sanidade!BC110</f>
        <v>0</v>
      </c>
      <c r="D40" s="1254">
        <f t="shared" ca="1" si="11"/>
        <v>0</v>
      </c>
      <c r="E40" s="1254" t="str">
        <f t="shared" si="12"/>
        <v>-</v>
      </c>
      <c r="F40" s="1270" t="str">
        <f t="shared" si="13"/>
        <v>-</v>
      </c>
      <c r="G40" s="1262" t="str">
        <f t="shared" si="14"/>
        <v>-</v>
      </c>
      <c r="H40" s="1379">
        <f>IF(C40=0,0,C40/'Análise TEC'!$C$20)</f>
        <v>0</v>
      </c>
      <c r="I40" s="1383">
        <f>IF(C40=0,0,C40/Rebanho!$X$89)</f>
        <v>0</v>
      </c>
      <c r="K40" s="2744" t="s">
        <v>698</v>
      </c>
      <c r="L40" s="2745"/>
      <c r="M40" s="821" t="e">
        <f>SUMIF(Rebanho!$C$79:$C$89,2,Rebanho!$I$79:$I$89)/SUMIF(Rebanho!$C$79:$C$89,11,Rebanho!$D$79:$D$89)</f>
        <v>#DIV/0!</v>
      </c>
      <c r="N40" s="1425" t="e">
        <f ca="1">$C$45/SUMIF(Rebanho!$C$79:$C$89,11,Rebanho!$D$79:$D$89)</f>
        <v>#DIV/0!</v>
      </c>
      <c r="O40" s="1426" t="e">
        <f ca="1">$C$66/SUMIF(Rebanho!$C$79:$C$89,11,Rebanho!$D$79:$D$89)</f>
        <v>#DIV/0!</v>
      </c>
      <c r="P40" s="1429" t="e">
        <f ca="1">$C$80/SUMIF(Rebanho!$C$79:$C$89,11,Rebanho!$D$79:$D$89)</f>
        <v>#DIV/0!</v>
      </c>
      <c r="BA40" s="459" t="e">
        <f>VLOOKUP(Rebanho!$C112,Rebanho!$AD$46:$AF$60,3)</f>
        <v>#N/A</v>
      </c>
      <c r="BB40" s="460" t="e">
        <f>IF(AND(Rebanho!$I113=Rebanho!$H113,Rebanho!$H113=BB$1),Rebanho!#REF!,IF(AND(Rebanho!$I113&gt;=Rebanho!$H113,AND(Rebanho!$H113&lt;=BB$1,Rebanho!$I113&gt;=BB$1)),Rebanho!#REF!/(Rebanho!$I113-Rebanho!$H113+1),0))</f>
        <v>#REF!</v>
      </c>
      <c r="BC40" s="460">
        <f>IF(AND(Rebanho!$I113=Rebanho!$H113,Rebanho!$H113=BC$1),Rebanho!#REF!,IF(AND(Rebanho!$I113&gt;=Rebanho!$H113,AND(Rebanho!$H113&lt;=BC$1,Rebanho!$I113&gt;=BC$1)),Rebanho!#REF!/(Rebanho!$I113-Rebanho!$H113+1),0))</f>
        <v>0</v>
      </c>
      <c r="BD40" s="460">
        <f>IF(AND(Rebanho!$I113=Rebanho!$H113,Rebanho!$H113=BD$1),Rebanho!#REF!,IF(AND(Rebanho!$I113&gt;=Rebanho!$H113,AND(Rebanho!$H113&lt;=BD$1,Rebanho!$I113&gt;=BD$1)),Rebanho!#REF!/(Rebanho!$I113-Rebanho!$H113+1),0))</f>
        <v>0</v>
      </c>
      <c r="BE40" s="460">
        <f>IF(AND(Rebanho!$I113=Rebanho!$H113,Rebanho!$H113=BE$1),Rebanho!#REF!,IF(AND(Rebanho!$I113&gt;=Rebanho!$H113,AND(Rebanho!$H113&lt;=BE$1,Rebanho!$I113&gt;=BE$1)),Rebanho!#REF!/(Rebanho!$I113-Rebanho!$H113+1),0))</f>
        <v>0</v>
      </c>
      <c r="BF40" s="460">
        <f>IF(AND(Rebanho!$I113=Rebanho!$H113,Rebanho!$H113=BF$1),Rebanho!#REF!,IF(AND(Rebanho!$I113&gt;=Rebanho!$H113,AND(Rebanho!$H113&lt;=BF$1,Rebanho!$I113&gt;=BF$1)),Rebanho!#REF!/(Rebanho!$I113-Rebanho!$H113+1),0))</f>
        <v>0</v>
      </c>
      <c r="BG40" s="460">
        <f>IF(AND(Rebanho!$I113=Rebanho!$H113,Rebanho!$H113=BG$1),Rebanho!#REF!,IF(AND(Rebanho!$I113&gt;=Rebanho!$H113,AND(Rebanho!$H113&lt;=BG$1,Rebanho!$I113&gt;=BG$1)),Rebanho!#REF!/(Rebanho!$I113-Rebanho!$H113+1),0))</f>
        <v>0</v>
      </c>
      <c r="BH40" s="460">
        <f>IF(AND(Rebanho!$I113=Rebanho!$H113,Rebanho!$H113=BH$1),Rebanho!#REF!,IF(AND(Rebanho!$I113&gt;=Rebanho!$H113,AND(Rebanho!$H113&lt;=BH$1,Rebanho!$I113&gt;=BH$1)),Rebanho!#REF!/(Rebanho!$I113-Rebanho!$H113+1),0))</f>
        <v>0</v>
      </c>
      <c r="BI40" s="460">
        <f>IF(AND(Rebanho!$I113=Rebanho!$H113,Rebanho!$H113=BI$1),Rebanho!#REF!,IF(AND(Rebanho!$I113&gt;=Rebanho!$H113,AND(Rebanho!$H113&lt;=BI$1,Rebanho!$I113&gt;=BI$1)),Rebanho!#REF!/(Rebanho!$I113-Rebanho!$H113+1),0))</f>
        <v>0</v>
      </c>
      <c r="BJ40" s="460">
        <f>IF(AND(Rebanho!$I113=Rebanho!$H113,Rebanho!$H113=BJ$1),Rebanho!#REF!,IF(AND(Rebanho!$I113&gt;=Rebanho!$H113,AND(Rebanho!$H113&lt;=BJ$1,Rebanho!$I113&gt;=BJ$1)),Rebanho!#REF!/(Rebanho!$I113-Rebanho!$H113+1),0))</f>
        <v>0</v>
      </c>
      <c r="BK40" s="460">
        <f>IF(AND(Rebanho!$I113=Rebanho!$H113,Rebanho!$H113=BK$1),Rebanho!#REF!,IF(AND(Rebanho!$I113&gt;=Rebanho!$H113,AND(Rebanho!$H113&lt;=BK$1,Rebanho!$I113&gt;=BK$1)),Rebanho!#REF!/(Rebanho!$I113-Rebanho!$H113+1),0))</f>
        <v>0</v>
      </c>
      <c r="BL40" s="460">
        <f>IF(AND(Rebanho!$I113=Rebanho!$H113,Rebanho!$H113=BL$1),Rebanho!#REF!,IF(AND(Rebanho!$I113&gt;=Rebanho!$H113,AND(Rebanho!$H113&lt;=BL$1,Rebanho!$I113&gt;=BL$1)),Rebanho!#REF!/(Rebanho!$I113-Rebanho!$H113+1),0))</f>
        <v>0</v>
      </c>
      <c r="BM40" s="460">
        <f>IF(AND(Rebanho!$I113=Rebanho!$H113,Rebanho!$H113=BM$1),Rebanho!#REF!,IF(AND(Rebanho!$I113&gt;=Rebanho!$H113,AND(Rebanho!$H113&lt;=BM$1,Rebanho!$I113&gt;=BM$1)),Rebanho!#REF!/(Rebanho!$I113-Rebanho!$H113+1),0))</f>
        <v>0</v>
      </c>
      <c r="BN40" s="460">
        <f>IF(AND(Rebanho!$I113=Rebanho!$H113,Rebanho!$H113=BN$1),Rebanho!#REF!,IF(AND(Rebanho!$I113&gt;=Rebanho!$H113,AND(Rebanho!$H113&lt;=BN$1,Rebanho!$I113&gt;=BN$1)),Rebanho!#REF!/(Rebanho!$I113-Rebanho!$H113+1),0))</f>
        <v>0</v>
      </c>
      <c r="BO40" s="460">
        <f>IF(AND(Rebanho!$I113=Rebanho!$H113,Rebanho!$H113=BO$1),Rebanho!#REF!,IF(AND(Rebanho!$I113&gt;=Rebanho!$H113,AND(Rebanho!$H113&lt;=BO$1,Rebanho!$I113&gt;=BO$1)),Rebanho!#REF!/(Rebanho!$I113-Rebanho!$H113+1),0))</f>
        <v>0</v>
      </c>
      <c r="BP40" s="460">
        <f>IF(AND(Rebanho!$I113=Rebanho!$H113,Rebanho!$H113=BP$1),Rebanho!#REF!,IF(AND(Rebanho!$I113&gt;=Rebanho!$H113,AND(Rebanho!$H113&lt;=BP$1,Rebanho!$I113&gt;=BP$1)),Rebanho!#REF!/(Rebanho!$I113-Rebanho!$H113+1),0))</f>
        <v>0</v>
      </c>
      <c r="BQ40" s="460">
        <f>IF(AND(Rebanho!$I113=Rebanho!$H113,Rebanho!$H113=BQ$1),Rebanho!#REF!,IF(AND(Rebanho!$I113&gt;=Rebanho!$H113,AND(Rebanho!$H113&lt;=BQ$1,Rebanho!$I113&gt;=BQ$1)),Rebanho!#REF!/(Rebanho!$I113-Rebanho!$H113+1),0))</f>
        <v>0</v>
      </c>
      <c r="BR40" s="460">
        <f>IF(AND(Rebanho!$I113=Rebanho!$H113,Rebanho!$H113=BR$1),Rebanho!#REF!,IF(AND(Rebanho!$I113&gt;=Rebanho!$H113,AND(Rebanho!$H113&lt;=BR$1,Rebanho!$I113&gt;=BR$1)),Rebanho!#REF!/(Rebanho!$I113-Rebanho!$H113+1),0))</f>
        <v>0</v>
      </c>
      <c r="BS40" s="460">
        <f>IF(AND(Rebanho!$I113=Rebanho!$H113,Rebanho!$H113=BS$1),Rebanho!#REF!,IF(AND(Rebanho!$I113&gt;=Rebanho!$H113,AND(Rebanho!$H113&lt;=BS$1,Rebanho!$I113&gt;=BS$1)),Rebanho!#REF!/(Rebanho!$I113-Rebanho!$H113+1),0))</f>
        <v>0</v>
      </c>
      <c r="BT40" s="461">
        <f>IF(AND(Rebanho!$I113=Rebanho!$H113,Rebanho!$H113=BT$1),Rebanho!#REF!,IF(AND(Rebanho!$I113&gt;=Rebanho!$H113,AND(Rebanho!$H113&lt;=BT$1,Rebanho!$I113&gt;=BT$1)),Rebanho!#REF!/(Rebanho!$I113-Rebanho!$H113+1),0))</f>
        <v>0</v>
      </c>
      <c r="CG40" s="878"/>
      <c r="CH40" s="645"/>
      <c r="CI40" s="670"/>
      <c r="CJ40" s="646"/>
    </row>
    <row r="41" spans="2:88" ht="14.25" thickTop="1" thickBot="1" x14ac:dyDescent="0.25">
      <c r="B41" s="875" t="s">
        <v>634</v>
      </c>
      <c r="C41" s="1279">
        <f>Sanidade!BC12+Sanidade!BC21+Sanidade!BC30+Sanidade!BC39+Sanidade!BC48+Sanidade!BC57+Sanidade!BC66+Sanidade!BC75+Sanidade!BC84+Sanidade!BC93+Sanidade!BC102+Sanidade!BC111</f>
        <v>0</v>
      </c>
      <c r="D41" s="1257">
        <f t="shared" ca="1" si="11"/>
        <v>0</v>
      </c>
      <c r="E41" s="1257" t="str">
        <f t="shared" si="12"/>
        <v>-</v>
      </c>
      <c r="F41" s="1273" t="str">
        <f t="shared" si="13"/>
        <v>-</v>
      </c>
      <c r="G41" s="1265" t="str">
        <f t="shared" si="14"/>
        <v>-</v>
      </c>
      <c r="H41" s="1380">
        <f>IF(C41=0,0,C41/'Análise TEC'!$C$20)</f>
        <v>0</v>
      </c>
      <c r="I41" s="1384">
        <f>IF(C41=0,0,C41/Rebanho!$X$89)</f>
        <v>0</v>
      </c>
      <c r="K41" s="2744" t="s">
        <v>699</v>
      </c>
      <c r="L41" s="2745"/>
      <c r="M41" s="821" t="e">
        <f>SUMIF(Rebanho!$C$79:$C$89,2,Rebanho!$I$79:$I$89)/SUMIF(Rebanho!$C$79:$C$89,12,Rebanho!$D$79:$D$89)</f>
        <v>#DIV/0!</v>
      </c>
      <c r="N41" s="1425" t="e">
        <f ca="1">$C$45/SUMIF(Rebanho!$C$79:$C$89,12,Rebanho!$D$79:$D$89)</f>
        <v>#DIV/0!</v>
      </c>
      <c r="O41" s="1426" t="e">
        <f ca="1">$C$66/SUMIF(Rebanho!$C$79:$C$89,12,Rebanho!$D$79:$D$89)</f>
        <v>#DIV/0!</v>
      </c>
      <c r="P41" s="1429" t="e">
        <f ca="1">$C$80/SUMIF(Rebanho!$C$79:$C$89,12,Rebanho!$D$79:$D$89)</f>
        <v>#DIV/0!</v>
      </c>
      <c r="BA41" s="459" t="e">
        <f>VLOOKUP(Rebanho!$C113,Rebanho!$AD$46:$AF$60,3)</f>
        <v>#N/A</v>
      </c>
      <c r="BB41" s="460" t="e">
        <f>IF(AND(Rebanho!$I114=Rebanho!$H114,Rebanho!$H114=BB$1),Rebanho!#REF!,IF(AND(Rebanho!$I114&gt;=Rebanho!$H114,AND(Rebanho!$H114&lt;=BB$1,Rebanho!$I114&gt;=BB$1)),Rebanho!#REF!/(Rebanho!$I114-Rebanho!$H114+1),0))</f>
        <v>#REF!</v>
      </c>
      <c r="BC41" s="460">
        <f>IF(AND(Rebanho!$I114=Rebanho!$H114,Rebanho!$H114=BC$1),Rebanho!#REF!,IF(AND(Rebanho!$I114&gt;=Rebanho!$H114,AND(Rebanho!$H114&lt;=BC$1,Rebanho!$I114&gt;=BC$1)),Rebanho!#REF!/(Rebanho!$I114-Rebanho!$H114+1),0))</f>
        <v>0</v>
      </c>
      <c r="BD41" s="460">
        <f>IF(AND(Rebanho!$I114=Rebanho!$H114,Rebanho!$H114=BD$1),Rebanho!#REF!,IF(AND(Rebanho!$I114&gt;=Rebanho!$H114,AND(Rebanho!$H114&lt;=BD$1,Rebanho!$I114&gt;=BD$1)),Rebanho!#REF!/(Rebanho!$I114-Rebanho!$H114+1),0))</f>
        <v>0</v>
      </c>
      <c r="BE41" s="460">
        <f>IF(AND(Rebanho!$I114=Rebanho!$H114,Rebanho!$H114=BE$1),Rebanho!#REF!,IF(AND(Rebanho!$I114&gt;=Rebanho!$H114,AND(Rebanho!$H114&lt;=BE$1,Rebanho!$I114&gt;=BE$1)),Rebanho!#REF!/(Rebanho!$I114-Rebanho!$H114+1),0))</f>
        <v>0</v>
      </c>
      <c r="BF41" s="460">
        <f>IF(AND(Rebanho!$I114=Rebanho!$H114,Rebanho!$H114=BF$1),Rebanho!#REF!,IF(AND(Rebanho!$I114&gt;=Rebanho!$H114,AND(Rebanho!$H114&lt;=BF$1,Rebanho!$I114&gt;=BF$1)),Rebanho!#REF!/(Rebanho!$I114-Rebanho!$H114+1),0))</f>
        <v>0</v>
      </c>
      <c r="BG41" s="460">
        <f>IF(AND(Rebanho!$I114=Rebanho!$H114,Rebanho!$H114=BG$1),Rebanho!#REF!,IF(AND(Rebanho!$I114&gt;=Rebanho!$H114,AND(Rebanho!$H114&lt;=BG$1,Rebanho!$I114&gt;=BG$1)),Rebanho!#REF!/(Rebanho!$I114-Rebanho!$H114+1),0))</f>
        <v>0</v>
      </c>
      <c r="BH41" s="460">
        <f>IF(AND(Rebanho!$I114=Rebanho!$H114,Rebanho!$H114=BH$1),Rebanho!#REF!,IF(AND(Rebanho!$I114&gt;=Rebanho!$H114,AND(Rebanho!$H114&lt;=BH$1,Rebanho!$I114&gt;=BH$1)),Rebanho!#REF!/(Rebanho!$I114-Rebanho!$H114+1),0))</f>
        <v>0</v>
      </c>
      <c r="BI41" s="460">
        <f>IF(AND(Rebanho!$I114=Rebanho!$H114,Rebanho!$H114=BI$1),Rebanho!#REF!,IF(AND(Rebanho!$I114&gt;=Rebanho!$H114,AND(Rebanho!$H114&lt;=BI$1,Rebanho!$I114&gt;=BI$1)),Rebanho!#REF!/(Rebanho!$I114-Rebanho!$H114+1),0))</f>
        <v>0</v>
      </c>
      <c r="BJ41" s="460">
        <f>IF(AND(Rebanho!$I114=Rebanho!$H114,Rebanho!$H114=BJ$1),Rebanho!#REF!,IF(AND(Rebanho!$I114&gt;=Rebanho!$H114,AND(Rebanho!$H114&lt;=BJ$1,Rebanho!$I114&gt;=BJ$1)),Rebanho!#REF!/(Rebanho!$I114-Rebanho!$H114+1),0))</f>
        <v>0</v>
      </c>
      <c r="BK41" s="460">
        <f>IF(AND(Rebanho!$I114=Rebanho!$H114,Rebanho!$H114=BK$1),Rebanho!#REF!,IF(AND(Rebanho!$I114&gt;=Rebanho!$H114,AND(Rebanho!$H114&lt;=BK$1,Rebanho!$I114&gt;=BK$1)),Rebanho!#REF!/(Rebanho!$I114-Rebanho!$H114+1),0))</f>
        <v>0</v>
      </c>
      <c r="BL41" s="460">
        <f>IF(AND(Rebanho!$I114=Rebanho!$H114,Rebanho!$H114=BL$1),Rebanho!#REF!,IF(AND(Rebanho!$I114&gt;=Rebanho!$H114,AND(Rebanho!$H114&lt;=BL$1,Rebanho!$I114&gt;=BL$1)),Rebanho!#REF!/(Rebanho!$I114-Rebanho!$H114+1),0))</f>
        <v>0</v>
      </c>
      <c r="BM41" s="460">
        <f>IF(AND(Rebanho!$I114=Rebanho!$H114,Rebanho!$H114=BM$1),Rebanho!#REF!,IF(AND(Rebanho!$I114&gt;=Rebanho!$H114,AND(Rebanho!$H114&lt;=BM$1,Rebanho!$I114&gt;=BM$1)),Rebanho!#REF!/(Rebanho!$I114-Rebanho!$H114+1),0))</f>
        <v>0</v>
      </c>
      <c r="BN41" s="460">
        <f>IF(AND(Rebanho!$I114=Rebanho!$H114,Rebanho!$H114=BN$1),Rebanho!#REF!,IF(AND(Rebanho!$I114&gt;=Rebanho!$H114,AND(Rebanho!$H114&lt;=BN$1,Rebanho!$I114&gt;=BN$1)),Rebanho!#REF!/(Rebanho!$I114-Rebanho!$H114+1),0))</f>
        <v>0</v>
      </c>
      <c r="BO41" s="460">
        <f>IF(AND(Rebanho!$I114=Rebanho!$H114,Rebanho!$H114=BO$1),Rebanho!#REF!,IF(AND(Rebanho!$I114&gt;=Rebanho!$H114,AND(Rebanho!$H114&lt;=BO$1,Rebanho!$I114&gt;=BO$1)),Rebanho!#REF!/(Rebanho!$I114-Rebanho!$H114+1),0))</f>
        <v>0</v>
      </c>
      <c r="BP41" s="460">
        <f>IF(AND(Rebanho!$I114=Rebanho!$H114,Rebanho!$H114=BP$1),Rebanho!#REF!,IF(AND(Rebanho!$I114&gt;=Rebanho!$H114,AND(Rebanho!$H114&lt;=BP$1,Rebanho!$I114&gt;=BP$1)),Rebanho!#REF!/(Rebanho!$I114-Rebanho!$H114+1),0))</f>
        <v>0</v>
      </c>
      <c r="BQ41" s="460">
        <f>IF(AND(Rebanho!$I114=Rebanho!$H114,Rebanho!$H114=BQ$1),Rebanho!#REF!,IF(AND(Rebanho!$I114&gt;=Rebanho!$H114,AND(Rebanho!$H114&lt;=BQ$1,Rebanho!$I114&gt;=BQ$1)),Rebanho!#REF!/(Rebanho!$I114-Rebanho!$H114+1),0))</f>
        <v>0</v>
      </c>
      <c r="BR41" s="460">
        <f>IF(AND(Rebanho!$I114=Rebanho!$H114,Rebanho!$H114=BR$1),Rebanho!#REF!,IF(AND(Rebanho!$I114&gt;=Rebanho!$H114,AND(Rebanho!$H114&lt;=BR$1,Rebanho!$I114&gt;=BR$1)),Rebanho!#REF!/(Rebanho!$I114-Rebanho!$H114+1),0))</f>
        <v>0</v>
      </c>
      <c r="BS41" s="460">
        <f>IF(AND(Rebanho!$I114=Rebanho!$H114,Rebanho!$H114=BS$1),Rebanho!#REF!,IF(AND(Rebanho!$I114&gt;=Rebanho!$H114,AND(Rebanho!$H114&lt;=BS$1,Rebanho!$I114&gt;=BS$1)),Rebanho!#REF!/(Rebanho!$I114-Rebanho!$H114+1),0))</f>
        <v>0</v>
      </c>
      <c r="BT41" s="461">
        <f>IF(AND(Rebanho!$I114=Rebanho!$H114,Rebanho!$H114=BT$1),Rebanho!#REF!,IF(AND(Rebanho!$I114&gt;=Rebanho!$H114,AND(Rebanho!$H114&lt;=BT$1,Rebanho!$I114&gt;=BT$1)),Rebanho!#REF!/(Rebanho!$I114-Rebanho!$H114+1),0))</f>
        <v>0</v>
      </c>
      <c r="CG41" s="878"/>
      <c r="CH41" s="645"/>
      <c r="CI41" s="670"/>
      <c r="CJ41" s="646"/>
    </row>
    <row r="42" spans="2:88" ht="14.25" thickTop="1" thickBot="1" x14ac:dyDescent="0.25">
      <c r="B42" s="876" t="s">
        <v>802</v>
      </c>
      <c r="C42" s="1282">
        <f>SUM(Suplementação!R7:R40)</f>
        <v>89643.665792029264</v>
      </c>
      <c r="D42" s="1258">
        <f t="shared" ca="1" si="11"/>
        <v>6.4605235004200165E-2</v>
      </c>
      <c r="E42" s="1258">
        <f t="shared" ca="1" si="12"/>
        <v>6.4605235004200165E-2</v>
      </c>
      <c r="F42" s="1274">
        <f t="shared" ca="1" si="13"/>
        <v>5.3983926538249676E-2</v>
      </c>
      <c r="G42" s="1266">
        <f t="shared" ca="1" si="14"/>
        <v>3.9819635306808071E-2</v>
      </c>
      <c r="H42" s="1392">
        <f>IF(C42=0,0,C42/'Análise TEC'!$C$20)</f>
        <v>8.7763394860515511</v>
      </c>
      <c r="I42" s="1394">
        <f>IF(C42=0,0,C42/Rebanho!$X$89)</f>
        <v>5.9035462746794414</v>
      </c>
      <c r="K42" s="2744" t="s">
        <v>545</v>
      </c>
      <c r="L42" s="2745"/>
      <c r="M42" s="821" t="e">
        <f>SUMIF(Rebanho!$C$79:$C$89,2,Rebanho!$I$79:$I$89)/SUMIF(Rebanho!$C$79:$C$89,13,Rebanho!$D$79:$D$89)</f>
        <v>#DIV/0!</v>
      </c>
      <c r="N42" s="1425" t="e">
        <f ca="1">$C$45/SUMIF(Rebanho!$C$79:$C$89,13,Rebanho!$D$79:$D$89)</f>
        <v>#DIV/0!</v>
      </c>
      <c r="O42" s="1426" t="e">
        <f ca="1">$C$66/SUMIF(Rebanho!$C$79:$C$89,13,Rebanho!$D$79:$D$89)</f>
        <v>#DIV/0!</v>
      </c>
      <c r="P42" s="1429" t="e">
        <f ca="1">$C$80/SUMIF(Rebanho!$C$79:$C$89,13,Rebanho!$D$79:$D$89)</f>
        <v>#DIV/0!</v>
      </c>
      <c r="BA42" s="459"/>
      <c r="BB42" s="460"/>
      <c r="BC42" s="460"/>
      <c r="BD42" s="460"/>
      <c r="BE42" s="460"/>
      <c r="BF42" s="460"/>
      <c r="BG42" s="460"/>
      <c r="BH42" s="460"/>
      <c r="BI42" s="460"/>
      <c r="BJ42" s="460"/>
      <c r="BK42" s="460"/>
      <c r="BL42" s="460"/>
      <c r="BM42" s="460"/>
      <c r="BN42" s="460"/>
      <c r="BO42" s="460"/>
      <c r="BP42" s="460"/>
      <c r="BQ42" s="460"/>
      <c r="BR42" s="460"/>
      <c r="BS42" s="460"/>
      <c r="BT42" s="461"/>
      <c r="CG42" s="878"/>
      <c r="CH42" s="645"/>
      <c r="CI42" s="670"/>
      <c r="CJ42" s="646"/>
    </row>
    <row r="43" spans="2:88" ht="14.25" thickTop="1" thickBot="1" x14ac:dyDescent="0.25">
      <c r="B43" s="875" t="s">
        <v>687</v>
      </c>
      <c r="C43" s="1279">
        <f>SUM(Alimentação!P7:P24)</f>
        <v>210941.50709333335</v>
      </c>
      <c r="D43" s="1257">
        <f t="shared" ca="1" si="11"/>
        <v>0.15202329710078294</v>
      </c>
      <c r="E43" s="1257">
        <f t="shared" ca="1" si="12"/>
        <v>0.15202329710078294</v>
      </c>
      <c r="F43" s="1273">
        <f t="shared" ca="1" si="13"/>
        <v>0.12703017800736463</v>
      </c>
      <c r="G43" s="1265">
        <f t="shared" ca="1" si="14"/>
        <v>9.3700026759412816E-2</v>
      </c>
      <c r="H43" s="1380">
        <f>IF(C43=0,0,C43/'Análise TEC'!$C$20)</f>
        <v>20.651702064989113</v>
      </c>
      <c r="I43" s="1384">
        <f>IF(C43=0,0,C43/Rebanho!$X$89)</f>
        <v>13.8917004048583</v>
      </c>
      <c r="K43" s="2744" t="s">
        <v>380</v>
      </c>
      <c r="L43" s="2745"/>
      <c r="M43" s="821" t="e">
        <f>SUMIF(Rebanho!$C$79:$C$89,2,Rebanho!$I$79:$I$89)/SUMIF(Rebanho!$C$79:$C$89,14,Rebanho!$D$79:$D$89)</f>
        <v>#DIV/0!</v>
      </c>
      <c r="N43" s="1425" t="e">
        <f ca="1">$C$45/SUMIF(Rebanho!$C$79:$C$89,14,Rebanho!$D$79:$D$89)</f>
        <v>#DIV/0!</v>
      </c>
      <c r="O43" s="1426" t="e">
        <f ca="1">$C$66/SUMIF(Rebanho!$C$79:$C$89,14,Rebanho!$D$79:$D$89)</f>
        <v>#DIV/0!</v>
      </c>
      <c r="P43" s="1429" t="e">
        <f ca="1">$C$80/SUMIF(Rebanho!$C$79:$C$89,14,Rebanho!$D$79:$D$89)</f>
        <v>#DIV/0!</v>
      </c>
      <c r="BA43" s="459" t="e">
        <f>VLOOKUP(Rebanho!$C117,Rebanho!$AD$46:$AF$60,3)</f>
        <v>#N/A</v>
      </c>
      <c r="BB43" s="460" t="e">
        <f>IF(AND(Rebanho!$I117=Rebanho!$H117,Rebanho!$H117=BB$1),Rebanho!#REF!,IF(AND(Rebanho!$I117&gt;=Rebanho!$H117,AND(Rebanho!$H117&lt;=BB$1,Rebanho!$I117&gt;=BB$1)),Rebanho!#REF!/(Rebanho!$I117-Rebanho!$H117+1),0))</f>
        <v>#REF!</v>
      </c>
      <c r="BC43" s="460">
        <f>IF(AND(Rebanho!$I117=Rebanho!$H117,Rebanho!$H117=BC$1),Rebanho!#REF!,IF(AND(Rebanho!$I117&gt;=Rebanho!$H117,AND(Rebanho!$H117&lt;=BC$1,Rebanho!$I117&gt;=BC$1)),Rebanho!#REF!/(Rebanho!$I117-Rebanho!$H117+1),0))</f>
        <v>0</v>
      </c>
      <c r="BD43" s="460">
        <f>IF(AND(Rebanho!$I117=Rebanho!$H117,Rebanho!$H117=BD$1),Rebanho!#REF!,IF(AND(Rebanho!$I117&gt;=Rebanho!$H117,AND(Rebanho!$H117&lt;=BD$1,Rebanho!$I117&gt;=BD$1)),Rebanho!#REF!/(Rebanho!$I117-Rebanho!$H117+1),0))</f>
        <v>0</v>
      </c>
      <c r="BE43" s="460">
        <f>IF(AND(Rebanho!$I117=Rebanho!$H117,Rebanho!$H117=BE$1),Rebanho!#REF!,IF(AND(Rebanho!$I117&gt;=Rebanho!$H117,AND(Rebanho!$H117&lt;=BE$1,Rebanho!$I117&gt;=BE$1)),Rebanho!#REF!/(Rebanho!$I117-Rebanho!$H117+1),0))</f>
        <v>0</v>
      </c>
      <c r="BF43" s="460">
        <f>IF(AND(Rebanho!$I117=Rebanho!$H117,Rebanho!$H117=BF$1),Rebanho!#REF!,IF(AND(Rebanho!$I117&gt;=Rebanho!$H117,AND(Rebanho!$H117&lt;=BF$1,Rebanho!$I117&gt;=BF$1)),Rebanho!#REF!/(Rebanho!$I117-Rebanho!$H117+1),0))</f>
        <v>0</v>
      </c>
      <c r="BG43" s="460">
        <f>IF(AND(Rebanho!$I117=Rebanho!$H117,Rebanho!$H117=BG$1),Rebanho!#REF!,IF(AND(Rebanho!$I117&gt;=Rebanho!$H117,AND(Rebanho!$H117&lt;=BG$1,Rebanho!$I117&gt;=BG$1)),Rebanho!#REF!/(Rebanho!$I117-Rebanho!$H117+1),0))</f>
        <v>0</v>
      </c>
      <c r="BH43" s="460">
        <f>IF(AND(Rebanho!$I117=Rebanho!$H117,Rebanho!$H117=BH$1),Rebanho!#REF!,IF(AND(Rebanho!$I117&gt;=Rebanho!$H117,AND(Rebanho!$H117&lt;=BH$1,Rebanho!$I117&gt;=BH$1)),Rebanho!#REF!/(Rebanho!$I117-Rebanho!$H117+1),0))</f>
        <v>0</v>
      </c>
      <c r="BI43" s="460">
        <f>IF(AND(Rebanho!$I117=Rebanho!$H117,Rebanho!$H117=BI$1),Rebanho!#REF!,IF(AND(Rebanho!$I117&gt;=Rebanho!$H117,AND(Rebanho!$H117&lt;=BI$1,Rebanho!$I117&gt;=BI$1)),Rebanho!#REF!/(Rebanho!$I117-Rebanho!$H117+1),0))</f>
        <v>0</v>
      </c>
      <c r="BJ43" s="460">
        <f>IF(AND(Rebanho!$I117=Rebanho!$H117,Rebanho!$H117=BJ$1),Rebanho!#REF!,IF(AND(Rebanho!$I117&gt;=Rebanho!$H117,AND(Rebanho!$H117&lt;=BJ$1,Rebanho!$I117&gt;=BJ$1)),Rebanho!#REF!/(Rebanho!$I117-Rebanho!$H117+1),0))</f>
        <v>0</v>
      </c>
      <c r="BK43" s="460">
        <f>IF(AND(Rebanho!$I117=Rebanho!$H117,Rebanho!$H117=BK$1),Rebanho!#REF!,IF(AND(Rebanho!$I117&gt;=Rebanho!$H117,AND(Rebanho!$H117&lt;=BK$1,Rebanho!$I117&gt;=BK$1)),Rebanho!#REF!/(Rebanho!$I117-Rebanho!$H117+1),0))</f>
        <v>0</v>
      </c>
      <c r="BL43" s="460">
        <f>IF(AND(Rebanho!$I117=Rebanho!$H117,Rebanho!$H117=BL$1),Rebanho!#REF!,IF(AND(Rebanho!$I117&gt;=Rebanho!$H117,AND(Rebanho!$H117&lt;=BL$1,Rebanho!$I117&gt;=BL$1)),Rebanho!#REF!/(Rebanho!$I117-Rebanho!$H117+1),0))</f>
        <v>0</v>
      </c>
      <c r="BM43" s="460">
        <f>IF(AND(Rebanho!$I117=Rebanho!$H117,Rebanho!$H117=BM$1),Rebanho!#REF!,IF(AND(Rebanho!$I117&gt;=Rebanho!$H117,AND(Rebanho!$H117&lt;=BM$1,Rebanho!$I117&gt;=BM$1)),Rebanho!#REF!/(Rebanho!$I117-Rebanho!$H117+1),0))</f>
        <v>0</v>
      </c>
      <c r="BN43" s="460">
        <f>IF(AND(Rebanho!$I117=Rebanho!$H117,Rebanho!$H117=BN$1),Rebanho!#REF!,IF(AND(Rebanho!$I117&gt;=Rebanho!$H117,AND(Rebanho!$H117&lt;=BN$1,Rebanho!$I117&gt;=BN$1)),Rebanho!#REF!/(Rebanho!$I117-Rebanho!$H117+1),0))</f>
        <v>0</v>
      </c>
      <c r="BO43" s="460">
        <f>IF(AND(Rebanho!$I117=Rebanho!$H117,Rebanho!$H117=BO$1),Rebanho!#REF!,IF(AND(Rebanho!$I117&gt;=Rebanho!$H117,AND(Rebanho!$H117&lt;=BO$1,Rebanho!$I117&gt;=BO$1)),Rebanho!#REF!/(Rebanho!$I117-Rebanho!$H117+1),0))</f>
        <v>0</v>
      </c>
      <c r="BP43" s="460">
        <f>IF(AND(Rebanho!$I117=Rebanho!$H117,Rebanho!$H117=BP$1),Rebanho!#REF!,IF(AND(Rebanho!$I117&gt;=Rebanho!$H117,AND(Rebanho!$H117&lt;=BP$1,Rebanho!$I117&gt;=BP$1)),Rebanho!#REF!/(Rebanho!$I117-Rebanho!$H117+1),0))</f>
        <v>0</v>
      </c>
      <c r="BQ43" s="460">
        <f>IF(AND(Rebanho!$I117=Rebanho!$H117,Rebanho!$H117=BQ$1),Rebanho!#REF!,IF(AND(Rebanho!$I117&gt;=Rebanho!$H117,AND(Rebanho!$H117&lt;=BQ$1,Rebanho!$I117&gt;=BQ$1)),Rebanho!#REF!/(Rebanho!$I117-Rebanho!$H117+1),0))</f>
        <v>0</v>
      </c>
      <c r="BR43" s="460">
        <f>IF(AND(Rebanho!$I117=Rebanho!$H117,Rebanho!$H117=BR$1),Rebanho!#REF!,IF(AND(Rebanho!$I117&gt;=Rebanho!$H117,AND(Rebanho!$H117&lt;=BR$1,Rebanho!$I117&gt;=BR$1)),Rebanho!#REF!/(Rebanho!$I117-Rebanho!$H117+1),0))</f>
        <v>0</v>
      </c>
      <c r="BS43" s="460">
        <f>IF(AND(Rebanho!$I117=Rebanho!$H117,Rebanho!$H117=BS$1),Rebanho!#REF!,IF(AND(Rebanho!$I117&gt;=Rebanho!$H117,AND(Rebanho!$H117&lt;=BS$1,Rebanho!$I117&gt;=BS$1)),Rebanho!#REF!/(Rebanho!$I117-Rebanho!$H117+1),0))</f>
        <v>0</v>
      </c>
      <c r="BT43" s="461">
        <f>IF(AND(Rebanho!$I117=Rebanho!$H117,Rebanho!$H117=BT$1),Rebanho!#REF!,IF(AND(Rebanho!$I117&gt;=Rebanho!$H117,AND(Rebanho!$H117&lt;=BT$1,Rebanho!$I117&gt;=BT$1)),Rebanho!#REF!/(Rebanho!$I117-Rebanho!$H117+1),0))</f>
        <v>0</v>
      </c>
      <c r="CG43" s="589"/>
      <c r="CH43" s="645"/>
      <c r="CI43" s="670"/>
      <c r="CJ43" s="646"/>
    </row>
    <row r="44" spans="2:88" ht="14.25" thickTop="1" thickBot="1" x14ac:dyDescent="0.25">
      <c r="B44" s="877" t="s">
        <v>865</v>
      </c>
      <c r="C44" s="1283">
        <f>Rebanho!G118</f>
        <v>880000</v>
      </c>
      <c r="D44" s="1259">
        <f t="shared" ca="1" si="11"/>
        <v>0.63420662577088904</v>
      </c>
      <c r="E44" s="1259">
        <f t="shared" ca="1" si="12"/>
        <v>0.63420662577088904</v>
      </c>
      <c r="F44" s="1275">
        <f t="shared" ca="1" si="13"/>
        <v>0.52994101628855672</v>
      </c>
      <c r="G44" s="1267">
        <f t="shared" ca="1" si="14"/>
        <v>0.39089520447865067</v>
      </c>
      <c r="H44" s="1388">
        <f>IF(C44=0,0,C44/'Análise TEC'!$C$20)</f>
        <v>86.154204867557723</v>
      </c>
      <c r="I44" s="1391">
        <f>IF(C44=0,0,C44/Rebanho!$X$89)</f>
        <v>57.953015149675373</v>
      </c>
      <c r="K44" s="2762"/>
      <c r="L44" s="2763"/>
      <c r="M44" s="1096" t="e">
        <f>SUM(M31:M43)</f>
        <v>#DIV/0!</v>
      </c>
      <c r="N44" s="1097"/>
      <c r="O44" s="1097"/>
      <c r="P44" s="1423"/>
      <c r="BA44" s="473" t="s">
        <v>2</v>
      </c>
      <c r="BB44" s="466" t="e">
        <f t="shared" ref="BB44:BT44" si="15">SUM(BB37:BB43)</f>
        <v>#REF!</v>
      </c>
      <c r="BC44" s="466">
        <f t="shared" si="15"/>
        <v>0</v>
      </c>
      <c r="BD44" s="466">
        <f t="shared" si="15"/>
        <v>0</v>
      </c>
      <c r="BE44" s="466">
        <f t="shared" si="15"/>
        <v>0</v>
      </c>
      <c r="BF44" s="466">
        <f t="shared" si="15"/>
        <v>0</v>
      </c>
      <c r="BG44" s="466">
        <f t="shared" si="15"/>
        <v>0</v>
      </c>
      <c r="BH44" s="466">
        <f t="shared" si="15"/>
        <v>0</v>
      </c>
      <c r="BI44" s="466">
        <f t="shared" si="15"/>
        <v>0</v>
      </c>
      <c r="BJ44" s="466">
        <f t="shared" si="15"/>
        <v>0</v>
      </c>
      <c r="BK44" s="466">
        <f t="shared" si="15"/>
        <v>0</v>
      </c>
      <c r="BL44" s="466">
        <f t="shared" si="15"/>
        <v>0</v>
      </c>
      <c r="BM44" s="466">
        <f t="shared" si="15"/>
        <v>0</v>
      </c>
      <c r="BN44" s="466">
        <f t="shared" si="15"/>
        <v>0</v>
      </c>
      <c r="BO44" s="466">
        <f t="shared" si="15"/>
        <v>0</v>
      </c>
      <c r="BP44" s="466">
        <f t="shared" si="15"/>
        <v>0</v>
      </c>
      <c r="BQ44" s="466">
        <f t="shared" si="15"/>
        <v>0</v>
      </c>
      <c r="BR44" s="466">
        <f t="shared" si="15"/>
        <v>0</v>
      </c>
      <c r="BS44" s="466">
        <f t="shared" si="15"/>
        <v>0</v>
      </c>
      <c r="BT44" s="466">
        <f t="shared" si="15"/>
        <v>0</v>
      </c>
      <c r="CG44" s="878"/>
      <c r="CH44" s="645"/>
      <c r="CI44" s="670"/>
      <c r="CJ44" s="646"/>
    </row>
    <row r="45" spans="2:88" ht="13.5" thickBot="1" x14ac:dyDescent="0.25">
      <c r="B45" s="1450" t="s">
        <v>589</v>
      </c>
      <c r="C45" s="1451">
        <f ca="1">SUM(C12:C44)</f>
        <v>1387560.4010449196</v>
      </c>
      <c r="D45" s="1295"/>
      <c r="E45" s="1452">
        <f ca="1">C45/C45</f>
        <v>1</v>
      </c>
      <c r="F45" s="1453">
        <f ca="1">C45/C66</f>
        <v>0.83559678305852503</v>
      </c>
      <c r="G45" s="1454">
        <f ca="1">C45/C80</f>
        <v>0.61635307578742315</v>
      </c>
      <c r="H45" s="1296"/>
      <c r="I45" s="1296"/>
      <c r="BA45" s="472" t="s">
        <v>489</v>
      </c>
      <c r="BB45" s="457"/>
      <c r="BC45" s="457"/>
      <c r="BD45" s="457"/>
      <c r="BE45" s="457"/>
      <c r="BF45" s="457"/>
      <c r="BG45" s="457"/>
      <c r="BH45" s="457"/>
      <c r="BI45" s="457"/>
      <c r="BJ45" s="457"/>
      <c r="BK45" s="457"/>
      <c r="BL45" s="457"/>
      <c r="BM45" s="457"/>
      <c r="BN45" s="457"/>
      <c r="BO45" s="457"/>
      <c r="BP45" s="457"/>
      <c r="BQ45" s="457"/>
      <c r="BR45" s="457"/>
      <c r="BS45" s="457"/>
      <c r="BT45" s="457"/>
      <c r="CG45" s="589"/>
      <c r="CH45" s="645"/>
      <c r="CI45" s="670"/>
      <c r="CJ45" s="646"/>
    </row>
    <row r="46" spans="2:88" ht="13.5" thickBot="1" x14ac:dyDescent="0.25">
      <c r="C46" s="1371"/>
      <c r="D46" s="1371"/>
      <c r="E46" s="1371"/>
      <c r="F46" s="1371"/>
      <c r="G46" s="1371"/>
      <c r="H46" s="1371"/>
      <c r="I46" s="474"/>
      <c r="BA46" s="454" t="str">
        <f>VLOOKUP(Rebanho!C95,Dados!$A$14:$AD$81,29)</f>
        <v>GTA e Guia</v>
      </c>
      <c r="BB46" s="455">
        <f>IF(AND(Rebanho!$I95=Rebanho!$H95,Rebanho!$H95=BB$1),Rebanho!$G95,IF(AND(Rebanho!$I95&gt;=Rebanho!$H95,AND(Rebanho!$H95&lt;=BB$1,Rebanho!$I95&gt;=BB$1)),Rebanho!$G95/(Rebanho!$I95-Rebanho!$H95+1),0))</f>
        <v>25359.088284444446</v>
      </c>
      <c r="BC46" s="455">
        <f>IF(AND(Rebanho!$I95=Rebanho!$H95,Rebanho!$H95=BC$1),Rebanho!$G95,IF(AND(Rebanho!$I95&gt;=Rebanho!$H95,AND(Rebanho!$H95&lt;=BC$1,Rebanho!$I95&gt;=BC$1)),Rebanho!$G95/(Rebanho!$I95-Rebanho!$H95+1),0))</f>
        <v>0</v>
      </c>
      <c r="BD46" s="455">
        <f>IF(AND(Rebanho!$I95=Rebanho!$H95,Rebanho!$H95=BD$1),Rebanho!$G95,IF(AND(Rebanho!$I95&gt;=Rebanho!$H95,AND(Rebanho!$H95&lt;=BD$1,Rebanho!$I95&gt;=BD$1)),Rebanho!$G95/(Rebanho!$I95-Rebanho!$H95+1),0))</f>
        <v>0</v>
      </c>
      <c r="BE46" s="455">
        <f>IF(AND(Rebanho!$I95=Rebanho!$H95,Rebanho!$H95=BE$1),Rebanho!$G95,IF(AND(Rebanho!$I95&gt;=Rebanho!$H95,AND(Rebanho!$H95&lt;=BE$1,Rebanho!$I95&gt;=BE$1)),Rebanho!$G95/(Rebanho!$I95-Rebanho!$H95+1),0))</f>
        <v>0</v>
      </c>
      <c r="BF46" s="455">
        <f>IF(AND(Rebanho!$I95=Rebanho!$H95,Rebanho!$H95=BF$1),Rebanho!$G95,IF(AND(Rebanho!$I95&gt;=Rebanho!$H95,AND(Rebanho!$H95&lt;=BF$1,Rebanho!$I95&gt;=BF$1)),Rebanho!$G95/(Rebanho!$I95-Rebanho!$H95+1),0))</f>
        <v>0</v>
      </c>
      <c r="BG46" s="455">
        <f>IF(AND(Rebanho!$I95=Rebanho!$H95,Rebanho!$H95=BG$1),Rebanho!$G95,IF(AND(Rebanho!$I95&gt;=Rebanho!$H95,AND(Rebanho!$H95&lt;=BG$1,Rebanho!$I95&gt;=BG$1)),Rebanho!$G95/(Rebanho!$I95-Rebanho!$H95+1),0))</f>
        <v>0</v>
      </c>
      <c r="BH46" s="455">
        <f>IF(AND(Rebanho!$I95=Rebanho!$H95,Rebanho!$H95=BH$1),Rebanho!$G95,IF(AND(Rebanho!$I95&gt;=Rebanho!$H95,AND(Rebanho!$H95&lt;=BH$1,Rebanho!$I95&gt;=BH$1)),Rebanho!$G95/(Rebanho!$I95-Rebanho!$H95+1),0))</f>
        <v>0</v>
      </c>
      <c r="BI46" s="455">
        <f>IF(AND(Rebanho!$I95=Rebanho!$H95,Rebanho!$H95=BI$1),Rebanho!$G95,IF(AND(Rebanho!$I95&gt;=Rebanho!$H95,AND(Rebanho!$H95&lt;=BI$1,Rebanho!$I95&gt;=BI$1)),Rebanho!$G95/(Rebanho!$I95-Rebanho!$H95+1),0))</f>
        <v>0</v>
      </c>
      <c r="BJ46" s="455">
        <f>IF(AND(Rebanho!$I95=Rebanho!$H95,Rebanho!$H95=BJ$1),Rebanho!$G95,IF(AND(Rebanho!$I95&gt;=Rebanho!$H95,AND(Rebanho!$H95&lt;=BJ$1,Rebanho!$I95&gt;=BJ$1)),Rebanho!$G95/(Rebanho!$I95-Rebanho!$H95+1),0))</f>
        <v>0</v>
      </c>
      <c r="BK46" s="455">
        <f>IF(AND(Rebanho!$I95=Rebanho!$H95,Rebanho!$H95=BK$1),Rebanho!$G95,IF(AND(Rebanho!$I95&gt;=Rebanho!$H95,AND(Rebanho!$H95&lt;=BK$1,Rebanho!$I95&gt;=BK$1)),Rebanho!$G95/(Rebanho!$I95-Rebanho!$H95+1),0))</f>
        <v>0</v>
      </c>
      <c r="BL46" s="455">
        <f>IF(AND(Rebanho!$I95=Rebanho!$H95,Rebanho!$H95=BL$1),Rebanho!$G95,IF(AND(Rebanho!$I95&gt;=Rebanho!$H95,AND(Rebanho!$H95&lt;=BL$1,Rebanho!$I95&gt;=BL$1)),Rebanho!$G95/(Rebanho!$I95-Rebanho!$H95+1),0))</f>
        <v>0</v>
      </c>
      <c r="BM46" s="455">
        <f>IF(AND(Rebanho!$I95=Rebanho!$H95,Rebanho!$H95=BM$1),Rebanho!$G95,IF(AND(Rebanho!$I95&gt;=Rebanho!$H95,AND(Rebanho!$H95&lt;=BM$1,Rebanho!$I95&gt;=BM$1)),Rebanho!$G95/(Rebanho!$I95-Rebanho!$H95+1),0))</f>
        <v>0</v>
      </c>
      <c r="BN46" s="455">
        <f>IF(AND(Rebanho!$I95=Rebanho!$H95,Rebanho!$H95=BN$1),Rebanho!$G95,IF(AND(Rebanho!$I95&gt;=Rebanho!$H95,AND(Rebanho!$H95&lt;=BN$1,Rebanho!$I95&gt;=BN$1)),Rebanho!$G95/(Rebanho!$I95-Rebanho!$H95+1),0))</f>
        <v>0</v>
      </c>
      <c r="BO46" s="455">
        <f>IF(AND(Rebanho!$I95=Rebanho!$H95,Rebanho!$H95=BO$1),Rebanho!$G95,IF(AND(Rebanho!$I95&gt;=Rebanho!$H95,AND(Rebanho!$H95&lt;=BO$1,Rebanho!$I95&gt;=BO$1)),Rebanho!$G95/(Rebanho!$I95-Rebanho!$H95+1),0))</f>
        <v>0</v>
      </c>
      <c r="BP46" s="455">
        <f>IF(AND(Rebanho!$I95=Rebanho!$H95,Rebanho!$H95=BP$1),Rebanho!$G95,IF(AND(Rebanho!$I95&gt;=Rebanho!$H95,AND(Rebanho!$H95&lt;=BP$1,Rebanho!$I95&gt;=BP$1)),Rebanho!$G95/(Rebanho!$I95-Rebanho!$H95+1),0))</f>
        <v>0</v>
      </c>
      <c r="BQ46" s="455">
        <f>IF(AND(Rebanho!$I95=Rebanho!$H95,Rebanho!$H95=BQ$1),Rebanho!$G95,IF(AND(Rebanho!$I95&gt;=Rebanho!$H95,AND(Rebanho!$H95&lt;=BQ$1,Rebanho!$I95&gt;=BQ$1)),Rebanho!$G95/(Rebanho!$I95-Rebanho!$H95+1),0))</f>
        <v>0</v>
      </c>
      <c r="BR46" s="455">
        <f>IF(AND(Rebanho!$I95=Rebanho!$H95,Rebanho!$H95=BR$1),Rebanho!$G95,IF(AND(Rebanho!$I95&gt;=Rebanho!$H95,AND(Rebanho!$H95&lt;=BR$1,Rebanho!$I95&gt;=BR$1)),Rebanho!$G95/(Rebanho!$I95-Rebanho!$H95+1),0))</f>
        <v>0</v>
      </c>
      <c r="BS46" s="455">
        <f>IF(AND(Rebanho!$I95=Rebanho!$H95,Rebanho!$H95=BS$1),Rebanho!$G95,IF(AND(Rebanho!$I95&gt;=Rebanho!$H95,AND(Rebanho!$H95&lt;=BS$1,Rebanho!$I95&gt;=BS$1)),Rebanho!$G95/(Rebanho!$I95-Rebanho!$H95+1),0))</f>
        <v>0</v>
      </c>
      <c r="BT46" s="456">
        <f>IF(AND(Rebanho!$I95=Rebanho!$H95,Rebanho!$H95=BT$1),Rebanho!$G95,IF(AND(Rebanho!$I95&gt;=Rebanho!$H95,AND(Rebanho!$H95&lt;=BT$1,Rebanho!$I95&gt;=BT$1)),Rebanho!$G95/(Rebanho!$I95-Rebanho!$H95+1),0))</f>
        <v>0</v>
      </c>
      <c r="CG46" s="879"/>
      <c r="CH46" s="645"/>
      <c r="CI46" s="670"/>
      <c r="CJ46" s="646"/>
    </row>
    <row r="47" spans="2:88" ht="13.5" thickBot="1" x14ac:dyDescent="0.25">
      <c r="B47" s="452" t="s">
        <v>587</v>
      </c>
      <c r="D47" s="1029" t="s">
        <v>800</v>
      </c>
      <c r="E47" s="1029" t="s">
        <v>813</v>
      </c>
      <c r="F47" s="1029" t="s">
        <v>814</v>
      </c>
      <c r="G47" s="1029" t="s">
        <v>1218</v>
      </c>
      <c r="H47" s="1355" t="str">
        <f>IF(CF40=7,"R$/litro leite","R$/@ produzidas")</f>
        <v>R$/@ produzidas</v>
      </c>
      <c r="I47" s="1029" t="s">
        <v>803</v>
      </c>
      <c r="BA47" s="459">
        <f>VLOOKUP(Rebanho!C96,Dados!$A$14:$AD$81,29)</f>
        <v>0</v>
      </c>
      <c r="BB47" s="460">
        <f>IF(AND(Rebanho!$I96=Rebanho!$H96,Rebanho!$H96=BB$1),Rebanho!$G96,IF(AND(Rebanho!$I96&gt;=Rebanho!$H96,AND(Rebanho!$H96&lt;=BB$1,Rebanho!$I96&gt;=BB$1)),Rebanho!$G96/(Rebanho!$I96-Rebanho!$H96+1),0))</f>
        <v>0</v>
      </c>
      <c r="BC47" s="460">
        <f>IF(AND(Rebanho!$I96=Rebanho!$H96,Rebanho!$H96=BC$1),Rebanho!$G96,IF(AND(Rebanho!$I96&gt;=Rebanho!$H96,AND(Rebanho!$H96&lt;=BC$1,Rebanho!$I96&gt;=BC$1)),Rebanho!$G96/(Rebanho!$I96-Rebanho!$H96+1),0))</f>
        <v>0</v>
      </c>
      <c r="BD47" s="460">
        <f>IF(AND(Rebanho!$I96=Rebanho!$H96,Rebanho!$H96=BD$1),Rebanho!$G96,IF(AND(Rebanho!$I96&gt;=Rebanho!$H96,AND(Rebanho!$H96&lt;=BD$1,Rebanho!$I96&gt;=BD$1)),Rebanho!$G96/(Rebanho!$I96-Rebanho!$H96+1),0))</f>
        <v>0</v>
      </c>
      <c r="BE47" s="460">
        <f>IF(AND(Rebanho!$I96=Rebanho!$H96,Rebanho!$H96=BE$1),Rebanho!$G96,IF(AND(Rebanho!$I96&gt;=Rebanho!$H96,AND(Rebanho!$H96&lt;=BE$1,Rebanho!$I96&gt;=BE$1)),Rebanho!$G96/(Rebanho!$I96-Rebanho!$H96+1),0))</f>
        <v>0</v>
      </c>
      <c r="BF47" s="460">
        <f>IF(AND(Rebanho!$I96=Rebanho!$H96,Rebanho!$H96=BF$1),Rebanho!$G96,IF(AND(Rebanho!$I96&gt;=Rebanho!$H96,AND(Rebanho!$H96&lt;=BF$1,Rebanho!$I96&gt;=BF$1)),Rebanho!$G96/(Rebanho!$I96-Rebanho!$H96+1),0))</f>
        <v>0</v>
      </c>
      <c r="BG47" s="460">
        <f>IF(AND(Rebanho!$I96=Rebanho!$H96,Rebanho!$H96=BG$1),Rebanho!$G96,IF(AND(Rebanho!$I96&gt;=Rebanho!$H96,AND(Rebanho!$H96&lt;=BG$1,Rebanho!$I96&gt;=BG$1)),Rebanho!$G96/(Rebanho!$I96-Rebanho!$H96+1),0))</f>
        <v>0</v>
      </c>
      <c r="BH47" s="460">
        <f>IF(AND(Rebanho!$I96=Rebanho!$H96,Rebanho!$H96=BH$1),Rebanho!$G96,IF(AND(Rebanho!$I96&gt;=Rebanho!$H96,AND(Rebanho!$H96&lt;=BH$1,Rebanho!$I96&gt;=BH$1)),Rebanho!$G96/(Rebanho!$I96-Rebanho!$H96+1),0))</f>
        <v>0</v>
      </c>
      <c r="BI47" s="460">
        <f>IF(AND(Rebanho!$I96=Rebanho!$H96,Rebanho!$H96=BI$1),Rebanho!$G96,IF(AND(Rebanho!$I96&gt;=Rebanho!$H96,AND(Rebanho!$H96&lt;=BI$1,Rebanho!$I96&gt;=BI$1)),Rebanho!$G96/(Rebanho!$I96-Rebanho!$H96+1),0))</f>
        <v>0</v>
      </c>
      <c r="BJ47" s="460">
        <f>IF(AND(Rebanho!$I96=Rebanho!$H96,Rebanho!$H96=BJ$1),Rebanho!$G96,IF(AND(Rebanho!$I96&gt;=Rebanho!$H96,AND(Rebanho!$H96&lt;=BJ$1,Rebanho!$I96&gt;=BJ$1)),Rebanho!$G96/(Rebanho!$I96-Rebanho!$H96+1),0))</f>
        <v>0</v>
      </c>
      <c r="BK47" s="460">
        <f>IF(AND(Rebanho!$I96=Rebanho!$H96,Rebanho!$H96=BK$1),Rebanho!$G96,IF(AND(Rebanho!$I96&gt;=Rebanho!$H96,AND(Rebanho!$H96&lt;=BK$1,Rebanho!$I96&gt;=BK$1)),Rebanho!$G96/(Rebanho!$I96-Rebanho!$H96+1),0))</f>
        <v>0</v>
      </c>
      <c r="BL47" s="460">
        <f>IF(AND(Rebanho!$I96=Rebanho!$H96,Rebanho!$H96=BL$1),Rebanho!$G96,IF(AND(Rebanho!$I96&gt;=Rebanho!$H96,AND(Rebanho!$H96&lt;=BL$1,Rebanho!$I96&gt;=BL$1)),Rebanho!$G96/(Rebanho!$I96-Rebanho!$H96+1),0))</f>
        <v>0</v>
      </c>
      <c r="BM47" s="460">
        <f>IF(AND(Rebanho!$I96=Rebanho!$H96,Rebanho!$H96=BM$1),Rebanho!$G96,IF(AND(Rebanho!$I96&gt;=Rebanho!$H96,AND(Rebanho!$H96&lt;=BM$1,Rebanho!$I96&gt;=BM$1)),Rebanho!$G96/(Rebanho!$I96-Rebanho!$H96+1),0))</f>
        <v>0</v>
      </c>
      <c r="BN47" s="460">
        <f>IF(AND(Rebanho!$I96=Rebanho!$H96,Rebanho!$H96=BN$1),Rebanho!$G96,IF(AND(Rebanho!$I96&gt;=Rebanho!$H96,AND(Rebanho!$H96&lt;=BN$1,Rebanho!$I96&gt;=BN$1)),Rebanho!$G96/(Rebanho!$I96-Rebanho!$H96+1),0))</f>
        <v>0</v>
      </c>
      <c r="BO47" s="460">
        <f>IF(AND(Rebanho!$I96=Rebanho!$H96,Rebanho!$H96=BO$1),Rebanho!$G96,IF(AND(Rebanho!$I96&gt;=Rebanho!$H96,AND(Rebanho!$H96&lt;=BO$1,Rebanho!$I96&gt;=BO$1)),Rebanho!$G96/(Rebanho!$I96-Rebanho!$H96+1),0))</f>
        <v>0</v>
      </c>
      <c r="BP47" s="460">
        <f>IF(AND(Rebanho!$I96=Rebanho!$H96,Rebanho!$H96=BP$1),Rebanho!$G96,IF(AND(Rebanho!$I96&gt;=Rebanho!$H96,AND(Rebanho!$H96&lt;=BP$1,Rebanho!$I96&gt;=BP$1)),Rebanho!$G96/(Rebanho!$I96-Rebanho!$H96+1),0))</f>
        <v>0</v>
      </c>
      <c r="BQ47" s="460">
        <f>IF(AND(Rebanho!$I96=Rebanho!$H96,Rebanho!$H96=BQ$1),Rebanho!$G96,IF(AND(Rebanho!$I96&gt;=Rebanho!$H96,AND(Rebanho!$H96&lt;=BQ$1,Rebanho!$I96&gt;=BQ$1)),Rebanho!$G96/(Rebanho!$I96-Rebanho!$H96+1),0))</f>
        <v>0</v>
      </c>
      <c r="BR47" s="460">
        <f>IF(AND(Rebanho!$I96=Rebanho!$H96,Rebanho!$H96=BR$1),Rebanho!$G96,IF(AND(Rebanho!$I96&gt;=Rebanho!$H96,AND(Rebanho!$H96&lt;=BR$1,Rebanho!$I96&gt;=BR$1)),Rebanho!$G96/(Rebanho!$I96-Rebanho!$H96+1),0))</f>
        <v>0</v>
      </c>
      <c r="BS47" s="460">
        <f>IF(AND(Rebanho!$I96=Rebanho!$H96,Rebanho!$H96=BS$1),Rebanho!$G96,IF(AND(Rebanho!$I96&gt;=Rebanho!$H96,AND(Rebanho!$H96&lt;=BS$1,Rebanho!$I96&gt;=BS$1)),Rebanho!$G96/(Rebanho!$I96-Rebanho!$H96+1),0))</f>
        <v>0</v>
      </c>
      <c r="BT47" s="461">
        <f>IF(AND(Rebanho!$I96=Rebanho!$H96,Rebanho!$H96=BT$1),Rebanho!$G96,IF(AND(Rebanho!$I96&gt;=Rebanho!$H96,AND(Rebanho!$H96&lt;=BT$1,Rebanho!$I96&gt;=BT$1)),Rebanho!$G96/(Rebanho!$I96-Rebanho!$H96+1),0))</f>
        <v>0</v>
      </c>
      <c r="CG47" s="878"/>
      <c r="CH47" s="645"/>
      <c r="CI47" s="670"/>
      <c r="CJ47" s="646"/>
    </row>
    <row r="48" spans="2:88" x14ac:dyDescent="0.2">
      <c r="B48" s="475" t="s">
        <v>537</v>
      </c>
      <c r="C48" s="1284">
        <f ca="1">Inventário!S26</f>
        <v>76129.57291122993</v>
      </c>
      <c r="D48" s="1288">
        <f ca="1">IF($C$66=0,0,C48/$C$66)</f>
        <v>4.584566277067155E-2</v>
      </c>
      <c r="E48" s="1363"/>
      <c r="F48" s="1290">
        <f t="shared" ref="F48" ca="1" si="16">IF(C48=0,"-",C48/$C$66)</f>
        <v>4.584566277067155E-2</v>
      </c>
      <c r="G48" s="1277">
        <f t="shared" ref="G48" ca="1" si="17">IF(C48=0,"-",C48/$C$80)</f>
        <v>3.3816687465917691E-2</v>
      </c>
      <c r="H48" s="1378">
        <f ca="1">IF(C48=0,0,C48/'Análise TEC'!$C$20)</f>
        <v>7.4532759330383813</v>
      </c>
      <c r="I48" s="1382">
        <f ca="1">IF(C48=0,0,C48/Rebanho!$X$89)</f>
        <v>5.0135662412077551</v>
      </c>
      <c r="BA48" s="459">
        <f>VLOOKUP(Rebanho!C97,Dados!$A$14:$AD$81,29)</f>
        <v>0</v>
      </c>
      <c r="BB48" s="460">
        <f>IF(AND(Rebanho!$I97=Rebanho!$H97,Rebanho!$H97=BB$1),Rebanho!$G97,IF(AND(Rebanho!$I97&gt;=Rebanho!$H97,AND(Rebanho!$H97&lt;=BB$1,Rebanho!$I97&gt;=BB$1)),Rebanho!$G97/(Rebanho!$I97-Rebanho!$H97+1),0))</f>
        <v>0</v>
      </c>
      <c r="BC48" s="460">
        <f>IF(AND(Rebanho!$I97=Rebanho!$H97,Rebanho!$H97=BC$1),Rebanho!$G97,IF(AND(Rebanho!$I97&gt;=Rebanho!$H97,AND(Rebanho!$H97&lt;=BC$1,Rebanho!$I97&gt;=BC$1)),Rebanho!$G97/(Rebanho!$I97-Rebanho!$H97+1),0))</f>
        <v>0</v>
      </c>
      <c r="BD48" s="460">
        <f>IF(AND(Rebanho!$I97=Rebanho!$H97,Rebanho!$H97=BD$1),Rebanho!$G97,IF(AND(Rebanho!$I97&gt;=Rebanho!$H97,AND(Rebanho!$H97&lt;=BD$1,Rebanho!$I97&gt;=BD$1)),Rebanho!$G97/(Rebanho!$I97-Rebanho!$H97+1),0))</f>
        <v>0</v>
      </c>
      <c r="BE48" s="460">
        <f>IF(AND(Rebanho!$I97=Rebanho!$H97,Rebanho!$H97=BE$1),Rebanho!$G97,IF(AND(Rebanho!$I97&gt;=Rebanho!$H97,AND(Rebanho!$H97&lt;=BE$1,Rebanho!$I97&gt;=BE$1)),Rebanho!$G97/(Rebanho!$I97-Rebanho!$H97+1),0))</f>
        <v>0</v>
      </c>
      <c r="BF48" s="460">
        <f>IF(AND(Rebanho!$I97=Rebanho!$H97,Rebanho!$H97=BF$1),Rebanho!$G97,IF(AND(Rebanho!$I97&gt;=Rebanho!$H97,AND(Rebanho!$H97&lt;=BF$1,Rebanho!$I97&gt;=BF$1)),Rebanho!$G97/(Rebanho!$I97-Rebanho!$H97+1),0))</f>
        <v>0</v>
      </c>
      <c r="BG48" s="460">
        <f>IF(AND(Rebanho!$I97=Rebanho!$H97,Rebanho!$H97=BG$1),Rebanho!$G97,IF(AND(Rebanho!$I97&gt;=Rebanho!$H97,AND(Rebanho!$H97&lt;=BG$1,Rebanho!$I97&gt;=BG$1)),Rebanho!$G97/(Rebanho!$I97-Rebanho!$H97+1),0))</f>
        <v>0</v>
      </c>
      <c r="BH48" s="460">
        <f>IF(AND(Rebanho!$I97=Rebanho!$H97,Rebanho!$H97=BH$1),Rebanho!$G97,IF(AND(Rebanho!$I97&gt;=Rebanho!$H97,AND(Rebanho!$H97&lt;=BH$1,Rebanho!$I97&gt;=BH$1)),Rebanho!$G97/(Rebanho!$I97-Rebanho!$H97+1),0))</f>
        <v>0</v>
      </c>
      <c r="BI48" s="460">
        <f>IF(AND(Rebanho!$I97=Rebanho!$H97,Rebanho!$H97=BI$1),Rebanho!$G97,IF(AND(Rebanho!$I97&gt;=Rebanho!$H97,AND(Rebanho!$H97&lt;=BI$1,Rebanho!$I97&gt;=BI$1)),Rebanho!$G97/(Rebanho!$I97-Rebanho!$H97+1),0))</f>
        <v>0</v>
      </c>
      <c r="BJ48" s="460">
        <f>IF(AND(Rebanho!$I97=Rebanho!$H97,Rebanho!$H97=BJ$1),Rebanho!$G97,IF(AND(Rebanho!$I97&gt;=Rebanho!$H97,AND(Rebanho!$H97&lt;=BJ$1,Rebanho!$I97&gt;=BJ$1)),Rebanho!$G97/(Rebanho!$I97-Rebanho!$H97+1),0))</f>
        <v>0</v>
      </c>
      <c r="BK48" s="460">
        <f>IF(AND(Rebanho!$I97=Rebanho!$H97,Rebanho!$H97=BK$1),Rebanho!$G97,IF(AND(Rebanho!$I97&gt;=Rebanho!$H97,AND(Rebanho!$H97&lt;=BK$1,Rebanho!$I97&gt;=BK$1)),Rebanho!$G97/(Rebanho!$I97-Rebanho!$H97+1),0))</f>
        <v>0</v>
      </c>
      <c r="BL48" s="460">
        <f>IF(AND(Rebanho!$I97=Rebanho!$H97,Rebanho!$H97=BL$1),Rebanho!$G97,IF(AND(Rebanho!$I97&gt;=Rebanho!$H97,AND(Rebanho!$H97&lt;=BL$1,Rebanho!$I97&gt;=BL$1)),Rebanho!$G97/(Rebanho!$I97-Rebanho!$H97+1),0))</f>
        <v>0</v>
      </c>
      <c r="BM48" s="460">
        <f>IF(AND(Rebanho!$I97=Rebanho!$H97,Rebanho!$H97=BM$1),Rebanho!$G97,IF(AND(Rebanho!$I97&gt;=Rebanho!$H97,AND(Rebanho!$H97&lt;=BM$1,Rebanho!$I97&gt;=BM$1)),Rebanho!$G97/(Rebanho!$I97-Rebanho!$H97+1),0))</f>
        <v>0</v>
      </c>
      <c r="BN48" s="460">
        <f>IF(AND(Rebanho!$I97=Rebanho!$H97,Rebanho!$H97=BN$1),Rebanho!$G97,IF(AND(Rebanho!$I97&gt;=Rebanho!$H97,AND(Rebanho!$H97&lt;=BN$1,Rebanho!$I97&gt;=BN$1)),Rebanho!$G97/(Rebanho!$I97-Rebanho!$H97+1),0))</f>
        <v>0</v>
      </c>
      <c r="BO48" s="460">
        <f>IF(AND(Rebanho!$I97=Rebanho!$H97,Rebanho!$H97=BO$1),Rebanho!$G97,IF(AND(Rebanho!$I97&gt;=Rebanho!$H97,AND(Rebanho!$H97&lt;=BO$1,Rebanho!$I97&gt;=BO$1)),Rebanho!$G97/(Rebanho!$I97-Rebanho!$H97+1),0))</f>
        <v>0</v>
      </c>
      <c r="BP48" s="460">
        <f>IF(AND(Rebanho!$I97=Rebanho!$H97,Rebanho!$H97=BP$1),Rebanho!$G97,IF(AND(Rebanho!$I97&gt;=Rebanho!$H97,AND(Rebanho!$H97&lt;=BP$1,Rebanho!$I97&gt;=BP$1)),Rebanho!$G97/(Rebanho!$I97-Rebanho!$H97+1),0))</f>
        <v>0</v>
      </c>
      <c r="BQ48" s="460">
        <f>IF(AND(Rebanho!$I97=Rebanho!$H97,Rebanho!$H97=BQ$1),Rebanho!$G97,IF(AND(Rebanho!$I97&gt;=Rebanho!$H97,AND(Rebanho!$H97&lt;=BQ$1,Rebanho!$I97&gt;=BQ$1)),Rebanho!$G97/(Rebanho!$I97-Rebanho!$H97+1),0))</f>
        <v>0</v>
      </c>
      <c r="BR48" s="460">
        <f>IF(AND(Rebanho!$I97=Rebanho!$H97,Rebanho!$H97=BR$1),Rebanho!$G97,IF(AND(Rebanho!$I97&gt;=Rebanho!$H97,AND(Rebanho!$H97&lt;=BR$1,Rebanho!$I97&gt;=BR$1)),Rebanho!$G97/(Rebanho!$I97-Rebanho!$H97+1),0))</f>
        <v>0</v>
      </c>
      <c r="BS48" s="460">
        <f>IF(AND(Rebanho!$I97=Rebanho!$H97,Rebanho!$H97=BS$1),Rebanho!$G97,IF(AND(Rebanho!$I97&gt;=Rebanho!$H97,AND(Rebanho!$H97&lt;=BS$1,Rebanho!$I97&gt;=BS$1)),Rebanho!$G97/(Rebanho!$I97-Rebanho!$H97+1),0))</f>
        <v>0</v>
      </c>
      <c r="BT48" s="461">
        <f>IF(AND(Rebanho!$I97=Rebanho!$H97,Rebanho!$H97=BT$1),Rebanho!$G97,IF(AND(Rebanho!$I97&gt;=Rebanho!$H97,AND(Rebanho!$H97&lt;=BT$1,Rebanho!$I97&gt;=BT$1)),Rebanho!$G97/(Rebanho!$I97-Rebanho!$H97+1),0))</f>
        <v>0</v>
      </c>
      <c r="CG48" s="880"/>
      <c r="CH48" s="645"/>
      <c r="CI48" s="670"/>
      <c r="CJ48" s="646"/>
    </row>
    <row r="49" spans="2:88" x14ac:dyDescent="0.2">
      <c r="B49" s="462" t="s">
        <v>22</v>
      </c>
      <c r="C49" s="1285">
        <f>Inventário!S43</f>
        <v>10906.666666666668</v>
      </c>
      <c r="D49" s="1255">
        <f t="shared" ref="D49:D63" ca="1" si="18">IF($C$66=0,0,C49/$C$66)</f>
        <v>6.5680568382430219E-3</v>
      </c>
      <c r="E49" s="1364"/>
      <c r="F49" s="1291">
        <f t="shared" ref="F49:F63" ca="1" si="19">IF(C49=0,"-",C49/$C$66)</f>
        <v>6.5680568382430219E-3</v>
      </c>
      <c r="G49" s="1268">
        <f t="shared" ref="G49:G63" ca="1" si="20">IF(C49=0,"-",C49/$C$80)</f>
        <v>4.8447314736899437E-3</v>
      </c>
      <c r="H49" s="1379">
        <f>IF(C49=0,0,C49/'Análise TEC'!$C$20)</f>
        <v>1.0677899936615489</v>
      </c>
      <c r="I49" s="1383">
        <f>IF(C49=0,0,C49/Rebanho!$X$89)</f>
        <v>0.71826615746112821</v>
      </c>
      <c r="BA49" s="459">
        <f>VLOOKUP(Rebanho!C98,Dados!$A$14:$AD$81,29)</f>
        <v>0</v>
      </c>
      <c r="BB49" s="460">
        <f>IF(AND(Rebanho!$I98=Rebanho!$H98,Rebanho!$H98=BB$1),Rebanho!$G98,IF(AND(Rebanho!$I98&gt;=Rebanho!$H98,AND(Rebanho!$H98&lt;=BB$1,Rebanho!$I98&gt;=BB$1)),Rebanho!$G98/(Rebanho!$I98-Rebanho!$H98+1),0))</f>
        <v>0</v>
      </c>
      <c r="BC49" s="460">
        <f>IF(AND(Rebanho!$I98=Rebanho!$H98,Rebanho!$H98=BC$1),Rebanho!$G98,IF(AND(Rebanho!$I98&gt;=Rebanho!$H98,AND(Rebanho!$H98&lt;=BC$1,Rebanho!$I98&gt;=BC$1)),Rebanho!$G98/(Rebanho!$I98-Rebanho!$H98+1),0))</f>
        <v>0</v>
      </c>
      <c r="BD49" s="460">
        <f>IF(AND(Rebanho!$I98=Rebanho!$H98,Rebanho!$H98=BD$1),Rebanho!$G98,IF(AND(Rebanho!$I98&gt;=Rebanho!$H98,AND(Rebanho!$H98&lt;=BD$1,Rebanho!$I98&gt;=BD$1)),Rebanho!$G98/(Rebanho!$I98-Rebanho!$H98+1),0))</f>
        <v>0</v>
      </c>
      <c r="BE49" s="460">
        <f>IF(AND(Rebanho!$I98=Rebanho!$H98,Rebanho!$H98=BE$1),Rebanho!$G98,IF(AND(Rebanho!$I98&gt;=Rebanho!$H98,AND(Rebanho!$H98&lt;=BE$1,Rebanho!$I98&gt;=BE$1)),Rebanho!$G98/(Rebanho!$I98-Rebanho!$H98+1),0))</f>
        <v>0</v>
      </c>
      <c r="BF49" s="460">
        <f>IF(AND(Rebanho!$I98=Rebanho!$H98,Rebanho!$H98=BF$1),Rebanho!$G98,IF(AND(Rebanho!$I98&gt;=Rebanho!$H98,AND(Rebanho!$H98&lt;=BF$1,Rebanho!$I98&gt;=BF$1)),Rebanho!$G98/(Rebanho!$I98-Rebanho!$H98+1),0))</f>
        <v>0</v>
      </c>
      <c r="BG49" s="460">
        <f>IF(AND(Rebanho!$I98=Rebanho!$H98,Rebanho!$H98=BG$1),Rebanho!$G98,IF(AND(Rebanho!$I98&gt;=Rebanho!$H98,AND(Rebanho!$H98&lt;=BG$1,Rebanho!$I98&gt;=BG$1)),Rebanho!$G98/(Rebanho!$I98-Rebanho!$H98+1),0))</f>
        <v>0</v>
      </c>
      <c r="BH49" s="460">
        <f>IF(AND(Rebanho!$I98=Rebanho!$H98,Rebanho!$H98=BH$1),Rebanho!$G98,IF(AND(Rebanho!$I98&gt;=Rebanho!$H98,AND(Rebanho!$H98&lt;=BH$1,Rebanho!$I98&gt;=BH$1)),Rebanho!$G98/(Rebanho!$I98-Rebanho!$H98+1),0))</f>
        <v>0</v>
      </c>
      <c r="BI49" s="460">
        <f>IF(AND(Rebanho!$I98=Rebanho!$H98,Rebanho!$H98=BI$1),Rebanho!$G98,IF(AND(Rebanho!$I98&gt;=Rebanho!$H98,AND(Rebanho!$H98&lt;=BI$1,Rebanho!$I98&gt;=BI$1)),Rebanho!$G98/(Rebanho!$I98-Rebanho!$H98+1),0))</f>
        <v>0</v>
      </c>
      <c r="BJ49" s="460">
        <f>IF(AND(Rebanho!$I98=Rebanho!$H98,Rebanho!$H98=BJ$1),Rebanho!$G98,IF(AND(Rebanho!$I98&gt;=Rebanho!$H98,AND(Rebanho!$H98&lt;=BJ$1,Rebanho!$I98&gt;=BJ$1)),Rebanho!$G98/(Rebanho!$I98-Rebanho!$H98+1),0))</f>
        <v>0</v>
      </c>
      <c r="BK49" s="460">
        <f>IF(AND(Rebanho!$I98=Rebanho!$H98,Rebanho!$H98=BK$1),Rebanho!$G98,IF(AND(Rebanho!$I98&gt;=Rebanho!$H98,AND(Rebanho!$H98&lt;=BK$1,Rebanho!$I98&gt;=BK$1)),Rebanho!$G98/(Rebanho!$I98-Rebanho!$H98+1),0))</f>
        <v>0</v>
      </c>
      <c r="BL49" s="460">
        <f>IF(AND(Rebanho!$I98=Rebanho!$H98,Rebanho!$H98=BL$1),Rebanho!$G98,IF(AND(Rebanho!$I98&gt;=Rebanho!$H98,AND(Rebanho!$H98&lt;=BL$1,Rebanho!$I98&gt;=BL$1)),Rebanho!$G98/(Rebanho!$I98-Rebanho!$H98+1),0))</f>
        <v>0</v>
      </c>
      <c r="BM49" s="460">
        <f>IF(AND(Rebanho!$I98=Rebanho!$H98,Rebanho!$H98=BM$1),Rebanho!$G98,IF(AND(Rebanho!$I98&gt;=Rebanho!$H98,AND(Rebanho!$H98&lt;=BM$1,Rebanho!$I98&gt;=BM$1)),Rebanho!$G98/(Rebanho!$I98-Rebanho!$H98+1),0))</f>
        <v>0</v>
      </c>
      <c r="BN49" s="460">
        <f>IF(AND(Rebanho!$I98=Rebanho!$H98,Rebanho!$H98=BN$1),Rebanho!$G98,IF(AND(Rebanho!$I98&gt;=Rebanho!$H98,AND(Rebanho!$H98&lt;=BN$1,Rebanho!$I98&gt;=BN$1)),Rebanho!$G98/(Rebanho!$I98-Rebanho!$H98+1),0))</f>
        <v>0</v>
      </c>
      <c r="BO49" s="460">
        <f>IF(AND(Rebanho!$I98=Rebanho!$H98,Rebanho!$H98=BO$1),Rebanho!$G98,IF(AND(Rebanho!$I98&gt;=Rebanho!$H98,AND(Rebanho!$H98&lt;=BO$1,Rebanho!$I98&gt;=BO$1)),Rebanho!$G98/(Rebanho!$I98-Rebanho!$H98+1),0))</f>
        <v>0</v>
      </c>
      <c r="BP49" s="460">
        <f>IF(AND(Rebanho!$I98=Rebanho!$H98,Rebanho!$H98=BP$1),Rebanho!$G98,IF(AND(Rebanho!$I98&gt;=Rebanho!$H98,AND(Rebanho!$H98&lt;=BP$1,Rebanho!$I98&gt;=BP$1)),Rebanho!$G98/(Rebanho!$I98-Rebanho!$H98+1),0))</f>
        <v>0</v>
      </c>
      <c r="BQ49" s="460">
        <f>IF(AND(Rebanho!$I98=Rebanho!$H98,Rebanho!$H98=BQ$1),Rebanho!$G98,IF(AND(Rebanho!$I98&gt;=Rebanho!$H98,AND(Rebanho!$H98&lt;=BQ$1,Rebanho!$I98&gt;=BQ$1)),Rebanho!$G98/(Rebanho!$I98-Rebanho!$H98+1),0))</f>
        <v>0</v>
      </c>
      <c r="BR49" s="460">
        <f>IF(AND(Rebanho!$I98=Rebanho!$H98,Rebanho!$H98=BR$1),Rebanho!$G98,IF(AND(Rebanho!$I98&gt;=Rebanho!$H98,AND(Rebanho!$H98&lt;=BR$1,Rebanho!$I98&gt;=BR$1)),Rebanho!$G98/(Rebanho!$I98-Rebanho!$H98+1),0))</f>
        <v>0</v>
      </c>
      <c r="BS49" s="460">
        <f>IF(AND(Rebanho!$I98=Rebanho!$H98,Rebanho!$H98=BS$1),Rebanho!$G98,IF(AND(Rebanho!$I98&gt;=Rebanho!$H98,AND(Rebanho!$H98&lt;=BS$1,Rebanho!$I98&gt;=BS$1)),Rebanho!$G98/(Rebanho!$I98-Rebanho!$H98+1),0))</f>
        <v>0</v>
      </c>
      <c r="BT49" s="461">
        <f>IF(AND(Rebanho!$I98=Rebanho!$H98,Rebanho!$H98=BT$1),Rebanho!$G98,IF(AND(Rebanho!$I98&gt;=Rebanho!$H98,AND(Rebanho!$H98&lt;=BT$1,Rebanho!$I98&gt;=BT$1)),Rebanho!$G98/(Rebanho!$I98-Rebanho!$H98+1),0))</f>
        <v>0</v>
      </c>
      <c r="CG49" s="878"/>
      <c r="CH49" s="645"/>
      <c r="CI49" s="670"/>
      <c r="CJ49" s="646"/>
    </row>
    <row r="50" spans="2:88" x14ac:dyDescent="0.2">
      <c r="B50" s="462" t="s">
        <v>24</v>
      </c>
      <c r="C50" s="1285">
        <f>Inventário!S72</f>
        <v>5760</v>
      </c>
      <c r="D50" s="1255">
        <f t="shared" ca="1" si="18"/>
        <v>3.4687048338887349E-3</v>
      </c>
      <c r="E50" s="1364"/>
      <c r="F50" s="1291">
        <f t="shared" ca="1" si="19"/>
        <v>3.4687048338887349E-3</v>
      </c>
      <c r="G50" s="1268">
        <f t="shared" ca="1" si="20"/>
        <v>2.5585867929511681E-3</v>
      </c>
      <c r="H50" s="1386">
        <f>IF(C50=0,0,C50/'Análise TEC'!$C$20)</f>
        <v>0.56391843186037782</v>
      </c>
      <c r="I50" s="1389">
        <f>IF(C50=0,0,C50/Rebanho!$X$89)</f>
        <v>0.37932882643423882</v>
      </c>
      <c r="BA50" s="459">
        <f>VLOOKUP(Rebanho!C99,Dados!$A$14:$AD$81,29)</f>
        <v>0</v>
      </c>
      <c r="BB50" s="460">
        <f>IF(AND(Rebanho!$I99=Rebanho!$H99,Rebanho!$H99=BB$1),Rebanho!$G99,IF(AND(Rebanho!$I99&gt;=Rebanho!$H99,AND(Rebanho!$H99&lt;=BB$1,Rebanho!$I99&gt;=BB$1)),Rebanho!$G99/(Rebanho!$I99-Rebanho!$H99+1),0))</f>
        <v>0</v>
      </c>
      <c r="BC50" s="460">
        <f>IF(AND(Rebanho!$I99=Rebanho!$H99,Rebanho!$H99=BC$1),Rebanho!$G99,IF(AND(Rebanho!$I99&gt;=Rebanho!$H99,AND(Rebanho!$H99&lt;=BC$1,Rebanho!$I99&gt;=BC$1)),Rebanho!$G99/(Rebanho!$I99-Rebanho!$H99+1),0))</f>
        <v>0</v>
      </c>
      <c r="BD50" s="460">
        <f>IF(AND(Rebanho!$I99=Rebanho!$H99,Rebanho!$H99=BD$1),Rebanho!$G99,IF(AND(Rebanho!$I99&gt;=Rebanho!$H99,AND(Rebanho!$H99&lt;=BD$1,Rebanho!$I99&gt;=BD$1)),Rebanho!$G99/(Rebanho!$I99-Rebanho!$H99+1),0))</f>
        <v>0</v>
      </c>
      <c r="BE50" s="460">
        <f>IF(AND(Rebanho!$I99=Rebanho!$H99,Rebanho!$H99=BE$1),Rebanho!$G99,IF(AND(Rebanho!$I99&gt;=Rebanho!$H99,AND(Rebanho!$H99&lt;=BE$1,Rebanho!$I99&gt;=BE$1)),Rebanho!$G99/(Rebanho!$I99-Rebanho!$H99+1),0))</f>
        <v>0</v>
      </c>
      <c r="BF50" s="460">
        <f>IF(AND(Rebanho!$I99=Rebanho!$H99,Rebanho!$H99=BF$1),Rebanho!$G99,IF(AND(Rebanho!$I99&gt;=Rebanho!$H99,AND(Rebanho!$H99&lt;=BF$1,Rebanho!$I99&gt;=BF$1)),Rebanho!$G99/(Rebanho!$I99-Rebanho!$H99+1),0))</f>
        <v>0</v>
      </c>
      <c r="BG50" s="460">
        <f>IF(AND(Rebanho!$I99=Rebanho!$H99,Rebanho!$H99=BG$1),Rebanho!$G99,IF(AND(Rebanho!$I99&gt;=Rebanho!$H99,AND(Rebanho!$H99&lt;=BG$1,Rebanho!$I99&gt;=BG$1)),Rebanho!$G99/(Rebanho!$I99-Rebanho!$H99+1),0))</f>
        <v>0</v>
      </c>
      <c r="BH50" s="460">
        <f>IF(AND(Rebanho!$I99=Rebanho!$H99,Rebanho!$H99=BH$1),Rebanho!$G99,IF(AND(Rebanho!$I99&gt;=Rebanho!$H99,AND(Rebanho!$H99&lt;=BH$1,Rebanho!$I99&gt;=BH$1)),Rebanho!$G99/(Rebanho!$I99-Rebanho!$H99+1),0))</f>
        <v>0</v>
      </c>
      <c r="BI50" s="460">
        <f>IF(AND(Rebanho!$I99=Rebanho!$H99,Rebanho!$H99=BI$1),Rebanho!$G99,IF(AND(Rebanho!$I99&gt;=Rebanho!$H99,AND(Rebanho!$H99&lt;=BI$1,Rebanho!$I99&gt;=BI$1)),Rebanho!$G99/(Rebanho!$I99-Rebanho!$H99+1),0))</f>
        <v>0</v>
      </c>
      <c r="BJ50" s="460">
        <f>IF(AND(Rebanho!$I99=Rebanho!$H99,Rebanho!$H99=BJ$1),Rebanho!$G99,IF(AND(Rebanho!$I99&gt;=Rebanho!$H99,AND(Rebanho!$H99&lt;=BJ$1,Rebanho!$I99&gt;=BJ$1)),Rebanho!$G99/(Rebanho!$I99-Rebanho!$H99+1),0))</f>
        <v>0</v>
      </c>
      <c r="BK50" s="460">
        <f>IF(AND(Rebanho!$I99=Rebanho!$H99,Rebanho!$H99=BK$1),Rebanho!$G99,IF(AND(Rebanho!$I99&gt;=Rebanho!$H99,AND(Rebanho!$H99&lt;=BK$1,Rebanho!$I99&gt;=BK$1)),Rebanho!$G99/(Rebanho!$I99-Rebanho!$H99+1),0))</f>
        <v>0</v>
      </c>
      <c r="BL50" s="460">
        <f>IF(AND(Rebanho!$I99=Rebanho!$H99,Rebanho!$H99=BL$1),Rebanho!$G99,IF(AND(Rebanho!$I99&gt;=Rebanho!$H99,AND(Rebanho!$H99&lt;=BL$1,Rebanho!$I99&gt;=BL$1)),Rebanho!$G99/(Rebanho!$I99-Rebanho!$H99+1),0))</f>
        <v>0</v>
      </c>
      <c r="BM50" s="460">
        <f>IF(AND(Rebanho!$I99=Rebanho!$H99,Rebanho!$H99=BM$1),Rebanho!$G99,IF(AND(Rebanho!$I99&gt;=Rebanho!$H99,AND(Rebanho!$H99&lt;=BM$1,Rebanho!$I99&gt;=BM$1)),Rebanho!$G99/(Rebanho!$I99-Rebanho!$H99+1),0))</f>
        <v>0</v>
      </c>
      <c r="BN50" s="460">
        <f>IF(AND(Rebanho!$I99=Rebanho!$H99,Rebanho!$H99=BN$1),Rebanho!$G99,IF(AND(Rebanho!$I99&gt;=Rebanho!$H99,AND(Rebanho!$H99&lt;=BN$1,Rebanho!$I99&gt;=BN$1)),Rebanho!$G99/(Rebanho!$I99-Rebanho!$H99+1),0))</f>
        <v>0</v>
      </c>
      <c r="BO50" s="460">
        <f>IF(AND(Rebanho!$I99=Rebanho!$H99,Rebanho!$H99=BO$1),Rebanho!$G99,IF(AND(Rebanho!$I99&gt;=Rebanho!$H99,AND(Rebanho!$H99&lt;=BO$1,Rebanho!$I99&gt;=BO$1)),Rebanho!$G99/(Rebanho!$I99-Rebanho!$H99+1),0))</f>
        <v>0</v>
      </c>
      <c r="BP50" s="460">
        <f>IF(AND(Rebanho!$I99=Rebanho!$H99,Rebanho!$H99=BP$1),Rebanho!$G99,IF(AND(Rebanho!$I99&gt;=Rebanho!$H99,AND(Rebanho!$H99&lt;=BP$1,Rebanho!$I99&gt;=BP$1)),Rebanho!$G99/(Rebanho!$I99-Rebanho!$H99+1),0))</f>
        <v>0</v>
      </c>
      <c r="BQ50" s="460">
        <f>IF(AND(Rebanho!$I99=Rebanho!$H99,Rebanho!$H99=BQ$1),Rebanho!$G99,IF(AND(Rebanho!$I99&gt;=Rebanho!$H99,AND(Rebanho!$H99&lt;=BQ$1,Rebanho!$I99&gt;=BQ$1)),Rebanho!$G99/(Rebanho!$I99-Rebanho!$H99+1),0))</f>
        <v>0</v>
      </c>
      <c r="BR50" s="460">
        <f>IF(AND(Rebanho!$I99=Rebanho!$H99,Rebanho!$H99=BR$1),Rebanho!$G99,IF(AND(Rebanho!$I99&gt;=Rebanho!$H99,AND(Rebanho!$H99&lt;=BR$1,Rebanho!$I99&gt;=BR$1)),Rebanho!$G99/(Rebanho!$I99-Rebanho!$H99+1),0))</f>
        <v>0</v>
      </c>
      <c r="BS50" s="460">
        <f>IF(AND(Rebanho!$I99=Rebanho!$H99,Rebanho!$H99=BS$1),Rebanho!$G99,IF(AND(Rebanho!$I99&gt;=Rebanho!$H99,AND(Rebanho!$H99&lt;=BS$1,Rebanho!$I99&gt;=BS$1)),Rebanho!$G99/(Rebanho!$I99-Rebanho!$H99+1),0))</f>
        <v>0</v>
      </c>
      <c r="BT50" s="461">
        <f>IF(AND(Rebanho!$I99=Rebanho!$H99,Rebanho!$H99=BT$1),Rebanho!$G99,IF(AND(Rebanho!$I99&gt;=Rebanho!$H99,AND(Rebanho!$H99&lt;=BT$1,Rebanho!$I99&gt;=BT$1)),Rebanho!$G99/(Rebanho!$I99-Rebanho!$H99+1),0))</f>
        <v>0</v>
      </c>
      <c r="CG50" s="878"/>
      <c r="CH50" s="645"/>
      <c r="CI50" s="670"/>
      <c r="CJ50" s="646"/>
    </row>
    <row r="51" spans="2:88" x14ac:dyDescent="0.2">
      <c r="B51" s="462" t="s">
        <v>32</v>
      </c>
      <c r="C51" s="1285">
        <f>Inventário!S100</f>
        <v>2086</v>
      </c>
      <c r="D51" s="1255">
        <f ca="1">IF($C$66=0,0,C51/$C$66)</f>
        <v>1.2562010908840106E-3</v>
      </c>
      <c r="E51" s="1364"/>
      <c r="F51" s="1291">
        <f t="shared" ca="1" si="19"/>
        <v>1.2562010908840106E-3</v>
      </c>
      <c r="G51" s="1268">
        <f t="shared" ca="1" si="20"/>
        <v>9.2659931425280147E-4</v>
      </c>
      <c r="H51" s="1379">
        <f>IF(C51=0,0,C51/'Análise TEC'!$C$20)</f>
        <v>0.20422462653832432</v>
      </c>
      <c r="I51" s="1383">
        <f>IF(C51=0,0,C51/Rebanho!$X$89)</f>
        <v>0.13737498818434413</v>
      </c>
      <c r="BA51" s="459">
        <f>VLOOKUP(Rebanho!C100,Dados!$A$14:$AD$81,29)</f>
        <v>0</v>
      </c>
      <c r="BB51" s="460">
        <f>IF(AND(Rebanho!$I100=Rebanho!$H100,Rebanho!$H100=BB$1),Rebanho!$G100,IF(AND(Rebanho!$I100&gt;=Rebanho!$H100,AND(Rebanho!$H100&lt;=BB$1,Rebanho!$I100&gt;=BB$1)),Rebanho!$G100/(Rebanho!$I100-Rebanho!$H100+1),0))</f>
        <v>0</v>
      </c>
      <c r="BC51" s="460">
        <f>IF(AND(Rebanho!$I100=Rebanho!$H100,Rebanho!$H100=BC$1),Rebanho!$G100,IF(AND(Rebanho!$I100&gt;=Rebanho!$H100,AND(Rebanho!$H100&lt;=BC$1,Rebanho!$I100&gt;=BC$1)),Rebanho!$G100/(Rebanho!$I100-Rebanho!$H100+1),0))</f>
        <v>0</v>
      </c>
      <c r="BD51" s="460">
        <f>IF(AND(Rebanho!$I100=Rebanho!$H100,Rebanho!$H100=BD$1),Rebanho!$G100,IF(AND(Rebanho!$I100&gt;=Rebanho!$H100,AND(Rebanho!$H100&lt;=BD$1,Rebanho!$I100&gt;=BD$1)),Rebanho!$G100/(Rebanho!$I100-Rebanho!$H100+1),0))</f>
        <v>0</v>
      </c>
      <c r="BE51" s="460">
        <f>IF(AND(Rebanho!$I100=Rebanho!$H100,Rebanho!$H100=BE$1),Rebanho!$G100,IF(AND(Rebanho!$I100&gt;=Rebanho!$H100,AND(Rebanho!$H100&lt;=BE$1,Rebanho!$I100&gt;=BE$1)),Rebanho!$G100/(Rebanho!$I100-Rebanho!$H100+1),0))</f>
        <v>0</v>
      </c>
      <c r="BF51" s="460">
        <f>IF(AND(Rebanho!$I100=Rebanho!$H100,Rebanho!$H100=BF$1),Rebanho!$G100,IF(AND(Rebanho!$I100&gt;=Rebanho!$H100,AND(Rebanho!$H100&lt;=BF$1,Rebanho!$I100&gt;=BF$1)),Rebanho!$G100/(Rebanho!$I100-Rebanho!$H100+1),0))</f>
        <v>0</v>
      </c>
      <c r="BG51" s="460">
        <f>IF(AND(Rebanho!$I100=Rebanho!$H100,Rebanho!$H100=BG$1),Rebanho!$G100,IF(AND(Rebanho!$I100&gt;=Rebanho!$H100,AND(Rebanho!$H100&lt;=BG$1,Rebanho!$I100&gt;=BG$1)),Rebanho!$G100/(Rebanho!$I100-Rebanho!$H100+1),0))</f>
        <v>0</v>
      </c>
      <c r="BH51" s="460">
        <f>IF(AND(Rebanho!$I100=Rebanho!$H100,Rebanho!$H100=BH$1),Rebanho!$G100,IF(AND(Rebanho!$I100&gt;=Rebanho!$H100,AND(Rebanho!$H100&lt;=BH$1,Rebanho!$I100&gt;=BH$1)),Rebanho!$G100/(Rebanho!$I100-Rebanho!$H100+1),0))</f>
        <v>0</v>
      </c>
      <c r="BI51" s="460">
        <f>IF(AND(Rebanho!$I100=Rebanho!$H100,Rebanho!$H100=BI$1),Rebanho!$G100,IF(AND(Rebanho!$I100&gt;=Rebanho!$H100,AND(Rebanho!$H100&lt;=BI$1,Rebanho!$I100&gt;=BI$1)),Rebanho!$G100/(Rebanho!$I100-Rebanho!$H100+1),0))</f>
        <v>0</v>
      </c>
      <c r="BJ51" s="460">
        <f>IF(AND(Rebanho!$I100=Rebanho!$H100,Rebanho!$H100=BJ$1),Rebanho!$G100,IF(AND(Rebanho!$I100&gt;=Rebanho!$H100,AND(Rebanho!$H100&lt;=BJ$1,Rebanho!$I100&gt;=BJ$1)),Rebanho!$G100/(Rebanho!$I100-Rebanho!$H100+1),0))</f>
        <v>0</v>
      </c>
      <c r="BK51" s="460">
        <f>IF(AND(Rebanho!$I100=Rebanho!$H100,Rebanho!$H100=BK$1),Rebanho!$G100,IF(AND(Rebanho!$I100&gt;=Rebanho!$H100,AND(Rebanho!$H100&lt;=BK$1,Rebanho!$I100&gt;=BK$1)),Rebanho!$G100/(Rebanho!$I100-Rebanho!$H100+1),0))</f>
        <v>0</v>
      </c>
      <c r="BL51" s="460">
        <f>IF(AND(Rebanho!$I100=Rebanho!$H100,Rebanho!$H100=BL$1),Rebanho!$G100,IF(AND(Rebanho!$I100&gt;=Rebanho!$H100,AND(Rebanho!$H100&lt;=BL$1,Rebanho!$I100&gt;=BL$1)),Rebanho!$G100/(Rebanho!$I100-Rebanho!$H100+1),0))</f>
        <v>0</v>
      </c>
      <c r="BM51" s="460">
        <f>IF(AND(Rebanho!$I100=Rebanho!$H100,Rebanho!$H100=BM$1),Rebanho!$G100,IF(AND(Rebanho!$I100&gt;=Rebanho!$H100,AND(Rebanho!$H100&lt;=BM$1,Rebanho!$I100&gt;=BM$1)),Rebanho!$G100/(Rebanho!$I100-Rebanho!$H100+1),0))</f>
        <v>0</v>
      </c>
      <c r="BN51" s="460">
        <f>IF(AND(Rebanho!$I100=Rebanho!$H100,Rebanho!$H100=BN$1),Rebanho!$G100,IF(AND(Rebanho!$I100&gt;=Rebanho!$H100,AND(Rebanho!$H100&lt;=BN$1,Rebanho!$I100&gt;=BN$1)),Rebanho!$G100/(Rebanho!$I100-Rebanho!$H100+1),0))</f>
        <v>0</v>
      </c>
      <c r="BO51" s="460">
        <f>IF(AND(Rebanho!$I100=Rebanho!$H100,Rebanho!$H100=BO$1),Rebanho!$G100,IF(AND(Rebanho!$I100&gt;=Rebanho!$H100,AND(Rebanho!$H100&lt;=BO$1,Rebanho!$I100&gt;=BO$1)),Rebanho!$G100/(Rebanho!$I100-Rebanho!$H100+1),0))</f>
        <v>0</v>
      </c>
      <c r="BP51" s="460">
        <f>IF(AND(Rebanho!$I100=Rebanho!$H100,Rebanho!$H100=BP$1),Rebanho!$G100,IF(AND(Rebanho!$I100&gt;=Rebanho!$H100,AND(Rebanho!$H100&lt;=BP$1,Rebanho!$I100&gt;=BP$1)),Rebanho!$G100/(Rebanho!$I100-Rebanho!$H100+1),0))</f>
        <v>0</v>
      </c>
      <c r="BQ51" s="460">
        <f>IF(AND(Rebanho!$I100=Rebanho!$H100,Rebanho!$H100=BQ$1),Rebanho!$G100,IF(AND(Rebanho!$I100&gt;=Rebanho!$H100,AND(Rebanho!$H100&lt;=BQ$1,Rebanho!$I100&gt;=BQ$1)),Rebanho!$G100/(Rebanho!$I100-Rebanho!$H100+1),0))</f>
        <v>0</v>
      </c>
      <c r="BR51" s="460">
        <f>IF(AND(Rebanho!$I100=Rebanho!$H100,Rebanho!$H100=BR$1),Rebanho!$G100,IF(AND(Rebanho!$I100&gt;=Rebanho!$H100,AND(Rebanho!$H100&lt;=BR$1,Rebanho!$I100&gt;=BR$1)),Rebanho!$G100/(Rebanho!$I100-Rebanho!$H100+1),0))</f>
        <v>0</v>
      </c>
      <c r="BS51" s="460">
        <f>IF(AND(Rebanho!$I100=Rebanho!$H100,Rebanho!$H100=BS$1),Rebanho!$G100,IF(AND(Rebanho!$I100&gt;=Rebanho!$H100,AND(Rebanho!$H100&lt;=BS$1,Rebanho!$I100&gt;=BS$1)),Rebanho!$G100/(Rebanho!$I100-Rebanho!$H100+1),0))</f>
        <v>0</v>
      </c>
      <c r="BT51" s="461">
        <f>IF(AND(Rebanho!$I100=Rebanho!$H100,Rebanho!$H100=BT$1),Rebanho!$G100,IF(AND(Rebanho!$I100&gt;=Rebanho!$H100,AND(Rebanho!$H100&lt;=BT$1,Rebanho!$I100&gt;=BT$1)),Rebanho!$G100/(Rebanho!$I100-Rebanho!$H100+1),0))</f>
        <v>0</v>
      </c>
      <c r="CG51" s="878"/>
      <c r="CH51" s="645"/>
      <c r="CI51" s="670"/>
      <c r="CJ51" s="646"/>
    </row>
    <row r="52" spans="2:88" ht="13.5" thickBot="1" x14ac:dyDescent="0.25">
      <c r="B52" s="875" t="s">
        <v>475</v>
      </c>
      <c r="C52" s="1286">
        <f>Inventário!S112</f>
        <v>4946.666666666667</v>
      </c>
      <c r="D52" s="1256">
        <f t="shared" ca="1" si="18"/>
        <v>2.9789108642887053E-3</v>
      </c>
      <c r="E52" s="1365"/>
      <c r="F52" s="1292">
        <f t="shared" ca="1" si="19"/>
        <v>2.9789108642887053E-3</v>
      </c>
      <c r="G52" s="1273">
        <f t="shared" ca="1" si="20"/>
        <v>2.197304861539082E-3</v>
      </c>
      <c r="H52" s="1380">
        <f>IF(C52=0,0,C52/'Análise TEC'!$C$20)</f>
        <v>0.48429106069490779</v>
      </c>
      <c r="I52" s="1384">
        <f>IF(C52=0,0,C52/Rebanho!$X$89)</f>
        <v>0.32576619122014494</v>
      </c>
      <c r="BA52" s="459">
        <f>VLOOKUP(Rebanho!C102,Dados!$A$14:$AD$81,29)</f>
        <v>0</v>
      </c>
      <c r="BB52" s="460">
        <f>IF(AND(Rebanho!$I102=Rebanho!$H102,Rebanho!$H102=BB$1),Rebanho!$G102,IF(AND(Rebanho!$I102&gt;=Rebanho!$H102,AND(Rebanho!$H102&lt;=BB$1,Rebanho!$I102&gt;=BB$1)),Rebanho!$G102/(Rebanho!$I102-Rebanho!$H102+1),0))</f>
        <v>0</v>
      </c>
      <c r="BC52" s="460">
        <f>IF(AND(Rebanho!$I102=Rebanho!$H102,Rebanho!$H102=BC$1),Rebanho!$G102,IF(AND(Rebanho!$I102&gt;=Rebanho!$H102,AND(Rebanho!$H102&lt;=BC$1,Rebanho!$I102&gt;=BC$1)),Rebanho!$G102/(Rebanho!$I102-Rebanho!$H102+1),0))</f>
        <v>0</v>
      </c>
      <c r="BD52" s="460">
        <f>IF(AND(Rebanho!$I102=Rebanho!$H102,Rebanho!$H102=BD$1),Rebanho!$G102,IF(AND(Rebanho!$I102&gt;=Rebanho!$H102,AND(Rebanho!$H102&lt;=BD$1,Rebanho!$I102&gt;=BD$1)),Rebanho!$G102/(Rebanho!$I102-Rebanho!$H102+1),0))</f>
        <v>0</v>
      </c>
      <c r="BE52" s="460">
        <f>IF(AND(Rebanho!$I102=Rebanho!$H102,Rebanho!$H102=BE$1),Rebanho!$G102,IF(AND(Rebanho!$I102&gt;=Rebanho!$H102,AND(Rebanho!$H102&lt;=BE$1,Rebanho!$I102&gt;=BE$1)),Rebanho!$G102/(Rebanho!$I102-Rebanho!$H102+1),0))</f>
        <v>0</v>
      </c>
      <c r="BF52" s="460">
        <f>IF(AND(Rebanho!$I102=Rebanho!$H102,Rebanho!$H102=BF$1),Rebanho!$G102,IF(AND(Rebanho!$I102&gt;=Rebanho!$H102,AND(Rebanho!$H102&lt;=BF$1,Rebanho!$I102&gt;=BF$1)),Rebanho!$G102/(Rebanho!$I102-Rebanho!$H102+1),0))</f>
        <v>0</v>
      </c>
      <c r="BG52" s="460">
        <f>IF(AND(Rebanho!$I102=Rebanho!$H102,Rebanho!$H102=BG$1),Rebanho!$G102,IF(AND(Rebanho!$I102&gt;=Rebanho!$H102,AND(Rebanho!$H102&lt;=BG$1,Rebanho!$I102&gt;=BG$1)),Rebanho!$G102/(Rebanho!$I102-Rebanho!$H102+1),0))</f>
        <v>0</v>
      </c>
      <c r="BH52" s="460">
        <f>IF(AND(Rebanho!$I102=Rebanho!$H102,Rebanho!$H102=BH$1),Rebanho!$G102,IF(AND(Rebanho!$I102&gt;=Rebanho!$H102,AND(Rebanho!$H102&lt;=BH$1,Rebanho!$I102&gt;=BH$1)),Rebanho!$G102/(Rebanho!$I102-Rebanho!$H102+1),0))</f>
        <v>0</v>
      </c>
      <c r="BI52" s="460">
        <f>IF(AND(Rebanho!$I102=Rebanho!$H102,Rebanho!$H102=BI$1),Rebanho!$G102,IF(AND(Rebanho!$I102&gt;=Rebanho!$H102,AND(Rebanho!$H102&lt;=BI$1,Rebanho!$I102&gt;=BI$1)),Rebanho!$G102/(Rebanho!$I102-Rebanho!$H102+1),0))</f>
        <v>0</v>
      </c>
      <c r="BJ52" s="460">
        <f>IF(AND(Rebanho!$I102=Rebanho!$H102,Rebanho!$H102=BJ$1),Rebanho!$G102,IF(AND(Rebanho!$I102&gt;=Rebanho!$H102,AND(Rebanho!$H102&lt;=BJ$1,Rebanho!$I102&gt;=BJ$1)),Rebanho!$G102/(Rebanho!$I102-Rebanho!$H102+1),0))</f>
        <v>0</v>
      </c>
      <c r="BK52" s="460">
        <f>IF(AND(Rebanho!$I102=Rebanho!$H102,Rebanho!$H102=BK$1),Rebanho!$G102,IF(AND(Rebanho!$I102&gt;=Rebanho!$H102,AND(Rebanho!$H102&lt;=BK$1,Rebanho!$I102&gt;=BK$1)),Rebanho!$G102/(Rebanho!$I102-Rebanho!$H102+1),0))</f>
        <v>0</v>
      </c>
      <c r="BL52" s="460">
        <f>IF(AND(Rebanho!$I102=Rebanho!$H102,Rebanho!$H102=BL$1),Rebanho!$G102,IF(AND(Rebanho!$I102&gt;=Rebanho!$H102,AND(Rebanho!$H102&lt;=BL$1,Rebanho!$I102&gt;=BL$1)),Rebanho!$G102/(Rebanho!$I102-Rebanho!$H102+1),0))</f>
        <v>0</v>
      </c>
      <c r="BM52" s="460">
        <f>IF(AND(Rebanho!$I102=Rebanho!$H102,Rebanho!$H102=BM$1),Rebanho!$G102,IF(AND(Rebanho!$I102&gt;=Rebanho!$H102,AND(Rebanho!$H102&lt;=BM$1,Rebanho!$I102&gt;=BM$1)),Rebanho!$G102/(Rebanho!$I102-Rebanho!$H102+1),0))</f>
        <v>0</v>
      </c>
      <c r="BN52" s="460">
        <f>IF(AND(Rebanho!$I102=Rebanho!$H102,Rebanho!$H102=BN$1),Rebanho!$G102,IF(AND(Rebanho!$I102&gt;=Rebanho!$H102,AND(Rebanho!$H102&lt;=BN$1,Rebanho!$I102&gt;=BN$1)),Rebanho!$G102/(Rebanho!$I102-Rebanho!$H102+1),0))</f>
        <v>0</v>
      </c>
      <c r="BO52" s="460">
        <f>IF(AND(Rebanho!$I102=Rebanho!$H102,Rebanho!$H102=BO$1),Rebanho!$G102,IF(AND(Rebanho!$I102&gt;=Rebanho!$H102,AND(Rebanho!$H102&lt;=BO$1,Rebanho!$I102&gt;=BO$1)),Rebanho!$G102/(Rebanho!$I102-Rebanho!$H102+1),0))</f>
        <v>0</v>
      </c>
      <c r="BP52" s="460">
        <f>IF(AND(Rebanho!$I102=Rebanho!$H102,Rebanho!$H102=BP$1),Rebanho!$G102,IF(AND(Rebanho!$I102&gt;=Rebanho!$H102,AND(Rebanho!$H102&lt;=BP$1,Rebanho!$I102&gt;=BP$1)),Rebanho!$G102/(Rebanho!$I102-Rebanho!$H102+1),0))</f>
        <v>0</v>
      </c>
      <c r="BQ52" s="460">
        <f>IF(AND(Rebanho!$I102=Rebanho!$H102,Rebanho!$H102=BQ$1),Rebanho!$G102,IF(AND(Rebanho!$I102&gt;=Rebanho!$H102,AND(Rebanho!$H102&lt;=BQ$1,Rebanho!$I102&gt;=BQ$1)),Rebanho!$G102/(Rebanho!$I102-Rebanho!$H102+1),0))</f>
        <v>0</v>
      </c>
      <c r="BR52" s="460">
        <f>IF(AND(Rebanho!$I102=Rebanho!$H102,Rebanho!$H102=BR$1),Rebanho!$G102,IF(AND(Rebanho!$I102&gt;=Rebanho!$H102,AND(Rebanho!$H102&lt;=BR$1,Rebanho!$I102&gt;=BR$1)),Rebanho!$G102/(Rebanho!$I102-Rebanho!$H102+1),0))</f>
        <v>0</v>
      </c>
      <c r="BS52" s="460">
        <f>IF(AND(Rebanho!$I102=Rebanho!$H102,Rebanho!$H102=BS$1),Rebanho!$G102,IF(AND(Rebanho!$I102&gt;=Rebanho!$H102,AND(Rebanho!$H102&lt;=BS$1,Rebanho!$I102&gt;=BS$1)),Rebanho!$G102/(Rebanho!$I102-Rebanho!$H102+1),0))</f>
        <v>0</v>
      </c>
      <c r="BT52" s="461">
        <f>IF(AND(Rebanho!$I102=Rebanho!$H102,Rebanho!$H102=BT$1),Rebanho!$G102,IF(AND(Rebanho!$I102&gt;=Rebanho!$H102,AND(Rebanho!$H102&lt;=BT$1,Rebanho!$I102&gt;=BT$1)),Rebanho!$G102/(Rebanho!$I102-Rebanho!$H102+1),0))</f>
        <v>0</v>
      </c>
      <c r="CG52" s="878"/>
      <c r="CH52" s="645"/>
      <c r="CI52" s="670"/>
      <c r="CJ52" s="646"/>
    </row>
    <row r="53" spans="2:88" ht="13.5" thickTop="1" x14ac:dyDescent="0.2">
      <c r="B53" s="566" t="s">
        <v>855</v>
      </c>
      <c r="C53" s="1287">
        <f>Rebanho!AM67</f>
        <v>2000</v>
      </c>
      <c r="D53" s="1289">
        <f t="shared" ca="1" si="18"/>
        <v>1.2044114006558107E-3</v>
      </c>
      <c r="E53" s="1366"/>
      <c r="F53" s="1291">
        <f t="shared" ca="1" si="19"/>
        <v>1.2044114006558107E-3</v>
      </c>
      <c r="G53" s="1268">
        <f t="shared" ca="1" si="20"/>
        <v>8.8839819199693331E-4</v>
      </c>
      <c r="H53" s="1386">
        <f>IF(C53=0,0,C53/'Análise TEC'!$C$20)</f>
        <v>0.19580501106263118</v>
      </c>
      <c r="I53" s="1389">
        <f>IF(C53=0,0,C53/Rebanho!$X$89)</f>
        <v>0.13171139806744403</v>
      </c>
      <c r="BA53" s="459">
        <f>VLOOKUP(Rebanho!C103,Dados!$A$14:$AD$81,29)</f>
        <v>0</v>
      </c>
      <c r="BB53" s="460">
        <f>IF(AND(Rebanho!$I103=Rebanho!$H103,Rebanho!$H103=BB$1),Rebanho!$G103,IF(AND(Rebanho!$I103&gt;=Rebanho!$H103,AND(Rebanho!$H103&lt;=BB$1,Rebanho!$I103&gt;=BB$1)),Rebanho!$G103/(Rebanho!$I103-Rebanho!$H103+1),0))</f>
        <v>0</v>
      </c>
      <c r="BC53" s="460">
        <f>IF(AND(Rebanho!$I103=Rebanho!$H103,Rebanho!$H103=BC$1),Rebanho!$G103,IF(AND(Rebanho!$I103&gt;=Rebanho!$H103,AND(Rebanho!$H103&lt;=BC$1,Rebanho!$I103&gt;=BC$1)),Rebanho!$G103/(Rebanho!$I103-Rebanho!$H103+1),0))</f>
        <v>0</v>
      </c>
      <c r="BD53" s="460">
        <f>IF(AND(Rebanho!$I103=Rebanho!$H103,Rebanho!$H103=BD$1),Rebanho!$G103,IF(AND(Rebanho!$I103&gt;=Rebanho!$H103,AND(Rebanho!$H103&lt;=BD$1,Rebanho!$I103&gt;=BD$1)),Rebanho!$G103/(Rebanho!$I103-Rebanho!$H103+1),0))</f>
        <v>0</v>
      </c>
      <c r="BE53" s="460">
        <f>IF(AND(Rebanho!$I103=Rebanho!$H103,Rebanho!$H103=BE$1),Rebanho!$G103,IF(AND(Rebanho!$I103&gt;=Rebanho!$H103,AND(Rebanho!$H103&lt;=BE$1,Rebanho!$I103&gt;=BE$1)),Rebanho!$G103/(Rebanho!$I103-Rebanho!$H103+1),0))</f>
        <v>0</v>
      </c>
      <c r="BF53" s="460">
        <f>IF(AND(Rebanho!$I103=Rebanho!$H103,Rebanho!$H103=BF$1),Rebanho!$G103,IF(AND(Rebanho!$I103&gt;=Rebanho!$H103,AND(Rebanho!$H103&lt;=BF$1,Rebanho!$I103&gt;=BF$1)),Rebanho!$G103/(Rebanho!$I103-Rebanho!$H103+1),0))</f>
        <v>0</v>
      </c>
      <c r="BG53" s="460">
        <f>IF(AND(Rebanho!$I103=Rebanho!$H103,Rebanho!$H103=BG$1),Rebanho!$G103,IF(AND(Rebanho!$I103&gt;=Rebanho!$H103,AND(Rebanho!$H103&lt;=BG$1,Rebanho!$I103&gt;=BG$1)),Rebanho!$G103/(Rebanho!$I103-Rebanho!$H103+1),0))</f>
        <v>0</v>
      </c>
      <c r="BH53" s="460">
        <f>IF(AND(Rebanho!$I103=Rebanho!$H103,Rebanho!$H103=BH$1),Rebanho!$G103,IF(AND(Rebanho!$I103&gt;=Rebanho!$H103,AND(Rebanho!$H103&lt;=BH$1,Rebanho!$I103&gt;=BH$1)),Rebanho!$G103/(Rebanho!$I103-Rebanho!$H103+1),0))</f>
        <v>0</v>
      </c>
      <c r="BI53" s="460">
        <f>IF(AND(Rebanho!$I103=Rebanho!$H103,Rebanho!$H103=BI$1),Rebanho!$G103,IF(AND(Rebanho!$I103&gt;=Rebanho!$H103,AND(Rebanho!$H103&lt;=BI$1,Rebanho!$I103&gt;=BI$1)),Rebanho!$G103/(Rebanho!$I103-Rebanho!$H103+1),0))</f>
        <v>0</v>
      </c>
      <c r="BJ53" s="460">
        <f>IF(AND(Rebanho!$I103=Rebanho!$H103,Rebanho!$H103=BJ$1),Rebanho!$G103,IF(AND(Rebanho!$I103&gt;=Rebanho!$H103,AND(Rebanho!$H103&lt;=BJ$1,Rebanho!$I103&gt;=BJ$1)),Rebanho!$G103/(Rebanho!$I103-Rebanho!$H103+1),0))</f>
        <v>0</v>
      </c>
      <c r="BK53" s="460">
        <f>IF(AND(Rebanho!$I103=Rebanho!$H103,Rebanho!$H103=BK$1),Rebanho!$G103,IF(AND(Rebanho!$I103&gt;=Rebanho!$H103,AND(Rebanho!$H103&lt;=BK$1,Rebanho!$I103&gt;=BK$1)),Rebanho!$G103/(Rebanho!$I103-Rebanho!$H103+1),0))</f>
        <v>0</v>
      </c>
      <c r="BL53" s="460">
        <f>IF(AND(Rebanho!$I103=Rebanho!$H103,Rebanho!$H103=BL$1),Rebanho!$G103,IF(AND(Rebanho!$I103&gt;=Rebanho!$H103,AND(Rebanho!$H103&lt;=BL$1,Rebanho!$I103&gt;=BL$1)),Rebanho!$G103/(Rebanho!$I103-Rebanho!$H103+1),0))</f>
        <v>0</v>
      </c>
      <c r="BM53" s="460">
        <f>IF(AND(Rebanho!$I103=Rebanho!$H103,Rebanho!$H103=BM$1),Rebanho!$G103,IF(AND(Rebanho!$I103&gt;=Rebanho!$H103,AND(Rebanho!$H103&lt;=BM$1,Rebanho!$I103&gt;=BM$1)),Rebanho!$G103/(Rebanho!$I103-Rebanho!$H103+1),0))</f>
        <v>0</v>
      </c>
      <c r="BN53" s="460">
        <f>IF(AND(Rebanho!$I103=Rebanho!$H103,Rebanho!$H103=BN$1),Rebanho!$G103,IF(AND(Rebanho!$I103&gt;=Rebanho!$H103,AND(Rebanho!$H103&lt;=BN$1,Rebanho!$I103&gt;=BN$1)),Rebanho!$G103/(Rebanho!$I103-Rebanho!$H103+1),0))</f>
        <v>0</v>
      </c>
      <c r="BO53" s="460">
        <f>IF(AND(Rebanho!$I103=Rebanho!$H103,Rebanho!$H103=BO$1),Rebanho!$G103,IF(AND(Rebanho!$I103&gt;=Rebanho!$H103,AND(Rebanho!$H103&lt;=BO$1,Rebanho!$I103&gt;=BO$1)),Rebanho!$G103/(Rebanho!$I103-Rebanho!$H103+1),0))</f>
        <v>0</v>
      </c>
      <c r="BP53" s="460">
        <f>IF(AND(Rebanho!$I103=Rebanho!$H103,Rebanho!$H103=BP$1),Rebanho!$G103,IF(AND(Rebanho!$I103&gt;=Rebanho!$H103,AND(Rebanho!$H103&lt;=BP$1,Rebanho!$I103&gt;=BP$1)),Rebanho!$G103/(Rebanho!$I103-Rebanho!$H103+1),0))</f>
        <v>0</v>
      </c>
      <c r="BQ53" s="460">
        <f>IF(AND(Rebanho!$I103=Rebanho!$H103,Rebanho!$H103=BQ$1),Rebanho!$G103,IF(AND(Rebanho!$I103&gt;=Rebanho!$H103,AND(Rebanho!$H103&lt;=BQ$1,Rebanho!$I103&gt;=BQ$1)),Rebanho!$G103/(Rebanho!$I103-Rebanho!$H103+1),0))</f>
        <v>0</v>
      </c>
      <c r="BR53" s="460">
        <f>IF(AND(Rebanho!$I103=Rebanho!$H103,Rebanho!$H103=BR$1),Rebanho!$G103,IF(AND(Rebanho!$I103&gt;=Rebanho!$H103,AND(Rebanho!$H103&lt;=BR$1,Rebanho!$I103&gt;=BR$1)),Rebanho!$G103/(Rebanho!$I103-Rebanho!$H103+1),0))</f>
        <v>0</v>
      </c>
      <c r="BS53" s="460">
        <f>IF(AND(Rebanho!$I103=Rebanho!$H103,Rebanho!$H103=BS$1),Rebanho!$G103,IF(AND(Rebanho!$I103&gt;=Rebanho!$H103,AND(Rebanho!$H103&lt;=BS$1,Rebanho!$I103&gt;=BS$1)),Rebanho!$G103/(Rebanho!$I103-Rebanho!$H103+1),0))</f>
        <v>0</v>
      </c>
      <c r="BT53" s="461">
        <f>IF(AND(Rebanho!$I103=Rebanho!$H103,Rebanho!$H103=BT$1),Rebanho!$G103,IF(AND(Rebanho!$I103&gt;=Rebanho!$H103,AND(Rebanho!$H103&lt;=BT$1,Rebanho!$I103&gt;=BT$1)),Rebanho!$G103/(Rebanho!$I103-Rebanho!$H103+1),0))</f>
        <v>0</v>
      </c>
      <c r="CG53" s="878"/>
      <c r="CH53" s="645"/>
      <c r="CI53" s="670"/>
      <c r="CJ53" s="646"/>
    </row>
    <row r="54" spans="2:88" ht="13.5" thickBot="1" x14ac:dyDescent="0.25">
      <c r="B54" s="863" t="s">
        <v>852</v>
      </c>
      <c r="C54" s="1286">
        <f>'Mão-de-obra'!D5*12</f>
        <v>120000</v>
      </c>
      <c r="D54" s="1256">
        <f t="shared" ca="1" si="18"/>
        <v>7.2264684039348645E-2</v>
      </c>
      <c r="E54" s="1365"/>
      <c r="F54" s="1292">
        <f t="shared" ca="1" si="19"/>
        <v>7.2264684039348645E-2</v>
      </c>
      <c r="G54" s="1273">
        <f t="shared" ca="1" si="20"/>
        <v>5.3303891519816002E-2</v>
      </c>
      <c r="H54" s="1380">
        <f>IF(C54=0,0,C54/'Análise TEC'!$C$20)</f>
        <v>11.74830066375787</v>
      </c>
      <c r="I54" s="1384">
        <f>IF(C54=0,0,C54/Rebanho!$X$89)</f>
        <v>7.9026838840466427</v>
      </c>
      <c r="BA54" s="476"/>
      <c r="BB54" s="477"/>
      <c r="BC54" s="477"/>
      <c r="BD54" s="477"/>
      <c r="BE54" s="477"/>
      <c r="BF54" s="477"/>
      <c r="BG54" s="477"/>
      <c r="BH54" s="477"/>
      <c r="BI54" s="477"/>
      <c r="BJ54" s="477"/>
      <c r="BK54" s="477"/>
      <c r="BL54" s="477"/>
      <c r="BM54" s="477"/>
      <c r="BN54" s="477"/>
      <c r="BO54" s="477"/>
      <c r="BP54" s="477"/>
      <c r="BQ54" s="477"/>
      <c r="BR54" s="477"/>
      <c r="BS54" s="477"/>
      <c r="BT54" s="478"/>
      <c r="CG54" s="589"/>
      <c r="CH54" s="645"/>
      <c r="CI54" s="670"/>
      <c r="CJ54" s="646"/>
    </row>
    <row r="55" spans="2:88" ht="13.5" thickTop="1" x14ac:dyDescent="0.2">
      <c r="B55" s="566" t="s">
        <v>956</v>
      </c>
      <c r="C55" s="1280">
        <f t="shared" ref="C55:C64" si="21">SUM(CH56:CJ56)</f>
        <v>6966</v>
      </c>
      <c r="D55" s="1289">
        <f t="shared" ca="1" si="18"/>
        <v>4.1949649084841887E-3</v>
      </c>
      <c r="E55" s="1366"/>
      <c r="F55" s="1291">
        <f t="shared" ca="1" si="19"/>
        <v>4.1949649084841887E-3</v>
      </c>
      <c r="G55" s="1268">
        <f t="shared" ca="1" si="20"/>
        <v>3.094290902725319E-3</v>
      </c>
      <c r="H55" s="1386">
        <f>IF(C55=0,0,C55/'Análise TEC'!$C$20)</f>
        <v>0.68198885353114436</v>
      </c>
      <c r="I55" s="1389">
        <f>IF(C55=0,0,C55/Rebanho!$X$89)</f>
        <v>0.45875079946890757</v>
      </c>
      <c r="BA55" s="472" t="s">
        <v>490</v>
      </c>
      <c r="CG55" s="589"/>
      <c r="CH55" s="645"/>
      <c r="CI55" s="670"/>
      <c r="CJ55" s="646"/>
    </row>
    <row r="56" spans="2:88" x14ac:dyDescent="0.2">
      <c r="B56" s="464" t="s">
        <v>957</v>
      </c>
      <c r="C56" s="1281">
        <f t="shared" si="21"/>
        <v>1042.32</v>
      </c>
      <c r="D56" s="1255">
        <f t="shared" ca="1" si="18"/>
        <v>6.2769104556578226E-4</v>
      </c>
      <c r="E56" s="1364"/>
      <c r="F56" s="1293">
        <f t="shared" ca="1" si="19"/>
        <v>6.2769104556578226E-4</v>
      </c>
      <c r="G56" s="1270">
        <f t="shared" ca="1" si="20"/>
        <v>4.6299760174112176E-4</v>
      </c>
      <c r="H56" s="1387">
        <f>IF(C56=0,0,C56/'Análise TEC'!$C$20)</f>
        <v>0.10204573956540086</v>
      </c>
      <c r="I56" s="1390">
        <f>IF(C56=0,0,C56/Rebanho!$X$89)</f>
        <v>6.8642712216829133E-2</v>
      </c>
      <c r="BA56" s="437"/>
      <c r="BB56" s="472"/>
      <c r="CG56" s="589" t="s">
        <v>956</v>
      </c>
      <c r="CH56" s="666">
        <f>Pastagem!AC15</f>
        <v>6966</v>
      </c>
      <c r="CI56" s="671"/>
      <c r="CJ56" s="667"/>
    </row>
    <row r="57" spans="2:88" x14ac:dyDescent="0.2">
      <c r="B57" s="464" t="s">
        <v>958</v>
      </c>
      <c r="C57" s="1281">
        <f t="shared" si="21"/>
        <v>0</v>
      </c>
      <c r="D57" s="1255">
        <f t="shared" ca="1" si="18"/>
        <v>0</v>
      </c>
      <c r="E57" s="1364"/>
      <c r="F57" s="1291" t="str">
        <f t="shared" si="19"/>
        <v>-</v>
      </c>
      <c r="G57" s="1268" t="str">
        <f t="shared" si="20"/>
        <v>-</v>
      </c>
      <c r="H57" s="1379">
        <f>IF(C57=0,0,C57/'Análise TEC'!$C$20)</f>
        <v>0</v>
      </c>
      <c r="I57" s="1383">
        <f>IF(C57=0,0,C57/Rebanho!$X$89)</f>
        <v>0</v>
      </c>
      <c r="BA57" s="437"/>
      <c r="BB57" s="472"/>
      <c r="CG57" s="589" t="s">
        <v>957</v>
      </c>
      <c r="CH57" s="666">
        <f>Pastagem!AC16</f>
        <v>1042.32</v>
      </c>
      <c r="CI57" s="671"/>
      <c r="CJ57" s="667"/>
    </row>
    <row r="58" spans="2:88" ht="13.5" thickBot="1" x14ac:dyDescent="0.25">
      <c r="B58" s="863" t="s">
        <v>959</v>
      </c>
      <c r="C58" s="1279">
        <f t="shared" si="21"/>
        <v>0</v>
      </c>
      <c r="D58" s="1256">
        <f t="shared" ca="1" si="18"/>
        <v>0</v>
      </c>
      <c r="E58" s="1365"/>
      <c r="F58" s="1294" t="str">
        <f t="shared" si="19"/>
        <v>-</v>
      </c>
      <c r="G58" s="1269" t="str">
        <f t="shared" si="20"/>
        <v>-</v>
      </c>
      <c r="H58" s="1380">
        <f>IF(C58=0,0,C58/'Análise TEC'!$C$20)</f>
        <v>0</v>
      </c>
      <c r="I58" s="1384">
        <f>IF(C58=0,0,C58/Rebanho!$X$89)</f>
        <v>0</v>
      </c>
      <c r="J58" s="457"/>
      <c r="BA58" s="437"/>
      <c r="BB58" s="472"/>
      <c r="CG58" s="589" t="s">
        <v>958</v>
      </c>
      <c r="CH58" s="645">
        <f>Agricultura!AC15</f>
        <v>0</v>
      </c>
      <c r="CI58" s="670"/>
      <c r="CJ58" s="646"/>
    </row>
    <row r="59" spans="2:88" ht="13.5" thickTop="1" x14ac:dyDescent="0.2">
      <c r="B59" s="566" t="s">
        <v>922</v>
      </c>
      <c r="C59" s="1280">
        <f t="shared" si="21"/>
        <v>10708.135200000001</v>
      </c>
      <c r="D59" s="1289">
        <f t="shared" ca="1" si="18"/>
        <v>6.4485000573218949E-3</v>
      </c>
      <c r="E59" s="1366"/>
      <c r="F59" s="1291">
        <f t="shared" ca="1" si="19"/>
        <v>6.4485000573218949E-3</v>
      </c>
      <c r="G59" s="1268">
        <f t="shared" ca="1" si="20"/>
        <v>4.7565439756693606E-3</v>
      </c>
      <c r="H59" s="1386">
        <f>IF(C59=0,0,C59/'Análise TEC'!$C$20)</f>
        <v>1.0483532656480752</v>
      </c>
      <c r="I59" s="1389">
        <f>IF(C59=0,0,C59/Rebanho!$X$89)</f>
        <v>0.70519172894360482</v>
      </c>
      <c r="J59" s="457"/>
      <c r="BA59" s="437"/>
      <c r="BB59" s="472"/>
      <c r="CG59" s="589" t="s">
        <v>959</v>
      </c>
      <c r="CH59" s="648">
        <f>Agricultura!AC16</f>
        <v>0</v>
      </c>
      <c r="CI59" s="670"/>
      <c r="CJ59" s="646"/>
    </row>
    <row r="60" spans="2:88" ht="13.5" thickBot="1" x14ac:dyDescent="0.25">
      <c r="B60" s="863" t="s">
        <v>925</v>
      </c>
      <c r="C60" s="1279">
        <f t="shared" si="21"/>
        <v>0</v>
      </c>
      <c r="D60" s="1256">
        <f t="shared" ca="1" si="18"/>
        <v>0</v>
      </c>
      <c r="E60" s="1365"/>
      <c r="F60" s="1292" t="str">
        <f t="shared" si="19"/>
        <v>-</v>
      </c>
      <c r="G60" s="1273" t="str">
        <f t="shared" si="20"/>
        <v>-</v>
      </c>
      <c r="H60" s="1380">
        <f>IF(C60=0,0,C60/'Análise TEC'!$C$20)</f>
        <v>0</v>
      </c>
      <c r="I60" s="1384">
        <f>IF(C60=0,0,C60/Rebanho!$X$89)</f>
        <v>0</v>
      </c>
      <c r="J60" s="457"/>
      <c r="BA60" s="437"/>
      <c r="BB60" s="472"/>
      <c r="CG60" s="589" t="s">
        <v>922</v>
      </c>
      <c r="CH60" s="669">
        <f>Pastagem!AC17</f>
        <v>10708.135200000001</v>
      </c>
      <c r="CI60" s="671"/>
      <c r="CJ60" s="667"/>
    </row>
    <row r="61" spans="2:88" ht="13.5" thickTop="1" x14ac:dyDescent="0.2">
      <c r="B61" s="566" t="s">
        <v>920</v>
      </c>
      <c r="C61" s="1280">
        <f t="shared" si="21"/>
        <v>31424.400000000001</v>
      </c>
      <c r="D61" s="1289">
        <f t="shared" ca="1" si="18"/>
        <v>1.8923952809384231E-2</v>
      </c>
      <c r="E61" s="1366"/>
      <c r="F61" s="1291">
        <f t="shared" ca="1" si="19"/>
        <v>1.8923952809384231E-2</v>
      </c>
      <c r="G61" s="1268">
        <f t="shared" ca="1" si="20"/>
        <v>1.3958690072294217E-2</v>
      </c>
      <c r="H61" s="1386">
        <f>IF(C61=0,0,C61/'Análise TEC'!$C$20)</f>
        <v>3.0765274948182739</v>
      </c>
      <c r="I61" s="1389">
        <f>IF(C61=0,0,C61/Rebanho!$X$89)</f>
        <v>2.0694758287152943</v>
      </c>
      <c r="J61" s="457"/>
      <c r="BA61" s="437"/>
      <c r="BB61" s="472"/>
      <c r="CG61" s="589" t="s">
        <v>925</v>
      </c>
      <c r="CH61" s="648">
        <f>Agricultura!AC17</f>
        <v>0</v>
      </c>
      <c r="CI61" s="670"/>
      <c r="CJ61" s="646"/>
    </row>
    <row r="62" spans="2:88" ht="13.5" thickBot="1" x14ac:dyDescent="0.25">
      <c r="B62" s="863" t="s">
        <v>926</v>
      </c>
      <c r="C62" s="1279">
        <f t="shared" si="21"/>
        <v>0</v>
      </c>
      <c r="D62" s="1256">
        <f t="shared" ca="1" si="18"/>
        <v>0</v>
      </c>
      <c r="E62" s="1365"/>
      <c r="F62" s="1292" t="str">
        <f t="shared" si="19"/>
        <v>-</v>
      </c>
      <c r="G62" s="1273" t="str">
        <f t="shared" si="20"/>
        <v>-</v>
      </c>
      <c r="H62" s="1380">
        <f>IF(C62=0,0,C62/'Análise TEC'!$C$20)</f>
        <v>0</v>
      </c>
      <c r="I62" s="1384">
        <f>IF(C62=0,0,C62/Rebanho!$X$89)</f>
        <v>0</v>
      </c>
      <c r="J62" s="457"/>
      <c r="BA62" s="437"/>
      <c r="BB62" s="472"/>
      <c r="CG62" s="589" t="s">
        <v>920</v>
      </c>
      <c r="CH62" s="669">
        <f>Pastagem!AC18</f>
        <v>31424.400000000001</v>
      </c>
      <c r="CI62" s="671"/>
      <c r="CJ62" s="667"/>
    </row>
    <row r="63" spans="2:88" ht="13.5" thickTop="1" x14ac:dyDescent="0.2">
      <c r="B63" s="566" t="s">
        <v>921</v>
      </c>
      <c r="C63" s="1280">
        <f t="shared" si="21"/>
        <v>1032</v>
      </c>
      <c r="D63" s="1289">
        <f t="shared" ca="1" si="18"/>
        <v>6.2147628273839827E-4</v>
      </c>
      <c r="E63" s="1366"/>
      <c r="F63" s="1291">
        <f t="shared" ca="1" si="19"/>
        <v>6.2147628273839827E-4</v>
      </c>
      <c r="G63" s="1268">
        <f t="shared" ca="1" si="20"/>
        <v>4.5841346707041762E-4</v>
      </c>
      <c r="H63" s="1386">
        <f>IF(C63=0,0,C63/'Análise TEC'!$C$20)</f>
        <v>0.10103538570831769</v>
      </c>
      <c r="I63" s="1389">
        <f>IF(C63=0,0,C63/Rebanho!$X$89)</f>
        <v>6.796308140280112E-2</v>
      </c>
      <c r="J63" s="457"/>
      <c r="BA63" s="437"/>
      <c r="BB63" s="472"/>
      <c r="CG63" s="589" t="s">
        <v>926</v>
      </c>
      <c r="CH63" s="648">
        <f>Agricultura!AC18</f>
        <v>0</v>
      </c>
      <c r="CI63" s="670"/>
      <c r="CJ63" s="646"/>
    </row>
    <row r="64" spans="2:88" ht="13.5" thickBot="1" x14ac:dyDescent="0.25">
      <c r="B64" s="863" t="s">
        <v>927</v>
      </c>
      <c r="C64" s="1279">
        <f t="shared" si="21"/>
        <v>0</v>
      </c>
      <c r="D64" s="1256">
        <f ca="1">IF($C$66=0,0,C64/$C$66)</f>
        <v>0</v>
      </c>
      <c r="E64" s="1365"/>
      <c r="F64" s="1292" t="str">
        <f>IF(C64=0,"-",C64/$C$66)</f>
        <v>-</v>
      </c>
      <c r="G64" s="1273" t="str">
        <f>IF(C64=0,"-",C64/$C$80)</f>
        <v>-</v>
      </c>
      <c r="H64" s="1380">
        <f>IF(C64=0,0,C64/'Análise TEC'!$C$20)</f>
        <v>0</v>
      </c>
      <c r="I64" s="1384">
        <f>IF(C64=0,0,C64/Rebanho!$X$89)</f>
        <v>0</v>
      </c>
      <c r="J64" s="457"/>
      <c r="BA64" s="437"/>
      <c r="BB64" s="472"/>
      <c r="CG64" s="589" t="s">
        <v>921</v>
      </c>
      <c r="CH64" s="669">
        <f>Pastagem!AC19</f>
        <v>1032</v>
      </c>
      <c r="CI64" s="671"/>
      <c r="CJ64" s="667"/>
    </row>
    <row r="65" spans="2:88" ht="14.25" thickTop="1" thickBot="1" x14ac:dyDescent="0.25">
      <c r="B65" s="1457" t="s">
        <v>588</v>
      </c>
      <c r="C65" s="1458">
        <f ca="1">SUM(C48:C64)</f>
        <v>273001.76144456328</v>
      </c>
      <c r="D65" s="1461">
        <f ca="1">C65/C66</f>
        <v>0.16440321694147497</v>
      </c>
      <c r="E65" s="1372"/>
      <c r="F65" s="1395">
        <f ca="1">IF(C65=0,"-",C65/$C$66)</f>
        <v>0.16440321694147497</v>
      </c>
      <c r="G65" s="1362">
        <f ca="1">IF(C66=0,"-",C66/$C$80)</f>
        <v>0.73762021142708722</v>
      </c>
      <c r="H65" s="1388">
        <f ca="1">IF(C65=0,0,C65/'Análise TEC'!$C$20)</f>
        <v>26.727556459885257</v>
      </c>
      <c r="I65" s="1391">
        <f ca="1">IF(C65=0,0,C65/Rebanho!$X$89)</f>
        <v>17.978721837369136</v>
      </c>
      <c r="J65" s="457"/>
      <c r="BA65" s="437"/>
      <c r="BB65" s="472"/>
      <c r="CG65" s="589" t="s">
        <v>927</v>
      </c>
      <c r="CH65" s="648">
        <f>Agricultura!AC19</f>
        <v>0</v>
      </c>
      <c r="CI65" s="670"/>
      <c r="CJ65" s="646"/>
    </row>
    <row r="66" spans="2:88" ht="13.5" thickBot="1" x14ac:dyDescent="0.25">
      <c r="B66" s="1450" t="s">
        <v>586</v>
      </c>
      <c r="C66" s="1451">
        <f ca="1">C65+C45</f>
        <v>1660562.1624894829</v>
      </c>
      <c r="E66" s="1455"/>
      <c r="F66" s="1453">
        <f ca="1">C66/C66</f>
        <v>1</v>
      </c>
      <c r="G66" s="1454">
        <f ca="1">C66/C80</f>
        <v>0.73762021142708722</v>
      </c>
      <c r="I66" s="465"/>
      <c r="J66" s="457"/>
      <c r="BA66" s="459" t="e">
        <f>#REF!</f>
        <v>#REF!</v>
      </c>
      <c r="BB66" s="438" t="e">
        <f>IF(AND(#REF!=#REF!,#REF!=BB$1),#REF!,IF(AND(#REF!&gt;=#REF!,AND(#REF!&lt;=BB$1,#REF!&gt;=BB$1)),#REF!  /(#REF! -#REF!  +1),0))</f>
        <v>#REF!</v>
      </c>
      <c r="BC66" s="438" t="e">
        <f>IF(AND(#REF!=#REF!,#REF!=BC$1),#REF!,IF(AND(#REF!&gt;=#REF!,AND(#REF!&lt;=BC$1,#REF!&gt;=BC$1)),#REF!  /(#REF! -#REF!  +1),0))</f>
        <v>#REF!</v>
      </c>
      <c r="BD66" s="438" t="e">
        <f>IF(AND(#REF!=#REF!,#REF!=BD$1),#REF!,IF(AND(#REF!&gt;=#REF!,AND(#REF!&lt;=BD$1,#REF!&gt;=BD$1)),#REF!  /(#REF! -#REF!  +1),0))</f>
        <v>#REF!</v>
      </c>
      <c r="BE66" s="438" t="e">
        <f>IF(AND(#REF!=#REF!,#REF!=BE$1),#REF!,IF(AND(#REF!&gt;=#REF!,AND(#REF!&lt;=BE$1,#REF!&gt;=BE$1)),#REF!  /(#REF! -#REF!  +1),0))</f>
        <v>#REF!</v>
      </c>
      <c r="BF66" s="438" t="e">
        <f>IF(AND(#REF!=#REF!,#REF!=BF$1),#REF!,IF(AND(#REF!&gt;=#REF!,AND(#REF!&lt;=BF$1,#REF!&gt;=BF$1)),#REF!  /(#REF! -#REF!  +1),0))</f>
        <v>#REF!</v>
      </c>
      <c r="BG66" s="438" t="e">
        <f>IF(AND(#REF!=#REF!,#REF!=BG$1),#REF!,IF(AND(#REF!&gt;=#REF!,AND(#REF!&lt;=BG$1,#REF!&gt;=BG$1)),#REF!  /(#REF! -#REF!  +1),0))</f>
        <v>#REF!</v>
      </c>
      <c r="BH66" s="438" t="e">
        <f>IF(AND(#REF!=#REF!,#REF!=BH$1),#REF!,IF(AND(#REF!&gt;=#REF!,AND(#REF!&lt;=BH$1,#REF!&gt;=BH$1)),#REF!  /(#REF! -#REF!  +1),0))</f>
        <v>#REF!</v>
      </c>
      <c r="BI66" s="438" t="e">
        <f>IF(AND(#REF!=#REF!,#REF!=BI$1),#REF!,IF(AND(#REF!&gt;=#REF!,AND(#REF!&lt;=BI$1,#REF!&gt;=BI$1)),#REF!  /(#REF! -#REF!  +1),0))</f>
        <v>#REF!</v>
      </c>
      <c r="BJ66" s="438" t="e">
        <f>IF(AND(#REF!=#REF!,#REF!=BJ$1),#REF!,IF(AND(#REF!&gt;=#REF!,AND(#REF!&lt;=BJ$1,#REF!&gt;=BJ$1)),#REF!  /(#REF! -#REF!  +1),0))</f>
        <v>#REF!</v>
      </c>
      <c r="BK66" s="438" t="e">
        <f>IF(AND(#REF!=#REF!,#REF!=BK$1),#REF!,IF(AND(#REF!&gt;=#REF!,AND(#REF!&lt;=BK$1,#REF!&gt;=BK$1)),#REF!  /(#REF! -#REF!  +1),0))</f>
        <v>#REF!</v>
      </c>
      <c r="BL66" s="438" t="e">
        <f>IF(AND(#REF!=#REF!,#REF!=BL$1),#REF!,IF(AND(#REF!&gt;=#REF!,AND(#REF!&lt;=BL$1,#REF!&gt;=BL$1)),#REF!  /(#REF! -#REF!  +1),0))</f>
        <v>#REF!</v>
      </c>
      <c r="BM66" s="438" t="e">
        <f>IF(AND(#REF!=#REF!,#REF!=BM$1),#REF!,IF(AND(#REF!&gt;=#REF!,AND(#REF!&lt;=BM$1,#REF!&gt;=BM$1)),#REF!  /(#REF! -#REF!  +1),0))</f>
        <v>#REF!</v>
      </c>
      <c r="BN66" s="438" t="e">
        <f>IF(AND(#REF!=#REF!,#REF!=BN$1),#REF!,IF(AND(#REF!&gt;=#REF!,AND(#REF!&lt;=BN$1,#REF!&gt;=BN$1)),#REF!  /(#REF! -#REF!  +1),0))</f>
        <v>#REF!</v>
      </c>
      <c r="BO66" s="438" t="e">
        <f>IF(AND(#REF!=#REF!,#REF!=BO$1),#REF!,IF(AND(#REF!&gt;=#REF!,AND(#REF!&lt;=BO$1,#REF!&gt;=BO$1)),#REF!  /(#REF! -#REF!  +1),0))</f>
        <v>#REF!</v>
      </c>
      <c r="BP66" s="438" t="e">
        <f>IF(AND(#REF!=#REF!,#REF!=BP$1),#REF!,IF(AND(#REF!&gt;=#REF!,AND(#REF!&lt;=BP$1,#REF!&gt;=BP$1)),#REF!  /(#REF! -#REF!  +1),0))</f>
        <v>#REF!</v>
      </c>
      <c r="BQ66" s="438" t="e">
        <f>IF(AND(#REF!=#REF!,#REF!=BQ$1),#REF!,IF(AND(#REF!&gt;=#REF!,AND(#REF!&lt;=BQ$1,#REF!&gt;=BQ$1)),#REF!  /(#REF! -#REF!  +1),0))</f>
        <v>#REF!</v>
      </c>
      <c r="BR66" s="438" t="e">
        <f>IF(AND(#REF!=#REF!,#REF!=BR$1),#REF!,IF(AND(#REF!&gt;=#REF!,AND(#REF!&lt;=BR$1,#REF!&gt;=BR$1)),#REF!  /(#REF! -#REF!  +1),0))</f>
        <v>#REF!</v>
      </c>
      <c r="BS66" s="438" t="e">
        <f>IF(AND(#REF!=#REF!,#REF!=BS$1),#REF!,IF(AND(#REF!&gt;=#REF!,AND(#REF!&lt;=BS$1,#REF!&gt;=BS$1)),#REF!  /(#REF! -#REF!  +1),0))</f>
        <v>#REF!</v>
      </c>
      <c r="BT66" s="483" t="e">
        <f>IF(AND(#REF!=#REF!,#REF!=BT$1),#REF!,IF(AND(#REF!&gt;=#REF!,AND(#REF!&lt;=BT$1,#REF!&gt;=BT$1)),#REF!  /(#REF! -#REF!  +1),0))</f>
        <v>#REF!</v>
      </c>
      <c r="CG66" s="879"/>
      <c r="CH66" s="648"/>
      <c r="CI66" s="670"/>
      <c r="CJ66" s="646"/>
    </row>
    <row r="67" spans="2:88" ht="13.5" thickBot="1" x14ac:dyDescent="0.25">
      <c r="B67" s="481"/>
      <c r="C67" s="482"/>
      <c r="I67" s="463"/>
      <c r="J67" s="463"/>
      <c r="BA67" s="459" t="e">
        <f>#REF!</f>
        <v>#REF!</v>
      </c>
      <c r="BB67" s="438" t="e">
        <f>IF(AND(#REF!=#REF!,#REF!=BB$1),#REF!,IF(AND(#REF!&gt;=#REF!,AND(#REF!&lt;=BB$1,#REF!&gt;=BB$1)),#REF!  /(#REF! -#REF!  +1),0))</f>
        <v>#REF!</v>
      </c>
      <c r="BC67" s="438" t="e">
        <f>IF(AND(#REF!=#REF!,#REF!=BC$1),#REF!,IF(AND(#REF!&gt;=#REF!,AND(#REF!&lt;=BC$1,#REF!&gt;=BC$1)),#REF!  /(#REF! -#REF!  +1),0))</f>
        <v>#REF!</v>
      </c>
      <c r="BD67" s="438" t="e">
        <f>IF(AND(#REF!=#REF!,#REF!=BD$1),#REF!,IF(AND(#REF!&gt;=#REF!,AND(#REF!&lt;=BD$1,#REF!&gt;=BD$1)),#REF!  /(#REF! -#REF!  +1),0))</f>
        <v>#REF!</v>
      </c>
      <c r="BE67" s="438" t="e">
        <f>IF(AND(#REF!=#REF!,#REF!=BE$1),#REF!,IF(AND(#REF!&gt;=#REF!,AND(#REF!&lt;=BE$1,#REF!&gt;=BE$1)),#REF!  /(#REF! -#REF!  +1),0))</f>
        <v>#REF!</v>
      </c>
      <c r="BF67" s="438" t="e">
        <f>IF(AND(#REF!=#REF!,#REF!=BF$1),#REF!,IF(AND(#REF!&gt;=#REF!,AND(#REF!&lt;=BF$1,#REF!&gt;=BF$1)),#REF!  /(#REF! -#REF!  +1),0))</f>
        <v>#REF!</v>
      </c>
      <c r="BG67" s="438" t="e">
        <f>IF(AND(#REF!=#REF!,#REF!=BG$1),#REF!,IF(AND(#REF!&gt;=#REF!,AND(#REF!&lt;=BG$1,#REF!&gt;=BG$1)),#REF!  /(#REF! -#REF!  +1),0))</f>
        <v>#REF!</v>
      </c>
      <c r="BH67" s="438" t="e">
        <f>IF(AND(#REF!=#REF!,#REF!=BH$1),#REF!,IF(AND(#REF!&gt;=#REF!,AND(#REF!&lt;=BH$1,#REF!&gt;=BH$1)),#REF!  /(#REF! -#REF!  +1),0))</f>
        <v>#REF!</v>
      </c>
      <c r="BI67" s="438" t="e">
        <f>IF(AND(#REF!=#REF!,#REF!=BI$1),#REF!,IF(AND(#REF!&gt;=#REF!,AND(#REF!&lt;=BI$1,#REF!&gt;=BI$1)),#REF!  /(#REF! -#REF!  +1),0))</f>
        <v>#REF!</v>
      </c>
      <c r="BJ67" s="438" t="e">
        <f>IF(AND(#REF!=#REF!,#REF!=BJ$1),#REF!,IF(AND(#REF!&gt;=#REF!,AND(#REF!&lt;=BJ$1,#REF!&gt;=BJ$1)),#REF!  /(#REF! -#REF!  +1),0))</f>
        <v>#REF!</v>
      </c>
      <c r="BK67" s="438" t="e">
        <f>IF(AND(#REF!=#REF!,#REF!=BK$1),#REF!,IF(AND(#REF!&gt;=#REF!,AND(#REF!&lt;=BK$1,#REF!&gt;=BK$1)),#REF!  /(#REF! -#REF!  +1),0))</f>
        <v>#REF!</v>
      </c>
      <c r="BL67" s="438" t="e">
        <f>IF(AND(#REF!=#REF!,#REF!=BL$1),#REF!,IF(AND(#REF!&gt;=#REF!,AND(#REF!&lt;=BL$1,#REF!&gt;=BL$1)),#REF!  /(#REF! -#REF!  +1),0))</f>
        <v>#REF!</v>
      </c>
      <c r="BM67" s="438" t="e">
        <f>IF(AND(#REF!=#REF!,#REF!=BM$1),#REF!,IF(AND(#REF!&gt;=#REF!,AND(#REF!&lt;=BM$1,#REF!&gt;=BM$1)),#REF!  /(#REF! -#REF!  +1),0))</f>
        <v>#REF!</v>
      </c>
      <c r="BN67" s="438" t="e">
        <f>IF(AND(#REF!=#REF!,#REF!=BN$1),#REF!,IF(AND(#REF!&gt;=#REF!,AND(#REF!&lt;=BN$1,#REF!&gt;=BN$1)),#REF!  /(#REF! -#REF!  +1),0))</f>
        <v>#REF!</v>
      </c>
      <c r="BO67" s="438" t="e">
        <f>IF(AND(#REF!=#REF!,#REF!=BO$1),#REF!,IF(AND(#REF!&gt;=#REF!,AND(#REF!&lt;=BO$1,#REF!&gt;=BO$1)),#REF!  /(#REF! -#REF!  +1),0))</f>
        <v>#REF!</v>
      </c>
      <c r="BP67" s="438" t="e">
        <f>IF(AND(#REF!=#REF!,#REF!=BP$1),#REF!,IF(AND(#REF!&gt;=#REF!,AND(#REF!&lt;=BP$1,#REF!&gt;=BP$1)),#REF!  /(#REF! -#REF!  +1),0))</f>
        <v>#REF!</v>
      </c>
      <c r="BQ67" s="438" t="e">
        <f>IF(AND(#REF!=#REF!,#REF!=BQ$1),#REF!,IF(AND(#REF!&gt;=#REF!,AND(#REF!&lt;=BQ$1,#REF!&gt;=BQ$1)),#REF!  /(#REF! -#REF!  +1),0))</f>
        <v>#REF!</v>
      </c>
      <c r="BR67" s="438" t="e">
        <f>IF(AND(#REF!=#REF!,#REF!=BR$1),#REF!,IF(AND(#REF!&gt;=#REF!,AND(#REF!&lt;=BR$1,#REF!&gt;=BR$1)),#REF!  /(#REF! -#REF!  +1),0))</f>
        <v>#REF!</v>
      </c>
      <c r="BS67" s="438" t="e">
        <f>IF(AND(#REF!=#REF!,#REF!=BS$1),#REF!,IF(AND(#REF!&gt;=#REF!,AND(#REF!&lt;=BS$1,#REF!&gt;=BS$1)),#REF!  /(#REF! -#REF!  +1),0))</f>
        <v>#REF!</v>
      </c>
      <c r="BT67" s="483" t="e">
        <f>IF(AND(#REF!=#REF!,#REF!=BT$1),#REF!,IF(AND(#REF!&gt;=#REF!,AND(#REF!&lt;=BT$1,#REF!&gt;=BT$1)),#REF!  /(#REF! -#REF!  +1),0))</f>
        <v>#REF!</v>
      </c>
      <c r="CG67" s="879"/>
      <c r="CH67" s="645"/>
      <c r="CI67" s="670"/>
      <c r="CJ67" s="646"/>
    </row>
    <row r="68" spans="2:88" ht="13.5" thickBot="1" x14ac:dyDescent="0.25">
      <c r="B68" s="452" t="s">
        <v>781</v>
      </c>
      <c r="C68" s="482"/>
      <c r="D68" s="1029" t="s">
        <v>800</v>
      </c>
      <c r="E68" s="1377" t="s">
        <v>813</v>
      </c>
      <c r="F68" s="1029" t="s">
        <v>814</v>
      </c>
      <c r="G68" s="1029" t="s">
        <v>1218</v>
      </c>
      <c r="H68" s="1355" t="str">
        <f>IF(CF61=7,"R$/litro leite","R$/@ produzidas")</f>
        <v>R$/@ produzidas</v>
      </c>
      <c r="I68" s="1029" t="s">
        <v>803</v>
      </c>
      <c r="J68" s="889" t="s">
        <v>798</v>
      </c>
      <c r="BA68" s="459" t="e">
        <f>#REF!</f>
        <v>#REF!</v>
      </c>
      <c r="BB68" s="438" t="e">
        <f>IF(AND(#REF!=#REF!,#REF!=BB$1),#REF!,IF(AND(#REF!&gt;=#REF!,AND(#REF!&lt;=BB$1,#REF!&gt;=BB$1)),#REF!  /(#REF! -#REF!  +1),0))</f>
        <v>#REF!</v>
      </c>
      <c r="BC68" s="438" t="e">
        <f>IF(AND(#REF!=#REF!,#REF!=BC$1),#REF!,IF(AND(#REF!&gt;=#REF!,AND(#REF!&lt;=BC$1,#REF!&gt;=BC$1)),#REF!  /(#REF! -#REF!  +1),0))</f>
        <v>#REF!</v>
      </c>
      <c r="BD68" s="438" t="e">
        <f>IF(AND(#REF!=#REF!,#REF!=BD$1),#REF!,IF(AND(#REF!&gt;=#REF!,AND(#REF!&lt;=BD$1,#REF!&gt;=BD$1)),#REF!  /(#REF! -#REF!  +1),0))</f>
        <v>#REF!</v>
      </c>
      <c r="BE68" s="438" t="e">
        <f>IF(AND(#REF!=#REF!,#REF!=BE$1),#REF!,IF(AND(#REF!&gt;=#REF!,AND(#REF!&lt;=BE$1,#REF!&gt;=BE$1)),#REF!  /(#REF! -#REF!  +1),0))</f>
        <v>#REF!</v>
      </c>
      <c r="BF68" s="438" t="e">
        <f>IF(AND(#REF!=#REF!,#REF!=BF$1),#REF!,IF(AND(#REF!&gt;=#REF!,AND(#REF!&lt;=BF$1,#REF!&gt;=BF$1)),#REF!  /(#REF! -#REF!  +1),0))</f>
        <v>#REF!</v>
      </c>
      <c r="BG68" s="438" t="e">
        <f>IF(AND(#REF!=#REF!,#REF!=BG$1),#REF!,IF(AND(#REF!&gt;=#REF!,AND(#REF!&lt;=BG$1,#REF!&gt;=BG$1)),#REF!  /(#REF! -#REF!  +1),0))</f>
        <v>#REF!</v>
      </c>
      <c r="BH68" s="438" t="e">
        <f>IF(AND(#REF!=#REF!,#REF!=BH$1),#REF!,IF(AND(#REF!&gt;=#REF!,AND(#REF!&lt;=BH$1,#REF!&gt;=BH$1)),#REF!  /(#REF! -#REF!  +1),0))</f>
        <v>#REF!</v>
      </c>
      <c r="BI68" s="438" t="e">
        <f>IF(AND(#REF!=#REF!,#REF!=BI$1),#REF!,IF(AND(#REF!&gt;=#REF!,AND(#REF!&lt;=BI$1,#REF!&gt;=BI$1)),#REF!  /(#REF! -#REF!  +1),0))</f>
        <v>#REF!</v>
      </c>
      <c r="BJ68" s="438" t="e">
        <f>IF(AND(#REF!=#REF!,#REF!=BJ$1),#REF!,IF(AND(#REF!&gt;=#REF!,AND(#REF!&lt;=BJ$1,#REF!&gt;=BJ$1)),#REF!  /(#REF! -#REF!  +1),0))</f>
        <v>#REF!</v>
      </c>
      <c r="BK68" s="438" t="e">
        <f>IF(AND(#REF!=#REF!,#REF!=BK$1),#REF!,IF(AND(#REF!&gt;=#REF!,AND(#REF!&lt;=BK$1,#REF!&gt;=BK$1)),#REF!  /(#REF! -#REF!  +1),0))</f>
        <v>#REF!</v>
      </c>
      <c r="BL68" s="438" t="e">
        <f>IF(AND(#REF!=#REF!,#REF!=BL$1),#REF!,IF(AND(#REF!&gt;=#REF!,AND(#REF!&lt;=BL$1,#REF!&gt;=BL$1)),#REF!  /(#REF! -#REF!  +1),0))</f>
        <v>#REF!</v>
      </c>
      <c r="BM68" s="438" t="e">
        <f>IF(AND(#REF!=#REF!,#REF!=BM$1),#REF!,IF(AND(#REF!&gt;=#REF!,AND(#REF!&lt;=BM$1,#REF!&gt;=BM$1)),#REF!  /(#REF! -#REF!  +1),0))</f>
        <v>#REF!</v>
      </c>
      <c r="BN68" s="438" t="e">
        <f>IF(AND(#REF!=#REF!,#REF!=BN$1),#REF!,IF(AND(#REF!&gt;=#REF!,AND(#REF!&lt;=BN$1,#REF!&gt;=BN$1)),#REF!  /(#REF! -#REF!  +1),0))</f>
        <v>#REF!</v>
      </c>
      <c r="BO68" s="438" t="e">
        <f>IF(AND(#REF!=#REF!,#REF!=BO$1),#REF!,IF(AND(#REF!&gt;=#REF!,AND(#REF!&lt;=BO$1,#REF!&gt;=BO$1)),#REF!  /(#REF! -#REF!  +1),0))</f>
        <v>#REF!</v>
      </c>
      <c r="BP68" s="438" t="e">
        <f>IF(AND(#REF!=#REF!,#REF!=BP$1),#REF!,IF(AND(#REF!&gt;=#REF!,AND(#REF!&lt;=BP$1,#REF!&gt;=BP$1)),#REF!  /(#REF! -#REF!  +1),0))</f>
        <v>#REF!</v>
      </c>
      <c r="BQ68" s="438" t="e">
        <f>IF(AND(#REF!=#REF!,#REF!=BQ$1),#REF!,IF(AND(#REF!&gt;=#REF!,AND(#REF!&lt;=BQ$1,#REF!&gt;=BQ$1)),#REF!  /(#REF! -#REF!  +1),0))</f>
        <v>#REF!</v>
      </c>
      <c r="BR68" s="438" t="e">
        <f>IF(AND(#REF!=#REF!,#REF!=BR$1),#REF!,IF(AND(#REF!&gt;=#REF!,AND(#REF!&lt;=BR$1,#REF!&gt;=BR$1)),#REF!  /(#REF! -#REF!  +1),0))</f>
        <v>#REF!</v>
      </c>
      <c r="BS68" s="438" t="e">
        <f>IF(AND(#REF!=#REF!,#REF!=BS$1),#REF!,IF(AND(#REF!&gt;=#REF!,AND(#REF!&lt;=BS$1,#REF!&gt;=BS$1)),#REF!  /(#REF! -#REF!  +1),0))</f>
        <v>#REF!</v>
      </c>
      <c r="BT68" s="483" t="e">
        <f>IF(AND(#REF!=#REF!,#REF!=BT$1),#REF!,IF(AND(#REF!&gt;=#REF!,AND(#REF!&lt;=BT$1,#REF!&gt;=BT$1)),#REF!  /(#REF! -#REF!  +1),0))</f>
        <v>#REF!</v>
      </c>
      <c r="CG68" s="879"/>
      <c r="CH68" s="645"/>
      <c r="CI68" s="670"/>
      <c r="CJ68" s="646"/>
    </row>
    <row r="69" spans="2:88" x14ac:dyDescent="0.2">
      <c r="B69" s="484" t="s">
        <v>856</v>
      </c>
      <c r="C69" s="485">
        <f ca="1">K69*Descrição!C21</f>
        <v>46629.797943492733</v>
      </c>
      <c r="D69" s="1276">
        <f ca="1">IF($C$80=0,0,C69/$C$80)</f>
        <v>2.0712914093090631E-2</v>
      </c>
      <c r="E69" s="1363"/>
      <c r="F69" s="1368"/>
      <c r="G69" s="1277">
        <f t="shared" ref="G69" ca="1" si="22">IF(C69=0,"-",C69/$C$80)</f>
        <v>2.0712914093090631E-2</v>
      </c>
      <c r="H69" s="1378">
        <f ca="1">IF(C69=0,0,C69/'Análise TEC'!$C$20)</f>
        <v>4.5651740510869256</v>
      </c>
      <c r="I69" s="1382">
        <f ca="1">IF(C69=0,0,C69/Rebanho!$X$89)</f>
        <v>3.0708379393699272</v>
      </c>
      <c r="J69" s="886">
        <f ca="1">Inventário!T26</f>
        <v>1295272.1650970203</v>
      </c>
      <c r="K69" s="494">
        <f ca="1">(J69+(J69*Inventário!J6))/2</f>
        <v>777163.2990582122</v>
      </c>
      <c r="BA69" s="459"/>
      <c r="BB69" s="438"/>
      <c r="BC69" s="438"/>
      <c r="BD69" s="438"/>
      <c r="BE69" s="438"/>
      <c r="BF69" s="438"/>
      <c r="BG69" s="438"/>
      <c r="BH69" s="438"/>
      <c r="BI69" s="438"/>
      <c r="BJ69" s="438"/>
      <c r="BK69" s="438"/>
      <c r="BL69" s="438"/>
      <c r="BM69" s="438"/>
      <c r="BN69" s="438"/>
      <c r="BO69" s="438"/>
      <c r="BP69" s="438"/>
      <c r="BQ69" s="438"/>
      <c r="BR69" s="438"/>
      <c r="BS69" s="438"/>
      <c r="BT69" s="483"/>
      <c r="CG69" s="880"/>
      <c r="CH69" s="645"/>
      <c r="CI69" s="670"/>
      <c r="CJ69" s="646"/>
    </row>
    <row r="70" spans="2:88" x14ac:dyDescent="0.2">
      <c r="B70" s="464" t="s">
        <v>857</v>
      </c>
      <c r="C70" s="486">
        <f>K70*Descrição!C21</f>
        <v>7362</v>
      </c>
      <c r="D70" s="1251">
        <f t="shared" ref="D70:D78" ca="1" si="23">IF($C$80=0,0,C70/$C$80)</f>
        <v>3.2701937447407116E-3</v>
      </c>
      <c r="E70" s="1364"/>
      <c r="F70" s="1369"/>
      <c r="G70" s="1268">
        <f t="shared" ref="G70:G77" ca="1" si="24">IF(C70=0,"-",C70/$C$80)</f>
        <v>3.2701937447407116E-3</v>
      </c>
      <c r="H70" s="1379">
        <f>IF(C70=0,0,C70/'Análise TEC'!$C$20)</f>
        <v>0.72075824572154534</v>
      </c>
      <c r="I70" s="1383">
        <f>IF(C70=0,0,C70/Rebanho!$X$89)</f>
        <v>0.48482965628626151</v>
      </c>
      <c r="J70" s="887">
        <f>Inventário!T43</f>
        <v>204500</v>
      </c>
      <c r="K70" s="494">
        <f>(J70+(J70*Inventário!J33))/2</f>
        <v>122700</v>
      </c>
      <c r="BA70" s="459" t="e">
        <f>#REF!</f>
        <v>#REF!</v>
      </c>
      <c r="BB70" s="438" t="e">
        <f>IF(AND(#REF!=#REF!,#REF!=BB$1),#REF!,IF(AND(#REF!&gt;=#REF!,AND(#REF!&lt;=BB$1,#REF!&gt;=BB$1)),#REF!  /(#REF! -#REF!  +1),0))</f>
        <v>#REF!</v>
      </c>
      <c r="BC70" s="438" t="e">
        <f>IF(AND(#REF!=#REF!,#REF!=BC$1),#REF!,IF(AND(#REF!&gt;=#REF!,AND(#REF!&lt;=BC$1,#REF!&gt;=BC$1)),#REF!  /(#REF! -#REF!  +1),0))</f>
        <v>#REF!</v>
      </c>
      <c r="BD70" s="438" t="e">
        <f>IF(AND(#REF!=#REF!,#REF!=BD$1),#REF!,IF(AND(#REF!&gt;=#REF!,AND(#REF!&lt;=BD$1,#REF!&gt;=BD$1)),#REF!  /(#REF! -#REF!  +1),0))</f>
        <v>#REF!</v>
      </c>
      <c r="BE70" s="438" t="e">
        <f>IF(AND(#REF!=#REF!,#REF!=BE$1),#REF!,IF(AND(#REF!&gt;=#REF!,AND(#REF!&lt;=BE$1,#REF!&gt;=BE$1)),#REF!  /(#REF! -#REF!  +1),0))</f>
        <v>#REF!</v>
      </c>
      <c r="BF70" s="438" t="e">
        <f>IF(AND(#REF!=#REF!,#REF!=BF$1),#REF!,IF(AND(#REF!&gt;=#REF!,AND(#REF!&lt;=BF$1,#REF!&gt;=BF$1)),#REF!  /(#REF! -#REF!  +1),0))</f>
        <v>#REF!</v>
      </c>
      <c r="BG70" s="438" t="e">
        <f>IF(AND(#REF!=#REF!,#REF!=BG$1),#REF!,IF(AND(#REF!&gt;=#REF!,AND(#REF!&lt;=BG$1,#REF!&gt;=BG$1)),#REF!  /(#REF! -#REF!  +1),0))</f>
        <v>#REF!</v>
      </c>
      <c r="BH70" s="438" t="e">
        <f>IF(AND(#REF!=#REF!,#REF!=BH$1),#REF!,IF(AND(#REF!&gt;=#REF!,AND(#REF!&lt;=BH$1,#REF!&gt;=BH$1)),#REF!  /(#REF! -#REF!  +1),0))</f>
        <v>#REF!</v>
      </c>
      <c r="BI70" s="438" t="e">
        <f>IF(AND(#REF!=#REF!,#REF!=BI$1),#REF!,IF(AND(#REF!&gt;=#REF!,AND(#REF!&lt;=BI$1,#REF!&gt;=BI$1)),#REF!  /(#REF! -#REF!  +1),0))</f>
        <v>#REF!</v>
      </c>
      <c r="BJ70" s="438" t="e">
        <f>IF(AND(#REF!=#REF!,#REF!=BJ$1),#REF!,IF(AND(#REF!&gt;=#REF!,AND(#REF!&lt;=BJ$1,#REF!&gt;=BJ$1)),#REF!  /(#REF! -#REF!  +1),0))</f>
        <v>#REF!</v>
      </c>
      <c r="BK70" s="438" t="e">
        <f>IF(AND(#REF!=#REF!,#REF!=BK$1),#REF!,IF(AND(#REF!&gt;=#REF!,AND(#REF!&lt;=BK$1,#REF!&gt;=BK$1)),#REF!  /(#REF! -#REF!  +1),0))</f>
        <v>#REF!</v>
      </c>
      <c r="BL70" s="438" t="e">
        <f>IF(AND(#REF!=#REF!,#REF!=BL$1),#REF!,IF(AND(#REF!&gt;=#REF!,AND(#REF!&lt;=BL$1,#REF!&gt;=BL$1)),#REF!  /(#REF! -#REF!  +1),0))</f>
        <v>#REF!</v>
      </c>
      <c r="BM70" s="438" t="e">
        <f>IF(AND(#REF!=#REF!,#REF!=BM$1),#REF!,IF(AND(#REF!&gt;=#REF!,AND(#REF!&lt;=BM$1,#REF!&gt;=BM$1)),#REF!  /(#REF! -#REF!  +1),0))</f>
        <v>#REF!</v>
      </c>
      <c r="BN70" s="438" t="e">
        <f>IF(AND(#REF!=#REF!,#REF!=BN$1),#REF!,IF(AND(#REF!&gt;=#REF!,AND(#REF!&lt;=BN$1,#REF!&gt;=BN$1)),#REF!  /(#REF! -#REF!  +1),0))</f>
        <v>#REF!</v>
      </c>
      <c r="BO70" s="438" t="e">
        <f>IF(AND(#REF!=#REF!,#REF!=BO$1),#REF!,IF(AND(#REF!&gt;=#REF!,AND(#REF!&lt;=BO$1,#REF!&gt;=BO$1)),#REF!  /(#REF! -#REF!  +1),0))</f>
        <v>#REF!</v>
      </c>
      <c r="BP70" s="438" t="e">
        <f>IF(AND(#REF!=#REF!,#REF!=BP$1),#REF!,IF(AND(#REF!&gt;=#REF!,AND(#REF!&lt;=BP$1,#REF!&gt;=BP$1)),#REF!  /(#REF! -#REF!  +1),0))</f>
        <v>#REF!</v>
      </c>
      <c r="BQ70" s="438" t="e">
        <f>IF(AND(#REF!=#REF!,#REF!=BQ$1),#REF!,IF(AND(#REF!&gt;=#REF!,AND(#REF!&lt;=BQ$1,#REF!&gt;=BQ$1)),#REF!  /(#REF! -#REF!  +1),0))</f>
        <v>#REF!</v>
      </c>
      <c r="BR70" s="438" t="e">
        <f>IF(AND(#REF!=#REF!,#REF!=BR$1),#REF!,IF(AND(#REF!&gt;=#REF!,AND(#REF!&lt;=BR$1,#REF!&gt;=BR$1)),#REF!  /(#REF! -#REF!  +1),0))</f>
        <v>#REF!</v>
      </c>
      <c r="BS70" s="438" t="e">
        <f>IF(AND(#REF!=#REF!,#REF!=BS$1),#REF!,IF(AND(#REF!&gt;=#REF!,AND(#REF!&lt;=BS$1,#REF!&gt;=BS$1)),#REF!  /(#REF! -#REF!  +1),0))</f>
        <v>#REF!</v>
      </c>
      <c r="BT70" s="483" t="e">
        <f>IF(AND(#REF!=#REF!,#REF!=BT$1),#REF!,IF(AND(#REF!&gt;=#REF!,AND(#REF!&lt;=BT$1,#REF!&gt;=BT$1)),#REF!  /(#REF! -#REF!  +1),0))</f>
        <v>#REF!</v>
      </c>
      <c r="CG70" s="589"/>
      <c r="CH70" s="645"/>
      <c r="CI70" s="670"/>
      <c r="CJ70" s="646"/>
    </row>
    <row r="71" spans="2:88" x14ac:dyDescent="0.2">
      <c r="B71" s="464" t="s">
        <v>858</v>
      </c>
      <c r="C71" s="486">
        <f>K71*Descrição!C21</f>
        <v>3492</v>
      </c>
      <c r="D71" s="1251">
        <f t="shared" ca="1" si="23"/>
        <v>1.5511432432266457E-3</v>
      </c>
      <c r="E71" s="1364"/>
      <c r="F71" s="1369"/>
      <c r="G71" s="1268">
        <f t="shared" ca="1" si="24"/>
        <v>1.5511432432266457E-3</v>
      </c>
      <c r="H71" s="1379">
        <f>IF(C71=0,0,C71/'Análise TEC'!$C$20)</f>
        <v>0.34187554931535402</v>
      </c>
      <c r="I71" s="1383">
        <f>IF(C71=0,0,C71/Rebanho!$X$89)</f>
        <v>0.22996810102575729</v>
      </c>
      <c r="J71" s="887">
        <f>Inventário!T72</f>
        <v>97000</v>
      </c>
      <c r="K71" s="494">
        <f>(J71+(J71*Inventário!J52))/2</f>
        <v>58200</v>
      </c>
      <c r="BA71" s="459" t="e">
        <f>#REF!</f>
        <v>#REF!</v>
      </c>
      <c r="BB71" s="438" t="e">
        <f>IF(AND(#REF!=#REF!,#REF!=BB$1),#REF!,IF(AND(#REF!&gt;=#REF!,AND(#REF!&lt;=BB$1,#REF!&gt;=BB$1)),#REF!/(#REF! -#REF! +1),0))</f>
        <v>#REF!</v>
      </c>
      <c r="BC71" s="438" t="e">
        <f>IF(AND(#REF!=#REF!,#REF!=BC$1),#REF!,IF(AND(#REF!&gt;=#REF!,AND(#REF!&lt;=BC$1,#REF!&gt;=BC$1)),#REF!/(#REF! -#REF! +1),0))</f>
        <v>#REF!</v>
      </c>
      <c r="BD71" s="438" t="e">
        <f>IF(AND(#REF!=#REF!,#REF!=BD$1),#REF!,IF(AND(#REF!&gt;=#REF!,AND(#REF!&lt;=BD$1,#REF!&gt;=BD$1)),#REF!/(#REF! -#REF! +1),0))</f>
        <v>#REF!</v>
      </c>
      <c r="BE71" s="438" t="e">
        <f>IF(AND(#REF!=#REF!,#REF!=BE$1),#REF!,IF(AND(#REF!&gt;=#REF!,AND(#REF!&lt;=BE$1,#REF!&gt;=BE$1)),#REF!/(#REF! -#REF! +1),0))</f>
        <v>#REF!</v>
      </c>
      <c r="BF71" s="438" t="e">
        <f>IF(AND(#REF!=#REF!,#REF!=BF$1),#REF!,IF(AND(#REF!&gt;=#REF!,AND(#REF!&lt;=BF$1,#REF!&gt;=BF$1)),#REF!/(#REF! -#REF! +1),0))</f>
        <v>#REF!</v>
      </c>
      <c r="BG71" s="438" t="e">
        <f>IF(AND(#REF!=#REF!,#REF!=BG$1),#REF!,IF(AND(#REF!&gt;=#REF!,AND(#REF!&lt;=BG$1,#REF!&gt;=BG$1)),#REF!/(#REF! -#REF! +1),0))</f>
        <v>#REF!</v>
      </c>
      <c r="BH71" s="438" t="e">
        <f>IF(AND(#REF!=#REF!,#REF!=BH$1),#REF!,IF(AND(#REF!&gt;=#REF!,AND(#REF!&lt;=BH$1,#REF!&gt;=BH$1)),#REF!/(#REF! -#REF! +1),0))</f>
        <v>#REF!</v>
      </c>
      <c r="BI71" s="438" t="e">
        <f>IF(AND(#REF!=#REF!,#REF!=BI$1),#REF!,IF(AND(#REF!&gt;=#REF!,AND(#REF!&lt;=BI$1,#REF!&gt;=BI$1)),#REF!/(#REF! -#REF! +1),0))</f>
        <v>#REF!</v>
      </c>
      <c r="BJ71" s="438" t="e">
        <f>IF(AND(#REF!=#REF!,#REF!=BJ$1),#REF!,IF(AND(#REF!&gt;=#REF!,AND(#REF!&lt;=BJ$1,#REF!&gt;=BJ$1)),#REF!/(#REF! -#REF! +1),0))</f>
        <v>#REF!</v>
      </c>
      <c r="BK71" s="438" t="e">
        <f>IF(AND(#REF!=#REF!,#REF!=BK$1),#REF!,IF(AND(#REF!&gt;=#REF!,AND(#REF!&lt;=BK$1,#REF!&gt;=BK$1)),#REF!/(#REF! -#REF! +1),0))</f>
        <v>#REF!</v>
      </c>
      <c r="BL71" s="438" t="e">
        <f>IF(AND(#REF!=#REF!,#REF!=BL$1),#REF!,IF(AND(#REF!&gt;=#REF!,AND(#REF!&lt;=BL$1,#REF!&gt;=BL$1)),#REF!/(#REF! -#REF! +1),0))</f>
        <v>#REF!</v>
      </c>
      <c r="BM71" s="438" t="e">
        <f>IF(AND(#REF!=#REF!,#REF!=BM$1),#REF!,IF(AND(#REF!&gt;=#REF!,AND(#REF!&lt;=BM$1,#REF!&gt;=BM$1)),#REF!/(#REF! -#REF! +1),0))</f>
        <v>#REF!</v>
      </c>
      <c r="BN71" s="438" t="e">
        <f>IF(AND(#REF!=#REF!,#REF!=BN$1),#REF!,IF(AND(#REF!&gt;=#REF!,AND(#REF!&lt;=BN$1,#REF!&gt;=BN$1)),#REF!/(#REF! -#REF! +1),0))</f>
        <v>#REF!</v>
      </c>
      <c r="BO71" s="438" t="e">
        <f>IF(AND(#REF!=#REF!,#REF!=BO$1),#REF!,IF(AND(#REF!&gt;=#REF!,AND(#REF!&lt;=BO$1,#REF!&gt;=BO$1)),#REF!/(#REF! -#REF! +1),0))</f>
        <v>#REF!</v>
      </c>
      <c r="BP71" s="438" t="e">
        <f>IF(AND(#REF!=#REF!,#REF!=BP$1),#REF!,IF(AND(#REF!&gt;=#REF!,AND(#REF!&lt;=BP$1,#REF!&gt;=BP$1)),#REF!/(#REF! -#REF! +1),0))</f>
        <v>#REF!</v>
      </c>
      <c r="BQ71" s="438" t="e">
        <f>IF(AND(#REF!=#REF!,#REF!=BQ$1),#REF!,IF(AND(#REF!&gt;=#REF!,AND(#REF!&lt;=BQ$1,#REF!&gt;=BQ$1)),#REF!/(#REF! -#REF! +1),0))</f>
        <v>#REF!</v>
      </c>
      <c r="BR71" s="438" t="e">
        <f>IF(AND(#REF!=#REF!,#REF!=BR$1),#REF!,IF(AND(#REF!&gt;=#REF!,AND(#REF!&lt;=BR$1,#REF!&gt;=BR$1)),#REF!/(#REF! -#REF! +1),0))</f>
        <v>#REF!</v>
      </c>
      <c r="BS71" s="438" t="e">
        <f>IF(AND(#REF!=#REF!,#REF!=BS$1),#REF!,IF(AND(#REF!&gt;=#REF!,AND(#REF!&lt;=BS$1,#REF!&gt;=BS$1)),#REF!/(#REF! -#REF! +1),0))</f>
        <v>#REF!</v>
      </c>
      <c r="BT71" s="483" t="e">
        <f>IF(AND(#REF!=#REF!,#REF!=BT$1),#REF!,IF(AND(#REF!&gt;=#REF!,AND(#REF!&lt;=BT$1,#REF!&gt;=BT$1)),#REF!/(#REF! -#REF! +1),0))</f>
        <v>#REF!</v>
      </c>
      <c r="CG71" s="589"/>
      <c r="CH71" s="645"/>
      <c r="CI71" s="670"/>
      <c r="CJ71" s="646"/>
    </row>
    <row r="72" spans="2:88" x14ac:dyDescent="0.2">
      <c r="B72" s="464" t="s">
        <v>859</v>
      </c>
      <c r="C72" s="486">
        <f>K72*Descrição!C21</f>
        <v>661.43999999999994</v>
      </c>
      <c r="D72" s="1251">
        <f t="shared" ca="1" si="23"/>
        <v>2.9381105005722578E-4</v>
      </c>
      <c r="E72" s="1364"/>
      <c r="F72" s="1369"/>
      <c r="G72" s="1268">
        <f t="shared" ca="1" si="24"/>
        <v>2.9381105005722578E-4</v>
      </c>
      <c r="H72" s="1379">
        <f>IF(C72=0,0,C72/'Análise TEC'!$C$20)</f>
        <v>6.4756633258633373E-2</v>
      </c>
      <c r="I72" s="1383">
        <f>IF(C72=0,0,C72/Rebanho!$X$89)</f>
        <v>4.3559593568865088E-2</v>
      </c>
      <c r="J72" s="887">
        <f>Inventário!T100</f>
        <v>16960</v>
      </c>
      <c r="K72" s="494">
        <f>(J72+(J72*Inventário!J80))/2</f>
        <v>11024</v>
      </c>
      <c r="BA72" s="459"/>
      <c r="BB72" s="438"/>
      <c r="BC72" s="438"/>
      <c r="BD72" s="438"/>
      <c r="BE72" s="438"/>
      <c r="BF72" s="438"/>
      <c r="BG72" s="438"/>
      <c r="BH72" s="438"/>
      <c r="BI72" s="438"/>
      <c r="BJ72" s="438"/>
      <c r="BK72" s="438"/>
      <c r="BL72" s="438"/>
      <c r="BM72" s="438"/>
      <c r="BN72" s="438"/>
      <c r="BO72" s="438"/>
      <c r="BP72" s="438"/>
      <c r="BQ72" s="438"/>
      <c r="BR72" s="438"/>
      <c r="BS72" s="438"/>
      <c r="BT72" s="483"/>
      <c r="CG72" s="589"/>
      <c r="CH72" s="645"/>
      <c r="CI72" s="670"/>
      <c r="CJ72" s="646"/>
    </row>
    <row r="73" spans="2:88" x14ac:dyDescent="0.2">
      <c r="B73" s="464" t="s">
        <v>860</v>
      </c>
      <c r="C73" s="486">
        <f>K73*Descrição!C21</f>
        <v>3939</v>
      </c>
      <c r="D73" s="1251">
        <f ca="1">IF($C$80=0,0,C73/$C$80)</f>
        <v>1.7497002391379602E-3</v>
      </c>
      <c r="E73" s="1364"/>
      <c r="F73" s="1369"/>
      <c r="G73" s="1268">
        <f t="shared" ca="1" si="24"/>
        <v>1.7497002391379602E-3</v>
      </c>
      <c r="H73" s="1379">
        <f>IF(C73=0,0,C73/'Análise TEC'!$C$20)</f>
        <v>0.3856379692878521</v>
      </c>
      <c r="I73" s="1383">
        <f>IF(C73=0,0,C73/Rebanho!$X$89)</f>
        <v>0.25940559849383105</v>
      </c>
      <c r="J73" s="887">
        <f>Inventário!T112</f>
        <v>101000</v>
      </c>
      <c r="K73" s="494">
        <f>(J73+(J73*(AVERAGE(Inventário!J105:J111))))/2</f>
        <v>65650</v>
      </c>
      <c r="BA73" s="476" t="e">
        <f>#REF!</f>
        <v>#REF!</v>
      </c>
      <c r="BB73" s="487" t="e">
        <f>IF(AND(#REF!=#REF!,#REF!=BB$1),#REF!,IF(AND(#REF!&gt;=#REF!,AND(#REF!&lt;=BB$1,#REF!&gt;=BB$1)),#REF!/(#REF! -#REF! +1),0))</f>
        <v>#REF!</v>
      </c>
      <c r="BC73" s="487" t="e">
        <f>IF(AND(#REF!=#REF!,#REF!=BC$1),#REF!,IF(AND(#REF!&gt;=#REF!,AND(#REF!&lt;=BC$1,#REF!&gt;=BC$1)),#REF!/(#REF! -#REF! +1),0))</f>
        <v>#REF!</v>
      </c>
      <c r="BD73" s="487" t="e">
        <f>IF(AND(#REF!=#REF!,#REF!=BD$1),#REF!,IF(AND(#REF!&gt;=#REF!,AND(#REF!&lt;=BD$1,#REF!&gt;=BD$1)),#REF!/(#REF! -#REF! +1),0))</f>
        <v>#REF!</v>
      </c>
      <c r="BE73" s="487" t="e">
        <f>IF(AND(#REF!=#REF!,#REF!=BE$1),#REF!,IF(AND(#REF!&gt;=#REF!,AND(#REF!&lt;=BE$1,#REF!&gt;=BE$1)),#REF!/(#REF! -#REF! +1),0))</f>
        <v>#REF!</v>
      </c>
      <c r="BF73" s="487" t="e">
        <f>IF(AND(#REF!=#REF!,#REF!=BF$1),#REF!,IF(AND(#REF!&gt;=#REF!,AND(#REF!&lt;=BF$1,#REF!&gt;=BF$1)),#REF!/(#REF! -#REF! +1),0))</f>
        <v>#REF!</v>
      </c>
      <c r="BG73" s="487" t="e">
        <f>IF(AND(#REF!=#REF!,#REF!=BG$1),#REF!,IF(AND(#REF!&gt;=#REF!,AND(#REF!&lt;=BG$1,#REF!&gt;=BG$1)),#REF!/(#REF! -#REF! +1),0))</f>
        <v>#REF!</v>
      </c>
      <c r="BH73" s="487" t="e">
        <f>IF(AND(#REF!=#REF!,#REF!=BH$1),#REF!,IF(AND(#REF!&gt;=#REF!,AND(#REF!&lt;=BH$1,#REF!&gt;=BH$1)),#REF!/(#REF! -#REF! +1),0))</f>
        <v>#REF!</v>
      </c>
      <c r="BI73" s="487" t="e">
        <f>IF(AND(#REF!=#REF!,#REF!=BI$1),#REF!,IF(AND(#REF!&gt;=#REF!,AND(#REF!&lt;=BI$1,#REF!&gt;=BI$1)),#REF!/(#REF! -#REF! +1),0))</f>
        <v>#REF!</v>
      </c>
      <c r="BJ73" s="487" t="e">
        <f>IF(AND(#REF!=#REF!,#REF!=BJ$1),#REF!,IF(AND(#REF!&gt;=#REF!,AND(#REF!&lt;=BJ$1,#REF!&gt;=BJ$1)),#REF!/(#REF! -#REF! +1),0))</f>
        <v>#REF!</v>
      </c>
      <c r="BK73" s="487" t="e">
        <f>IF(AND(#REF!=#REF!,#REF!=BK$1),#REF!,IF(AND(#REF!&gt;=#REF!,AND(#REF!&lt;=BK$1,#REF!&gt;=BK$1)),#REF!/(#REF! -#REF! +1),0))</f>
        <v>#REF!</v>
      </c>
      <c r="BL73" s="487" t="e">
        <f>IF(AND(#REF!=#REF!,#REF!=BL$1),#REF!,IF(AND(#REF!&gt;=#REF!,AND(#REF!&lt;=BL$1,#REF!&gt;=BL$1)),#REF!/(#REF! -#REF! +1),0))</f>
        <v>#REF!</v>
      </c>
      <c r="BM73" s="487" t="e">
        <f>IF(AND(#REF!=#REF!,#REF!=BM$1),#REF!,IF(AND(#REF!&gt;=#REF!,AND(#REF!&lt;=BM$1,#REF!&gt;=BM$1)),#REF!/(#REF! -#REF! +1),0))</f>
        <v>#REF!</v>
      </c>
      <c r="BN73" s="487" t="e">
        <f>IF(AND(#REF!=#REF!,#REF!=BN$1),#REF!,IF(AND(#REF!&gt;=#REF!,AND(#REF!&lt;=BN$1,#REF!&gt;=BN$1)),#REF!/(#REF! -#REF! +1),0))</f>
        <v>#REF!</v>
      </c>
      <c r="BO73" s="487" t="e">
        <f>IF(AND(#REF!=#REF!,#REF!=BO$1),#REF!,IF(AND(#REF!&gt;=#REF!,AND(#REF!&lt;=BO$1,#REF!&gt;=BO$1)),#REF!/(#REF! -#REF! +1),0))</f>
        <v>#REF!</v>
      </c>
      <c r="BP73" s="487" t="e">
        <f>IF(AND(#REF!=#REF!,#REF!=BP$1),#REF!,IF(AND(#REF!&gt;=#REF!,AND(#REF!&lt;=BP$1,#REF!&gt;=BP$1)),#REF!/(#REF! -#REF! +1),0))</f>
        <v>#REF!</v>
      </c>
      <c r="BQ73" s="487" t="e">
        <f>IF(AND(#REF!=#REF!,#REF!=BQ$1),#REF!,IF(AND(#REF!&gt;=#REF!,AND(#REF!&lt;=BQ$1,#REF!&gt;=BQ$1)),#REF!/(#REF! -#REF! +1),0))</f>
        <v>#REF!</v>
      </c>
      <c r="BR73" s="487" t="e">
        <f>IF(AND(#REF!=#REF!,#REF!=BR$1),#REF!,IF(AND(#REF!&gt;=#REF!,AND(#REF!&lt;=BR$1,#REF!&gt;=BR$1)),#REF!/(#REF! -#REF! +1),0))</f>
        <v>#REF!</v>
      </c>
      <c r="BS73" s="487" t="e">
        <f>IF(AND(#REF!=#REF!,#REF!=BS$1),#REF!,IF(AND(#REF!&gt;=#REF!,AND(#REF!&lt;=BS$1,#REF!&gt;=BS$1)),#REF!/(#REF! -#REF! +1),0))</f>
        <v>#REF!</v>
      </c>
      <c r="BT73" s="488" t="e">
        <f>IF(AND(#REF!=#REF!,#REF!=BT$1),#REF!,IF(AND(#REF!&gt;=#REF!,AND(#REF!&lt;=BT$1,#REF!&gt;=BT$1)),#REF!/(#REF! -#REF! +1),0))</f>
        <v>#REF!</v>
      </c>
      <c r="CG73" s="589"/>
      <c r="CH73" s="645"/>
      <c r="CI73" s="670"/>
      <c r="CJ73" s="646"/>
    </row>
    <row r="74" spans="2:88" x14ac:dyDescent="0.2">
      <c r="B74" s="464" t="s">
        <v>862</v>
      </c>
      <c r="C74" s="486">
        <f>J74*Descrição!C21</f>
        <v>129201.54623344277</v>
      </c>
      <c r="D74" s="1251">
        <f t="shared" ca="1" si="23"/>
        <v>5.7391210038499375E-2</v>
      </c>
      <c r="E74" s="1364"/>
      <c r="F74" s="1369"/>
      <c r="G74" s="1268">
        <f t="shared" ca="1" si="24"/>
        <v>5.7391210038499375E-2</v>
      </c>
      <c r="H74" s="1379">
        <f>IF(C74=0,0,C74/'Análise TEC'!$C$20)</f>
        <v>12.649155094774159</v>
      </c>
      <c r="I74" s="1383">
        <f>IF(C74=0,0,C74/Rebanho!$X$89)</f>
        <v>8.5086581434411279</v>
      </c>
      <c r="J74" s="887">
        <f>Rebanho!AL67</f>
        <v>2153359.1038907128</v>
      </c>
      <c r="K74" s="494"/>
      <c r="BA74" s="489"/>
      <c r="BB74" s="440"/>
      <c r="BC74" s="440"/>
      <c r="BD74" s="440"/>
      <c r="BE74" s="440"/>
      <c r="BF74" s="440"/>
      <c r="BG74" s="440"/>
      <c r="BH74" s="440"/>
      <c r="BI74" s="440"/>
      <c r="BJ74" s="440"/>
      <c r="BK74" s="440"/>
      <c r="BL74" s="440"/>
      <c r="BM74" s="440"/>
      <c r="BN74" s="440"/>
      <c r="BO74" s="440"/>
      <c r="BP74" s="440"/>
      <c r="BQ74" s="440"/>
      <c r="BR74" s="440"/>
      <c r="BS74" s="440"/>
      <c r="BT74" s="440"/>
      <c r="CG74" s="589"/>
      <c r="CH74" s="645"/>
      <c r="CI74" s="670"/>
      <c r="CJ74" s="646"/>
    </row>
    <row r="75" spans="2:88" s="704" customFormat="1" x14ac:dyDescent="0.2">
      <c r="B75" s="464" t="s">
        <v>864</v>
      </c>
      <c r="C75" s="433">
        <f>J75*Descrição!C21</f>
        <v>0</v>
      </c>
      <c r="D75" s="1251">
        <f t="shared" ca="1" si="23"/>
        <v>0</v>
      </c>
      <c r="E75" s="1364"/>
      <c r="F75" s="1369"/>
      <c r="G75" s="1268" t="str">
        <f t="shared" si="24"/>
        <v>-</v>
      </c>
      <c r="H75" s="1379">
        <f>IF(C75=0,0,C75/'Análise TEC'!$C$20)</f>
        <v>0</v>
      </c>
      <c r="I75" s="1383">
        <f>IF(C75=0,0,C75/Rebanho!$X$89)</f>
        <v>0</v>
      </c>
      <c r="J75" s="888">
        <f>SUM(CH76:CJ76)</f>
        <v>0</v>
      </c>
      <c r="K75" s="651"/>
      <c r="L75" s="437"/>
      <c r="M75" s="434"/>
      <c r="N75" s="434"/>
      <c r="O75" s="434"/>
      <c r="P75" s="434"/>
      <c r="Q75" s="434"/>
      <c r="R75" s="434"/>
      <c r="S75" s="434"/>
      <c r="T75" s="434"/>
      <c r="U75" s="434"/>
      <c r="V75" s="434"/>
      <c r="W75" s="434"/>
      <c r="X75" s="434"/>
      <c r="Y75" s="434"/>
      <c r="Z75" s="434"/>
      <c r="AA75" s="434"/>
      <c r="AB75" s="434"/>
      <c r="AC75" s="434"/>
      <c r="AD75" s="434"/>
      <c r="AE75" s="434"/>
      <c r="AF75" s="434"/>
      <c r="AG75" s="434"/>
      <c r="AH75" s="434"/>
      <c r="AI75" s="434"/>
      <c r="AJ75" s="434"/>
      <c r="AK75" s="434"/>
      <c r="AL75" s="434"/>
      <c r="AM75" s="434"/>
      <c r="AN75" s="434"/>
      <c r="AO75" s="434"/>
      <c r="AP75" s="434"/>
      <c r="AQ75" s="434"/>
      <c r="AR75" s="434"/>
      <c r="AS75" s="434"/>
      <c r="AT75" s="434"/>
      <c r="AU75" s="434"/>
      <c r="AV75" s="434"/>
      <c r="AW75" s="434"/>
      <c r="AX75" s="434"/>
      <c r="AY75" s="434"/>
      <c r="AZ75" s="434"/>
      <c r="BA75" s="490" t="e">
        <f>#REF!</f>
        <v>#REF!</v>
      </c>
      <c r="BB75" s="491" t="e">
        <f>IF(AND(#REF!=#REF!,#REF!=BB$1),#REF!,IF(AND(#REF!&gt;=#REF!,AND(#REF!&lt;=BB$1,#REF!&gt;=BB$1)),#REF!/(#REF! -#REF! +1),0))</f>
        <v>#REF!</v>
      </c>
      <c r="BC75" s="491" t="e">
        <f>IF(AND(#REF!=#REF!,#REF!=BC$1),#REF!,IF(AND(#REF!&gt;=#REF!,AND(#REF!&lt;=BC$1,#REF!&gt;=BC$1)),#REF!/(#REF! -#REF! +1),0))</f>
        <v>#REF!</v>
      </c>
      <c r="BD75" s="491" t="e">
        <f>IF(AND(#REF!=#REF!,#REF!=BD$1),#REF!,IF(AND(#REF!&gt;=#REF!,AND(#REF!&lt;=BD$1,#REF!&gt;=BD$1)),#REF!/(#REF! -#REF! +1),0))</f>
        <v>#REF!</v>
      </c>
      <c r="BE75" s="491" t="e">
        <f>IF(AND(#REF!=#REF!,#REF!=BE$1),#REF!,IF(AND(#REF!&gt;=#REF!,AND(#REF!&lt;=BE$1,#REF!&gt;=BE$1)),#REF!/(#REF! -#REF! +1),0))</f>
        <v>#REF!</v>
      </c>
      <c r="BF75" s="491" t="e">
        <f>IF(AND(#REF!=#REF!,#REF!=BF$1),#REF!,IF(AND(#REF!&gt;=#REF!,AND(#REF!&lt;=BF$1,#REF!&gt;=BF$1)),#REF!/(#REF! -#REF! +1),0))</f>
        <v>#REF!</v>
      </c>
      <c r="BG75" s="491" t="e">
        <f>IF(AND(#REF!=#REF!,#REF!=BG$1),#REF!,IF(AND(#REF!&gt;=#REF!,AND(#REF!&lt;=BG$1,#REF!&gt;=BG$1)),#REF!/(#REF! -#REF! +1),0))</f>
        <v>#REF!</v>
      </c>
      <c r="BH75" s="491" t="e">
        <f>IF(AND(#REF!=#REF!,#REF!=BH$1),#REF!,IF(AND(#REF!&gt;=#REF!,AND(#REF!&lt;=BH$1,#REF!&gt;=BH$1)),#REF!/(#REF! -#REF! +1),0))</f>
        <v>#REF!</v>
      </c>
      <c r="BI75" s="491" t="e">
        <f>IF(AND(#REF!=#REF!,#REF!=BI$1),#REF!,IF(AND(#REF!&gt;=#REF!,AND(#REF!&lt;=BI$1,#REF!&gt;=BI$1)),#REF!/(#REF! -#REF! +1),0))</f>
        <v>#REF!</v>
      </c>
      <c r="BJ75" s="491" t="e">
        <f>IF(AND(#REF!=#REF!,#REF!=BJ$1),#REF!,IF(AND(#REF!&gt;=#REF!,AND(#REF!&lt;=BJ$1,#REF!&gt;=BJ$1)),#REF!/(#REF! -#REF! +1),0))</f>
        <v>#REF!</v>
      </c>
      <c r="BK75" s="491" t="e">
        <f>IF(AND(#REF!=#REF!,#REF!=BK$1),#REF!,IF(AND(#REF!&gt;=#REF!,AND(#REF!&lt;=BK$1,#REF!&gt;=BK$1)),#REF!/(#REF! -#REF! +1),0))</f>
        <v>#REF!</v>
      </c>
      <c r="BL75" s="491" t="e">
        <f>IF(AND(#REF!=#REF!,#REF!=BL$1),#REF!,IF(AND(#REF!&gt;=#REF!,AND(#REF!&lt;=BL$1,#REF!&gt;=BL$1)),#REF!/(#REF! -#REF! +1),0))</f>
        <v>#REF!</v>
      </c>
      <c r="BM75" s="491" t="e">
        <f>IF(AND(#REF!=#REF!,#REF!=BM$1),#REF!,IF(AND(#REF!&gt;=#REF!,AND(#REF!&lt;=BM$1,#REF!&gt;=BM$1)),#REF!/(#REF! -#REF! +1),0))</f>
        <v>#REF!</v>
      </c>
      <c r="BN75" s="491" t="e">
        <f>IF(AND(#REF!=#REF!,#REF!=BN$1),#REF!,IF(AND(#REF!&gt;=#REF!,AND(#REF!&lt;=BN$1,#REF!&gt;=BN$1)),#REF!/(#REF! -#REF! +1),0))</f>
        <v>#REF!</v>
      </c>
      <c r="BO75" s="491" t="e">
        <f>IF(AND(#REF!=#REF!,#REF!=BO$1),#REF!,IF(AND(#REF!&gt;=#REF!,AND(#REF!&lt;=BO$1,#REF!&gt;=BO$1)),#REF!/(#REF! -#REF! +1),0))</f>
        <v>#REF!</v>
      </c>
      <c r="BP75" s="491" t="e">
        <f>IF(AND(#REF!=#REF!,#REF!=BP$1),#REF!,IF(AND(#REF!&gt;=#REF!,AND(#REF!&lt;=BP$1,#REF!&gt;=BP$1)),#REF!/(#REF! -#REF! +1),0))</f>
        <v>#REF!</v>
      </c>
      <c r="BQ75" s="491" t="e">
        <f>IF(AND(#REF!=#REF!,#REF!=BQ$1),#REF!,IF(AND(#REF!&gt;=#REF!,AND(#REF!&lt;=BQ$1,#REF!&gt;=BQ$1)),#REF!/(#REF! -#REF! +1),0))</f>
        <v>#REF!</v>
      </c>
      <c r="BR75" s="491" t="e">
        <f>IF(AND(#REF!=#REF!,#REF!=BR$1),#REF!,IF(AND(#REF!&gt;=#REF!,AND(#REF!&lt;=BR$1,#REF!&gt;=BR$1)),#REF!/(#REF! -#REF! +1),0))</f>
        <v>#REF!</v>
      </c>
      <c r="BS75" s="491" t="e">
        <f>IF(AND(#REF!=#REF!,#REF!=BS$1),#REF!,IF(AND(#REF!&gt;=#REF!,AND(#REF!&lt;=BS$1,#REF!&gt;=BS$1)),#REF!/(#REF! -#REF! +1),0))</f>
        <v>#REF!</v>
      </c>
      <c r="BT75" s="492" t="e">
        <f>IF(AND(#REF!=#REF!,#REF!=BT$1),#REF!,IF(AND(#REF!&gt;=#REF!,AND(#REF!&lt;=BT$1,#REF!&gt;=BT$1)),#REF!/(#REF! -#REF! +1),0))</f>
        <v>#REF!</v>
      </c>
      <c r="BU75" s="434"/>
      <c r="BV75" s="434"/>
      <c r="BW75" s="434"/>
      <c r="BX75" s="434"/>
      <c r="BY75" s="434"/>
      <c r="BZ75" s="434"/>
      <c r="CA75" s="434"/>
      <c r="CB75" s="434"/>
      <c r="CC75" s="434"/>
      <c r="CD75" s="434"/>
      <c r="CE75" s="434"/>
      <c r="CF75" s="434"/>
      <c r="CG75" s="589"/>
      <c r="CH75" s="673"/>
      <c r="CI75" s="672"/>
      <c r="CJ75" s="674"/>
    </row>
    <row r="76" spans="2:88" x14ac:dyDescent="0.2">
      <c r="B76" s="464" t="s">
        <v>863</v>
      </c>
      <c r="C76" s="486">
        <f>J76*Descrição!C21</f>
        <v>3070.3713120000002</v>
      </c>
      <c r="D76" s="1251">
        <f t="shared" ca="1" si="23"/>
        <v>1.3638561611700262E-3</v>
      </c>
      <c r="E76" s="1364"/>
      <c r="F76" s="1369"/>
      <c r="G76" s="1268">
        <f t="shared" ca="1" si="24"/>
        <v>1.3638561611700262E-3</v>
      </c>
      <c r="H76" s="1379">
        <f>IF(C76=0,0,C76/'Análise TEC'!$C$20)</f>
        <v>0.30059704435627271</v>
      </c>
      <c r="I76" s="1383">
        <f>IF(C76=0,0,C76/Rebanho!$X$89)</f>
        <v>0.20220144904484622</v>
      </c>
      <c r="J76" s="888">
        <f>SUM(CH77:CJ77)</f>
        <v>51172.855200000005</v>
      </c>
      <c r="K76" s="651"/>
      <c r="L76" s="434"/>
      <c r="BA76" s="459"/>
      <c r="BB76" s="438"/>
      <c r="BC76" s="438"/>
      <c r="BD76" s="438"/>
      <c r="BE76" s="438"/>
      <c r="BF76" s="438"/>
      <c r="BG76" s="438"/>
      <c r="BH76" s="438"/>
      <c r="BI76" s="438"/>
      <c r="BJ76" s="438"/>
      <c r="BK76" s="438"/>
      <c r="BL76" s="438"/>
      <c r="BM76" s="438"/>
      <c r="BN76" s="438"/>
      <c r="BO76" s="438"/>
      <c r="BP76" s="438"/>
      <c r="BQ76" s="438"/>
      <c r="BR76" s="438"/>
      <c r="BS76" s="438"/>
      <c r="BT76" s="483"/>
      <c r="CG76" s="589" t="s">
        <v>864</v>
      </c>
      <c r="CH76" s="645">
        <f>IF(Agricultura!C9=2,Agricultura!AC20,0)</f>
        <v>0</v>
      </c>
      <c r="CI76" s="670"/>
      <c r="CJ76" s="646"/>
    </row>
    <row r="77" spans="2:88" x14ac:dyDescent="0.2">
      <c r="B77" s="464" t="s">
        <v>861</v>
      </c>
      <c r="C77" s="486">
        <f ca="1">IF('Análise ADM'!K77=0,J77*Descrição!C21,'Análise ADM'!K77)</f>
        <v>355540.03254518524</v>
      </c>
      <c r="D77" s="1251">
        <f t="shared" ca="1" si="23"/>
        <v>0.1579305610478367</v>
      </c>
      <c r="E77" s="1364"/>
      <c r="F77" s="1369"/>
      <c r="G77" s="1268">
        <f t="shared" ca="1" si="24"/>
        <v>0.1579305610478367</v>
      </c>
      <c r="H77" s="1379">
        <f ca="1">IF(C77=0,0,C77/'Análise TEC'!$C$20)</f>
        <v>34.808260002859122</v>
      </c>
      <c r="I77" s="1383">
        <f ca="1">IF(C77=0,0,C77/Rebanho!$X$89)</f>
        <v>23.41433737773545</v>
      </c>
      <c r="J77" s="887">
        <f>Descrição!W23</f>
        <v>10000000</v>
      </c>
      <c r="K77" s="457">
        <f ca="1">Descrição!X23</f>
        <v>355540.03254518524</v>
      </c>
      <c r="BA77" s="476" t="e">
        <f>#REF!</f>
        <v>#REF!</v>
      </c>
      <c r="BB77" s="487" t="e">
        <f>IF(AND(#REF!=#REF!,#REF!=BB$1),#REF!,IF(AND(#REF!&gt;=#REF!,AND(#REF!&lt;=BB$1,#REF!&gt;=BB$1)),#REF!/(#REF! -#REF! +1),0))</f>
        <v>#REF!</v>
      </c>
      <c r="BC77" s="487" t="e">
        <f>IF(AND(#REF!=#REF!,#REF!=BC$1),#REF!,IF(AND(#REF!&gt;=#REF!,AND(#REF!&lt;=BC$1,#REF!&gt;=BC$1)),#REF!/(#REF! -#REF! +1),0))</f>
        <v>#REF!</v>
      </c>
      <c r="BD77" s="487" t="e">
        <f>IF(AND(#REF!=#REF!,#REF!=BD$1),#REF!,IF(AND(#REF!&gt;=#REF!,AND(#REF!&lt;=BD$1,#REF!&gt;=BD$1)),#REF!/(#REF! -#REF! +1),0))</f>
        <v>#REF!</v>
      </c>
      <c r="BE77" s="487" t="e">
        <f>IF(AND(#REF!=#REF!,#REF!=BE$1),#REF!,IF(AND(#REF!&gt;=#REF!,AND(#REF!&lt;=BE$1,#REF!&gt;=BE$1)),#REF!/(#REF! -#REF! +1),0))</f>
        <v>#REF!</v>
      </c>
      <c r="BF77" s="487" t="e">
        <f>IF(AND(#REF!=#REF!,#REF!=BF$1),#REF!,IF(AND(#REF!&gt;=#REF!,AND(#REF!&lt;=BF$1,#REF!&gt;=BF$1)),#REF!/(#REF! -#REF! +1),0))</f>
        <v>#REF!</v>
      </c>
      <c r="BG77" s="487" t="e">
        <f>IF(AND(#REF!=#REF!,#REF!=BG$1),#REF!,IF(AND(#REF!&gt;=#REF!,AND(#REF!&lt;=BG$1,#REF!&gt;=BG$1)),#REF!/(#REF! -#REF! +1),0))</f>
        <v>#REF!</v>
      </c>
      <c r="BH77" s="487" t="e">
        <f>IF(AND(#REF!=#REF!,#REF!=BH$1),#REF!,IF(AND(#REF!&gt;=#REF!,AND(#REF!&lt;=BH$1,#REF!&gt;=BH$1)),#REF!/(#REF! -#REF! +1),0))</f>
        <v>#REF!</v>
      </c>
      <c r="BI77" s="487" t="e">
        <f>IF(AND(#REF!=#REF!,#REF!=BI$1),#REF!,IF(AND(#REF!&gt;=#REF!,AND(#REF!&lt;=BI$1,#REF!&gt;=BI$1)),#REF!/(#REF! -#REF! +1),0))</f>
        <v>#REF!</v>
      </c>
      <c r="BJ77" s="487" t="e">
        <f>IF(AND(#REF!=#REF!,#REF!=BJ$1),#REF!,IF(AND(#REF!&gt;=#REF!,AND(#REF!&lt;=BJ$1,#REF!&gt;=BJ$1)),#REF!/(#REF! -#REF! +1),0))</f>
        <v>#REF!</v>
      </c>
      <c r="BK77" s="487" t="e">
        <f>IF(AND(#REF!=#REF!,#REF!=BK$1),#REF!,IF(AND(#REF!&gt;=#REF!,AND(#REF!&lt;=BK$1,#REF!&gt;=BK$1)),#REF!/(#REF! -#REF! +1),0))</f>
        <v>#REF!</v>
      </c>
      <c r="BL77" s="487" t="e">
        <f>IF(AND(#REF!=#REF!,#REF!=BL$1),#REF!,IF(AND(#REF!&gt;=#REF!,AND(#REF!&lt;=BL$1,#REF!&gt;=BL$1)),#REF!/(#REF! -#REF! +1),0))</f>
        <v>#REF!</v>
      </c>
      <c r="BM77" s="487" t="e">
        <f>IF(AND(#REF!=#REF!,#REF!=BM$1),#REF!,IF(AND(#REF!&gt;=#REF!,AND(#REF!&lt;=BM$1,#REF!&gt;=BM$1)),#REF!/(#REF! -#REF! +1),0))</f>
        <v>#REF!</v>
      </c>
      <c r="BN77" s="487" t="e">
        <f>IF(AND(#REF!=#REF!,#REF!=BN$1),#REF!,IF(AND(#REF!&gt;=#REF!,AND(#REF!&lt;=BN$1,#REF!&gt;=BN$1)),#REF!/(#REF! -#REF! +1),0))</f>
        <v>#REF!</v>
      </c>
      <c r="BO77" s="487" t="e">
        <f>IF(AND(#REF!=#REF!,#REF!=BO$1),#REF!,IF(AND(#REF!&gt;=#REF!,AND(#REF!&lt;=BO$1,#REF!&gt;=BO$1)),#REF!/(#REF! -#REF! +1),0))</f>
        <v>#REF!</v>
      </c>
      <c r="BP77" s="487" t="e">
        <f>IF(AND(#REF!=#REF!,#REF!=BP$1),#REF!,IF(AND(#REF!&gt;=#REF!,AND(#REF!&lt;=BP$1,#REF!&gt;=BP$1)),#REF!/(#REF! -#REF! +1),0))</f>
        <v>#REF!</v>
      </c>
      <c r="BQ77" s="487" t="e">
        <f>IF(AND(#REF!=#REF!,#REF!=BQ$1),#REF!,IF(AND(#REF!&gt;=#REF!,AND(#REF!&lt;=BQ$1,#REF!&gt;=BQ$1)),#REF!/(#REF! -#REF! +1),0))</f>
        <v>#REF!</v>
      </c>
      <c r="BR77" s="487" t="e">
        <f>IF(AND(#REF!=#REF!,#REF!=BR$1),#REF!,IF(AND(#REF!&gt;=#REF!,AND(#REF!&lt;=BR$1,#REF!&gt;=BR$1)),#REF!/(#REF! -#REF! +1),0))</f>
        <v>#REF!</v>
      </c>
      <c r="BS77" s="487" t="e">
        <f>IF(AND(#REF!=#REF!,#REF!=BS$1),#REF!,IF(AND(#REF!&gt;=#REF!,AND(#REF!&lt;=BS$1,#REF!&gt;=BS$1)),#REF!/(#REF! -#REF! +1),0))</f>
        <v>#REF!</v>
      </c>
      <c r="BT77" s="488" t="e">
        <f>IF(AND(#REF!=#REF!,#REF!=BT$1),#REF!,IF(AND(#REF!&gt;=#REF!,AND(#REF!&lt;=BT$1,#REF!&gt;=BT$1)),#REF!/(#REF! -#REF! +1),0))</f>
        <v>#REF!</v>
      </c>
      <c r="CG77" s="589" t="s">
        <v>863</v>
      </c>
      <c r="CH77" s="666">
        <f>Pastagem!AC20</f>
        <v>51172.855200000005</v>
      </c>
      <c r="CI77" s="671"/>
      <c r="CJ77" s="667"/>
    </row>
    <row r="78" spans="2:88" ht="13.5" thickBot="1" x14ac:dyDescent="0.25">
      <c r="B78" s="863" t="s">
        <v>1065</v>
      </c>
      <c r="C78" s="1374">
        <f ca="1">K78*Descrição!C21</f>
        <v>40784.412031347587</v>
      </c>
      <c r="D78" s="1375">
        <f t="shared" ca="1" si="23"/>
        <v>1.8116398955153587E-2</v>
      </c>
      <c r="E78" s="1365"/>
      <c r="F78" s="1376"/>
      <c r="G78" s="1269">
        <f ca="1">IF(C78=0,"-",C78/$C$80)</f>
        <v>1.8116398955153587E-2</v>
      </c>
      <c r="H78" s="1380">
        <f ca="1">IF(C78=0,0,C78/'Análise TEC'!$C$20)</f>
        <v>3.9928961244904611</v>
      </c>
      <c r="I78" s="1384">
        <f ca="1">IF(C78=0,0,C78/Rebanho!$X$89)</f>
        <v>2.685885964003738</v>
      </c>
      <c r="J78" s="890"/>
      <c r="K78" s="457">
        <f ca="1">(C45-Geral!I46)/2</f>
        <v>679740.20052245981</v>
      </c>
      <c r="BA78" s="440"/>
      <c r="BB78" s="440"/>
      <c r="BC78" s="440"/>
      <c r="BD78" s="440"/>
      <c r="BE78" s="440"/>
      <c r="BF78" s="440"/>
      <c r="BG78" s="440"/>
      <c r="BH78" s="440"/>
      <c r="BI78" s="440"/>
      <c r="BJ78" s="440"/>
      <c r="BK78" s="440"/>
      <c r="BL78" s="440"/>
      <c r="BM78" s="440"/>
      <c r="BN78" s="440"/>
      <c r="BO78" s="440"/>
      <c r="BP78" s="440"/>
      <c r="BQ78" s="440"/>
      <c r="BR78" s="440"/>
      <c r="BS78" s="440"/>
      <c r="BT78" s="434"/>
      <c r="CH78" s="645"/>
      <c r="CI78" s="670"/>
      <c r="CJ78" s="646"/>
    </row>
    <row r="79" spans="2:88" ht="14.25" thickTop="1" thickBot="1" x14ac:dyDescent="0.25">
      <c r="B79" s="1457" t="s">
        <v>2</v>
      </c>
      <c r="C79" s="1459">
        <f ca="1">SUM(C69:C78)</f>
        <v>590680.60006546834</v>
      </c>
      <c r="D79" s="1460">
        <f ca="1">C79/C80</f>
        <v>0.26237978857291289</v>
      </c>
      <c r="E79" s="1367"/>
      <c r="F79" s="1367"/>
      <c r="G79" s="1373">
        <f ca="1">IF(C79=0,"-",C79/$C$80)</f>
        <v>0.26237978857291289</v>
      </c>
      <c r="H79" s="1381"/>
      <c r="I79" s="1385" t="s">
        <v>1079</v>
      </c>
      <c r="J79" s="891">
        <f ca="1">SUM(J69:J77)</f>
        <v>13919264.124187734</v>
      </c>
      <c r="L79" s="434"/>
      <c r="BA79" s="440"/>
      <c r="BB79" s="440"/>
      <c r="BC79" s="440"/>
      <c r="BD79" s="440"/>
      <c r="BE79" s="440"/>
      <c r="BF79" s="440"/>
      <c r="BG79" s="440"/>
      <c r="BH79" s="440"/>
      <c r="BI79" s="440"/>
      <c r="BJ79" s="440"/>
      <c r="BK79" s="440"/>
      <c r="BL79" s="440"/>
      <c r="BM79" s="440"/>
      <c r="BN79" s="440"/>
      <c r="BO79" s="440"/>
      <c r="BP79" s="440"/>
      <c r="BQ79" s="440"/>
      <c r="BR79" s="440"/>
      <c r="BS79" s="440"/>
      <c r="BT79" s="704"/>
      <c r="CH79" s="881"/>
      <c r="CI79" s="882"/>
      <c r="CJ79" s="883"/>
    </row>
    <row r="80" spans="2:88" s="704" customFormat="1" ht="13.5" thickBot="1" x14ac:dyDescent="0.25">
      <c r="B80" s="1450" t="s">
        <v>781</v>
      </c>
      <c r="C80" s="1451">
        <f ca="1">C79+C66</f>
        <v>2251242.762554951</v>
      </c>
      <c r="D80" s="442"/>
      <c r="E80" s="1455"/>
      <c r="F80" s="1456"/>
      <c r="G80" s="1454">
        <f ca="1">C80/C80</f>
        <v>1</v>
      </c>
      <c r="H80" s="442"/>
      <c r="I80" s="437"/>
      <c r="J80" s="437"/>
      <c r="K80" s="437"/>
      <c r="L80" s="437"/>
      <c r="M80" s="434"/>
      <c r="N80" s="434"/>
      <c r="O80" s="434"/>
      <c r="P80" s="434"/>
      <c r="Q80" s="434"/>
      <c r="R80" s="434"/>
      <c r="S80" s="434"/>
      <c r="T80" s="434"/>
      <c r="U80" s="434"/>
      <c r="V80" s="434"/>
      <c r="W80" s="434"/>
      <c r="X80" s="434"/>
      <c r="Y80" s="434"/>
      <c r="Z80" s="434"/>
      <c r="AA80" s="434"/>
      <c r="AB80" s="434"/>
      <c r="AC80" s="434"/>
      <c r="AD80" s="434"/>
      <c r="AE80" s="434"/>
      <c r="AF80" s="434"/>
      <c r="AG80" s="434"/>
      <c r="AH80" s="434"/>
      <c r="AI80" s="434"/>
      <c r="AJ80" s="434"/>
      <c r="AK80" s="434"/>
      <c r="AL80" s="434"/>
      <c r="AM80" s="434"/>
      <c r="AN80" s="434"/>
      <c r="AO80" s="434"/>
      <c r="AP80" s="434"/>
      <c r="AQ80" s="434"/>
      <c r="AR80" s="434"/>
      <c r="AS80" s="434"/>
      <c r="AT80" s="434"/>
      <c r="AU80" s="434"/>
      <c r="AV80" s="434"/>
      <c r="AW80" s="434"/>
      <c r="AX80" s="434"/>
      <c r="AY80" s="434"/>
      <c r="AZ80" s="434"/>
      <c r="BA80" s="489"/>
      <c r="BB80" s="434"/>
      <c r="BC80" s="434"/>
      <c r="BD80" s="434"/>
      <c r="BE80" s="434"/>
      <c r="BF80" s="434"/>
      <c r="BG80" s="434"/>
      <c r="BH80" s="434"/>
      <c r="BI80" s="434"/>
      <c r="BJ80" s="434"/>
      <c r="BK80" s="434"/>
      <c r="BL80" s="434"/>
      <c r="BM80" s="434"/>
      <c r="BN80" s="434"/>
      <c r="BO80" s="434"/>
      <c r="BP80" s="434"/>
      <c r="BQ80" s="434"/>
      <c r="BR80" s="434"/>
      <c r="BS80" s="434"/>
      <c r="BT80" s="434"/>
      <c r="BU80" s="434"/>
      <c r="BV80" s="434"/>
      <c r="BW80" s="434"/>
      <c r="BX80" s="434"/>
      <c r="BY80" s="434"/>
      <c r="BZ80" s="434"/>
      <c r="CA80" s="434"/>
      <c r="CB80" s="434"/>
      <c r="CC80" s="434"/>
      <c r="CD80" s="434"/>
      <c r="CE80" s="434"/>
      <c r="CF80" s="434"/>
      <c r="CH80" s="649"/>
      <c r="CI80" s="675"/>
      <c r="CJ80" s="650"/>
    </row>
    <row r="81" spans="2:88" x14ac:dyDescent="0.2">
      <c r="B81" s="481"/>
      <c r="C81" s="482"/>
      <c r="I81" s="434"/>
      <c r="J81" s="434"/>
      <c r="K81" s="434"/>
      <c r="BA81" s="490" t="e">
        <f>#REF!</f>
        <v>#REF!</v>
      </c>
      <c r="BB81" s="491" t="e">
        <f>IF(AND(#REF!=#REF!,#REF!=BB$1),#REF!,IF(AND(#REF!&gt;=#REF!,AND(#REF!&lt;=BB$1,#REF!&gt;=BB$1)),#REF!/(#REF! -#REF! +1),0))</f>
        <v>#REF!</v>
      </c>
      <c r="BC81" s="491" t="e">
        <f>IF(AND(#REF!=#REF!,#REF!=BC$1),#REF!,IF(AND(#REF!&gt;=#REF!,AND(#REF!&lt;=BC$1,#REF!&gt;=BC$1)),#REF!/(#REF! -#REF! +1),0))</f>
        <v>#REF!</v>
      </c>
      <c r="BD81" s="491" t="e">
        <f>IF(AND(#REF!=#REF!,#REF!=BD$1),#REF!,IF(AND(#REF!&gt;=#REF!,AND(#REF!&lt;=BD$1,#REF!&gt;=BD$1)),#REF!/(#REF! -#REF! +1),0))</f>
        <v>#REF!</v>
      </c>
      <c r="BE81" s="491" t="e">
        <f>IF(AND(#REF!=#REF!,#REF!=BE$1),#REF!,IF(AND(#REF!&gt;=#REF!,AND(#REF!&lt;=BE$1,#REF!&gt;=BE$1)),#REF!/(#REF! -#REF! +1),0))</f>
        <v>#REF!</v>
      </c>
      <c r="BF81" s="491" t="e">
        <f>IF(AND(#REF!=#REF!,#REF!=BF$1),#REF!,IF(AND(#REF!&gt;=#REF!,AND(#REF!&lt;=BF$1,#REF!&gt;=BF$1)),#REF!/(#REF! -#REF! +1),0))</f>
        <v>#REF!</v>
      </c>
      <c r="BG81" s="491" t="e">
        <f>IF(AND(#REF!=#REF!,#REF!=BG$1),#REF!,IF(AND(#REF!&gt;=#REF!,AND(#REF!&lt;=BG$1,#REF!&gt;=BG$1)),#REF!/(#REF! -#REF! +1),0))</f>
        <v>#REF!</v>
      </c>
      <c r="BH81" s="491" t="e">
        <f>IF(AND(#REF!=#REF!,#REF!=BH$1),#REF!,IF(AND(#REF!&gt;=#REF!,AND(#REF!&lt;=BH$1,#REF!&gt;=BH$1)),#REF!/(#REF! -#REF! +1),0))</f>
        <v>#REF!</v>
      </c>
      <c r="BI81" s="491" t="e">
        <f>IF(AND(#REF!=#REF!,#REF!=BI$1),#REF!,IF(AND(#REF!&gt;=#REF!,AND(#REF!&lt;=BI$1,#REF!&gt;=BI$1)),#REF!/(#REF! -#REF! +1),0))</f>
        <v>#REF!</v>
      </c>
      <c r="BJ81" s="491" t="e">
        <f>IF(AND(#REF!=#REF!,#REF!=BJ$1),#REF!,IF(AND(#REF!&gt;=#REF!,AND(#REF!&lt;=BJ$1,#REF!&gt;=BJ$1)),#REF!/(#REF! -#REF! +1),0))</f>
        <v>#REF!</v>
      </c>
      <c r="BK81" s="491" t="e">
        <f>IF(AND(#REF!=#REF!,#REF!=BK$1),#REF!,IF(AND(#REF!&gt;=#REF!,AND(#REF!&lt;=BK$1,#REF!&gt;=BK$1)),#REF!/(#REF! -#REF! +1),0))</f>
        <v>#REF!</v>
      </c>
      <c r="BL81" s="491" t="e">
        <f>IF(AND(#REF!=#REF!,#REF!=BL$1),#REF!,IF(AND(#REF!&gt;=#REF!,AND(#REF!&lt;=BL$1,#REF!&gt;=BL$1)),#REF!/(#REF! -#REF! +1),0))</f>
        <v>#REF!</v>
      </c>
      <c r="BM81" s="491" t="e">
        <f>IF(AND(#REF!=#REF!,#REF!=BM$1),#REF!,IF(AND(#REF!&gt;=#REF!,AND(#REF!&lt;=BM$1,#REF!&gt;=BM$1)),#REF!/(#REF! -#REF! +1),0))</f>
        <v>#REF!</v>
      </c>
      <c r="BN81" s="491" t="e">
        <f>IF(AND(#REF!=#REF!,#REF!=BN$1),#REF!,IF(AND(#REF!&gt;=#REF!,AND(#REF!&lt;=BN$1,#REF!&gt;=BN$1)),#REF!/(#REF! -#REF! +1),0))</f>
        <v>#REF!</v>
      </c>
      <c r="BO81" s="491" t="e">
        <f>IF(AND(#REF!=#REF!,#REF!=BO$1),#REF!,IF(AND(#REF!&gt;=#REF!,AND(#REF!&lt;=BO$1,#REF!&gt;=BO$1)),#REF!/(#REF! -#REF! +1),0))</f>
        <v>#REF!</v>
      </c>
      <c r="BP81" s="491" t="e">
        <f>IF(AND(#REF!=#REF!,#REF!=BP$1),#REF!,IF(AND(#REF!&gt;=#REF!,AND(#REF!&lt;=BP$1,#REF!&gt;=BP$1)),#REF!/(#REF! -#REF! +1),0))</f>
        <v>#REF!</v>
      </c>
      <c r="BQ81" s="491" t="e">
        <f>IF(AND(#REF!=#REF!,#REF!=BQ$1),#REF!,IF(AND(#REF!&gt;=#REF!,AND(#REF!&lt;=BQ$1,#REF!&gt;=BQ$1)),#REF!/(#REF! -#REF! +1),0))</f>
        <v>#REF!</v>
      </c>
      <c r="BR81" s="491" t="e">
        <f>IF(AND(#REF!=#REF!,#REF!=BR$1),#REF!,IF(AND(#REF!&gt;=#REF!,AND(#REF!&lt;=BR$1,#REF!&gt;=BR$1)),#REF!/(#REF! -#REF! +1),0))</f>
        <v>#REF!</v>
      </c>
      <c r="BS81" s="491" t="e">
        <f>IF(AND(#REF!=#REF!,#REF!=BS$1),#REF!,IF(AND(#REF!&gt;=#REF!,AND(#REF!&lt;=BS$1,#REF!&gt;=BS$1)),#REF!/(#REF! -#REF! +1),0))</f>
        <v>#REF!</v>
      </c>
      <c r="BT81" s="492" t="e">
        <f>IF(AND(#REF!=#REF!,#REF!=BT$1),#REF!,IF(AND(#REF!&gt;=#REF!,AND(#REF!&lt;=BT$1,#REF!&gt;=BT$1)),#REF!/(#REF! -#REF! +1),0))</f>
        <v>#REF!</v>
      </c>
    </row>
    <row r="82" spans="2:88" ht="15" x14ac:dyDescent="0.25">
      <c r="B82" s="798" t="s">
        <v>867</v>
      </c>
      <c r="C82" s="522"/>
      <c r="L82" s="434"/>
      <c r="BA82" s="476" t="e">
        <f>VLOOKUP(#REF!,'Mão-de-obra'!$CJ$10:$CK$29,2)</f>
        <v>#REF!</v>
      </c>
      <c r="BB82" s="477" t="e">
        <f>IF(AND(#REF!=#REF!,#REF!=BB$1),#REF!,IF(AND(#REF!&gt;=#REF!,AND(#REF!&lt;=BB$1,#REF!&gt;=BB$1)),#REF!/(#REF! -#REF! +1),0))</f>
        <v>#REF!</v>
      </c>
      <c r="BC82" s="477" t="e">
        <f>IF(AND(#REF!=#REF!,#REF!=BC$1),#REF!,IF(AND(#REF!&gt;=#REF!,AND(#REF!&lt;=BC$1,#REF!&gt;=BC$1)),#REF!/(#REF! -#REF! +1),0))</f>
        <v>#REF!</v>
      </c>
      <c r="BD82" s="477" t="e">
        <f>IF(AND(#REF!=#REF!,#REF!=BD$1),#REF!,IF(AND(#REF!&gt;=#REF!,AND(#REF!&lt;=BD$1,#REF!&gt;=BD$1)),#REF!/(#REF! -#REF! +1),0))</f>
        <v>#REF!</v>
      </c>
      <c r="BE82" s="477" t="e">
        <f>IF(AND(#REF!=#REF!,#REF!=BE$1),#REF!,IF(AND(#REF!&gt;=#REF!,AND(#REF!&lt;=BE$1,#REF!&gt;=BE$1)),#REF!/(#REF! -#REF! +1),0))</f>
        <v>#REF!</v>
      </c>
      <c r="BF82" s="477" t="e">
        <f>IF(AND(#REF!=#REF!,#REF!=BF$1),#REF!,IF(AND(#REF!&gt;=#REF!,AND(#REF!&lt;=BF$1,#REF!&gt;=BF$1)),#REF!/(#REF! -#REF! +1),0))</f>
        <v>#REF!</v>
      </c>
      <c r="BG82" s="477" t="e">
        <f>IF(AND(#REF!=#REF!,#REF!=BG$1),#REF!,IF(AND(#REF!&gt;=#REF!,AND(#REF!&lt;=BG$1,#REF!&gt;=BG$1)),#REF!/(#REF! -#REF! +1),0))</f>
        <v>#REF!</v>
      </c>
      <c r="BH82" s="477" t="e">
        <f>IF(AND(#REF!=#REF!,#REF!=BH$1),#REF!,IF(AND(#REF!&gt;=#REF!,AND(#REF!&lt;=BH$1,#REF!&gt;=BH$1)),#REF!/(#REF! -#REF! +1),0))</f>
        <v>#REF!</v>
      </c>
      <c r="BI82" s="477" t="e">
        <f>IF(AND(#REF!=#REF!,#REF!=BI$1),#REF!,IF(AND(#REF!&gt;=#REF!,AND(#REF!&lt;=BI$1,#REF!&gt;=BI$1)),#REF!/(#REF! -#REF! +1),0))</f>
        <v>#REF!</v>
      </c>
      <c r="BJ82" s="477" t="e">
        <f>IF(AND(#REF!=#REF!,#REF!=BJ$1),#REF!,IF(AND(#REF!&gt;=#REF!,AND(#REF!&lt;=BJ$1,#REF!&gt;=BJ$1)),#REF!/(#REF! -#REF! +1),0))</f>
        <v>#REF!</v>
      </c>
      <c r="BK82" s="477" t="e">
        <f>IF(AND(#REF!=#REF!,#REF!=BK$1),#REF!,IF(AND(#REF!&gt;=#REF!,AND(#REF!&lt;=BK$1,#REF!&gt;=BK$1)),#REF!/(#REF! -#REF! +1),0))</f>
        <v>#REF!</v>
      </c>
      <c r="BL82" s="477" t="e">
        <f>IF(AND(#REF!=#REF!,#REF!=BL$1),#REF!,IF(AND(#REF!&gt;=#REF!,AND(#REF!&lt;=BL$1,#REF!&gt;=BL$1)),#REF!/(#REF! -#REF! +1),0))</f>
        <v>#REF!</v>
      </c>
      <c r="BM82" s="477" t="e">
        <f>IF(AND(#REF!=#REF!,#REF!=BM$1),#REF!,IF(AND(#REF!&gt;=#REF!,AND(#REF!&lt;=BM$1,#REF!&gt;=BM$1)),#REF!/(#REF! -#REF! +1),0))</f>
        <v>#REF!</v>
      </c>
      <c r="BN82" s="477" t="e">
        <f>IF(AND(#REF!=#REF!,#REF!=BN$1),#REF!,IF(AND(#REF!&gt;=#REF!,AND(#REF!&lt;=BN$1,#REF!&gt;=BN$1)),#REF!/(#REF! -#REF! +1),0))</f>
        <v>#REF!</v>
      </c>
      <c r="BO82" s="477" t="e">
        <f>IF(AND(#REF!=#REF!,#REF!=BO$1),#REF!,IF(AND(#REF!&gt;=#REF!,AND(#REF!&lt;=BO$1,#REF!&gt;=BO$1)),#REF!/(#REF! -#REF! +1),0))</f>
        <v>#REF!</v>
      </c>
      <c r="BP82" s="477" t="e">
        <f>IF(AND(#REF!=#REF!,#REF!=BP$1),#REF!,IF(AND(#REF!&gt;=#REF!,AND(#REF!&lt;=BP$1,#REF!&gt;=BP$1)),#REF!/(#REF! -#REF! +1),0))</f>
        <v>#REF!</v>
      </c>
      <c r="BQ82" s="477" t="e">
        <f>IF(AND(#REF!=#REF!,#REF!=BQ$1),#REF!,IF(AND(#REF!&gt;=#REF!,AND(#REF!&lt;=BQ$1,#REF!&gt;=BQ$1)),#REF!/(#REF! -#REF! +1),0))</f>
        <v>#REF!</v>
      </c>
      <c r="BR82" s="477" t="e">
        <f>IF(AND(#REF!=#REF!,#REF!=BR$1),#REF!,IF(AND(#REF!&gt;=#REF!,AND(#REF!&lt;=BR$1,#REF!&gt;=BR$1)),#REF!/(#REF! -#REF! +1),0))</f>
        <v>#REF!</v>
      </c>
      <c r="BS82" s="477" t="e">
        <f>IF(AND(#REF!=#REF!,#REF!=BS$1),#REF!,IF(AND(#REF!&gt;=#REF!,AND(#REF!&lt;=BS$1,#REF!&gt;=BS$1)),#REF!/(#REF! -#REF! +1),0))</f>
        <v>#REF!</v>
      </c>
      <c r="BT82" s="493" t="e">
        <f>IF(AND(#REF!=#REF!,#REF!=BT$1),#REF!,IF(AND(#REF!&gt;=#REF!,AND(#REF!&lt;=BT$1,#REF!&gt;=BT$1)),#REF!/(#REF! -#REF! +1),0))</f>
        <v>#REF!</v>
      </c>
    </row>
    <row r="83" spans="2:88" s="704" customFormat="1" ht="15.75" thickBot="1" x14ac:dyDescent="0.3">
      <c r="B83" s="798"/>
      <c r="C83" s="522"/>
      <c r="D83" s="442"/>
      <c r="E83" s="442"/>
      <c r="F83" s="442"/>
      <c r="G83" s="442"/>
      <c r="H83" s="442"/>
      <c r="I83" s="437"/>
      <c r="J83" s="437"/>
      <c r="K83" s="437"/>
      <c r="M83" s="434"/>
      <c r="N83" s="434"/>
      <c r="O83" s="434"/>
      <c r="P83" s="434"/>
      <c r="Q83" s="434"/>
      <c r="R83" s="434"/>
      <c r="S83" s="434"/>
      <c r="T83" s="434"/>
      <c r="U83" s="434"/>
      <c r="V83" s="434"/>
      <c r="W83" s="434"/>
      <c r="X83" s="434"/>
      <c r="Y83" s="434"/>
      <c r="Z83" s="434"/>
      <c r="AA83" s="434"/>
      <c r="AB83" s="434"/>
      <c r="AC83" s="434"/>
      <c r="AD83" s="434"/>
      <c r="AE83" s="434"/>
      <c r="AF83" s="434"/>
      <c r="AG83" s="434"/>
      <c r="AH83" s="434"/>
      <c r="AI83" s="434"/>
      <c r="AJ83" s="434"/>
      <c r="AK83" s="434"/>
      <c r="AL83" s="434"/>
      <c r="AM83" s="434"/>
      <c r="AN83" s="434"/>
      <c r="AO83" s="434"/>
      <c r="AP83" s="434"/>
      <c r="AQ83" s="434"/>
      <c r="AR83" s="434"/>
      <c r="AS83" s="434"/>
      <c r="AT83" s="434"/>
      <c r="AU83" s="434"/>
      <c r="AV83" s="434"/>
      <c r="AW83" s="434"/>
      <c r="AX83" s="434"/>
      <c r="AY83" s="434"/>
      <c r="AZ83" s="434"/>
      <c r="BA83" s="489"/>
      <c r="BB83" s="494"/>
      <c r="BC83" s="494"/>
      <c r="BD83" s="494"/>
      <c r="BE83" s="494"/>
      <c r="BF83" s="494"/>
      <c r="BG83" s="494"/>
      <c r="BH83" s="494"/>
      <c r="BI83" s="494"/>
      <c r="BJ83" s="494"/>
      <c r="BK83" s="494"/>
      <c r="BL83" s="494"/>
      <c r="BM83" s="494"/>
      <c r="BN83" s="494"/>
      <c r="BO83" s="494"/>
      <c r="BP83" s="494"/>
      <c r="BQ83" s="494"/>
      <c r="BR83" s="494"/>
      <c r="BS83" s="494"/>
      <c r="BT83" s="494"/>
      <c r="BU83" s="434"/>
      <c r="BV83" s="434"/>
      <c r="BW83" s="434"/>
      <c r="BX83" s="434"/>
      <c r="BY83" s="434"/>
      <c r="BZ83" s="434"/>
      <c r="CA83" s="434"/>
      <c r="CB83" s="434"/>
      <c r="CC83" s="434"/>
      <c r="CD83" s="434"/>
      <c r="CE83" s="434"/>
      <c r="CF83" s="434"/>
      <c r="CG83" s="434"/>
      <c r="CH83" s="644"/>
      <c r="CI83" s="644"/>
      <c r="CJ83" s="434"/>
    </row>
    <row r="84" spans="2:88" s="704" customFormat="1" ht="13.5" thickBot="1" x14ac:dyDescent="0.25">
      <c r="B84" s="526" t="s">
        <v>1094</v>
      </c>
      <c r="C84" s="1472">
        <f>C9</f>
        <v>1746242.1884112596</v>
      </c>
      <c r="D84" s="442"/>
      <c r="E84" s="442"/>
      <c r="F84" s="442"/>
      <c r="G84" s="442"/>
      <c r="H84" s="442"/>
      <c r="I84" s="437"/>
      <c r="J84" s="437"/>
      <c r="K84" s="437"/>
      <c r="BA84" s="489"/>
      <c r="BB84" s="494"/>
      <c r="BC84" s="494"/>
      <c r="BD84" s="494"/>
      <c r="BE84" s="494"/>
      <c r="BF84" s="494"/>
      <c r="BG84" s="494"/>
      <c r="BH84" s="494"/>
      <c r="BI84" s="494"/>
      <c r="BJ84" s="494"/>
      <c r="BK84" s="494"/>
      <c r="BL84" s="494"/>
      <c r="BM84" s="494"/>
      <c r="BN84" s="494"/>
      <c r="BO84" s="494"/>
      <c r="BP84" s="494"/>
      <c r="BQ84" s="494"/>
      <c r="BR84" s="494"/>
      <c r="BS84" s="494"/>
      <c r="BT84" s="494"/>
    </row>
    <row r="85" spans="2:88" s="704" customFormat="1" x14ac:dyDescent="0.2">
      <c r="B85" s="526" t="s">
        <v>1095</v>
      </c>
      <c r="C85" s="1472">
        <f ca="1">C45</f>
        <v>1387560.4010449196</v>
      </c>
      <c r="D85" s="442"/>
      <c r="E85" s="442"/>
      <c r="F85" s="442"/>
      <c r="G85" s="442"/>
      <c r="H85" s="442"/>
      <c r="I85" s="437"/>
      <c r="J85" s="437"/>
      <c r="K85" s="437"/>
      <c r="BA85" s="489"/>
      <c r="BB85" s="494"/>
      <c r="BC85" s="494"/>
      <c r="BD85" s="494"/>
      <c r="BE85" s="494"/>
      <c r="BF85" s="494"/>
      <c r="BG85" s="494"/>
      <c r="BH85" s="494"/>
      <c r="BI85" s="494"/>
      <c r="BJ85" s="494"/>
      <c r="BK85" s="494"/>
      <c r="BL85" s="494"/>
      <c r="BM85" s="494"/>
      <c r="BN85" s="494"/>
      <c r="BO85" s="494"/>
      <c r="BP85" s="494"/>
      <c r="BQ85" s="494"/>
      <c r="BR85" s="494"/>
      <c r="BS85" s="494"/>
      <c r="BT85" s="494"/>
    </row>
    <row r="86" spans="2:88" s="704" customFormat="1" x14ac:dyDescent="0.2">
      <c r="B86" s="527" t="s">
        <v>1096</v>
      </c>
      <c r="C86" s="1473">
        <f ca="1">C66</f>
        <v>1660562.1624894829</v>
      </c>
      <c r="D86" s="442"/>
      <c r="E86" s="442"/>
      <c r="F86" s="442"/>
      <c r="G86" s="442"/>
      <c r="H86" s="442"/>
      <c r="I86" s="437"/>
      <c r="J86" s="437"/>
      <c r="K86" s="437"/>
      <c r="BA86" s="489"/>
      <c r="BB86" s="494"/>
      <c r="BC86" s="494"/>
      <c r="BD86" s="494"/>
      <c r="BE86" s="494"/>
      <c r="BF86" s="494"/>
      <c r="BG86" s="494"/>
      <c r="BH86" s="494"/>
      <c r="BI86" s="494"/>
      <c r="BJ86" s="494"/>
      <c r="BK86" s="494"/>
      <c r="BL86" s="494"/>
      <c r="BM86" s="494"/>
      <c r="BN86" s="494"/>
      <c r="BO86" s="494"/>
      <c r="BP86" s="494"/>
      <c r="BQ86" s="494"/>
      <c r="BR86" s="494"/>
      <c r="BS86" s="494"/>
      <c r="BT86" s="494"/>
    </row>
    <row r="87" spans="2:88" s="704" customFormat="1" ht="13.5" thickBot="1" x14ac:dyDescent="0.25">
      <c r="B87" s="528" t="s">
        <v>1097</v>
      </c>
      <c r="C87" s="1474">
        <f ca="1">C80</f>
        <v>2251242.762554951</v>
      </c>
      <c r="D87" s="465"/>
      <c r="E87" s="465"/>
      <c r="F87" s="465"/>
      <c r="G87" s="465"/>
      <c r="H87" s="497"/>
      <c r="I87" s="437"/>
      <c r="J87" s="437"/>
      <c r="K87" s="437"/>
      <c r="L87" s="437"/>
      <c r="BA87" s="489"/>
      <c r="BB87" s="494"/>
      <c r="BC87" s="494"/>
      <c r="BD87" s="494"/>
      <c r="BE87" s="494"/>
      <c r="BF87" s="494"/>
      <c r="BG87" s="494"/>
      <c r="BH87" s="494"/>
      <c r="BI87" s="494"/>
      <c r="BJ87" s="494"/>
      <c r="BK87" s="494"/>
      <c r="BL87" s="494"/>
      <c r="BM87" s="494"/>
      <c r="BN87" s="494"/>
      <c r="BO87" s="494"/>
      <c r="BP87" s="494"/>
      <c r="BQ87" s="494"/>
      <c r="BR87" s="494"/>
      <c r="BS87" s="494"/>
      <c r="BT87" s="494"/>
    </row>
    <row r="88" spans="2:88" ht="13.5" thickBot="1" x14ac:dyDescent="0.25">
      <c r="B88" s="416"/>
      <c r="C88" s="522"/>
      <c r="D88" s="465"/>
      <c r="E88" s="465"/>
      <c r="F88" s="465"/>
      <c r="G88" s="465"/>
      <c r="H88" s="497"/>
      <c r="BA88" s="490" t="e">
        <f>VLOOKUP(#REF!,'Mão-de-obra'!$CJ$10:$CK$29,2)</f>
        <v>#REF!</v>
      </c>
      <c r="BB88" s="495" t="e">
        <f>IF(AND(#REF!=#REF!,#REF!=BB$1),#REF!,IF(AND(#REF!&gt;=#REF!,AND(#REF!&lt;=BB$1,#REF!&gt;=BB$1)),#REF!/(#REF! -#REF! +1),0))</f>
        <v>#REF!</v>
      </c>
      <c r="BC88" s="495" t="e">
        <f>IF(AND(#REF!=#REF!,#REF!=BC$1),#REF!,IF(AND(#REF!&gt;=#REF!,AND(#REF!&lt;=BC$1,#REF!&gt;=BC$1)),#REF!/(#REF! -#REF! +1),0))</f>
        <v>#REF!</v>
      </c>
      <c r="BD88" s="495" t="e">
        <f>IF(AND(#REF!=#REF!,#REF!=BD$1),#REF!,IF(AND(#REF!&gt;=#REF!,AND(#REF!&lt;=BD$1,#REF!&gt;=BD$1)),#REF!/(#REF! -#REF! +1),0))</f>
        <v>#REF!</v>
      </c>
      <c r="BE88" s="495" t="e">
        <f>IF(AND(#REF!=#REF!,#REF!=BE$1),#REF!,IF(AND(#REF!&gt;=#REF!,AND(#REF!&lt;=BE$1,#REF!&gt;=BE$1)),#REF!/(#REF! -#REF! +1),0))</f>
        <v>#REF!</v>
      </c>
      <c r="BF88" s="495" t="e">
        <f>IF(AND(#REF!=#REF!,#REF!=BF$1),#REF!,IF(AND(#REF!&gt;=#REF!,AND(#REF!&lt;=BF$1,#REF!&gt;=BF$1)),#REF!/(#REF! -#REF! +1),0))</f>
        <v>#REF!</v>
      </c>
      <c r="BG88" s="495" t="e">
        <f>IF(AND(#REF!=#REF!,#REF!=BG$1),#REF!,IF(AND(#REF!&gt;=#REF!,AND(#REF!&lt;=BG$1,#REF!&gt;=BG$1)),#REF!/(#REF! -#REF! +1),0))</f>
        <v>#REF!</v>
      </c>
      <c r="BH88" s="495" t="e">
        <f>IF(AND(#REF!=#REF!,#REF!=BH$1),#REF!,IF(AND(#REF!&gt;=#REF!,AND(#REF!&lt;=BH$1,#REF!&gt;=BH$1)),#REF!/(#REF! -#REF! +1),0))</f>
        <v>#REF!</v>
      </c>
      <c r="BI88" s="495" t="e">
        <f>IF(AND(#REF!=#REF!,#REF!=BI$1),#REF!,IF(AND(#REF!&gt;=#REF!,AND(#REF!&lt;=BI$1,#REF!&gt;=BI$1)),#REF!/(#REF! -#REF! +1),0))</f>
        <v>#REF!</v>
      </c>
      <c r="BJ88" s="495" t="e">
        <f>IF(AND(#REF!=#REF!,#REF!=BJ$1),#REF!,IF(AND(#REF!&gt;=#REF!,AND(#REF!&lt;=BJ$1,#REF!&gt;=BJ$1)),#REF!/(#REF! -#REF! +1),0))</f>
        <v>#REF!</v>
      </c>
      <c r="BK88" s="495" t="e">
        <f>IF(AND(#REF!=#REF!,#REF!=BK$1),#REF!,IF(AND(#REF!&gt;=#REF!,AND(#REF!&lt;=BK$1,#REF!&gt;=BK$1)),#REF!/(#REF! -#REF! +1),0))</f>
        <v>#REF!</v>
      </c>
      <c r="BL88" s="495" t="e">
        <f>IF(AND(#REF!=#REF!,#REF!=BL$1),#REF!,IF(AND(#REF!&gt;=#REF!,AND(#REF!&lt;=BL$1,#REF!&gt;=BL$1)),#REF!/(#REF! -#REF! +1),0))</f>
        <v>#REF!</v>
      </c>
      <c r="BM88" s="495" t="e">
        <f>IF(AND(#REF!=#REF!,#REF!=BM$1),#REF!,IF(AND(#REF!&gt;=#REF!,AND(#REF!&lt;=BM$1,#REF!&gt;=BM$1)),#REF!/(#REF! -#REF! +1),0))</f>
        <v>#REF!</v>
      </c>
      <c r="BN88" s="495" t="e">
        <f>IF(AND(#REF!=#REF!,#REF!=BN$1),#REF!,IF(AND(#REF!&gt;=#REF!,AND(#REF!&lt;=BN$1,#REF!&gt;=BN$1)),#REF!/(#REF! -#REF! +1),0))</f>
        <v>#REF!</v>
      </c>
      <c r="BO88" s="495" t="e">
        <f>IF(AND(#REF!=#REF!,#REF!=BO$1),#REF!,IF(AND(#REF!&gt;=#REF!,AND(#REF!&lt;=BO$1,#REF!&gt;=BO$1)),#REF!/(#REF! -#REF! +1),0))</f>
        <v>#REF!</v>
      </c>
      <c r="BP88" s="495" t="e">
        <f>IF(AND(#REF!=#REF!,#REF!=BP$1),#REF!,IF(AND(#REF!&gt;=#REF!,AND(#REF!&lt;=BP$1,#REF!&gt;=BP$1)),#REF!/(#REF! -#REF! +1),0))</f>
        <v>#REF!</v>
      </c>
      <c r="BQ88" s="495" t="e">
        <f>IF(AND(#REF!=#REF!,#REF!=BQ$1),#REF!,IF(AND(#REF!&gt;=#REF!,AND(#REF!&lt;=BQ$1,#REF!&gt;=BQ$1)),#REF!/(#REF! -#REF! +1),0))</f>
        <v>#REF!</v>
      </c>
      <c r="BR88" s="495" t="e">
        <f>IF(AND(#REF!=#REF!,#REF!=BR$1),#REF!,IF(AND(#REF!&gt;=#REF!,AND(#REF!&lt;=BR$1,#REF!&gt;=BR$1)),#REF!/(#REF! -#REF! +1),0))</f>
        <v>#REF!</v>
      </c>
      <c r="BS88" s="495" t="e">
        <f>IF(AND(#REF!=#REF!,#REF!=BS$1),#REF!,IF(AND(#REF!&gt;=#REF!,AND(#REF!&lt;=BS$1,#REF!&gt;=BS$1)),#REF!/(#REF! -#REF! +1),0))</f>
        <v>#REF!</v>
      </c>
      <c r="BT88" s="496" t="e">
        <f>IF(AND(#REF!=#REF!,#REF!=BT$1),#REF!,IF(AND(#REF!&gt;=#REF!,AND(#REF!&lt;=BT$1,#REF!&gt;=BT$1)),#REF!/(#REF! -#REF! +1),0))</f>
        <v>#REF!</v>
      </c>
    </row>
    <row r="89" spans="2:88" x14ac:dyDescent="0.2">
      <c r="B89" s="526" t="s">
        <v>1066</v>
      </c>
      <c r="C89" s="523">
        <f ca="1">C9-C45</f>
        <v>358681.78736633994</v>
      </c>
      <c r="D89" s="497"/>
      <c r="E89" s="497"/>
      <c r="F89" s="497"/>
      <c r="G89" s="497"/>
      <c r="BA89" s="629"/>
      <c r="BB89" s="630"/>
      <c r="BC89" s="630"/>
      <c r="BD89" s="630"/>
      <c r="BE89" s="630"/>
      <c r="BF89" s="630"/>
      <c r="BG89" s="630"/>
      <c r="BH89" s="630"/>
      <c r="BI89" s="630"/>
      <c r="BJ89" s="630"/>
      <c r="BK89" s="630"/>
      <c r="BL89" s="630"/>
      <c r="BM89" s="630"/>
      <c r="BN89" s="630"/>
      <c r="BO89" s="630"/>
      <c r="BP89" s="630"/>
      <c r="BQ89" s="630"/>
      <c r="BR89" s="630"/>
      <c r="BS89" s="630"/>
      <c r="BT89" s="631"/>
    </row>
    <row r="90" spans="2:88" ht="13.5" thickBot="1" x14ac:dyDescent="0.25">
      <c r="B90" s="527" t="s">
        <v>1067</v>
      </c>
      <c r="C90" s="524">
        <f ca="1">C9-C66</f>
        <v>85680.025921776658</v>
      </c>
      <c r="D90" s="497"/>
      <c r="E90" s="497"/>
      <c r="F90" s="497"/>
      <c r="G90" s="497"/>
      <c r="J90" s="463"/>
      <c r="K90" s="463"/>
      <c r="L90" s="463"/>
      <c r="M90" s="704"/>
      <c r="N90" s="704"/>
      <c r="O90" s="704"/>
      <c r="BA90" s="629"/>
      <c r="BB90" s="630"/>
      <c r="BC90" s="630"/>
      <c r="BD90" s="630"/>
      <c r="BE90" s="630"/>
      <c r="BF90" s="630"/>
      <c r="BG90" s="630"/>
      <c r="BH90" s="630"/>
      <c r="BI90" s="630"/>
      <c r="BJ90" s="630"/>
      <c r="BK90" s="630"/>
      <c r="BL90" s="630"/>
      <c r="BM90" s="630"/>
      <c r="BN90" s="630"/>
      <c r="BO90" s="630"/>
      <c r="BP90" s="630"/>
      <c r="BQ90" s="630"/>
      <c r="BR90" s="630"/>
      <c r="BS90" s="630"/>
      <c r="BT90" s="631"/>
    </row>
    <row r="91" spans="2:88" ht="13.5" thickBot="1" x14ac:dyDescent="0.25">
      <c r="B91" s="528" t="s">
        <v>1068</v>
      </c>
      <c r="C91" s="525">
        <f ca="1">C9-C80</f>
        <v>-505000.57414369145</v>
      </c>
      <c r="D91" s="497"/>
      <c r="E91" s="497"/>
      <c r="F91" s="497"/>
      <c r="G91" s="497"/>
      <c r="M91" s="704"/>
      <c r="N91" s="704"/>
      <c r="O91" s="704"/>
      <c r="AB91" s="1297"/>
      <c r="BA91" s="454" t="e">
        <f>#REF!</f>
        <v>#REF!</v>
      </c>
      <c r="BB91" s="455" t="e">
        <f>IF(AND(#REF!=#REF!,#REF!=BB$1),#REF!,IF(AND(#REF!&gt;=#REF!,AND(#REF!&lt;=BB$1,#REF!&gt;=BB$1)),#REF! /(#REF!  -#REF!  +1),0))</f>
        <v>#REF!</v>
      </c>
      <c r="BC91" s="455" t="e">
        <f>IF(AND(#REF!=#REF!,#REF!=BC$1),#REF!,IF(AND(#REF!&gt;=#REF!,AND(#REF!&lt;=BC$1,#REF!&gt;=BC$1)),#REF! /(#REF!  -#REF!  +1),0))</f>
        <v>#REF!</v>
      </c>
      <c r="BD91" s="455" t="e">
        <f>IF(AND(#REF!=#REF!,#REF!=BD$1),#REF!,IF(AND(#REF!&gt;=#REF!,AND(#REF!&lt;=BD$1,#REF!&gt;=BD$1)),#REF! /(#REF!  -#REF!  +1),0))</f>
        <v>#REF!</v>
      </c>
      <c r="BE91" s="455" t="e">
        <f>IF(AND(#REF!=#REF!,#REF!=BE$1),#REF!,IF(AND(#REF!&gt;=#REF!,AND(#REF!&lt;=BE$1,#REF!&gt;=BE$1)),#REF! /(#REF!  -#REF!  +1),0))</f>
        <v>#REF!</v>
      </c>
      <c r="BF91" s="455" t="e">
        <f>IF(AND(#REF!=#REF!,#REF!=BF$1),#REF!,IF(AND(#REF!&gt;=#REF!,AND(#REF!&lt;=BF$1,#REF!&gt;=BF$1)),#REF! /(#REF!  -#REF!  +1),0))</f>
        <v>#REF!</v>
      </c>
      <c r="BG91" s="455" t="e">
        <f>IF(AND(#REF!=#REF!,#REF!=BG$1),#REF!,IF(AND(#REF!&gt;=#REF!,AND(#REF!&lt;=BG$1,#REF!&gt;=BG$1)),#REF! /(#REF!  -#REF!  +1),0))</f>
        <v>#REF!</v>
      </c>
      <c r="BH91" s="455" t="e">
        <f>IF(AND(#REF!=#REF!,#REF!=BH$1),#REF!,IF(AND(#REF!&gt;=#REF!,AND(#REF!&lt;=BH$1,#REF!&gt;=BH$1)),#REF! /(#REF!  -#REF!  +1),0))</f>
        <v>#REF!</v>
      </c>
      <c r="BI91" s="455" t="e">
        <f>IF(AND(#REF!=#REF!,#REF!=BI$1),#REF!,IF(AND(#REF!&gt;=#REF!,AND(#REF!&lt;=BI$1,#REF!&gt;=BI$1)),#REF! /(#REF!  -#REF!  +1),0))</f>
        <v>#REF!</v>
      </c>
      <c r="BJ91" s="455" t="e">
        <f>IF(AND(#REF!=#REF!,#REF!=BJ$1),#REF!,IF(AND(#REF!&gt;=#REF!,AND(#REF!&lt;=BJ$1,#REF!&gt;=BJ$1)),#REF! /(#REF!  -#REF!  +1),0))</f>
        <v>#REF!</v>
      </c>
      <c r="BK91" s="455" t="e">
        <f>IF(AND(#REF!=#REF!,#REF!=BK$1),#REF!,IF(AND(#REF!&gt;=#REF!,AND(#REF!&lt;=BK$1,#REF!&gt;=BK$1)),#REF! /(#REF!  -#REF!  +1),0))</f>
        <v>#REF!</v>
      </c>
      <c r="BL91" s="455" t="e">
        <f>IF(AND(#REF!=#REF!,#REF!=BL$1),#REF!,IF(AND(#REF!&gt;=#REF!,AND(#REF!&lt;=BL$1,#REF!&gt;=BL$1)),#REF! /(#REF!  -#REF!  +1),0))</f>
        <v>#REF!</v>
      </c>
      <c r="BM91" s="455" t="e">
        <f>IF(AND(#REF!=#REF!,#REF!=BM$1),#REF!,IF(AND(#REF!&gt;=#REF!,AND(#REF!&lt;=BM$1,#REF!&gt;=BM$1)),#REF! /(#REF!  -#REF!  +1),0))</f>
        <v>#REF!</v>
      </c>
      <c r="BN91" s="455" t="e">
        <f>IF(AND(#REF!=#REF!,#REF!=BN$1),#REF!,IF(AND(#REF!&gt;=#REF!,AND(#REF!&lt;=BN$1,#REF!&gt;=BN$1)),#REF! /(#REF!  -#REF!  +1),0))</f>
        <v>#REF!</v>
      </c>
      <c r="BO91" s="455" t="e">
        <f>IF(AND(#REF!=#REF!,#REF!=BO$1),#REF!,IF(AND(#REF!&gt;=#REF!,AND(#REF!&lt;=BO$1,#REF!&gt;=BO$1)),#REF! /(#REF!  -#REF!  +1),0))</f>
        <v>#REF!</v>
      </c>
      <c r="BP91" s="455" t="e">
        <f>IF(AND(#REF!=#REF!,#REF!=BP$1),#REF!,IF(AND(#REF!&gt;=#REF!,AND(#REF!&lt;=BP$1,#REF!&gt;=BP$1)),#REF! /(#REF!  -#REF!  +1),0))</f>
        <v>#REF!</v>
      </c>
      <c r="BQ91" s="455" t="e">
        <f>IF(AND(#REF!=#REF!,#REF!=BQ$1),#REF!,IF(AND(#REF!&gt;=#REF!,AND(#REF!&lt;=BQ$1,#REF!&gt;=BQ$1)),#REF! /(#REF!  -#REF!  +1),0))</f>
        <v>#REF!</v>
      </c>
      <c r="BR91" s="455" t="e">
        <f>IF(AND(#REF!=#REF!,#REF!=BR$1),#REF!,IF(AND(#REF!&gt;=#REF!,AND(#REF!&lt;=BR$1,#REF!&gt;=BR$1)),#REF! /(#REF!  -#REF!  +1),0))</f>
        <v>#REF!</v>
      </c>
      <c r="BS91" s="455" t="e">
        <f>IF(AND(#REF!=#REF!,#REF!=BS$1),#REF!,IF(AND(#REF!&gt;=#REF!,AND(#REF!&lt;=BS$1,#REF!&gt;=BS$1)),#REF! /(#REF!  -#REF!  +1),0))</f>
        <v>#REF!</v>
      </c>
      <c r="BT91" s="456" t="e">
        <f>IF(AND(#REF!=#REF!,#REF!=BT$1),#REF!,IF(AND(#REF!&gt;=#REF!,AND(#REF!&lt;=BT$1,#REF!&gt;=BT$1)),#REF! /(#REF!  -#REF!  +1),0))</f>
        <v>#REF!</v>
      </c>
    </row>
    <row r="92" spans="2:88" x14ac:dyDescent="0.2">
      <c r="B92" s="544" t="s">
        <v>904</v>
      </c>
      <c r="C92" s="522"/>
      <c r="M92" s="704"/>
      <c r="N92" s="704"/>
      <c r="O92" s="704"/>
      <c r="BA92" s="476" t="e">
        <f>#REF!</f>
        <v>#REF!</v>
      </c>
      <c r="BB92" s="477" t="e">
        <f>IF(AND(#REF!=#REF!,#REF!=BB$1),#REF!,IF(AND(#REF!&gt;=#REF!,AND(#REF!&lt;=BB$1,#REF!&gt;=BB$1)),#REF! /(#REF!  -#REF!  +1),0))</f>
        <v>#REF!</v>
      </c>
      <c r="BC92" s="477" t="e">
        <f>IF(AND(#REF!=#REF!,#REF!=BC$1),#REF!,IF(AND(#REF!&gt;=#REF!,AND(#REF!&lt;=BC$1,#REF!&gt;=BC$1)),#REF! /(#REF!  -#REF!  +1),0))</f>
        <v>#REF!</v>
      </c>
      <c r="BD92" s="477" t="e">
        <f>IF(AND(#REF!=#REF!,#REF!=BD$1),#REF!,IF(AND(#REF!&gt;=#REF!,AND(#REF!&lt;=BD$1,#REF!&gt;=BD$1)),#REF! /(#REF!  -#REF!  +1),0))</f>
        <v>#REF!</v>
      </c>
      <c r="BE92" s="477" t="e">
        <f>IF(AND(#REF!=#REF!,#REF!=BE$1),#REF!,IF(AND(#REF!&gt;=#REF!,AND(#REF!&lt;=BE$1,#REF!&gt;=BE$1)),#REF! /(#REF!  -#REF!  +1),0))</f>
        <v>#REF!</v>
      </c>
      <c r="BF92" s="477" t="e">
        <f>IF(AND(#REF!=#REF!,#REF!=BF$1),#REF!,IF(AND(#REF!&gt;=#REF!,AND(#REF!&lt;=BF$1,#REF!&gt;=BF$1)),#REF! /(#REF!  -#REF!  +1),0))</f>
        <v>#REF!</v>
      </c>
      <c r="BG92" s="477" t="e">
        <f>IF(AND(#REF!=#REF!,#REF!=BG$1),#REF!,IF(AND(#REF!&gt;=#REF!,AND(#REF!&lt;=BG$1,#REF!&gt;=BG$1)),#REF! /(#REF!  -#REF!  +1),0))</f>
        <v>#REF!</v>
      </c>
      <c r="BH92" s="477" t="e">
        <f>IF(AND(#REF!=#REF!,#REF!=BH$1),#REF!,IF(AND(#REF!&gt;=#REF!,AND(#REF!&lt;=BH$1,#REF!&gt;=BH$1)),#REF! /(#REF!  -#REF!  +1),0))</f>
        <v>#REF!</v>
      </c>
      <c r="BI92" s="477" t="e">
        <f>IF(AND(#REF!=#REF!,#REF!=BI$1),#REF!,IF(AND(#REF!&gt;=#REF!,AND(#REF!&lt;=BI$1,#REF!&gt;=BI$1)),#REF! /(#REF!  -#REF!  +1),0))</f>
        <v>#REF!</v>
      </c>
      <c r="BJ92" s="477" t="e">
        <f>IF(AND(#REF!=#REF!,#REF!=BJ$1),#REF!,IF(AND(#REF!&gt;=#REF!,AND(#REF!&lt;=BJ$1,#REF!&gt;=BJ$1)),#REF! /(#REF!  -#REF!  +1),0))</f>
        <v>#REF!</v>
      </c>
      <c r="BK92" s="477" t="e">
        <f>IF(AND(#REF!=#REF!,#REF!=BK$1),#REF!,IF(AND(#REF!&gt;=#REF!,AND(#REF!&lt;=BK$1,#REF!&gt;=BK$1)),#REF! /(#REF!  -#REF!  +1),0))</f>
        <v>#REF!</v>
      </c>
      <c r="BL92" s="477" t="e">
        <f>IF(AND(#REF!=#REF!,#REF!=BL$1),#REF!,IF(AND(#REF!&gt;=#REF!,AND(#REF!&lt;=BL$1,#REF!&gt;=BL$1)),#REF! /(#REF!  -#REF!  +1),0))</f>
        <v>#REF!</v>
      </c>
      <c r="BM92" s="477" t="e">
        <f>IF(AND(#REF!=#REF!,#REF!=BM$1),#REF!,IF(AND(#REF!&gt;=#REF!,AND(#REF!&lt;=BM$1,#REF!&gt;=BM$1)),#REF! /(#REF!  -#REF!  +1),0))</f>
        <v>#REF!</v>
      </c>
      <c r="BN92" s="477" t="e">
        <f>IF(AND(#REF!=#REF!,#REF!=BN$1),#REF!,IF(AND(#REF!&gt;=#REF!,AND(#REF!&lt;=BN$1,#REF!&gt;=BN$1)),#REF! /(#REF!  -#REF!  +1),0))</f>
        <v>#REF!</v>
      </c>
      <c r="BO92" s="477" t="e">
        <f>IF(AND(#REF!=#REF!,#REF!=BO$1),#REF!,IF(AND(#REF!&gt;=#REF!,AND(#REF!&lt;=BO$1,#REF!&gt;=BO$1)),#REF! /(#REF!  -#REF!  +1),0))</f>
        <v>#REF!</v>
      </c>
      <c r="BP92" s="477" t="e">
        <f>IF(AND(#REF!=#REF!,#REF!=BP$1),#REF!,IF(AND(#REF!&gt;=#REF!,AND(#REF!&lt;=BP$1,#REF!&gt;=BP$1)),#REF! /(#REF!  -#REF!  +1),0))</f>
        <v>#REF!</v>
      </c>
      <c r="BQ92" s="477" t="e">
        <f>IF(AND(#REF!=#REF!,#REF!=BQ$1),#REF!,IF(AND(#REF!&gt;=#REF!,AND(#REF!&lt;=BQ$1,#REF!&gt;=BQ$1)),#REF! /(#REF!  -#REF!  +1),0))</f>
        <v>#REF!</v>
      </c>
      <c r="BR92" s="477" t="e">
        <f>IF(AND(#REF!=#REF!,#REF!=BR$1),#REF!,IF(AND(#REF!&gt;=#REF!,AND(#REF!&lt;=BR$1,#REF!&gt;=BR$1)),#REF! /(#REF!  -#REF!  +1),0))</f>
        <v>#REF!</v>
      </c>
      <c r="BS92" s="477" t="e">
        <f>IF(AND(#REF!=#REF!,#REF!=BS$1),#REF!,IF(AND(#REF!&gt;=#REF!,AND(#REF!&lt;=BS$1,#REF!&gt;=BS$1)),#REF! /(#REF!  -#REF!  +1),0))</f>
        <v>#REF!</v>
      </c>
      <c r="BT92" s="493" t="e">
        <f>IF(AND(#REF!=#REF!,#REF!=BT$1),#REF!,IF(AND(#REF!&gt;=#REF!,AND(#REF!&lt;=BT$1,#REF!&gt;=BT$1)),#REF! /(#REF!  -#REF!  +1),0))</f>
        <v>#REF!</v>
      </c>
    </row>
    <row r="93" spans="2:88" ht="13.5" thickBot="1" x14ac:dyDescent="0.25">
      <c r="B93" s="544"/>
      <c r="C93" s="522"/>
      <c r="D93" s="1322"/>
      <c r="E93" s="1322"/>
      <c r="F93" s="497"/>
      <c r="G93" s="497"/>
      <c r="H93" s="497"/>
      <c r="I93" s="704"/>
      <c r="J93" s="2537"/>
      <c r="K93" s="2537"/>
      <c r="L93" s="2537"/>
      <c r="M93" s="704"/>
      <c r="N93" s="704"/>
      <c r="O93" s="704"/>
      <c r="BA93" s="489"/>
      <c r="BB93" s="494"/>
      <c r="BC93" s="494"/>
      <c r="BD93" s="494"/>
      <c r="BE93" s="494"/>
      <c r="BF93" s="494"/>
      <c r="BG93" s="494"/>
      <c r="BH93" s="494"/>
      <c r="BI93" s="494"/>
      <c r="BJ93" s="494"/>
      <c r="BK93" s="494"/>
      <c r="BL93" s="494"/>
      <c r="BM93" s="494"/>
      <c r="BN93" s="494"/>
      <c r="BO93" s="494"/>
      <c r="BP93" s="494"/>
      <c r="BQ93" s="494"/>
      <c r="BR93" s="494"/>
      <c r="BS93" s="494"/>
      <c r="BT93" s="494"/>
    </row>
    <row r="94" spans="2:88" s="704" customFormat="1" ht="13.5" thickBot="1" x14ac:dyDescent="0.25">
      <c r="B94" s="526" t="s">
        <v>1069</v>
      </c>
      <c r="C94" s="523">
        <f ca="1">C89/12</f>
        <v>29890.148947194994</v>
      </c>
      <c r="D94" s="1321"/>
      <c r="E94" s="1321"/>
      <c r="F94" s="1320"/>
      <c r="G94" s="497"/>
      <c r="H94" s="497"/>
      <c r="J94" s="1354"/>
      <c r="K94" s="1354"/>
      <c r="L94" s="1354"/>
      <c r="M94" s="2537"/>
      <c r="N94" s="2537"/>
      <c r="O94" s="2537"/>
      <c r="R94" s="434"/>
      <c r="S94" s="434"/>
      <c r="T94" s="434"/>
      <c r="U94" s="434"/>
      <c r="V94" s="434"/>
      <c r="W94" s="434"/>
      <c r="X94" s="434"/>
      <c r="Y94" s="434"/>
      <c r="Z94" s="434"/>
      <c r="AA94" s="434"/>
      <c r="AB94" s="434"/>
      <c r="AC94" s="434"/>
      <c r="AD94" s="434"/>
      <c r="AE94" s="434"/>
      <c r="AF94" s="434"/>
      <c r="AG94" s="434"/>
      <c r="AH94" s="434"/>
      <c r="AI94" s="434"/>
      <c r="AJ94" s="434"/>
      <c r="AK94" s="434"/>
      <c r="AL94" s="434"/>
      <c r="AM94" s="434"/>
      <c r="AN94" s="434"/>
      <c r="AO94" s="434"/>
      <c r="AP94" s="434"/>
      <c r="AQ94" s="434"/>
      <c r="AR94" s="434"/>
      <c r="AS94" s="434"/>
      <c r="AT94" s="434"/>
      <c r="AU94" s="434"/>
      <c r="AV94" s="434"/>
      <c r="AW94" s="434"/>
      <c r="AX94" s="434"/>
      <c r="AY94" s="434"/>
      <c r="AZ94" s="434"/>
      <c r="BA94" s="489"/>
      <c r="BB94" s="494"/>
      <c r="BC94" s="494"/>
      <c r="BD94" s="494"/>
      <c r="BE94" s="494"/>
      <c r="BF94" s="494"/>
      <c r="BG94" s="494"/>
      <c r="BH94" s="494"/>
      <c r="BI94" s="494"/>
      <c r="BJ94" s="494"/>
      <c r="BK94" s="494"/>
      <c r="BL94" s="494"/>
      <c r="BM94" s="494"/>
      <c r="BN94" s="494"/>
      <c r="BO94" s="494"/>
      <c r="BP94" s="494"/>
      <c r="BQ94" s="494"/>
      <c r="BR94" s="494"/>
      <c r="BS94" s="494"/>
      <c r="BT94" s="494"/>
      <c r="BU94" s="434"/>
      <c r="BV94" s="434"/>
      <c r="BW94" s="434"/>
      <c r="BX94" s="434"/>
      <c r="BY94" s="434"/>
      <c r="BZ94" s="434"/>
      <c r="CA94" s="434"/>
      <c r="CB94" s="434"/>
      <c r="CC94" s="434"/>
      <c r="CD94" s="434"/>
      <c r="CE94" s="434"/>
      <c r="CF94" s="434"/>
      <c r="CG94" s="434"/>
      <c r="CH94" s="644"/>
      <c r="CI94" s="644"/>
    </row>
    <row r="95" spans="2:88" ht="13.5" thickBot="1" x14ac:dyDescent="0.25">
      <c r="B95" s="527" t="s">
        <v>1070</v>
      </c>
      <c r="C95" s="524">
        <f ca="1">C90/12</f>
        <v>7140.0021601480548</v>
      </c>
      <c r="D95" s="1320"/>
      <c r="E95" s="1321"/>
      <c r="F95" s="1320"/>
      <c r="G95" s="497"/>
      <c r="H95" s="2764"/>
      <c r="I95" s="1354"/>
      <c r="J95" s="1354"/>
      <c r="K95" s="1354"/>
      <c r="L95" s="1354"/>
      <c r="M95" s="1354"/>
      <c r="N95" s="1354"/>
      <c r="O95" s="1354"/>
      <c r="P95" s="704"/>
      <c r="Q95" s="704"/>
      <c r="U95" s="2739" t="s">
        <v>1258</v>
      </c>
      <c r="V95" s="2740"/>
      <c r="W95" s="2741"/>
      <c r="X95" s="2739" t="s">
        <v>813</v>
      </c>
      <c r="Y95" s="2740"/>
      <c r="Z95" s="2740"/>
      <c r="AA95" s="2740"/>
      <c r="AB95" s="2741"/>
      <c r="AC95" s="1303" t="s">
        <v>814</v>
      </c>
      <c r="AD95" s="1303" t="s">
        <v>1218</v>
      </c>
      <c r="BA95" s="490" t="e">
        <f>#REF!</f>
        <v>#REF!</v>
      </c>
      <c r="BB95" s="495" t="e">
        <f>IF(AND(#REF!=#REF!,#REF!=BB$1),#REF!,IF(AND(#REF!&gt;=#REF!,AND(#REF!&lt;=BB$1,#REF!&gt;=BB$1)),#REF! /(#REF!  -#REF!  +1),0))</f>
        <v>#REF!</v>
      </c>
      <c r="BC95" s="495" t="e">
        <f>IF(AND(#REF!=#REF!,#REF!=BC$1),#REF!,IF(AND(#REF!&gt;=#REF!,AND(#REF!&lt;=BC$1,#REF!&gt;=BC$1)),#REF! /(#REF!  -#REF!  +1),0))</f>
        <v>#REF!</v>
      </c>
      <c r="BD95" s="495" t="e">
        <f>IF(AND(#REF!=#REF!,#REF!=BD$1),#REF!,IF(AND(#REF!&gt;=#REF!,AND(#REF!&lt;=BD$1,#REF!&gt;=BD$1)),#REF! /(#REF!  -#REF!  +1),0))</f>
        <v>#REF!</v>
      </c>
      <c r="BE95" s="495" t="e">
        <f>IF(AND(#REF!=#REF!,#REF!=BE$1),#REF!,IF(AND(#REF!&gt;=#REF!,AND(#REF!&lt;=BE$1,#REF!&gt;=BE$1)),#REF! /(#REF!  -#REF!  +1),0))</f>
        <v>#REF!</v>
      </c>
      <c r="BF95" s="495" t="e">
        <f>IF(AND(#REF!=#REF!,#REF!=BF$1),#REF!,IF(AND(#REF!&gt;=#REF!,AND(#REF!&lt;=BF$1,#REF!&gt;=BF$1)),#REF! /(#REF!  -#REF!  +1),0))</f>
        <v>#REF!</v>
      </c>
      <c r="BG95" s="495" t="e">
        <f>IF(AND(#REF!=#REF!,#REF!=BG$1),#REF!,IF(AND(#REF!&gt;=#REF!,AND(#REF!&lt;=BG$1,#REF!&gt;=BG$1)),#REF! /(#REF!  -#REF!  +1),0))</f>
        <v>#REF!</v>
      </c>
      <c r="BH95" s="495" t="e">
        <f>IF(AND(#REF!=#REF!,#REF!=BH$1),#REF!,IF(AND(#REF!&gt;=#REF!,AND(#REF!&lt;=BH$1,#REF!&gt;=BH$1)),#REF! /(#REF!  -#REF!  +1),0))</f>
        <v>#REF!</v>
      </c>
      <c r="BI95" s="495" t="e">
        <f>IF(AND(#REF!=#REF!,#REF!=BI$1),#REF!,IF(AND(#REF!&gt;=#REF!,AND(#REF!&lt;=BI$1,#REF!&gt;=BI$1)),#REF! /(#REF!  -#REF!  +1),0))</f>
        <v>#REF!</v>
      </c>
      <c r="BJ95" s="495" t="e">
        <f>IF(AND(#REF!=#REF!,#REF!=BJ$1),#REF!,IF(AND(#REF!&gt;=#REF!,AND(#REF!&lt;=BJ$1,#REF!&gt;=BJ$1)),#REF! /(#REF!  -#REF!  +1),0))</f>
        <v>#REF!</v>
      </c>
      <c r="BK95" s="495" t="e">
        <f>IF(AND(#REF!=#REF!,#REF!=BK$1),#REF!,IF(AND(#REF!&gt;=#REF!,AND(#REF!&lt;=BK$1,#REF!&gt;=BK$1)),#REF! /(#REF!  -#REF!  +1),0))</f>
        <v>#REF!</v>
      </c>
      <c r="BL95" s="495" t="e">
        <f>IF(AND(#REF!=#REF!,#REF!=BL$1),#REF!,IF(AND(#REF!&gt;=#REF!,AND(#REF!&lt;=BL$1,#REF!&gt;=BL$1)),#REF! /(#REF!  -#REF!  +1),0))</f>
        <v>#REF!</v>
      </c>
      <c r="BM95" s="495" t="e">
        <f>IF(AND(#REF!=#REF!,#REF!=BM$1),#REF!,IF(AND(#REF!&gt;=#REF!,AND(#REF!&lt;=BM$1,#REF!&gt;=BM$1)),#REF! /(#REF!  -#REF!  +1),0))</f>
        <v>#REF!</v>
      </c>
      <c r="BN95" s="495" t="e">
        <f>IF(AND(#REF!=#REF!,#REF!=BN$1),#REF!,IF(AND(#REF!&gt;=#REF!,AND(#REF!&lt;=BN$1,#REF!&gt;=BN$1)),#REF! /(#REF!  -#REF!  +1),0))</f>
        <v>#REF!</v>
      </c>
      <c r="BO95" s="495" t="e">
        <f>IF(AND(#REF!=#REF!,#REF!=BO$1),#REF!,IF(AND(#REF!&gt;=#REF!,AND(#REF!&lt;=BO$1,#REF!&gt;=BO$1)),#REF! /(#REF!  -#REF!  +1),0))</f>
        <v>#REF!</v>
      </c>
      <c r="BP95" s="495" t="e">
        <f>IF(AND(#REF!=#REF!,#REF!=BP$1),#REF!,IF(AND(#REF!&gt;=#REF!,AND(#REF!&lt;=BP$1,#REF!&gt;=BP$1)),#REF! /(#REF!  -#REF!  +1),0))</f>
        <v>#REF!</v>
      </c>
      <c r="BQ95" s="495" t="e">
        <f>IF(AND(#REF!=#REF!,#REF!=BQ$1),#REF!,IF(AND(#REF!&gt;=#REF!,AND(#REF!&lt;=BQ$1,#REF!&gt;=BQ$1)),#REF! /(#REF!  -#REF!  +1),0))</f>
        <v>#REF!</v>
      </c>
      <c r="BR95" s="495" t="e">
        <f>IF(AND(#REF!=#REF!,#REF!=BR$1),#REF!,IF(AND(#REF!&gt;=#REF!,AND(#REF!&lt;=BR$1,#REF!&gt;=BR$1)),#REF! /(#REF!  -#REF!  +1),0))</f>
        <v>#REF!</v>
      </c>
      <c r="BS95" s="495" t="e">
        <f>IF(AND(#REF!=#REF!,#REF!=BS$1),#REF!,IF(AND(#REF!&gt;=#REF!,AND(#REF!&lt;=BS$1,#REF!&gt;=BS$1)),#REF! /(#REF!  -#REF!  +1),0))</f>
        <v>#REF!</v>
      </c>
      <c r="BT95" s="496" t="e">
        <f>IF(AND(#REF!=#REF!,#REF!=BT$1),#REF!,IF(AND(#REF!&gt;=#REF!,AND(#REF!&lt;=BT$1,#REF!&gt;=BT$1)),#REF! /(#REF!  -#REF!  +1),0))</f>
        <v>#REF!</v>
      </c>
    </row>
    <row r="96" spans="2:88" ht="13.5" thickBot="1" x14ac:dyDescent="0.25">
      <c r="B96" s="528" t="s">
        <v>1071</v>
      </c>
      <c r="C96" s="525">
        <f ca="1">C91/12</f>
        <v>-42083.381178640957</v>
      </c>
      <c r="D96" s="1320"/>
      <c r="E96" s="1321"/>
      <c r="F96" s="497"/>
      <c r="G96" s="497"/>
      <c r="H96" s="2764"/>
      <c r="I96" s="1396"/>
      <c r="J96" s="1397"/>
      <c r="K96" s="1397"/>
      <c r="L96" s="1397"/>
      <c r="M96" s="1354"/>
      <c r="N96" s="1354"/>
      <c r="O96" s="1354"/>
      <c r="P96" s="704"/>
      <c r="Q96" s="704"/>
      <c r="T96" s="1121" t="s">
        <v>53</v>
      </c>
      <c r="U96" s="1302" t="s">
        <v>1253</v>
      </c>
      <c r="V96" s="1298" t="s">
        <v>1255</v>
      </c>
      <c r="W96" s="1307" t="s">
        <v>1254</v>
      </c>
      <c r="X96" s="1302" t="s">
        <v>885</v>
      </c>
      <c r="Y96" s="1299" t="s">
        <v>416</v>
      </c>
      <c r="Z96" s="1299" t="s">
        <v>687</v>
      </c>
      <c r="AA96" s="1299" t="s">
        <v>1256</v>
      </c>
      <c r="AB96" s="1307" t="s">
        <v>602</v>
      </c>
      <c r="AC96" s="1304" t="s">
        <v>610</v>
      </c>
      <c r="AD96" s="1304" t="s">
        <v>1257</v>
      </c>
      <c r="BA96" s="459" t="e">
        <f>#REF!</f>
        <v>#REF!</v>
      </c>
      <c r="BB96" s="460" t="e">
        <f>IF(AND(#REF!=#REF!,#REF!=BB$1),#REF!,IF(AND(#REF!&gt;=#REF!,AND(#REF!&lt;=BB$1,#REF!&gt;=BB$1)),#REF! /(#REF!  -#REF!  +1),0))</f>
        <v>#REF!</v>
      </c>
      <c r="BC96" s="460" t="e">
        <f>IF(AND(#REF!=#REF!,#REF!=BC$1),#REF!,IF(AND(#REF!&gt;=#REF!,AND(#REF!&lt;=BC$1,#REF!&gt;=BC$1)),#REF! /(#REF!  -#REF!  +1),0))</f>
        <v>#REF!</v>
      </c>
      <c r="BD96" s="460" t="e">
        <f>IF(AND(#REF!=#REF!,#REF!=BD$1),#REF!,IF(AND(#REF!&gt;=#REF!,AND(#REF!&lt;=BD$1,#REF!&gt;=BD$1)),#REF! /(#REF!  -#REF!  +1),0))</f>
        <v>#REF!</v>
      </c>
      <c r="BE96" s="460" t="e">
        <f>IF(AND(#REF!=#REF!,#REF!=BE$1),#REF!,IF(AND(#REF!&gt;=#REF!,AND(#REF!&lt;=BE$1,#REF!&gt;=BE$1)),#REF! /(#REF!  -#REF!  +1),0))</f>
        <v>#REF!</v>
      </c>
      <c r="BF96" s="460" t="e">
        <f>IF(AND(#REF!=#REF!,#REF!=BF$1),#REF!,IF(AND(#REF!&gt;=#REF!,AND(#REF!&lt;=BF$1,#REF!&gt;=BF$1)),#REF! /(#REF!  -#REF!  +1),0))</f>
        <v>#REF!</v>
      </c>
      <c r="BG96" s="460" t="e">
        <f>IF(AND(#REF!=#REF!,#REF!=BG$1),#REF!,IF(AND(#REF!&gt;=#REF!,AND(#REF!&lt;=BG$1,#REF!&gt;=BG$1)),#REF! /(#REF!  -#REF!  +1),0))</f>
        <v>#REF!</v>
      </c>
      <c r="BH96" s="460" t="e">
        <f>IF(AND(#REF!=#REF!,#REF!=BH$1),#REF!,IF(AND(#REF!&gt;=#REF!,AND(#REF!&lt;=BH$1,#REF!&gt;=BH$1)),#REF! /(#REF!  -#REF!  +1),0))</f>
        <v>#REF!</v>
      </c>
      <c r="BI96" s="460" t="e">
        <f>IF(AND(#REF!=#REF!,#REF!=BI$1),#REF!,IF(AND(#REF!&gt;=#REF!,AND(#REF!&lt;=BI$1,#REF!&gt;=BI$1)),#REF! /(#REF!  -#REF!  +1),0))</f>
        <v>#REF!</v>
      </c>
      <c r="BJ96" s="460" t="e">
        <f>IF(AND(#REF!=#REF!,#REF!=BJ$1),#REF!,IF(AND(#REF!&gt;=#REF!,AND(#REF!&lt;=BJ$1,#REF!&gt;=BJ$1)),#REF! /(#REF!  -#REF!  +1),0))</f>
        <v>#REF!</v>
      </c>
      <c r="BK96" s="460" t="e">
        <f>IF(AND(#REF!=#REF!,#REF!=BK$1),#REF!,IF(AND(#REF!&gt;=#REF!,AND(#REF!&lt;=BK$1,#REF!&gt;=BK$1)),#REF! /(#REF!  -#REF!  +1),0))</f>
        <v>#REF!</v>
      </c>
      <c r="BL96" s="460" t="e">
        <f>IF(AND(#REF!=#REF!,#REF!=BL$1),#REF!,IF(AND(#REF!&gt;=#REF!,AND(#REF!&lt;=BL$1,#REF!&gt;=BL$1)),#REF! /(#REF!  -#REF!  +1),0))</f>
        <v>#REF!</v>
      </c>
      <c r="BM96" s="460" t="e">
        <f>IF(AND(#REF!=#REF!,#REF!=BM$1),#REF!,IF(AND(#REF!&gt;=#REF!,AND(#REF!&lt;=BM$1,#REF!&gt;=BM$1)),#REF! /(#REF!  -#REF!  +1),0))</f>
        <v>#REF!</v>
      </c>
      <c r="BN96" s="460" t="e">
        <f>IF(AND(#REF!=#REF!,#REF!=BN$1),#REF!,IF(AND(#REF!&gt;=#REF!,AND(#REF!&lt;=BN$1,#REF!&gt;=BN$1)),#REF! /(#REF!  -#REF!  +1),0))</f>
        <v>#REF!</v>
      </c>
      <c r="BO96" s="460" t="e">
        <f>IF(AND(#REF!=#REF!,#REF!=BO$1),#REF!,IF(AND(#REF!&gt;=#REF!,AND(#REF!&lt;=BO$1,#REF!&gt;=BO$1)),#REF! /(#REF!  -#REF!  +1),0))</f>
        <v>#REF!</v>
      </c>
      <c r="BP96" s="460" t="e">
        <f>IF(AND(#REF!=#REF!,#REF!=BP$1),#REF!,IF(AND(#REF!&gt;=#REF!,AND(#REF!&lt;=BP$1,#REF!&gt;=BP$1)),#REF! /(#REF!  -#REF!  +1),0))</f>
        <v>#REF!</v>
      </c>
      <c r="BQ96" s="460" t="e">
        <f>IF(AND(#REF!=#REF!,#REF!=BQ$1),#REF!,IF(AND(#REF!&gt;=#REF!,AND(#REF!&lt;=BQ$1,#REF!&gt;=BQ$1)),#REF! /(#REF!  -#REF!  +1),0))</f>
        <v>#REF!</v>
      </c>
      <c r="BR96" s="460" t="e">
        <f>IF(AND(#REF!=#REF!,#REF!=BR$1),#REF!,IF(AND(#REF!&gt;=#REF!,AND(#REF!&lt;=BR$1,#REF!&gt;=BR$1)),#REF! /(#REF!  -#REF!  +1),0))</f>
        <v>#REF!</v>
      </c>
      <c r="BS96" s="460" t="e">
        <f>IF(AND(#REF!=#REF!,#REF!=BS$1),#REF!,IF(AND(#REF!&gt;=#REF!,AND(#REF!&lt;=BS$1,#REF!&gt;=BS$1)),#REF! /(#REF!  -#REF!  +1),0))</f>
        <v>#REF!</v>
      </c>
      <c r="BT96" s="461" t="e">
        <f>IF(AND(#REF!=#REF!,#REF!=BT$1),#REF!,IF(AND(#REF!&gt;=#REF!,AND(#REF!&lt;=BT$1,#REF!&gt;=BT$1)),#REF! /(#REF!  -#REF!  +1),0))</f>
        <v>#REF!</v>
      </c>
    </row>
    <row r="97" spans="2:72" ht="13.5" thickBot="1" x14ac:dyDescent="0.25">
      <c r="B97" s="533"/>
      <c r="C97" s="522"/>
      <c r="D97" s="497"/>
      <c r="E97" s="497"/>
      <c r="F97" s="497"/>
      <c r="G97" s="497"/>
      <c r="H97" s="2764"/>
      <c r="I97" s="1396"/>
      <c r="J97" s="1397"/>
      <c r="K97" s="1397"/>
      <c r="L97" s="1397"/>
      <c r="M97" s="1319"/>
      <c r="N97" s="1319"/>
      <c r="O97" s="1319"/>
      <c r="P97" s="704"/>
      <c r="Q97" s="704"/>
      <c r="T97" s="1317" t="str">
        <f>Rebanho!C49</f>
        <v>Bezerro em aleitamento</v>
      </c>
      <c r="U97" s="1312">
        <f>Rebanho!E49</f>
        <v>0</v>
      </c>
      <c r="V97" s="1301">
        <f>IF(U97=0,0,Rebanho!E26)</f>
        <v>0</v>
      </c>
      <c r="W97" s="1313">
        <f>Rebanho!Z48</f>
        <v>0</v>
      </c>
      <c r="X97" s="1337">
        <f>Rebanho!AA134</f>
        <v>0</v>
      </c>
      <c r="Y97" s="1338">
        <f>Suplementação!AT7</f>
        <v>0</v>
      </c>
      <c r="Z97" s="1338">
        <f>Alimentação!Z88</f>
        <v>0</v>
      </c>
      <c r="AA97" s="1338">
        <f>Sanidade!AQ7</f>
        <v>0</v>
      </c>
      <c r="AB97" s="1339">
        <f>IF(U97=0,0,((($M$27-$M$26-$M$25-$M$24-$M$15-$M$23-$M$22)/SUM($V$97:$V$113))*V97)/U97)</f>
        <v>0</v>
      </c>
      <c r="AC97" s="1305">
        <f>IF(U97=0,0,((($C$65)/SUM($V$97:$V$113))*V97)/U97)</f>
        <v>0</v>
      </c>
      <c r="AD97" s="1305">
        <f>IF(U97=0,0,((($C$79)/SUM($V$97:$V$113))*V97)/U97)</f>
        <v>0</v>
      </c>
      <c r="BA97" s="459" t="e">
        <f>#REF!</f>
        <v>#REF!</v>
      </c>
      <c r="BB97" s="460" t="e">
        <f>IF(AND(#REF!=#REF!,#REF!=BB$1),#REF!,IF(AND(#REF!&gt;=#REF!,AND(#REF!&lt;=BB$1,#REF!&gt;=BB$1)),#REF!/(#REF!-#REF!+1),0))</f>
        <v>#REF!</v>
      </c>
      <c r="BC97" s="460" t="e">
        <f>IF(AND(#REF!=#REF!,#REF!=BC$1),#REF!,IF(AND(#REF!&gt;=#REF!,AND(#REF!&lt;=BC$1,#REF!&gt;=BC$1)),#REF! /(#REF!  -#REF!  +1),0))</f>
        <v>#REF!</v>
      </c>
      <c r="BD97" s="460" t="e">
        <f>IF(AND(#REF!=#REF!,#REF!=BD$1),#REF!,IF(AND(#REF!&gt;=#REF!,AND(#REF!&lt;=BD$1,#REF!&gt;=BD$1)),#REF! /(#REF!  -#REF!  +1),0))</f>
        <v>#REF!</v>
      </c>
      <c r="BE97" s="460" t="e">
        <f>IF(AND(#REF!=#REF!,#REF!=BE$1),#REF!,IF(AND(#REF!&gt;=#REF!,AND(#REF!&lt;=BE$1,#REF!&gt;=BE$1)),#REF! /(#REF!  -#REF!  +1),0))</f>
        <v>#REF!</v>
      </c>
      <c r="BF97" s="460" t="e">
        <f>IF(AND(#REF!=#REF!,#REF!=BF$1),#REF!,IF(AND(#REF!&gt;=#REF!,AND(#REF!&lt;=BF$1,#REF!&gt;=BF$1)),#REF! /(#REF!  -#REF!  +1),0))</f>
        <v>#REF!</v>
      </c>
      <c r="BG97" s="460" t="e">
        <f>IF(AND(#REF!=#REF!,#REF!=BG$1),#REF!,IF(AND(#REF!&gt;=#REF!,AND(#REF!&lt;=BG$1,#REF!&gt;=BG$1)),#REF! /(#REF!  -#REF!  +1),0))</f>
        <v>#REF!</v>
      </c>
      <c r="BH97" s="460" t="e">
        <f>IF(AND(#REF!=#REF!,#REF!=BH$1),#REF!,IF(AND(#REF!&gt;=#REF!,AND(#REF!&lt;=BH$1,#REF!&gt;=BH$1)),#REF! /(#REF!  -#REF!  +1),0))</f>
        <v>#REF!</v>
      </c>
      <c r="BI97" s="460" t="e">
        <f>IF(AND(#REF!=#REF!,#REF!=BI$1),#REF!,IF(AND(#REF!&gt;=#REF!,AND(#REF!&lt;=BI$1,#REF!&gt;=BI$1)),#REF! /(#REF!  -#REF!  +1),0))</f>
        <v>#REF!</v>
      </c>
      <c r="BJ97" s="460" t="e">
        <f>IF(AND(#REF!=#REF!,#REF!=BJ$1),#REF!,IF(AND(#REF!&gt;=#REF!,AND(#REF!&lt;=BJ$1,#REF!&gt;=BJ$1)),#REF! /(#REF!  -#REF!  +1),0))</f>
        <v>#REF!</v>
      </c>
      <c r="BK97" s="460" t="e">
        <f>IF(AND(#REF!=#REF!,#REF!=BK$1),#REF!,IF(AND(#REF!&gt;=#REF!,AND(#REF!&lt;=BK$1,#REF!&gt;=BK$1)),#REF! /(#REF!  -#REF!  +1),0))</f>
        <v>#REF!</v>
      </c>
      <c r="BL97" s="460" t="e">
        <f>IF(AND(#REF!=#REF!,#REF!=BL$1),#REF!,IF(AND(#REF!&gt;=#REF!,AND(#REF!&lt;=BL$1,#REF!&gt;=BL$1)),#REF! /(#REF!  -#REF!  +1),0))</f>
        <v>#REF!</v>
      </c>
      <c r="BM97" s="460" t="e">
        <f>IF(AND(#REF!=#REF!,#REF!=BM$1),#REF!,IF(AND(#REF!&gt;=#REF!,AND(#REF!&lt;=BM$1,#REF!&gt;=BM$1)),#REF! /(#REF!  -#REF!  +1),0))</f>
        <v>#REF!</v>
      </c>
      <c r="BN97" s="460" t="e">
        <f>IF(AND(#REF!=#REF!,#REF!=BN$1),#REF!,IF(AND(#REF!&gt;=#REF!,AND(#REF!&lt;=BN$1,#REF!&gt;=BN$1)),#REF! /(#REF!  -#REF!  +1),0))</f>
        <v>#REF!</v>
      </c>
      <c r="BO97" s="460" t="e">
        <f>IF(AND(#REF!=#REF!,#REF!=BO$1),#REF!,IF(AND(#REF!&gt;=#REF!,AND(#REF!&lt;=BO$1,#REF!&gt;=BO$1)),#REF! /(#REF!  -#REF!  +1),0))</f>
        <v>#REF!</v>
      </c>
      <c r="BP97" s="460" t="e">
        <f>IF(AND(#REF!=#REF!,#REF!=BP$1),#REF!,IF(AND(#REF!&gt;=#REF!,AND(#REF!&lt;=BP$1,#REF!&gt;=BP$1)),#REF! /(#REF!  -#REF!  +1),0))</f>
        <v>#REF!</v>
      </c>
      <c r="BQ97" s="460" t="e">
        <f>IF(AND(#REF!=#REF!,#REF!=BQ$1),#REF!,IF(AND(#REF!&gt;=#REF!,AND(#REF!&lt;=BQ$1,#REF!&gt;=BQ$1)),#REF! /(#REF!  -#REF!  +1),0))</f>
        <v>#REF!</v>
      </c>
      <c r="BR97" s="460" t="e">
        <f>IF(AND(#REF!=#REF!,#REF!=BR$1),#REF!,IF(AND(#REF!&gt;=#REF!,AND(#REF!&lt;=BR$1,#REF!&gt;=BR$1)),#REF! /(#REF!  -#REF!  +1),0))</f>
        <v>#REF!</v>
      </c>
      <c r="BS97" s="460" t="e">
        <f>IF(AND(#REF!=#REF!,#REF!=BS$1),#REF!,IF(AND(#REF!&gt;=#REF!,AND(#REF!&lt;=BS$1,#REF!&gt;=BS$1)),#REF! /(#REF!  -#REF!  +1),0))</f>
        <v>#REF!</v>
      </c>
      <c r="BT97" s="461" t="e">
        <f>IF(AND(#REF!=#REF!,#REF!=BT$1),#REF!,IF(AND(#REF!&gt;=#REF!,AND(#REF!&lt;=BT$1,#REF!&gt;=BT$1)),#REF! /(#REF!  -#REF!  +1),0))</f>
        <v>#REF!</v>
      </c>
    </row>
    <row r="98" spans="2:72" ht="13.5" thickBot="1" x14ac:dyDescent="0.25">
      <c r="B98" s="884" t="s">
        <v>1080</v>
      </c>
      <c r="C98" s="1399">
        <f ca="1">C90/(((J69+J70+J71+J72+J73+J75+J76)/2)+(J74+J77))</f>
        <v>6.5724131532346221E-3</v>
      </c>
      <c r="D98" s="497"/>
      <c r="E98" s="497"/>
      <c r="F98" s="497"/>
      <c r="G98" s="497"/>
      <c r="H98" s="2764"/>
      <c r="I98" s="1396"/>
      <c r="J98" s="1397"/>
      <c r="K98" s="1397"/>
      <c r="L98" s="1397"/>
      <c r="M98" s="1319"/>
      <c r="N98" s="1319"/>
      <c r="O98" s="1319"/>
      <c r="P98" s="704"/>
      <c r="Q98" s="704"/>
      <c r="T98" s="1317" t="str">
        <f>Rebanho!C50</f>
        <v>Bezerro Desmamados</v>
      </c>
      <c r="U98" s="1312">
        <f>Rebanho!E50</f>
        <v>793.33333333333337</v>
      </c>
      <c r="V98" s="1301">
        <f>IF(U98=0,0,Rebanho!E27)</f>
        <v>5</v>
      </c>
      <c r="W98" s="1313">
        <f>Rebanho!Z49</f>
        <v>330.5555555555556</v>
      </c>
      <c r="X98" s="1308">
        <f>Rebanho!AA135</f>
        <v>1145.1515793575854</v>
      </c>
      <c r="Y98" s="1300">
        <f>Suplementação!AT8</f>
        <v>17.810493827160492</v>
      </c>
      <c r="Z98" s="1300">
        <f>Alimentação!Z89</f>
        <v>0</v>
      </c>
      <c r="AA98" s="1300">
        <f>Sanidade!AQ8</f>
        <v>2</v>
      </c>
      <c r="AB98" s="1309">
        <f ca="1">IF(U101=0,0,((($M$27-$M$26-$M$25-$M$24-$M$15-$M$23-$M$22)/SUM($V$97:$V$113))*V98)/U101)</f>
        <v>41.123214138793713</v>
      </c>
      <c r="AC98" s="1305">
        <f ca="1">IF(U101=0,0,((($C$65)/SUM($V$97:$V$113))*V98)/U101)</f>
        <v>74.012404897169603</v>
      </c>
      <c r="AD98" s="1305">
        <f ca="1">IF(U101=0,0,((($C$79)/SUM($V$97:$V$113))*V98)/U101)</f>
        <v>160.13703173789236</v>
      </c>
      <c r="BA98" s="459"/>
      <c r="BB98" s="460"/>
      <c r="BC98" s="460"/>
      <c r="BD98" s="460"/>
      <c r="BE98" s="460"/>
      <c r="BF98" s="460"/>
      <c r="BG98" s="460"/>
      <c r="BH98" s="460"/>
      <c r="BI98" s="460"/>
      <c r="BJ98" s="460"/>
      <c r="BK98" s="460"/>
      <c r="BL98" s="460"/>
      <c r="BM98" s="460"/>
      <c r="BN98" s="460"/>
      <c r="BO98" s="460"/>
      <c r="BP98" s="460"/>
      <c r="BQ98" s="460"/>
      <c r="BR98" s="460"/>
      <c r="BS98" s="460"/>
      <c r="BT98" s="461"/>
    </row>
    <row r="99" spans="2:72" ht="13.5" thickBot="1" x14ac:dyDescent="0.25">
      <c r="B99" s="799" t="s">
        <v>1024</v>
      </c>
      <c r="C99" s="1400"/>
      <c r="D99" s="497"/>
      <c r="E99" s="1320"/>
      <c r="F99" s="497"/>
      <c r="G99" s="497"/>
      <c r="H99" s="2764"/>
      <c r="I99" s="1396"/>
      <c r="J99" s="1397"/>
      <c r="K99" s="1397"/>
      <c r="L99" s="1397"/>
      <c r="M99" s="1319"/>
      <c r="N99" s="1319"/>
      <c r="O99" s="1319"/>
      <c r="P99" s="704"/>
      <c r="Q99" s="704"/>
      <c r="T99" s="1317" t="str">
        <f>Rebanho!C51</f>
        <v>Garrotes</v>
      </c>
      <c r="U99" s="1312">
        <f>Rebanho!E51</f>
        <v>782.75555555555559</v>
      </c>
      <c r="V99" s="1301">
        <f>IF(U99=0,0,Rebanho!E28)</f>
        <v>8</v>
      </c>
      <c r="W99" s="1313">
        <f>Rebanho!Z50</f>
        <v>521.83703703703702</v>
      </c>
      <c r="X99" s="1308">
        <f>Rebanho!AA136</f>
        <v>0</v>
      </c>
      <c r="Y99" s="1300">
        <f>Suplementação!AT9</f>
        <v>41.088395061728384</v>
      </c>
      <c r="Z99" s="1300">
        <f>Alimentação!Z90</f>
        <v>0</v>
      </c>
      <c r="AA99" s="1300">
        <f>Sanidade!AQ9</f>
        <v>2</v>
      </c>
      <c r="AB99" s="1309">
        <f ca="1">IF(U101=0,0,((($M$27-$M$26-$M$25-$M$24-$M$15-$M$23-$M$22)/SUM($V$97:$V$113))*V99)/U101)</f>
        <v>65.797142622069941</v>
      </c>
      <c r="AC99" s="1305">
        <f ca="1">IF(U101=0,0,((($C$65)/SUM($V$97:$V$113))*V99)/U101)</f>
        <v>118.41984783547136</v>
      </c>
      <c r="AD99" s="1305">
        <f ca="1">IF(U101=0,0,((($C$79)/SUM($V$97:$V$113))*V99)/U101)</f>
        <v>256.21925078062776</v>
      </c>
      <c r="BA99" s="459"/>
      <c r="BB99" s="460"/>
      <c r="BC99" s="460"/>
      <c r="BD99" s="460"/>
      <c r="BE99" s="460"/>
      <c r="BF99" s="460"/>
      <c r="BG99" s="460"/>
      <c r="BH99" s="460"/>
      <c r="BI99" s="460"/>
      <c r="BJ99" s="460"/>
      <c r="BK99" s="460"/>
      <c r="BL99" s="460"/>
      <c r="BM99" s="460"/>
      <c r="BN99" s="460"/>
      <c r="BO99" s="460"/>
      <c r="BP99" s="460"/>
      <c r="BQ99" s="460"/>
      <c r="BR99" s="460"/>
      <c r="BS99" s="460"/>
      <c r="BT99" s="461"/>
    </row>
    <row r="100" spans="2:72" x14ac:dyDescent="0.2">
      <c r="B100" s="800" t="s">
        <v>1025</v>
      </c>
      <c r="C100" s="1401">
        <f ca="1">SUM(C5:C8)/C45</f>
        <v>1.2584981432853157</v>
      </c>
      <c r="D100" s="497"/>
      <c r="F100" s="497"/>
      <c r="G100" s="497"/>
      <c r="H100" s="2764"/>
      <c r="I100" s="1396"/>
      <c r="J100" s="1397"/>
      <c r="K100" s="1397"/>
      <c r="L100" s="1397"/>
      <c r="M100" s="1319"/>
      <c r="N100" s="1319"/>
      <c r="O100" s="1319"/>
      <c r="P100" s="704"/>
      <c r="Q100" s="704"/>
      <c r="T100" s="1317" t="str">
        <f>Rebanho!C52</f>
        <v>Boi magro</v>
      </c>
      <c r="U100" s="1312">
        <f>Rebanho!E52</f>
        <v>772.31881481481491</v>
      </c>
      <c r="V100" s="1301">
        <f>IF(U100=0,0,Rebanho!E29)</f>
        <v>8</v>
      </c>
      <c r="W100" s="1313">
        <f>Rebanho!Z51</f>
        <v>514.8792098765432</v>
      </c>
      <c r="X100" s="1308">
        <f>Rebanho!AA137</f>
        <v>0</v>
      </c>
      <c r="Y100" s="1300">
        <f>Suplementação!AT10</f>
        <v>56.132049382716048</v>
      </c>
      <c r="Z100" s="1300">
        <f>Alimentação!Z91</f>
        <v>0</v>
      </c>
      <c r="AA100" s="1300">
        <f>Sanidade!AQ10</f>
        <v>0</v>
      </c>
      <c r="AB100" s="1309">
        <f ca="1">IF(U101=0,0,((($M$27-$M$26-$M$25-$M$24-$M$15-$M$23-$M$22)/SUM($V$97:$V$113))*V100)/U101)</f>
        <v>65.797142622069941</v>
      </c>
      <c r="AC100" s="1305">
        <f ca="1">IF(U101=0,0,((($C$65)/SUM($V$97:$V$113))*V100)/U101)</f>
        <v>118.41984783547136</v>
      </c>
      <c r="AD100" s="1305">
        <f ca="1">IF(U101=0,0,((($C$79)/SUM($V$97:$V$113))*V100)/U101)</f>
        <v>256.21925078062776</v>
      </c>
      <c r="BA100" s="459" t="e">
        <f>#REF!</f>
        <v>#REF!</v>
      </c>
      <c r="BB100" s="460" t="e">
        <f>IF(AND(#REF!=#REF!,#REF!=BB$1),#REF!,IF(AND(#REF!&gt;=#REF!,AND(#REF!&lt;=BB$1,#REF!&gt;=BB$1)),#REF!/(#REF! -#REF! +1),0))</f>
        <v>#REF!</v>
      </c>
      <c r="BC100" s="460" t="e">
        <f>IF(AND(#REF!=#REF!,#REF!=BC$1),#REF!,IF(AND(#REF!&gt;=#REF!,AND(#REF!&lt;=BC$1,#REF!&gt;=BC$1)),#REF!/(#REF! -#REF! +1),0))</f>
        <v>#REF!</v>
      </c>
      <c r="BD100" s="460" t="e">
        <f>IF(AND(#REF!=#REF!,#REF!=BD$1),#REF!,IF(AND(#REF!&gt;=#REF!,AND(#REF!&lt;=BD$1,#REF!&gt;=BD$1)),#REF!/(#REF! -#REF! +1),0))</f>
        <v>#REF!</v>
      </c>
      <c r="BE100" s="460" t="e">
        <f>IF(AND(#REF!=#REF!,#REF!=BE$1),#REF!,IF(AND(#REF!&gt;=#REF!,AND(#REF!&lt;=BE$1,#REF!&gt;=BE$1)),#REF!/(#REF! -#REF! +1),0))</f>
        <v>#REF!</v>
      </c>
      <c r="BF100" s="460" t="e">
        <f>IF(AND(#REF!=#REF!,#REF!=BF$1),#REF!,IF(AND(#REF!&gt;=#REF!,AND(#REF!&lt;=BF$1,#REF!&gt;=BF$1)),#REF!/(#REF! -#REF! +1),0))</f>
        <v>#REF!</v>
      </c>
      <c r="BG100" s="460" t="e">
        <f>IF(AND(#REF!=#REF!,#REF!=BG$1),#REF!,IF(AND(#REF!&gt;=#REF!,AND(#REF!&lt;=BG$1,#REF!&gt;=BG$1)),#REF!/(#REF! -#REF! +1),0))</f>
        <v>#REF!</v>
      </c>
      <c r="BH100" s="460" t="e">
        <f>IF(AND(#REF!=#REF!,#REF!=BH$1),#REF!,IF(AND(#REF!&gt;=#REF!,AND(#REF!&lt;=BH$1,#REF!&gt;=BH$1)),#REF!/(#REF! -#REF! +1),0))</f>
        <v>#REF!</v>
      </c>
      <c r="BI100" s="460" t="e">
        <f>IF(AND(#REF!=#REF!,#REF!=BI$1),#REF!,IF(AND(#REF!&gt;=#REF!,AND(#REF!&lt;=BI$1,#REF!&gt;=BI$1)),#REF!/(#REF! -#REF! +1),0))</f>
        <v>#REF!</v>
      </c>
      <c r="BJ100" s="460" t="e">
        <f>IF(AND(#REF!=#REF!,#REF!=BJ$1),#REF!,IF(AND(#REF!&gt;=#REF!,AND(#REF!&lt;=BJ$1,#REF!&gt;=BJ$1)),#REF!/(#REF! -#REF! +1),0))</f>
        <v>#REF!</v>
      </c>
      <c r="BK100" s="460" t="e">
        <f>IF(AND(#REF!=#REF!,#REF!=BK$1),#REF!,IF(AND(#REF!&gt;=#REF!,AND(#REF!&lt;=BK$1,#REF!&gt;=BK$1)),#REF!/(#REF! -#REF! +1),0))</f>
        <v>#REF!</v>
      </c>
      <c r="BL100" s="460" t="e">
        <f>IF(AND(#REF!=#REF!,#REF!=BL$1),#REF!,IF(AND(#REF!&gt;=#REF!,AND(#REF!&lt;=BL$1,#REF!&gt;=BL$1)),#REF!/(#REF! -#REF! +1),0))</f>
        <v>#REF!</v>
      </c>
      <c r="BM100" s="460" t="e">
        <f>IF(AND(#REF!=#REF!,#REF!=BM$1),#REF!,IF(AND(#REF!&gt;=#REF!,AND(#REF!&lt;=BM$1,#REF!&gt;=BM$1)),#REF!/(#REF! -#REF! +1),0))</f>
        <v>#REF!</v>
      </c>
      <c r="BN100" s="460" t="e">
        <f>IF(AND(#REF!=#REF!,#REF!=BN$1),#REF!,IF(AND(#REF!&gt;=#REF!,AND(#REF!&lt;=BN$1,#REF!&gt;=BN$1)),#REF!/(#REF! -#REF! +1),0))</f>
        <v>#REF!</v>
      </c>
      <c r="BO100" s="460" t="e">
        <f>IF(AND(#REF!=#REF!,#REF!=BO$1),#REF!,IF(AND(#REF!&gt;=#REF!,AND(#REF!&lt;=BO$1,#REF!&gt;=BO$1)),#REF!/(#REF! -#REF! +1),0))</f>
        <v>#REF!</v>
      </c>
      <c r="BP100" s="460" t="e">
        <f>IF(AND(#REF!=#REF!,#REF!=BP$1),#REF!,IF(AND(#REF!&gt;=#REF!,AND(#REF!&lt;=BP$1,#REF!&gt;=BP$1)),#REF!/(#REF! -#REF! +1),0))</f>
        <v>#REF!</v>
      </c>
      <c r="BQ100" s="460" t="e">
        <f>IF(AND(#REF!=#REF!,#REF!=BQ$1),#REF!,IF(AND(#REF!&gt;=#REF!,AND(#REF!&lt;=BQ$1,#REF!&gt;=BQ$1)),#REF!/(#REF! -#REF! +1),0))</f>
        <v>#REF!</v>
      </c>
      <c r="BR100" s="460" t="e">
        <f>IF(AND(#REF!=#REF!,#REF!=BR$1),#REF!,IF(AND(#REF!&gt;=#REF!,AND(#REF!&lt;=BR$1,#REF!&gt;=BR$1)),#REF!/(#REF! -#REF! +1),0))</f>
        <v>#REF!</v>
      </c>
      <c r="BS100" s="460" t="e">
        <f>IF(AND(#REF!=#REF!,#REF!=BS$1),#REF!,IF(AND(#REF!&gt;=#REF!,AND(#REF!&lt;=BS$1,#REF!&gt;=BS$1)),#REF!/(#REF! -#REF! +1),0))</f>
        <v>#REF!</v>
      </c>
      <c r="BT100" s="461" t="e">
        <f>IF(AND(#REF!=#REF!,#REF!=BT$1),#REF!,IF(AND(#REF!&gt;=#REF!,AND(#REF!&lt;=BT$1,#REF!&gt;=BT$1)),#REF!/(#REF! -#REF! +1),0))</f>
        <v>#REF!</v>
      </c>
    </row>
    <row r="101" spans="2:72" x14ac:dyDescent="0.2">
      <c r="B101" s="802" t="s">
        <v>1026</v>
      </c>
      <c r="C101" s="1402">
        <f ca="1">SUM(C5:C8)/C66</f>
        <v>1.0515970000143366</v>
      </c>
      <c r="D101" s="497"/>
      <c r="E101" s="497"/>
      <c r="F101" s="497"/>
      <c r="G101" s="497"/>
      <c r="H101" s="2764"/>
      <c r="I101" s="1396"/>
      <c r="J101" s="1397"/>
      <c r="K101" s="1397"/>
      <c r="L101" s="1397"/>
      <c r="M101" s="1319"/>
      <c r="N101" s="1319"/>
      <c r="O101" s="1319"/>
      <c r="P101" s="704"/>
      <c r="Q101" s="704"/>
      <c r="T101" s="1317" t="str">
        <f>Rebanho!C53</f>
        <v>Boi gordo</v>
      </c>
      <c r="U101" s="1312">
        <f>Rebanho!E53</f>
        <v>768.45722074074081</v>
      </c>
      <c r="V101" s="1301">
        <f>IF(U101=0,0,Rebanho!E30)</f>
        <v>3</v>
      </c>
      <c r="W101" s="1313">
        <f>Rebanho!Z52</f>
        <v>192.1143051851852</v>
      </c>
      <c r="X101" s="1308">
        <f>Rebanho!AA138</f>
        <v>33</v>
      </c>
      <c r="Y101" s="1300">
        <f>Suplementação!AT11</f>
        <v>0</v>
      </c>
      <c r="Z101" s="1300">
        <f>Alimentação!Z92</f>
        <v>274.5</v>
      </c>
      <c r="AA101" s="1300">
        <f>Sanidade!AQ11</f>
        <v>0</v>
      </c>
      <c r="AB101" s="1309">
        <f t="shared" ref="AB101:AB113" ca="1" si="25">IF(U101=0,0,((($M$27-$M$26-$M$25-$M$24-$M$15-$M$23-$M$22)/SUM($V$97:$V$113))*V101)/U101)</f>
        <v>24.673928483276232</v>
      </c>
      <c r="AC101" s="1305">
        <f t="shared" ref="AC101:AC113" ca="1" si="26">IF(U101=0,0,((($C$65)/SUM($V$97:$V$113))*V101)/U101)</f>
        <v>44.407442938301763</v>
      </c>
      <c r="AD101" s="1305">
        <f t="shared" ref="AD101:AD113" ca="1" si="27">IF(U101=0,0,((($C$79)/SUM($V$97:$V$113))*V101)/U101)</f>
        <v>96.082219042735417</v>
      </c>
      <c r="BA101" s="459" t="e">
        <f>#REF!</f>
        <v>#REF!</v>
      </c>
      <c r="BB101" s="460" t="e">
        <f>IF(AND(#REF!=#REF!,#REF!=BB$1),#REF!,IF(AND(#REF!&gt;=#REF!,AND(#REF!&lt;=BB$1,#REF!&gt;=BB$1)),#REF!/(#REF! -#REF! +1),0))</f>
        <v>#REF!</v>
      </c>
      <c r="BC101" s="460" t="e">
        <f>IF(AND(#REF!=#REF!,#REF!=BC$1),#REF!,IF(AND(#REF!&gt;=#REF!,AND(#REF!&lt;=BC$1,#REF!&gt;=BC$1)),#REF!/(#REF! -#REF! +1),0))</f>
        <v>#REF!</v>
      </c>
      <c r="BD101" s="460" t="e">
        <f>IF(AND(#REF!=#REF!,#REF!=BD$1),#REF!,IF(AND(#REF!&gt;=#REF!,AND(#REF!&lt;=BD$1,#REF!&gt;=BD$1)),#REF!/(#REF! -#REF! +1),0))</f>
        <v>#REF!</v>
      </c>
      <c r="BE101" s="460" t="e">
        <f>IF(AND(#REF!=#REF!,#REF!=BE$1),#REF!,IF(AND(#REF!&gt;=#REF!,AND(#REF!&lt;=BE$1,#REF!&gt;=BE$1)),#REF!/(#REF! -#REF! +1),0))</f>
        <v>#REF!</v>
      </c>
      <c r="BF101" s="460" t="e">
        <f>IF(AND(#REF!=#REF!,#REF!=BF$1),#REF!,IF(AND(#REF!&gt;=#REF!,AND(#REF!&lt;=BF$1,#REF!&gt;=BF$1)),#REF!/(#REF! -#REF! +1),0))</f>
        <v>#REF!</v>
      </c>
      <c r="BG101" s="460" t="e">
        <f>IF(AND(#REF!=#REF!,#REF!=BG$1),#REF!,IF(AND(#REF!&gt;=#REF!,AND(#REF!&lt;=BG$1,#REF!&gt;=BG$1)),#REF!/(#REF! -#REF! +1),0))</f>
        <v>#REF!</v>
      </c>
      <c r="BH101" s="460" t="e">
        <f>IF(AND(#REF!=#REF!,#REF!=BH$1),#REF!,IF(AND(#REF!&gt;=#REF!,AND(#REF!&lt;=BH$1,#REF!&gt;=BH$1)),#REF!/(#REF! -#REF! +1),0))</f>
        <v>#REF!</v>
      </c>
      <c r="BI101" s="460" t="e">
        <f>IF(AND(#REF!=#REF!,#REF!=BI$1),#REF!,IF(AND(#REF!&gt;=#REF!,AND(#REF!&lt;=BI$1,#REF!&gt;=BI$1)),#REF!/(#REF! -#REF! +1),0))</f>
        <v>#REF!</v>
      </c>
      <c r="BJ101" s="460" t="e">
        <f>IF(AND(#REF!=#REF!,#REF!=BJ$1),#REF!,IF(AND(#REF!&gt;=#REF!,AND(#REF!&lt;=BJ$1,#REF!&gt;=BJ$1)),#REF!/(#REF! -#REF! +1),0))</f>
        <v>#REF!</v>
      </c>
      <c r="BK101" s="460" t="e">
        <f>IF(AND(#REF!=#REF!,#REF!=BK$1),#REF!,IF(AND(#REF!&gt;=#REF!,AND(#REF!&lt;=BK$1,#REF!&gt;=BK$1)),#REF!/(#REF! -#REF! +1),0))</f>
        <v>#REF!</v>
      </c>
      <c r="BL101" s="460" t="e">
        <f>IF(AND(#REF!=#REF!,#REF!=BL$1),#REF!,IF(AND(#REF!&gt;=#REF!,AND(#REF!&lt;=BL$1,#REF!&gt;=BL$1)),#REF!/(#REF! -#REF! +1),0))</f>
        <v>#REF!</v>
      </c>
      <c r="BM101" s="460" t="e">
        <f>IF(AND(#REF!=#REF!,#REF!=BM$1),#REF!,IF(AND(#REF!&gt;=#REF!,AND(#REF!&lt;=BM$1,#REF!&gt;=BM$1)),#REF!/(#REF! -#REF! +1),0))</f>
        <v>#REF!</v>
      </c>
      <c r="BN101" s="460" t="e">
        <f>IF(AND(#REF!=#REF!,#REF!=BN$1),#REF!,IF(AND(#REF!&gt;=#REF!,AND(#REF!&lt;=BN$1,#REF!&gt;=BN$1)),#REF!/(#REF! -#REF! +1),0))</f>
        <v>#REF!</v>
      </c>
      <c r="BO101" s="460" t="e">
        <f>IF(AND(#REF!=#REF!,#REF!=BO$1),#REF!,IF(AND(#REF!&gt;=#REF!,AND(#REF!&lt;=BO$1,#REF!&gt;=BO$1)),#REF!/(#REF! -#REF! +1),0))</f>
        <v>#REF!</v>
      </c>
      <c r="BP101" s="460" t="e">
        <f>IF(AND(#REF!=#REF!,#REF!=BP$1),#REF!,IF(AND(#REF!&gt;=#REF!,AND(#REF!&lt;=BP$1,#REF!&gt;=BP$1)),#REF!/(#REF! -#REF! +1),0))</f>
        <v>#REF!</v>
      </c>
      <c r="BQ101" s="460" t="e">
        <f>IF(AND(#REF!=#REF!,#REF!=BQ$1),#REF!,IF(AND(#REF!&gt;=#REF!,AND(#REF!&lt;=BQ$1,#REF!&gt;=BQ$1)),#REF!/(#REF! -#REF! +1),0))</f>
        <v>#REF!</v>
      </c>
      <c r="BR101" s="460" t="e">
        <f>IF(AND(#REF!=#REF!,#REF!=BR$1),#REF!,IF(AND(#REF!&gt;=#REF!,AND(#REF!&lt;=BR$1,#REF!&gt;=BR$1)),#REF!/(#REF! -#REF! +1),0))</f>
        <v>#REF!</v>
      </c>
      <c r="BS101" s="460" t="e">
        <f>IF(AND(#REF!=#REF!,#REF!=BS$1),#REF!,IF(AND(#REF!&gt;=#REF!,AND(#REF!&lt;=BS$1,#REF!&gt;=BS$1)),#REF!/(#REF! -#REF! +1),0))</f>
        <v>#REF!</v>
      </c>
      <c r="BT101" s="461" t="e">
        <f>IF(AND(#REF!=#REF!,#REF!=BT$1),#REF!,IF(AND(#REF!&gt;=#REF!,AND(#REF!&lt;=BT$1,#REF!&gt;=BT$1)),#REF!/(#REF! -#REF! +1),0))</f>
        <v>#REF!</v>
      </c>
    </row>
    <row r="102" spans="2:72" ht="13.5" thickBot="1" x14ac:dyDescent="0.25">
      <c r="B102" s="801" t="s">
        <v>1027</v>
      </c>
      <c r="C102" s="1403">
        <f ca="1">SUM(C5:C8)/C80</f>
        <v>0.77567920148666558</v>
      </c>
      <c r="D102" s="497"/>
      <c r="E102" s="497"/>
      <c r="F102" s="497"/>
      <c r="G102" s="497"/>
      <c r="H102" s="2764"/>
      <c r="I102" s="1396"/>
      <c r="J102" s="1397"/>
      <c r="K102" s="1397"/>
      <c r="L102" s="1397"/>
      <c r="M102" s="1319"/>
      <c r="N102" s="1319"/>
      <c r="O102" s="1319"/>
      <c r="P102" s="704"/>
      <c r="Q102" s="704"/>
      <c r="T102" s="1317" t="str">
        <f>Rebanho!C54</f>
        <v>Touro</v>
      </c>
      <c r="U102" s="1312">
        <f>Rebanho!E54</f>
        <v>0</v>
      </c>
      <c r="V102" s="1301">
        <f>IF(U102=0,0,Rebanho!E31)</f>
        <v>0</v>
      </c>
      <c r="W102" s="1313">
        <f>Rebanho!Z53</f>
        <v>0</v>
      </c>
      <c r="X102" s="1308">
        <f>Rebanho!AA139</f>
        <v>0</v>
      </c>
      <c r="Y102" s="1300">
        <f>Suplementação!AT12</f>
        <v>0</v>
      </c>
      <c r="Z102" s="1300">
        <f>Alimentação!Z93</f>
        <v>0</v>
      </c>
      <c r="AA102" s="1300">
        <f>Sanidade!AQ12</f>
        <v>0</v>
      </c>
      <c r="AB102" s="1309">
        <f t="shared" si="25"/>
        <v>0</v>
      </c>
      <c r="AC102" s="1305">
        <f t="shared" si="26"/>
        <v>0</v>
      </c>
      <c r="AD102" s="1305">
        <f t="shared" si="27"/>
        <v>0</v>
      </c>
      <c r="BA102" s="459" t="e">
        <f>#REF!</f>
        <v>#REF!</v>
      </c>
      <c r="BB102" s="460" t="e">
        <f>IF(AND(#REF!=#REF!,#REF!=BB$1),#REF!,IF(AND(#REF!&gt;=#REF!,AND(#REF!&lt;=BB$1,#REF!&gt;=BB$1)),#REF!/(#REF! -#REF! +1),0))</f>
        <v>#REF!</v>
      </c>
      <c r="BC102" s="460" t="e">
        <f>IF(AND(#REF!=#REF!,#REF!=BC$1),#REF!,IF(AND(#REF!&gt;=#REF!,AND(#REF!&lt;=BC$1,#REF!&gt;=BC$1)),#REF!/(#REF! -#REF! +1),0))</f>
        <v>#REF!</v>
      </c>
      <c r="BD102" s="460" t="e">
        <f>IF(AND(#REF!=#REF!,#REF!=BD$1),#REF!,IF(AND(#REF!&gt;=#REF!,AND(#REF!&lt;=BD$1,#REF!&gt;=BD$1)),#REF!/(#REF! -#REF! +1),0))</f>
        <v>#REF!</v>
      </c>
      <c r="BE102" s="460" t="e">
        <f>IF(AND(#REF!=#REF!,#REF!=BE$1),#REF!,IF(AND(#REF!&gt;=#REF!,AND(#REF!&lt;=BE$1,#REF!&gt;=BE$1)),#REF!/(#REF! -#REF! +1),0))</f>
        <v>#REF!</v>
      </c>
      <c r="BF102" s="460" t="e">
        <f>IF(AND(#REF!=#REF!,#REF!=BF$1),#REF!,IF(AND(#REF!&gt;=#REF!,AND(#REF!&lt;=BF$1,#REF!&gt;=BF$1)),#REF!/(#REF! -#REF! +1),0))</f>
        <v>#REF!</v>
      </c>
      <c r="BG102" s="460" t="e">
        <f>IF(AND(#REF!=#REF!,#REF!=BG$1),#REF!,IF(AND(#REF!&gt;=#REF!,AND(#REF!&lt;=BG$1,#REF!&gt;=BG$1)),#REF!/(#REF! -#REF! +1),0))</f>
        <v>#REF!</v>
      </c>
      <c r="BH102" s="460" t="e">
        <f>IF(AND(#REF!=#REF!,#REF!=BH$1),#REF!,IF(AND(#REF!&gt;=#REF!,AND(#REF!&lt;=BH$1,#REF!&gt;=BH$1)),#REF!/(#REF! -#REF! +1),0))</f>
        <v>#REF!</v>
      </c>
      <c r="BI102" s="460" t="e">
        <f>IF(AND(#REF!=#REF!,#REF!=BI$1),#REF!,IF(AND(#REF!&gt;=#REF!,AND(#REF!&lt;=BI$1,#REF!&gt;=BI$1)),#REF!/(#REF! -#REF! +1),0))</f>
        <v>#REF!</v>
      </c>
      <c r="BJ102" s="460" t="e">
        <f>IF(AND(#REF!=#REF!,#REF!=BJ$1),#REF!,IF(AND(#REF!&gt;=#REF!,AND(#REF!&lt;=BJ$1,#REF!&gt;=BJ$1)),#REF!/(#REF! -#REF! +1),0))</f>
        <v>#REF!</v>
      </c>
      <c r="BK102" s="460" t="e">
        <f>IF(AND(#REF!=#REF!,#REF!=BK$1),#REF!,IF(AND(#REF!&gt;=#REF!,AND(#REF!&lt;=BK$1,#REF!&gt;=BK$1)),#REF!/(#REF! -#REF! +1),0))</f>
        <v>#REF!</v>
      </c>
      <c r="BL102" s="460" t="e">
        <f>IF(AND(#REF!=#REF!,#REF!=BL$1),#REF!,IF(AND(#REF!&gt;=#REF!,AND(#REF!&lt;=BL$1,#REF!&gt;=BL$1)),#REF!/(#REF! -#REF! +1),0))</f>
        <v>#REF!</v>
      </c>
      <c r="BM102" s="460" t="e">
        <f>IF(AND(#REF!=#REF!,#REF!=BM$1),#REF!,IF(AND(#REF!&gt;=#REF!,AND(#REF!&lt;=BM$1,#REF!&gt;=BM$1)),#REF!/(#REF! -#REF! +1),0))</f>
        <v>#REF!</v>
      </c>
      <c r="BN102" s="460" t="e">
        <f>IF(AND(#REF!=#REF!,#REF!=BN$1),#REF!,IF(AND(#REF!&gt;=#REF!,AND(#REF!&lt;=BN$1,#REF!&gt;=BN$1)),#REF!/(#REF! -#REF! +1),0))</f>
        <v>#REF!</v>
      </c>
      <c r="BO102" s="460" t="e">
        <f>IF(AND(#REF!=#REF!,#REF!=BO$1),#REF!,IF(AND(#REF!&gt;=#REF!,AND(#REF!&lt;=BO$1,#REF!&gt;=BO$1)),#REF!/(#REF! -#REF! +1),0))</f>
        <v>#REF!</v>
      </c>
      <c r="BP102" s="460" t="e">
        <f>IF(AND(#REF!=#REF!,#REF!=BP$1),#REF!,IF(AND(#REF!&gt;=#REF!,AND(#REF!&lt;=BP$1,#REF!&gt;=BP$1)),#REF!/(#REF! -#REF! +1),0))</f>
        <v>#REF!</v>
      </c>
      <c r="BQ102" s="460" t="e">
        <f>IF(AND(#REF!=#REF!,#REF!=BQ$1),#REF!,IF(AND(#REF!&gt;=#REF!,AND(#REF!&lt;=BQ$1,#REF!&gt;=BQ$1)),#REF!/(#REF! -#REF! +1),0))</f>
        <v>#REF!</v>
      </c>
      <c r="BR102" s="460" t="e">
        <f>IF(AND(#REF!=#REF!,#REF!=BR$1),#REF!,IF(AND(#REF!&gt;=#REF!,AND(#REF!&lt;=BR$1,#REF!&gt;=BR$1)),#REF!/(#REF! -#REF! +1),0))</f>
        <v>#REF!</v>
      </c>
      <c r="BS102" s="460" t="e">
        <f>IF(AND(#REF!=#REF!,#REF!=BS$1),#REF!,IF(AND(#REF!&gt;=#REF!,AND(#REF!&lt;=BS$1,#REF!&gt;=BS$1)),#REF!/(#REF! -#REF! +1),0))</f>
        <v>#REF!</v>
      </c>
      <c r="BT102" s="461" t="e">
        <f>IF(AND(#REF!=#REF!,#REF!=BT$1),#REF!,IF(AND(#REF!&gt;=#REF!,AND(#REF!&lt;=BT$1,#REF!&gt;=BT$1)),#REF!/(#REF! -#REF! +1),0))</f>
        <v>#REF!</v>
      </c>
    </row>
    <row r="103" spans="2:72" ht="13.5" thickBot="1" x14ac:dyDescent="0.25">
      <c r="C103" s="442"/>
      <c r="D103" s="497"/>
      <c r="E103" s="497"/>
      <c r="F103" s="497"/>
      <c r="G103" s="497"/>
      <c r="H103" s="2764"/>
      <c r="I103" s="1396"/>
      <c r="J103" s="1397"/>
      <c r="K103" s="1397"/>
      <c r="L103" s="1397"/>
      <c r="M103" s="1319"/>
      <c r="N103" s="1319"/>
      <c r="O103" s="1319"/>
      <c r="P103" s="704"/>
      <c r="Q103" s="704"/>
      <c r="T103" s="1317" t="str">
        <f>Rebanho!C55</f>
        <v>Bezerras em aleitamento</v>
      </c>
      <c r="U103" s="1312">
        <f>Rebanho!E55</f>
        <v>0</v>
      </c>
      <c r="V103" s="1301">
        <f>IF(U103=0,0,Rebanho!E32)</f>
        <v>0</v>
      </c>
      <c r="W103" s="1313">
        <f>Rebanho!Z54</f>
        <v>0</v>
      </c>
      <c r="X103" s="1308">
        <f>Rebanho!AA140</f>
        <v>0</v>
      </c>
      <c r="Y103" s="1300">
        <f>Suplementação!AT13</f>
        <v>0</v>
      </c>
      <c r="Z103" s="1300">
        <f>Alimentação!Z94</f>
        <v>0</v>
      </c>
      <c r="AA103" s="1300">
        <f>Sanidade!AQ13</f>
        <v>0</v>
      </c>
      <c r="AB103" s="1309">
        <f t="shared" si="25"/>
        <v>0</v>
      </c>
      <c r="AC103" s="1305">
        <f t="shared" si="26"/>
        <v>0</v>
      </c>
      <c r="AD103" s="1305">
        <f t="shared" si="27"/>
        <v>0</v>
      </c>
      <c r="BA103" s="459" t="e">
        <f>#REF!</f>
        <v>#REF!</v>
      </c>
      <c r="BB103" s="460" t="e">
        <f>IF(AND(#REF!=#REF!,#REF!=BB$1),#REF!,IF(AND(#REF!&gt;=#REF!,AND(#REF!&lt;=BB$1,#REF!&gt;=BB$1)),#REF!/(#REF!-#REF!+1),0))</f>
        <v>#REF!</v>
      </c>
      <c r="BC103" s="460" t="e">
        <f>IF(AND(#REF!=#REF!,#REF!=BC$1),#REF!,IF(AND(#REF!&gt;=#REF!,AND(#REF!&lt;=BC$1,#REF!&gt;=BC$1)),#REF!/(#REF! -#REF! +1),0))</f>
        <v>#REF!</v>
      </c>
      <c r="BD103" s="460" t="e">
        <f>IF(AND(#REF!=#REF!,#REF!=BD$1),#REF!,IF(AND(#REF!&gt;=#REF!,AND(#REF!&lt;=BD$1,#REF!&gt;=BD$1)),#REF!/(#REF! -#REF! +1),0))</f>
        <v>#REF!</v>
      </c>
      <c r="BE103" s="460" t="e">
        <f>IF(AND(#REF!=#REF!,#REF!=BE$1),#REF!,IF(AND(#REF!&gt;=#REF!,AND(#REF!&lt;=BE$1,#REF!&gt;=BE$1)),#REF!/(#REF! -#REF! +1),0))</f>
        <v>#REF!</v>
      </c>
      <c r="BF103" s="460" t="e">
        <f>IF(AND(#REF!=#REF!,#REF!=BF$1),#REF!,IF(AND(#REF!&gt;=#REF!,AND(#REF!&lt;=BF$1,#REF!&gt;=BF$1)),#REF!/(#REF! -#REF! +1),0))</f>
        <v>#REF!</v>
      </c>
      <c r="BG103" s="460" t="e">
        <f>IF(AND(#REF!=#REF!,#REF!=BG$1),#REF!,IF(AND(#REF!&gt;=#REF!,AND(#REF!&lt;=BG$1,#REF!&gt;=BG$1)),#REF!/(#REF! -#REF! +1),0))</f>
        <v>#REF!</v>
      </c>
      <c r="BH103" s="460" t="e">
        <f>IF(AND(#REF!=#REF!,#REF!=BH$1),#REF!,IF(AND(#REF!&gt;=#REF!,AND(#REF!&lt;=BH$1,#REF!&gt;=BH$1)),#REF!/(#REF! -#REF! +1),0))</f>
        <v>#REF!</v>
      </c>
      <c r="BI103" s="460" t="e">
        <f>IF(AND(#REF!=#REF!,#REF!=BI$1),#REF!,IF(AND(#REF!&gt;=#REF!,AND(#REF!&lt;=BI$1,#REF!&gt;=BI$1)),#REF!/(#REF! -#REF! +1),0))</f>
        <v>#REF!</v>
      </c>
      <c r="BJ103" s="460" t="e">
        <f>IF(AND(#REF!=#REF!,#REF!=BJ$1),#REF!,IF(AND(#REF!&gt;=#REF!,AND(#REF!&lt;=BJ$1,#REF!&gt;=BJ$1)),#REF!/(#REF! -#REF! +1),0))</f>
        <v>#REF!</v>
      </c>
      <c r="BK103" s="460" t="e">
        <f>IF(AND(#REF!=#REF!,#REF!=BK$1),#REF!,IF(AND(#REF!&gt;=#REF!,AND(#REF!&lt;=BK$1,#REF!&gt;=BK$1)),#REF!/(#REF! -#REF! +1),0))</f>
        <v>#REF!</v>
      </c>
      <c r="BL103" s="460" t="e">
        <f>IF(AND(#REF!=#REF!,#REF!=BL$1),#REF!,IF(AND(#REF!&gt;=#REF!,AND(#REF!&lt;=BL$1,#REF!&gt;=BL$1)),#REF!/(#REF! -#REF! +1),0))</f>
        <v>#REF!</v>
      </c>
      <c r="BM103" s="460" t="e">
        <f>IF(AND(#REF!=#REF!,#REF!=BM$1),#REF!,IF(AND(#REF!&gt;=#REF!,AND(#REF!&lt;=BM$1,#REF!&gt;=BM$1)),#REF!/(#REF! -#REF! +1),0))</f>
        <v>#REF!</v>
      </c>
      <c r="BN103" s="460" t="e">
        <f>IF(AND(#REF!=#REF!,#REF!=BN$1),#REF!,IF(AND(#REF!&gt;=#REF!,AND(#REF!&lt;=BN$1,#REF!&gt;=BN$1)),#REF!/(#REF! -#REF! +1),0))</f>
        <v>#REF!</v>
      </c>
      <c r="BO103" s="460" t="e">
        <f>IF(AND(#REF!=#REF!,#REF!=BO$1),#REF!,IF(AND(#REF!&gt;=#REF!,AND(#REF!&lt;=BO$1,#REF!&gt;=BO$1)),#REF!/(#REF! -#REF! +1),0))</f>
        <v>#REF!</v>
      </c>
      <c r="BP103" s="460" t="e">
        <f>IF(AND(#REF!=#REF!,#REF!=BP$1),#REF!,IF(AND(#REF!&gt;=#REF!,AND(#REF!&lt;=BP$1,#REF!&gt;=BP$1)),#REF!/(#REF! -#REF! +1),0))</f>
        <v>#REF!</v>
      </c>
      <c r="BQ103" s="460" t="e">
        <f>IF(AND(#REF!=#REF!,#REF!=BQ$1),#REF!,IF(AND(#REF!&gt;=#REF!,AND(#REF!&lt;=BQ$1,#REF!&gt;=BQ$1)),#REF!/(#REF! -#REF! +1),0))</f>
        <v>#REF!</v>
      </c>
      <c r="BR103" s="460" t="e">
        <f>IF(AND(#REF!=#REF!,#REF!=BR$1),#REF!,IF(AND(#REF!&gt;=#REF!,AND(#REF!&lt;=BR$1,#REF!&gt;=BR$1)),#REF!/(#REF! -#REF! +1),0))</f>
        <v>#REF!</v>
      </c>
      <c r="BS103" s="460" t="e">
        <f>IF(AND(#REF!=#REF!,#REF!=BS$1),#REF!,IF(AND(#REF!&gt;=#REF!,AND(#REF!&lt;=BS$1,#REF!&gt;=BS$1)),#REF!/(#REF! -#REF! +1),0))</f>
        <v>#REF!</v>
      </c>
      <c r="BT103" s="461" t="e">
        <f>IF(AND(#REF!=#REF!,#REF!=BT$1),#REF!,IF(AND(#REF!&gt;=#REF!,AND(#REF!&lt;=BT$1,#REF!&gt;=BT$1)),#REF!/(#REF! -#REF! +1),0))</f>
        <v>#REF!</v>
      </c>
    </row>
    <row r="104" spans="2:72" x14ac:dyDescent="0.2">
      <c r="B104" s="526" t="s">
        <v>1073</v>
      </c>
      <c r="C104" s="1475">
        <f ca="1">(C94*12)/'Análise TEC'!C20</f>
        <v>35.115845671615254</v>
      </c>
      <c r="D104" s="497"/>
      <c r="E104" s="497"/>
      <c r="F104" s="497"/>
      <c r="G104" s="497"/>
      <c r="H104" s="2764"/>
      <c r="I104" s="1396"/>
      <c r="J104" s="1397"/>
      <c r="K104" s="1397"/>
      <c r="L104" s="1397"/>
      <c r="M104" s="1319"/>
      <c r="N104" s="1319"/>
      <c r="O104" s="1319"/>
      <c r="P104" s="704"/>
      <c r="Q104" s="704"/>
      <c r="T104" s="1317" t="str">
        <f>Rebanho!C56</f>
        <v>Bezerras desmamadas</v>
      </c>
      <c r="U104" s="1312">
        <f>Rebanho!E56</f>
        <v>0</v>
      </c>
      <c r="V104" s="1301">
        <f>IF(U104=0,0,Rebanho!E33)</f>
        <v>0</v>
      </c>
      <c r="W104" s="1313">
        <f>Rebanho!Z55</f>
        <v>0</v>
      </c>
      <c r="X104" s="1308">
        <f>Rebanho!AA141</f>
        <v>0</v>
      </c>
      <c r="Y104" s="1300">
        <f>Suplementação!AT14</f>
        <v>0</v>
      </c>
      <c r="Z104" s="1300">
        <f>Alimentação!Z95</f>
        <v>0</v>
      </c>
      <c r="AA104" s="1300">
        <f>Sanidade!AQ14</f>
        <v>0</v>
      </c>
      <c r="AB104" s="1309">
        <f t="shared" si="25"/>
        <v>0</v>
      </c>
      <c r="AC104" s="1305">
        <f t="shared" si="26"/>
        <v>0</v>
      </c>
      <c r="AD104" s="1305">
        <f t="shared" si="27"/>
        <v>0</v>
      </c>
      <c r="BA104" s="459" t="e">
        <f>VLOOKUP(#REF!,'Mão-de-obra'!$CJ$10:$CK$29,2)</f>
        <v>#REF!</v>
      </c>
      <c r="BB104" s="460" t="e">
        <f>IF(AND(#REF!=#REF!,#REF!=BB$1),#REF!,IF(AND(#REF!&gt;=#REF!,AND(#REF!&lt;=BB$1,#REF!&gt;=BB$1)),#REF!/(#REF!-#REF!+1),0))</f>
        <v>#REF!</v>
      </c>
      <c r="BC104" s="460" t="e">
        <f>IF(AND(#REF!=#REF!,#REF!=BC$1),#REF!,IF(AND(#REF!&gt;=#REF!,AND(#REF!&lt;=BC$1,#REF!&gt;=BC$1)),#REF!/(#REF!-#REF!+1),0))</f>
        <v>#REF!</v>
      </c>
      <c r="BD104" s="460" t="e">
        <f>IF(AND(#REF!=#REF!,#REF!=BD$1),#REF!,IF(AND(#REF!&gt;=#REF!,AND(#REF!&lt;=BD$1,#REF!&gt;=BD$1)),#REF!/(#REF!-#REF!+1),0))</f>
        <v>#REF!</v>
      </c>
      <c r="BE104" s="460" t="e">
        <f>IF(AND(#REF!=#REF!,#REF!=BE$1),#REF!,IF(AND(#REF!&gt;=#REF!,AND(#REF!&lt;=BE$1,#REF!&gt;=BE$1)),#REF!/(#REF!-#REF!+1),0))</f>
        <v>#REF!</v>
      </c>
      <c r="BF104" s="460" t="e">
        <f>IF(AND(#REF!=#REF!,#REF!=BF$1),#REF!,IF(AND(#REF!&gt;=#REF!,AND(#REF!&lt;=BF$1,#REF!&gt;=BF$1)),#REF!/(#REF!-#REF!+1),0))</f>
        <v>#REF!</v>
      </c>
      <c r="BG104" s="460" t="e">
        <f>IF(AND(#REF!=#REF!,#REF!=BG$1),#REF!,IF(AND(#REF!&gt;=#REF!,AND(#REF!&lt;=BG$1,#REF!&gt;=BG$1)),#REF!/(#REF!-#REF!+1),0))</f>
        <v>#REF!</v>
      </c>
      <c r="BH104" s="460" t="e">
        <f>IF(AND(#REF!=#REF!,#REF!=BH$1),#REF!,IF(AND(#REF!&gt;=#REF!,AND(#REF!&lt;=BH$1,#REF!&gt;=BH$1)),#REF!/(#REF!-#REF!+1),0))</f>
        <v>#REF!</v>
      </c>
      <c r="BI104" s="460" t="e">
        <f>IF(AND(#REF!=#REF!,#REF!=BI$1),#REF!,IF(AND(#REF!&gt;=#REF!,AND(#REF!&lt;=BI$1,#REF!&gt;=BI$1)),#REF!/(#REF!-#REF!+1),0))</f>
        <v>#REF!</v>
      </c>
      <c r="BJ104" s="460" t="e">
        <f>IF(AND(#REF!=#REF!,#REF!=BJ$1),#REF!,IF(AND(#REF!&gt;=#REF!,AND(#REF!&lt;=BJ$1,#REF!&gt;=BJ$1)),#REF!/(#REF!-#REF!+1),0))</f>
        <v>#REF!</v>
      </c>
      <c r="BK104" s="460" t="e">
        <f>IF(AND(#REF!=#REF!,#REF!=BK$1),#REF!,IF(AND(#REF!&gt;=#REF!,AND(#REF!&lt;=BK$1,#REF!&gt;=BK$1)),#REF!/(#REF!-#REF!+1),0))</f>
        <v>#REF!</v>
      </c>
      <c r="BL104" s="460" t="e">
        <f>IF(AND(#REF!=#REF!,#REF!=BL$1),#REF!,IF(AND(#REF!&gt;=#REF!,AND(#REF!&lt;=BL$1,#REF!&gt;=BL$1)),#REF!/(#REF!-#REF!+1),0))</f>
        <v>#REF!</v>
      </c>
      <c r="BM104" s="460" t="e">
        <f>IF(AND(#REF!=#REF!,#REF!=BM$1),#REF!,IF(AND(#REF!&gt;=#REF!,AND(#REF!&lt;=BM$1,#REF!&gt;=BM$1)),#REF!/(#REF!-#REF!+1),0))</f>
        <v>#REF!</v>
      </c>
      <c r="BN104" s="460" t="e">
        <f>IF(AND(#REF!=#REF!,#REF!=BN$1),#REF!,IF(AND(#REF!&gt;=#REF!,AND(#REF!&lt;=BN$1,#REF!&gt;=BN$1)),#REF!/(#REF!-#REF!+1),0))</f>
        <v>#REF!</v>
      </c>
      <c r="BO104" s="460" t="e">
        <f>IF(AND(#REF!=#REF!,#REF!=BO$1),#REF!,IF(AND(#REF!&gt;=#REF!,AND(#REF!&lt;=BO$1,#REF!&gt;=BO$1)),#REF!/(#REF!-#REF!+1),0))</f>
        <v>#REF!</v>
      </c>
      <c r="BP104" s="460" t="e">
        <f>IF(AND(#REF!=#REF!,#REF!=BP$1),#REF!,IF(AND(#REF!&gt;=#REF!,AND(#REF!&lt;=BP$1,#REF!&gt;=BP$1)),#REF!/(#REF!-#REF!+1),0))</f>
        <v>#REF!</v>
      </c>
      <c r="BQ104" s="460" t="e">
        <f>IF(AND(#REF!=#REF!,#REF!=BQ$1),#REF!,IF(AND(#REF!&gt;=#REF!,AND(#REF!&lt;=BQ$1,#REF!&gt;=BQ$1)),#REF!/(#REF!-#REF!+1),0))</f>
        <v>#REF!</v>
      </c>
      <c r="BR104" s="460" t="e">
        <f>IF(AND(#REF!=#REF!,#REF!=BR$1),#REF!,IF(AND(#REF!&gt;=#REF!,AND(#REF!&lt;=BR$1,#REF!&gt;=BR$1)),#REF!/(#REF!-#REF!+1),0))</f>
        <v>#REF!</v>
      </c>
      <c r="BS104" s="460" t="e">
        <f>IF(AND(#REF!=#REF!,#REF!=BS$1),#REF!,IF(AND(#REF!&gt;=#REF!,AND(#REF!&lt;=BS$1,#REF!&gt;=BS$1)),#REF!/(#REF!-#REF!+1),0))</f>
        <v>#REF!</v>
      </c>
      <c r="BT104" s="461" t="e">
        <f>IF(AND(#REF!=#REF!,#REF!=BT$1),#REF!,IF(AND(#REF!&gt;=#REF!,AND(#REF!&lt;=BT$1,#REF!&gt;=BT$1)),#REF!/(#REF!-#REF!+1),0))</f>
        <v>#REF!</v>
      </c>
    </row>
    <row r="105" spans="2:72" x14ac:dyDescent="0.2">
      <c r="B105" s="527" t="s">
        <v>1072</v>
      </c>
      <c r="C105" s="1476">
        <f ca="1">(C95*12)/'Análise TEC'!C20</f>
        <v>8.3882892117300027</v>
      </c>
      <c r="D105" s="497"/>
      <c r="E105" s="497"/>
      <c r="F105" s="497"/>
      <c r="G105" s="497"/>
      <c r="H105" s="2764"/>
      <c r="I105" s="1396"/>
      <c r="J105" s="1397"/>
      <c r="K105" s="1397"/>
      <c r="L105" s="1397"/>
      <c r="M105" s="1319"/>
      <c r="N105" s="1319"/>
      <c r="O105" s="1319"/>
      <c r="P105" s="704"/>
      <c r="Q105" s="704"/>
      <c r="T105" s="1317" t="str">
        <f>Rebanho!C57</f>
        <v>Novilhas sobreano</v>
      </c>
      <c r="U105" s="1312">
        <f>Rebanho!E57</f>
        <v>0</v>
      </c>
      <c r="V105" s="1301">
        <f>IF(U105=0,0,Rebanho!E34)</f>
        <v>0</v>
      </c>
      <c r="W105" s="1313">
        <f>Rebanho!Z56</f>
        <v>0</v>
      </c>
      <c r="X105" s="1308">
        <f>Rebanho!AA142</f>
        <v>0</v>
      </c>
      <c r="Y105" s="1300">
        <f>Suplementação!AT15</f>
        <v>0</v>
      </c>
      <c r="Z105" s="1300">
        <f>Alimentação!Z96</f>
        <v>0</v>
      </c>
      <c r="AA105" s="1300">
        <f>Sanidade!AQ15</f>
        <v>0</v>
      </c>
      <c r="AB105" s="1309">
        <f t="shared" si="25"/>
        <v>0</v>
      </c>
      <c r="AC105" s="1305">
        <f t="shared" si="26"/>
        <v>0</v>
      </c>
      <c r="AD105" s="1305">
        <f t="shared" si="27"/>
        <v>0</v>
      </c>
      <c r="BA105" s="459" t="e">
        <f>VLOOKUP(#REF!,'Mão-de-obra'!$CJ$10:$CK$29,2)</f>
        <v>#REF!</v>
      </c>
      <c r="BB105" s="460" t="e">
        <f>IF(AND(#REF!=#REF!,#REF!=BB$1),#REF!,IF(AND(#REF!&gt;=#REF!,AND(#REF!&lt;=BB$1,#REF!&gt;=BB$1)),#REF!/(#REF!-#REF!+1),0))</f>
        <v>#REF!</v>
      </c>
      <c r="BC105" s="460" t="e">
        <f>IF(AND(#REF!=#REF!,#REF!=BC$1),#REF!,IF(AND(#REF!&gt;=#REF!,AND(#REF!&lt;=BC$1,#REF!&gt;=BC$1)),#REF!/(#REF!-#REF!+1),0))</f>
        <v>#REF!</v>
      </c>
      <c r="BD105" s="460" t="e">
        <f>IF(AND(#REF!=#REF!,#REF!=BD$1),#REF!,IF(AND(#REF!&gt;=#REF!,AND(#REF!&lt;=BD$1,#REF!&gt;=BD$1)),#REF!/(#REF!-#REF!+1),0))</f>
        <v>#REF!</v>
      </c>
      <c r="BE105" s="460" t="e">
        <f>IF(AND(#REF!=#REF!,#REF!=BE$1),#REF!,IF(AND(#REF!&gt;=#REF!,AND(#REF!&lt;=BE$1,#REF!&gt;=BE$1)),#REF!/(#REF!-#REF!+1),0))</f>
        <v>#REF!</v>
      </c>
      <c r="BF105" s="460" t="e">
        <f>IF(AND(#REF!=#REF!,#REF!=BF$1),#REF!,IF(AND(#REF!&gt;=#REF!,AND(#REF!&lt;=BF$1,#REF!&gt;=BF$1)),#REF!/(#REF!-#REF!+1),0))</f>
        <v>#REF!</v>
      </c>
      <c r="BG105" s="460" t="e">
        <f>IF(AND(#REF!=#REF!,#REF!=BG$1),#REF!,IF(AND(#REF!&gt;=#REF!,AND(#REF!&lt;=BG$1,#REF!&gt;=BG$1)),#REF!/(#REF!-#REF!+1),0))</f>
        <v>#REF!</v>
      </c>
      <c r="BH105" s="460" t="e">
        <f>IF(AND(#REF!=#REF!,#REF!=BH$1),#REF!,IF(AND(#REF!&gt;=#REF!,AND(#REF!&lt;=BH$1,#REF!&gt;=BH$1)),#REF!/(#REF!-#REF!+1),0))</f>
        <v>#REF!</v>
      </c>
      <c r="BI105" s="460" t="e">
        <f>IF(AND(#REF!=#REF!,#REF!=BI$1),#REF!,IF(AND(#REF!&gt;=#REF!,AND(#REF!&lt;=BI$1,#REF!&gt;=BI$1)),#REF!/(#REF!-#REF!+1),0))</f>
        <v>#REF!</v>
      </c>
      <c r="BJ105" s="460" t="e">
        <f>IF(AND(#REF!=#REF!,#REF!=BJ$1),#REF!,IF(AND(#REF!&gt;=#REF!,AND(#REF!&lt;=BJ$1,#REF!&gt;=BJ$1)),#REF!/(#REF!-#REF!+1),0))</f>
        <v>#REF!</v>
      </c>
      <c r="BK105" s="460" t="e">
        <f>IF(AND(#REF!=#REF!,#REF!=BK$1),#REF!,IF(AND(#REF!&gt;=#REF!,AND(#REF!&lt;=BK$1,#REF!&gt;=BK$1)),#REF!/(#REF!-#REF!+1),0))</f>
        <v>#REF!</v>
      </c>
      <c r="BL105" s="460" t="e">
        <f>IF(AND(#REF!=#REF!,#REF!=BL$1),#REF!,IF(AND(#REF!&gt;=#REF!,AND(#REF!&lt;=BL$1,#REF!&gt;=BL$1)),#REF!/(#REF!-#REF!+1),0))</f>
        <v>#REF!</v>
      </c>
      <c r="BM105" s="460" t="e">
        <f>IF(AND(#REF!=#REF!,#REF!=BM$1),#REF!,IF(AND(#REF!&gt;=#REF!,AND(#REF!&lt;=BM$1,#REF!&gt;=BM$1)),#REF!/(#REF!-#REF!+1),0))</f>
        <v>#REF!</v>
      </c>
      <c r="BN105" s="460" t="e">
        <f>IF(AND(#REF!=#REF!,#REF!=BN$1),#REF!,IF(AND(#REF!&gt;=#REF!,AND(#REF!&lt;=BN$1,#REF!&gt;=BN$1)),#REF!/(#REF!-#REF!+1),0))</f>
        <v>#REF!</v>
      </c>
      <c r="BO105" s="460" t="e">
        <f>IF(AND(#REF!=#REF!,#REF!=BO$1),#REF!,IF(AND(#REF!&gt;=#REF!,AND(#REF!&lt;=BO$1,#REF!&gt;=BO$1)),#REF!/(#REF!-#REF!+1),0))</f>
        <v>#REF!</v>
      </c>
      <c r="BP105" s="460" t="e">
        <f>IF(AND(#REF!=#REF!,#REF!=BP$1),#REF!,IF(AND(#REF!&gt;=#REF!,AND(#REF!&lt;=BP$1,#REF!&gt;=BP$1)),#REF!/(#REF!-#REF!+1),0))</f>
        <v>#REF!</v>
      </c>
      <c r="BQ105" s="460" t="e">
        <f>IF(AND(#REF!=#REF!,#REF!=BQ$1),#REF!,IF(AND(#REF!&gt;=#REF!,AND(#REF!&lt;=BQ$1,#REF!&gt;=BQ$1)),#REF!/(#REF!-#REF!+1),0))</f>
        <v>#REF!</v>
      </c>
      <c r="BR105" s="460" t="e">
        <f>IF(AND(#REF!=#REF!,#REF!=BR$1),#REF!,IF(AND(#REF!&gt;=#REF!,AND(#REF!&lt;=BR$1,#REF!&gt;=BR$1)),#REF!/(#REF!-#REF!+1),0))</f>
        <v>#REF!</v>
      </c>
      <c r="BS105" s="460" t="e">
        <f>IF(AND(#REF!=#REF!,#REF!=BS$1),#REF!,IF(AND(#REF!&gt;=#REF!,AND(#REF!&lt;=BS$1,#REF!&gt;=BS$1)),#REF!/(#REF!-#REF!+1),0))</f>
        <v>#REF!</v>
      </c>
      <c r="BT105" s="461" t="e">
        <f>IF(AND(#REF!=#REF!,#REF!=BT$1),#REF!,IF(AND(#REF!&gt;=#REF!,AND(#REF!&lt;=BT$1,#REF!&gt;=BT$1)),#REF!/(#REF!-#REF!+1),0))</f>
        <v>#REF!</v>
      </c>
    </row>
    <row r="106" spans="2:72" ht="13.5" thickBot="1" x14ac:dyDescent="0.25">
      <c r="B106" s="1449" t="s">
        <v>1074</v>
      </c>
      <c r="C106" s="1477">
        <f ca="1">(C96*12)/'Análise TEC'!C20</f>
        <v>-49.440821503420302</v>
      </c>
      <c r="D106" s="497"/>
      <c r="E106" s="497"/>
      <c r="F106" s="497"/>
      <c r="G106" s="497"/>
      <c r="H106" s="2764"/>
      <c r="I106" s="1396"/>
      <c r="J106" s="1397"/>
      <c r="K106" s="1397"/>
      <c r="L106" s="1397"/>
      <c r="M106" s="1319"/>
      <c r="N106" s="1319"/>
      <c r="O106" s="1319"/>
      <c r="P106" s="704"/>
      <c r="Q106" s="704"/>
      <c r="T106" s="1317" t="str">
        <f>Rebanho!C58</f>
        <v>Novilhas preenhe</v>
      </c>
      <c r="U106" s="1312">
        <f>Rebanho!E58</f>
        <v>0</v>
      </c>
      <c r="V106" s="1301">
        <f>IF(U106=0,0,Rebanho!E35)</f>
        <v>0</v>
      </c>
      <c r="W106" s="1313">
        <f>Rebanho!Z57</f>
        <v>0</v>
      </c>
      <c r="X106" s="1308">
        <f>Rebanho!AA143</f>
        <v>0</v>
      </c>
      <c r="Y106" s="1300">
        <f>Suplementação!AT16</f>
        <v>0</v>
      </c>
      <c r="Z106" s="1300">
        <f>Alimentação!Z97</f>
        <v>0</v>
      </c>
      <c r="AA106" s="1300">
        <f>Sanidade!AQ16</f>
        <v>0</v>
      </c>
      <c r="AB106" s="1309">
        <f t="shared" si="25"/>
        <v>0</v>
      </c>
      <c r="AC106" s="1305">
        <f t="shared" si="26"/>
        <v>0</v>
      </c>
      <c r="AD106" s="1305">
        <f t="shared" si="27"/>
        <v>0</v>
      </c>
      <c r="BA106" s="476" t="e">
        <f>VLOOKUP(#REF!,'Mão-de-obra'!$CJ$10:$CK$29,2)</f>
        <v>#REF!</v>
      </c>
      <c r="BB106" s="477" t="e">
        <f>IF(AND(#REF!=#REF!,#REF!=BB$1),#REF!,IF(AND(#REF!&gt;=#REF!,AND(#REF!&lt;=BB$1,#REF!&gt;=BB$1)),#REF!/(#REF!-#REF!+1),0))</f>
        <v>#REF!</v>
      </c>
      <c r="BC106" s="477" t="e">
        <f>IF(AND(#REF!=#REF!,#REF!=BC$1),#REF!,IF(AND(#REF!&gt;=#REF!,AND(#REF!&lt;=BC$1,#REF!&gt;=BC$1)),#REF!/(#REF!-#REF!+1),0))</f>
        <v>#REF!</v>
      </c>
      <c r="BD106" s="477" t="e">
        <f>IF(AND(#REF!=#REF!,#REF!=BD$1),#REF!,IF(AND(#REF!&gt;=#REF!,AND(#REF!&lt;=BD$1,#REF!&gt;=BD$1)),#REF!/(#REF!-#REF!+1),0))</f>
        <v>#REF!</v>
      </c>
      <c r="BE106" s="477" t="e">
        <f>IF(AND(#REF!=#REF!,#REF!=BE$1),#REF!,IF(AND(#REF!&gt;=#REF!,AND(#REF!&lt;=BE$1,#REF!&gt;=BE$1)),#REF!/(#REF!-#REF!+1),0))</f>
        <v>#REF!</v>
      </c>
      <c r="BF106" s="477" t="e">
        <f>IF(AND(#REF!=#REF!,#REF!=BF$1),#REF!,IF(AND(#REF!&gt;=#REF!,AND(#REF!&lt;=BF$1,#REF!&gt;=BF$1)),#REF!/(#REF!-#REF!+1),0))</f>
        <v>#REF!</v>
      </c>
      <c r="BG106" s="477" t="e">
        <f>IF(AND(#REF!=#REF!,#REF!=BG$1),#REF!,IF(AND(#REF!&gt;=#REF!,AND(#REF!&lt;=BG$1,#REF!&gt;=BG$1)),#REF!/(#REF!-#REF!+1),0))</f>
        <v>#REF!</v>
      </c>
      <c r="BH106" s="477" t="e">
        <f>IF(AND(#REF!=#REF!,#REF!=BH$1),#REF!,IF(AND(#REF!&gt;=#REF!,AND(#REF!&lt;=BH$1,#REF!&gt;=BH$1)),#REF!/(#REF!-#REF!+1),0))</f>
        <v>#REF!</v>
      </c>
      <c r="BI106" s="477" t="e">
        <f>IF(AND(#REF!=#REF!,#REF!=BI$1),#REF!,IF(AND(#REF!&gt;=#REF!,AND(#REF!&lt;=BI$1,#REF!&gt;=BI$1)),#REF!/(#REF!-#REF!+1),0))</f>
        <v>#REF!</v>
      </c>
      <c r="BJ106" s="477" t="e">
        <f>IF(AND(#REF!=#REF!,#REF!=BJ$1),#REF!,IF(AND(#REF!&gt;=#REF!,AND(#REF!&lt;=BJ$1,#REF!&gt;=BJ$1)),#REF!/(#REF!-#REF!+1),0))</f>
        <v>#REF!</v>
      </c>
      <c r="BK106" s="477" t="e">
        <f>IF(AND(#REF!=#REF!,#REF!=BK$1),#REF!,IF(AND(#REF!&gt;=#REF!,AND(#REF!&lt;=BK$1,#REF!&gt;=BK$1)),#REF!/(#REF!-#REF!+1),0))</f>
        <v>#REF!</v>
      </c>
      <c r="BL106" s="477" t="e">
        <f>IF(AND(#REF!=#REF!,#REF!=BL$1),#REF!,IF(AND(#REF!&gt;=#REF!,AND(#REF!&lt;=BL$1,#REF!&gt;=BL$1)),#REF!/(#REF!-#REF!+1),0))</f>
        <v>#REF!</v>
      </c>
      <c r="BM106" s="477" t="e">
        <f>IF(AND(#REF!=#REF!,#REF!=BM$1),#REF!,IF(AND(#REF!&gt;=#REF!,AND(#REF!&lt;=BM$1,#REF!&gt;=BM$1)),#REF!/(#REF!-#REF!+1),0))</f>
        <v>#REF!</v>
      </c>
      <c r="BN106" s="477" t="e">
        <f>IF(AND(#REF!=#REF!,#REF!=BN$1),#REF!,IF(AND(#REF!&gt;=#REF!,AND(#REF!&lt;=BN$1,#REF!&gt;=BN$1)),#REF!/(#REF!-#REF!+1),0))</f>
        <v>#REF!</v>
      </c>
      <c r="BO106" s="477" t="e">
        <f>IF(AND(#REF!=#REF!,#REF!=BO$1),#REF!,IF(AND(#REF!&gt;=#REF!,AND(#REF!&lt;=BO$1,#REF!&gt;=BO$1)),#REF!/(#REF!-#REF!+1),0))</f>
        <v>#REF!</v>
      </c>
      <c r="BP106" s="477" t="e">
        <f>IF(AND(#REF!=#REF!,#REF!=BP$1),#REF!,IF(AND(#REF!&gt;=#REF!,AND(#REF!&lt;=BP$1,#REF!&gt;=BP$1)),#REF!/(#REF!-#REF!+1),0))</f>
        <v>#REF!</v>
      </c>
      <c r="BQ106" s="477" t="e">
        <f>IF(AND(#REF!=#REF!,#REF!=BQ$1),#REF!,IF(AND(#REF!&gt;=#REF!,AND(#REF!&lt;=BQ$1,#REF!&gt;=BQ$1)),#REF!/(#REF!-#REF!+1),0))</f>
        <v>#REF!</v>
      </c>
      <c r="BR106" s="477" t="e">
        <f>IF(AND(#REF!=#REF!,#REF!=BR$1),#REF!,IF(AND(#REF!&gt;=#REF!,AND(#REF!&lt;=BR$1,#REF!&gt;=BR$1)),#REF!/(#REF!-#REF!+1),0))</f>
        <v>#REF!</v>
      </c>
      <c r="BS106" s="477" t="e">
        <f>IF(AND(#REF!=#REF!,#REF!=BS$1),#REF!,IF(AND(#REF!&gt;=#REF!,AND(#REF!&lt;=BS$1,#REF!&gt;=BS$1)),#REF!/(#REF!-#REF!+1),0))</f>
        <v>#REF!</v>
      </c>
      <c r="BT106" s="493" t="e">
        <f>IF(AND(#REF!=#REF!,#REF!=BT$1),#REF!,IF(AND(#REF!&gt;=#REF!,AND(#REF!&lt;=BT$1,#REF!&gt;=BT$1)),#REF!/(#REF!-#REF!+1),0))</f>
        <v>#REF!</v>
      </c>
    </row>
    <row r="107" spans="2:72" ht="14.25" thickTop="1" thickBot="1" x14ac:dyDescent="0.25">
      <c r="B107" s="1448" t="s">
        <v>1075</v>
      </c>
      <c r="C107" s="1478">
        <f ca="1">(C94*12)/'Análise TEC'!C22</f>
        <v>23.621239837675159</v>
      </c>
      <c r="D107" s="497"/>
      <c r="E107" s="497"/>
      <c r="F107" s="497"/>
      <c r="G107" s="497"/>
      <c r="H107" s="2764"/>
      <c r="I107" s="1396"/>
      <c r="J107" s="1397"/>
      <c r="K107" s="1397"/>
      <c r="L107" s="1397"/>
      <c r="M107" s="1319"/>
      <c r="N107" s="2735"/>
      <c r="O107" s="2735"/>
      <c r="P107" s="2735"/>
      <c r="Q107" s="2735"/>
      <c r="T107" s="1317" t="str">
        <f>Rebanho!C59</f>
        <v>Vacas primíparas</v>
      </c>
      <c r="U107" s="1312">
        <f>Rebanho!E59</f>
        <v>0</v>
      </c>
      <c r="V107" s="1301">
        <f>IF(U107=0,0,Rebanho!E36)</f>
        <v>0</v>
      </c>
      <c r="W107" s="1313">
        <f>Rebanho!Z58</f>
        <v>0</v>
      </c>
      <c r="X107" s="1308">
        <f>Rebanho!AA144</f>
        <v>0</v>
      </c>
      <c r="Y107" s="1300">
        <f>Suplementação!AT17</f>
        <v>0</v>
      </c>
      <c r="Z107" s="1300">
        <f>Alimentação!Z98</f>
        <v>0</v>
      </c>
      <c r="AA107" s="1300">
        <f>Sanidade!AQ17</f>
        <v>0</v>
      </c>
      <c r="AB107" s="1309">
        <f t="shared" si="25"/>
        <v>0</v>
      </c>
      <c r="AC107" s="1305">
        <f t="shared" si="26"/>
        <v>0</v>
      </c>
      <c r="AD107" s="1305">
        <f t="shared" si="27"/>
        <v>0</v>
      </c>
      <c r="BA107" s="473" t="s">
        <v>2</v>
      </c>
      <c r="BB107" s="479" t="e">
        <f t="shared" ref="BB107:BT107" si="28">SUM(BB66:BB106)</f>
        <v>#REF!</v>
      </c>
      <c r="BC107" s="479" t="e">
        <f t="shared" si="28"/>
        <v>#REF!</v>
      </c>
      <c r="BD107" s="479" t="e">
        <f t="shared" si="28"/>
        <v>#REF!</v>
      </c>
      <c r="BE107" s="479" t="e">
        <f t="shared" si="28"/>
        <v>#REF!</v>
      </c>
      <c r="BF107" s="479" t="e">
        <f t="shared" si="28"/>
        <v>#REF!</v>
      </c>
      <c r="BG107" s="479" t="e">
        <f t="shared" si="28"/>
        <v>#REF!</v>
      </c>
      <c r="BH107" s="479" t="e">
        <f t="shared" si="28"/>
        <v>#REF!</v>
      </c>
      <c r="BI107" s="479" t="e">
        <f t="shared" si="28"/>
        <v>#REF!</v>
      </c>
      <c r="BJ107" s="479" t="e">
        <f t="shared" si="28"/>
        <v>#REF!</v>
      </c>
      <c r="BK107" s="479" t="e">
        <f t="shared" si="28"/>
        <v>#REF!</v>
      </c>
      <c r="BL107" s="479" t="e">
        <f t="shared" si="28"/>
        <v>#REF!</v>
      </c>
      <c r="BM107" s="479" t="e">
        <f t="shared" si="28"/>
        <v>#REF!</v>
      </c>
      <c r="BN107" s="479" t="e">
        <f t="shared" si="28"/>
        <v>#REF!</v>
      </c>
      <c r="BO107" s="479" t="e">
        <f t="shared" si="28"/>
        <v>#REF!</v>
      </c>
      <c r="BP107" s="479" t="e">
        <f t="shared" si="28"/>
        <v>#REF!</v>
      </c>
      <c r="BQ107" s="479" t="e">
        <f t="shared" si="28"/>
        <v>#REF!</v>
      </c>
      <c r="BR107" s="479" t="e">
        <f t="shared" si="28"/>
        <v>#REF!</v>
      </c>
      <c r="BS107" s="479" t="e">
        <f t="shared" si="28"/>
        <v>#REF!</v>
      </c>
      <c r="BT107" s="498" t="e">
        <f t="shared" si="28"/>
        <v>#REF!</v>
      </c>
    </row>
    <row r="108" spans="2:72" x14ac:dyDescent="0.2">
      <c r="B108" s="527" t="s">
        <v>1076</v>
      </c>
      <c r="C108" s="1476">
        <f ca="1">(C95*12)/'Análise TEC'!C22</f>
        <v>5.6425180003060245</v>
      </c>
      <c r="D108" s="497"/>
      <c r="E108" s="497"/>
      <c r="F108" s="497"/>
      <c r="G108" s="497"/>
      <c r="H108" s="2764"/>
      <c r="I108" s="1396"/>
      <c r="J108" s="1397"/>
      <c r="K108" s="1397"/>
      <c r="L108" s="1397"/>
      <c r="M108" s="1319"/>
      <c r="N108" s="2735"/>
      <c r="O108" s="2735"/>
      <c r="P108" s="2735"/>
      <c r="Q108" s="2735"/>
      <c r="T108" s="1317" t="str">
        <f>Rebanho!C60</f>
        <v>Vacas em lactação multiparas</v>
      </c>
      <c r="U108" s="1312">
        <f>Rebanho!E60</f>
        <v>0</v>
      </c>
      <c r="V108" s="1301">
        <f>IF(U108=0,0,Rebanho!E37)</f>
        <v>0</v>
      </c>
      <c r="W108" s="1313">
        <f>Rebanho!Z59</f>
        <v>0</v>
      </c>
      <c r="X108" s="1308">
        <f>Rebanho!AA145</f>
        <v>0</v>
      </c>
      <c r="Y108" s="1300">
        <f>Suplementação!AT18</f>
        <v>0</v>
      </c>
      <c r="Z108" s="1300">
        <f>Alimentação!Z99</f>
        <v>0</v>
      </c>
      <c r="AA108" s="1300">
        <f>Sanidade!AQ18</f>
        <v>0</v>
      </c>
      <c r="AB108" s="1309">
        <f t="shared" si="25"/>
        <v>0</v>
      </c>
      <c r="AC108" s="1305">
        <f t="shared" si="26"/>
        <v>0</v>
      </c>
      <c r="AD108" s="1305">
        <f t="shared" si="27"/>
        <v>0</v>
      </c>
      <c r="BA108" s="454">
        <f>VLOOKUP(Suplementação!C7,Dados!$A$14:$Q$81,17)</f>
        <v>0</v>
      </c>
      <c r="BB108" s="455">
        <f>IF(AND(Suplementação!$T7=Suplementação!$S7,Suplementação!$S7=BB$1),Suplementação!$R7,IF(AND(Suplementação!$T7&gt;=Suplementação!$S7,AND(Suplementação!$S7&lt;=BB$1,Suplementação!$T7&gt;=BB$1)),Suplementação!$R7 /(Suplementação!$T7-Suplementação!$S7+1),0))</f>
        <v>0</v>
      </c>
      <c r="BC108" s="455">
        <f>IF(AND(Suplementação!$T7=Suplementação!$S7,Suplementação!$S7=BC$1),Suplementação!$R7,IF(AND(Suplementação!$T7&gt;=Suplementação!$S7,AND(Suplementação!$S7&lt;=BC$1,Suplementação!$T7&gt;=BC$1)),Suplementação!$R7 /(Suplementação!$T7-Suplementação!$S7+1),0))</f>
        <v>0</v>
      </c>
      <c r="BD108" s="455">
        <f>IF(AND(Suplementação!$T7=Suplementação!$S7,Suplementação!$S7=BD$1),Suplementação!$R7,IF(AND(Suplementação!$T7&gt;=Suplementação!$S7,AND(Suplementação!$S7&lt;=BD$1,Suplementação!$T7&gt;=BD$1)),Suplementação!$R7 /(Suplementação!$T7-Suplementação!$S7+1),0))</f>
        <v>0</v>
      </c>
      <c r="BE108" s="455">
        <f>IF(AND(Suplementação!$T7=Suplementação!$S7,Suplementação!$S7=BE$1),Suplementação!$R7,IF(AND(Suplementação!$T7&gt;=Suplementação!$S7,AND(Suplementação!$S7&lt;=BE$1,Suplementação!$T7&gt;=BE$1)),Suplementação!$R7 /(Suplementação!$T7-Suplementação!$S7+1),0))</f>
        <v>0</v>
      </c>
      <c r="BF108" s="455">
        <f>IF(AND(Suplementação!$T7=Suplementação!$S7,Suplementação!$S7=BF$1),Suplementação!$R7,IF(AND(Suplementação!$T7&gt;=Suplementação!$S7,AND(Suplementação!$S7&lt;=BF$1,Suplementação!$T7&gt;=BF$1)),Suplementação!$R7 /(Suplementação!$T7-Suplementação!$S7+1),0))</f>
        <v>0</v>
      </c>
      <c r="BG108" s="455">
        <f>IF(AND(Suplementação!$T7=Suplementação!$S7,Suplementação!$S7=BG$1),Suplementação!$R7,IF(AND(Suplementação!$T7&gt;=Suplementação!$S7,AND(Suplementação!$S7&lt;=BG$1,Suplementação!$T7&gt;=BG$1)),Suplementação!$R7 /(Suplementação!$T7-Suplementação!$S7+1),0))</f>
        <v>0</v>
      </c>
      <c r="BH108" s="455">
        <f>IF(AND(Suplementação!$T7=Suplementação!$S7,Suplementação!$S7=BH$1),Suplementação!$R7,IF(AND(Suplementação!$T7&gt;=Suplementação!$S7,AND(Suplementação!$S7&lt;=BH$1,Suplementação!$T7&gt;=BH$1)),Suplementação!$R7 /(Suplementação!$T7-Suplementação!$S7+1),0))</f>
        <v>0</v>
      </c>
      <c r="BI108" s="455">
        <f>IF(AND(Suplementação!$T7=Suplementação!$S7,Suplementação!$S7=BI$1),Suplementação!$R7,IF(AND(Suplementação!$T7&gt;=Suplementação!$S7,AND(Suplementação!$S7&lt;=BI$1,Suplementação!$T7&gt;=BI$1)),Suplementação!$R7 /(Suplementação!$T7-Suplementação!$S7+1),0))</f>
        <v>0</v>
      </c>
      <c r="BJ108" s="455">
        <f>IF(AND(Suplementação!$T7=Suplementação!$S7,Suplementação!$S7=BJ$1),Suplementação!$R7,IF(AND(Suplementação!$T7&gt;=Suplementação!$S7,AND(Suplementação!$S7&lt;=BJ$1,Suplementação!$T7&gt;=BJ$1)),Suplementação!$R7 /(Suplementação!$T7-Suplementação!$S7+1),0))</f>
        <v>0</v>
      </c>
      <c r="BK108" s="455">
        <f>IF(AND(Suplementação!$T7=Suplementação!$S7,Suplementação!$S7=BK$1),Suplementação!$R7,IF(AND(Suplementação!$T7&gt;=Suplementação!$S7,AND(Suplementação!$S7&lt;=BK$1,Suplementação!$T7&gt;=BK$1)),Suplementação!$R7 /(Suplementação!$T7-Suplementação!$S7+1),0))</f>
        <v>0</v>
      </c>
      <c r="BL108" s="455">
        <f>IF(AND(Suplementação!$T7=Suplementação!$S7,Suplementação!$S7=BL$1),Suplementação!$R7,IF(AND(Suplementação!$T7&gt;=Suplementação!$S7,AND(Suplementação!$S7&lt;=BL$1,Suplementação!$T7&gt;=BL$1)),Suplementação!$R7 /(Suplementação!$T7-Suplementação!$S7+1),0))</f>
        <v>0</v>
      </c>
      <c r="BM108" s="455">
        <f>IF(AND(Suplementação!$T7=Suplementação!$S7,Suplementação!$S7=BM$1),Suplementação!$R7,IF(AND(Suplementação!$T7&gt;=Suplementação!$S7,AND(Suplementação!$S7&lt;=BM$1,Suplementação!$T7&gt;=BM$1)),Suplementação!$R7 /(Suplementação!$T7-Suplementação!$S7+1),0))</f>
        <v>0</v>
      </c>
      <c r="BN108" s="455">
        <f>IF(AND(Suplementação!$T7=Suplementação!$S7,Suplementação!$S7=BN$1),Suplementação!$R7,IF(AND(Suplementação!$T7&gt;=Suplementação!$S7,AND(Suplementação!$S7&lt;=BN$1,Suplementação!$T7&gt;=BN$1)),Suplementação!$R7 /(Suplementação!$T7-Suplementação!$S7+1),0))</f>
        <v>0</v>
      </c>
      <c r="BO108" s="455">
        <f>IF(AND(Suplementação!$T7=Suplementação!$S7,Suplementação!$S7=BO$1),Suplementação!$R7,IF(AND(Suplementação!$T7&gt;=Suplementação!$S7,AND(Suplementação!$S7&lt;=BO$1,Suplementação!$T7&gt;=BO$1)),Suplementação!$R7 /(Suplementação!$T7-Suplementação!$S7+1),0))</f>
        <v>0</v>
      </c>
      <c r="BP108" s="455">
        <f>IF(AND(Suplementação!$T7=Suplementação!$S7,Suplementação!$S7=BP$1),Suplementação!$R7,IF(AND(Suplementação!$T7&gt;=Suplementação!$S7,AND(Suplementação!$S7&lt;=BP$1,Suplementação!$T7&gt;=BP$1)),Suplementação!$R7 /(Suplementação!$T7-Suplementação!$S7+1),0))</f>
        <v>0</v>
      </c>
      <c r="BQ108" s="455">
        <f>IF(AND(Suplementação!$T7=Suplementação!$S7,Suplementação!$S7=BQ$1),Suplementação!$R7,IF(AND(Suplementação!$T7&gt;=Suplementação!$S7,AND(Suplementação!$S7&lt;=BQ$1,Suplementação!$T7&gt;=BQ$1)),Suplementação!$R7 /(Suplementação!$T7-Suplementação!$S7+1),0))</f>
        <v>0</v>
      </c>
      <c r="BR108" s="455">
        <f>IF(AND(Suplementação!$T7=Suplementação!$S7,Suplementação!$S7=BR$1),Suplementação!$R7,IF(AND(Suplementação!$T7&gt;=Suplementação!$S7,AND(Suplementação!$S7&lt;=BR$1,Suplementação!$T7&gt;=BR$1)),Suplementação!$R7 /(Suplementação!$T7-Suplementação!$S7+1),0))</f>
        <v>0</v>
      </c>
      <c r="BS108" s="455">
        <f>IF(AND(Suplementação!$T7=Suplementação!$S7,Suplementação!$S7=BS$1),Suplementação!$R7,IF(AND(Suplementação!$T7&gt;=Suplementação!$S7,AND(Suplementação!$S7&lt;=BS$1,Suplementação!$T7&gt;=BS$1)),Suplementação!$R7 /(Suplementação!$T7-Suplementação!$S7+1),0))</f>
        <v>0</v>
      </c>
      <c r="BT108" s="456">
        <f>IF(AND(Suplementação!$T7=Suplementação!$S7,Suplementação!$S7=BT$1),Suplementação!$R7,IF(AND(Suplementação!$T7&gt;=Suplementação!$S7,AND(Suplementação!$S7&lt;=BT$1,Suplementação!$T7&gt;=BT$1)),Suplementação!$R7 /(Suplementação!$T7-Suplementação!$S7+1),0))</f>
        <v>0</v>
      </c>
    </row>
    <row r="109" spans="2:72" ht="13.5" thickBot="1" x14ac:dyDescent="0.25">
      <c r="B109" s="528" t="s">
        <v>1077</v>
      </c>
      <c r="C109" s="1479">
        <f ca="1">(C96*12)/'Análise TEC'!C22</f>
        <v>-33.257165822663765</v>
      </c>
      <c r="D109" s="497"/>
      <c r="E109" s="497"/>
      <c r="F109" s="497"/>
      <c r="G109" s="497"/>
      <c r="H109" s="2764"/>
      <c r="I109" s="1396"/>
      <c r="J109" s="1397"/>
      <c r="K109" s="1397"/>
      <c r="L109" s="1397"/>
      <c r="M109" s="1319"/>
      <c r="N109" s="1319"/>
      <c r="O109" s="1319"/>
      <c r="P109" s="704"/>
      <c r="Q109" s="704"/>
      <c r="T109" s="1317" t="str">
        <f>Rebanho!C61</f>
        <v>Vacas solteiras secas</v>
      </c>
      <c r="U109" s="1312">
        <f>Rebanho!E61</f>
        <v>0</v>
      </c>
      <c r="V109" s="1301">
        <f>IF(U109=0,0,Rebanho!E38)</f>
        <v>0</v>
      </c>
      <c r="W109" s="1313">
        <f>Rebanho!Z60</f>
        <v>0</v>
      </c>
      <c r="X109" s="1308">
        <f>Rebanho!AA146</f>
        <v>0</v>
      </c>
      <c r="Y109" s="1300">
        <f>Suplementação!AT19</f>
        <v>0</v>
      </c>
      <c r="Z109" s="1300">
        <f>Alimentação!Z100</f>
        <v>0</v>
      </c>
      <c r="AA109" s="1300">
        <f>Sanidade!AQ19</f>
        <v>0</v>
      </c>
      <c r="AB109" s="1309">
        <f t="shared" si="25"/>
        <v>0</v>
      </c>
      <c r="AC109" s="1305">
        <f t="shared" si="26"/>
        <v>0</v>
      </c>
      <c r="AD109" s="1305">
        <f t="shared" si="27"/>
        <v>0</v>
      </c>
      <c r="BA109" s="490"/>
      <c r="BB109" s="495"/>
      <c r="BC109" s="495"/>
      <c r="BD109" s="495"/>
      <c r="BE109" s="495"/>
      <c r="BF109" s="495"/>
      <c r="BG109" s="495"/>
      <c r="BH109" s="495"/>
      <c r="BI109" s="495"/>
      <c r="BJ109" s="495"/>
      <c r="BK109" s="495"/>
      <c r="BL109" s="495"/>
      <c r="BM109" s="495"/>
      <c r="BN109" s="495"/>
      <c r="BO109" s="495"/>
      <c r="BP109" s="495"/>
      <c r="BQ109" s="495"/>
      <c r="BR109" s="495"/>
      <c r="BS109" s="495"/>
      <c r="BT109" s="496"/>
    </row>
    <row r="110" spans="2:72" ht="13.5" thickBot="1" x14ac:dyDescent="0.25">
      <c r="B110" s="1444"/>
      <c r="C110" s="1480"/>
      <c r="D110" s="497"/>
      <c r="E110" s="497"/>
      <c r="F110" s="497"/>
      <c r="G110" s="497"/>
      <c r="H110" s="2764"/>
      <c r="I110" s="1396"/>
      <c r="J110" s="1397"/>
      <c r="K110" s="1397"/>
      <c r="L110" s="1397"/>
      <c r="M110" s="1319"/>
      <c r="N110" s="2735"/>
      <c r="O110" s="2735"/>
      <c r="P110" s="2735"/>
      <c r="Q110" s="2735"/>
      <c r="T110" s="1317" t="str">
        <f>Rebanho!C62</f>
        <v>Bezerras em aleitamento (Engorda)</v>
      </c>
      <c r="U110" s="1312">
        <f>Rebanho!E62</f>
        <v>0</v>
      </c>
      <c r="V110" s="1301">
        <f>IF(U110=0,0,Rebanho!E39)</f>
        <v>0</v>
      </c>
      <c r="W110" s="1313">
        <f>Rebanho!Z61</f>
        <v>0</v>
      </c>
      <c r="X110" s="1308">
        <f>Rebanho!AA147</f>
        <v>0</v>
      </c>
      <c r="Y110" s="1300">
        <f>Suplementação!AT20</f>
        <v>0</v>
      </c>
      <c r="Z110" s="1300">
        <f>Alimentação!Z101</f>
        <v>0</v>
      </c>
      <c r="AA110" s="1300">
        <f>Sanidade!AQ20</f>
        <v>0</v>
      </c>
      <c r="AB110" s="1309">
        <f t="shared" si="25"/>
        <v>0</v>
      </c>
      <c r="AC110" s="1305">
        <f t="shared" si="26"/>
        <v>0</v>
      </c>
      <c r="AD110" s="1305">
        <f t="shared" si="27"/>
        <v>0</v>
      </c>
      <c r="BA110" s="490"/>
      <c r="BB110" s="495"/>
      <c r="BC110" s="495"/>
      <c r="BD110" s="495"/>
      <c r="BE110" s="495"/>
      <c r="BF110" s="495"/>
      <c r="BG110" s="495"/>
      <c r="BH110" s="495"/>
      <c r="BI110" s="495"/>
      <c r="BJ110" s="495"/>
      <c r="BK110" s="495"/>
      <c r="BL110" s="495"/>
      <c r="BM110" s="495"/>
      <c r="BN110" s="495"/>
      <c r="BO110" s="495"/>
      <c r="BP110" s="495"/>
      <c r="BQ110" s="495"/>
      <c r="BR110" s="495"/>
      <c r="BS110" s="495"/>
      <c r="BT110" s="496"/>
    </row>
    <row r="111" spans="2:72" ht="13.5" thickBot="1" x14ac:dyDescent="0.25">
      <c r="B111" s="532" t="s">
        <v>1208</v>
      </c>
      <c r="C111" s="1481">
        <f>Rebanho!S89/'Análise TEC'!C20</f>
        <v>170.96148550994997</v>
      </c>
      <c r="D111" s="497"/>
      <c r="E111" s="497"/>
      <c r="F111" s="497"/>
      <c r="G111" s="497"/>
      <c r="H111" s="2764"/>
      <c r="I111" s="1396"/>
      <c r="J111" s="1397"/>
      <c r="K111" s="1397"/>
      <c r="L111" s="1397"/>
      <c r="M111" s="1319"/>
      <c r="N111" s="2735"/>
      <c r="O111" s="2735"/>
      <c r="P111" s="2735"/>
      <c r="Q111" s="2735"/>
      <c r="T111" s="1317" t="str">
        <f>Rebanho!C63</f>
        <v>Bezerras desmamadas (Engorda)</v>
      </c>
      <c r="U111" s="1312">
        <f>Rebanho!E63</f>
        <v>0</v>
      </c>
      <c r="V111" s="1301">
        <f>IF(U111=0,0,Rebanho!E40)</f>
        <v>0</v>
      </c>
      <c r="W111" s="1313">
        <f>Rebanho!Z62</f>
        <v>0</v>
      </c>
      <c r="X111" s="1308">
        <f>Rebanho!AA148</f>
        <v>0</v>
      </c>
      <c r="Y111" s="1300">
        <f>Suplementação!AT21</f>
        <v>0</v>
      </c>
      <c r="Z111" s="1300">
        <f>Alimentação!Z102</f>
        <v>0</v>
      </c>
      <c r="AA111" s="1300">
        <f>Sanidade!AQ21</f>
        <v>0</v>
      </c>
      <c r="AB111" s="1309">
        <f t="shared" si="25"/>
        <v>0</v>
      </c>
      <c r="AC111" s="1305">
        <f t="shared" si="26"/>
        <v>0</v>
      </c>
      <c r="AD111" s="1305">
        <f t="shared" si="27"/>
        <v>0</v>
      </c>
      <c r="BA111" s="490"/>
      <c r="BB111" s="495"/>
      <c r="BC111" s="495"/>
      <c r="BD111" s="495"/>
      <c r="BE111" s="495"/>
      <c r="BF111" s="495"/>
      <c r="BG111" s="495"/>
      <c r="BH111" s="495"/>
      <c r="BI111" s="495"/>
      <c r="BJ111" s="495"/>
      <c r="BK111" s="495"/>
      <c r="BL111" s="495"/>
      <c r="BM111" s="495"/>
      <c r="BN111" s="495"/>
      <c r="BO111" s="495"/>
      <c r="BP111" s="495"/>
      <c r="BQ111" s="495"/>
      <c r="BR111" s="495"/>
      <c r="BS111" s="495"/>
      <c r="BT111" s="496"/>
    </row>
    <row r="112" spans="2:72" ht="13.5" thickBot="1" x14ac:dyDescent="0.25">
      <c r="B112" s="1406" t="s">
        <v>1098</v>
      </c>
      <c r="C112" s="1481">
        <f>C84/'Análise TEC'!C20</f>
        <v>170.96148550994997</v>
      </c>
      <c r="D112" s="497"/>
      <c r="E112" s="497"/>
      <c r="F112" s="497"/>
      <c r="G112" s="497"/>
      <c r="H112" s="2764"/>
      <c r="I112" s="1396"/>
      <c r="J112" s="1397"/>
      <c r="K112" s="1397"/>
      <c r="L112" s="1397"/>
      <c r="M112" s="1319"/>
      <c r="N112" s="2735"/>
      <c r="O112" s="2735"/>
      <c r="P112" s="2735"/>
      <c r="Q112" s="2735"/>
      <c r="T112" s="1317" t="str">
        <f>Rebanho!C64</f>
        <v>Novilhas sobreano (Engorda)</v>
      </c>
      <c r="U112" s="1312">
        <f>Rebanho!E64</f>
        <v>0</v>
      </c>
      <c r="V112" s="1301">
        <f>IF(U112=0,0,Rebanho!E41)</f>
        <v>0</v>
      </c>
      <c r="W112" s="1313">
        <f>Rebanho!Z63</f>
        <v>0</v>
      </c>
      <c r="X112" s="1308">
        <f>Rebanho!AA149</f>
        <v>0</v>
      </c>
      <c r="Y112" s="1300">
        <f>Suplementação!AT22</f>
        <v>0</v>
      </c>
      <c r="Z112" s="1300">
        <f>Alimentação!Z103</f>
        <v>0</v>
      </c>
      <c r="AA112" s="1300">
        <f>Sanidade!AQ22</f>
        <v>0</v>
      </c>
      <c r="AB112" s="1309">
        <f t="shared" si="25"/>
        <v>0</v>
      </c>
      <c r="AC112" s="1305">
        <f t="shared" si="26"/>
        <v>0</v>
      </c>
      <c r="AD112" s="1305">
        <f t="shared" si="27"/>
        <v>0</v>
      </c>
      <c r="BA112" s="490"/>
      <c r="BB112" s="495"/>
      <c r="BC112" s="495"/>
      <c r="BD112" s="495"/>
      <c r="BE112" s="495"/>
      <c r="BF112" s="495"/>
      <c r="BG112" s="495"/>
      <c r="BH112" s="495"/>
      <c r="BI112" s="495"/>
      <c r="BJ112" s="495"/>
      <c r="BK112" s="495"/>
      <c r="BL112" s="495"/>
      <c r="BM112" s="495"/>
      <c r="BN112" s="495"/>
      <c r="BO112" s="495"/>
      <c r="BP112" s="495"/>
      <c r="BQ112" s="495"/>
      <c r="BR112" s="495"/>
      <c r="BS112" s="495"/>
      <c r="BT112" s="496"/>
    </row>
    <row r="113" spans="2:72" ht="13.5" thickBot="1" x14ac:dyDescent="0.25">
      <c r="B113" s="526" t="s">
        <v>878</v>
      </c>
      <c r="C113" s="1475">
        <f ca="1">C45/'Análise TEC'!C20</f>
        <v>135.84563983833473</v>
      </c>
      <c r="D113" s="497"/>
      <c r="E113" s="497"/>
      <c r="F113" s="497"/>
      <c r="G113" s="497"/>
      <c r="H113" s="497"/>
      <c r="I113" s="704"/>
      <c r="J113" s="704"/>
      <c r="K113" s="704"/>
      <c r="L113" s="704"/>
      <c r="M113" s="1319"/>
      <c r="N113" s="1319"/>
      <c r="O113" s="1319"/>
      <c r="P113" s="704"/>
      <c r="Q113" s="704"/>
      <c r="T113" s="1318" t="str">
        <f>Rebanho!C65</f>
        <v>Vaca (Engorda)</v>
      </c>
      <c r="U113" s="1314">
        <f>Rebanho!E65</f>
        <v>0</v>
      </c>
      <c r="V113" s="1315">
        <f>IF(U113=0,0,Rebanho!E42)</f>
        <v>0</v>
      </c>
      <c r="W113" s="1316">
        <f>Rebanho!Z64</f>
        <v>0</v>
      </c>
      <c r="X113" s="1340">
        <f>Rebanho!AA150</f>
        <v>0</v>
      </c>
      <c r="Y113" s="1310">
        <f>Suplementação!AT23</f>
        <v>0</v>
      </c>
      <c r="Z113" s="1310">
        <f>Alimentação!Z104</f>
        <v>0</v>
      </c>
      <c r="AA113" s="1310">
        <f>Sanidade!AQ23</f>
        <v>0</v>
      </c>
      <c r="AB113" s="1311">
        <f t="shared" si="25"/>
        <v>0</v>
      </c>
      <c r="AC113" s="1306">
        <f t="shared" si="26"/>
        <v>0</v>
      </c>
      <c r="AD113" s="1306">
        <f t="shared" si="27"/>
        <v>0</v>
      </c>
      <c r="BA113" s="490"/>
      <c r="BB113" s="495"/>
      <c r="BC113" s="495"/>
      <c r="BD113" s="495"/>
      <c r="BE113" s="495"/>
      <c r="BF113" s="495"/>
      <c r="BG113" s="495"/>
      <c r="BH113" s="495"/>
      <c r="BI113" s="495"/>
      <c r="BJ113" s="495"/>
      <c r="BK113" s="495"/>
      <c r="BL113" s="495"/>
      <c r="BM113" s="495"/>
      <c r="BN113" s="495"/>
      <c r="BO113" s="495"/>
      <c r="BP113" s="495"/>
      <c r="BQ113" s="495"/>
      <c r="BR113" s="495"/>
      <c r="BS113" s="495"/>
      <c r="BT113" s="496"/>
    </row>
    <row r="114" spans="2:72" x14ac:dyDescent="0.2">
      <c r="B114" s="527" t="s">
        <v>879</v>
      </c>
      <c r="C114" s="1476">
        <f ca="1">C66/'Análise TEC'!C20</f>
        <v>162.57319629821998</v>
      </c>
      <c r="D114" s="497"/>
      <c r="E114" s="497"/>
      <c r="F114" s="497"/>
      <c r="G114" s="497"/>
      <c r="H114" s="497"/>
      <c r="I114" s="704"/>
      <c r="J114" s="704"/>
      <c r="K114" s="704"/>
      <c r="L114" s="704"/>
      <c r="M114" s="704"/>
      <c r="N114" s="704"/>
      <c r="O114" s="704"/>
      <c r="P114" s="704"/>
      <c r="Q114" s="704"/>
      <c r="T114" s="1139"/>
      <c r="U114" s="442">
        <f>Rebanho!E66</f>
        <v>1559.386107654321</v>
      </c>
      <c r="BA114" s="490"/>
      <c r="BB114" s="495"/>
      <c r="BC114" s="495"/>
      <c r="BD114" s="495"/>
      <c r="BE114" s="495"/>
      <c r="BF114" s="495"/>
      <c r="BG114" s="495"/>
      <c r="BH114" s="495"/>
      <c r="BI114" s="495"/>
      <c r="BJ114" s="495"/>
      <c r="BK114" s="495"/>
      <c r="BL114" s="495"/>
      <c r="BM114" s="495"/>
      <c r="BN114" s="495"/>
      <c r="BO114" s="495"/>
      <c r="BP114" s="495"/>
      <c r="BQ114" s="495"/>
      <c r="BR114" s="495"/>
      <c r="BS114" s="495"/>
      <c r="BT114" s="496"/>
    </row>
    <row r="115" spans="2:72" ht="13.5" thickBot="1" x14ac:dyDescent="0.25">
      <c r="B115" s="528" t="s">
        <v>880</v>
      </c>
      <c r="C115" s="1479">
        <f ca="1">C80/'Análise TEC'!C20</f>
        <v>220.40230701337029</v>
      </c>
      <c r="D115" s="497"/>
      <c r="E115" s="497"/>
      <c r="F115" s="497"/>
      <c r="G115" s="497"/>
      <c r="H115" s="497"/>
      <c r="I115" s="704"/>
      <c r="J115" s="1398"/>
      <c r="K115" s="704"/>
      <c r="L115" s="704"/>
      <c r="M115" s="704"/>
      <c r="N115" s="704"/>
      <c r="O115" s="704"/>
      <c r="P115" s="704"/>
      <c r="Q115" s="704"/>
      <c r="BA115" s="459" t="str">
        <f>VLOOKUP(Suplementação!C8,Dados!$A$14:$Q$81,17)</f>
        <v>Sal Mineral 60 g de P</v>
      </c>
      <c r="BB115" s="460">
        <f>IF(AND(Suplementação!$T8=Suplementação!$S8,Suplementação!$S8=BB$1),Suplementação!$R8,IF(AND(Suplementação!$T8&gt;=Suplementação!$S8,AND(Suplementação!$S8&lt;=BB$1,Suplementação!$T8&gt;=BB$1)),Suplementação!$R8 /(Suplementação!$T8-Suplementação!$S8+1),0))</f>
        <v>5138.0576131687249</v>
      </c>
      <c r="BC115" s="460">
        <f>IF(AND(Suplementação!$T8=Suplementação!$S8,Suplementação!$S8=BC$1),Suplementação!$R8,IF(AND(Suplementação!$T8&gt;=Suplementação!$S8,AND(Suplementação!$S8&lt;=BC$1,Suplementação!$T8&gt;=BC$1)),Suplementação!$R8 /(Suplementação!$T8-Suplementação!$S8+1),0))</f>
        <v>0</v>
      </c>
      <c r="BD115" s="460">
        <f>IF(AND(Suplementação!$T8=Suplementação!$S8,Suplementação!$S8=BD$1),Suplementação!$R8,IF(AND(Suplementação!$T8&gt;=Suplementação!$S8,AND(Suplementação!$S8&lt;=BD$1,Suplementação!$T8&gt;=BD$1)),Suplementação!$R8 /(Suplementação!$T8-Suplementação!$S8+1),0))</f>
        <v>0</v>
      </c>
      <c r="BE115" s="460">
        <f>IF(AND(Suplementação!$T8=Suplementação!$S8,Suplementação!$S8=BE$1),Suplementação!$R8,IF(AND(Suplementação!$T8&gt;=Suplementação!$S8,AND(Suplementação!$S8&lt;=BE$1,Suplementação!$T8&gt;=BE$1)),Suplementação!$R8 /(Suplementação!$T8-Suplementação!$S8+1),0))</f>
        <v>0</v>
      </c>
      <c r="BF115" s="460">
        <f>IF(AND(Suplementação!$T8=Suplementação!$S8,Suplementação!$S8=BF$1),Suplementação!$R8,IF(AND(Suplementação!$T8&gt;=Suplementação!$S8,AND(Suplementação!$S8&lt;=BF$1,Suplementação!$T8&gt;=BF$1)),Suplementação!$R8 /(Suplementação!$T8-Suplementação!$S8+1),0))</f>
        <v>0</v>
      </c>
      <c r="BG115" s="460">
        <f>IF(AND(Suplementação!$T8=Suplementação!$S8,Suplementação!$S8=BG$1),Suplementação!$R8,IF(AND(Suplementação!$T8&gt;=Suplementação!$S8,AND(Suplementação!$S8&lt;=BG$1,Suplementação!$T8&gt;=BG$1)),Suplementação!$R8 /(Suplementação!$T8-Suplementação!$S8+1),0))</f>
        <v>0</v>
      </c>
      <c r="BH115" s="460">
        <f>IF(AND(Suplementação!$T8=Suplementação!$S8,Suplementação!$S8=BH$1),Suplementação!$R8,IF(AND(Suplementação!$T8&gt;=Suplementação!$S8,AND(Suplementação!$S8&lt;=BH$1,Suplementação!$T8&gt;=BH$1)),Suplementação!$R8 /(Suplementação!$T8-Suplementação!$S8+1),0))</f>
        <v>0</v>
      </c>
      <c r="BI115" s="460">
        <f>IF(AND(Suplementação!$T8=Suplementação!$S8,Suplementação!$S8=BI$1),Suplementação!$R8,IF(AND(Suplementação!$T8&gt;=Suplementação!$S8,AND(Suplementação!$S8&lt;=BI$1,Suplementação!$T8&gt;=BI$1)),Suplementação!$R8 /(Suplementação!$T8-Suplementação!$S8+1),0))</f>
        <v>0</v>
      </c>
      <c r="BJ115" s="460">
        <f>IF(AND(Suplementação!$T8=Suplementação!$S8,Suplementação!$S8=BJ$1),Suplementação!$R8,IF(AND(Suplementação!$T8&gt;=Suplementação!$S8,AND(Suplementação!$S8&lt;=BJ$1,Suplementação!$T8&gt;=BJ$1)),Suplementação!$R8 /(Suplementação!$T8-Suplementação!$S8+1),0))</f>
        <v>0</v>
      </c>
      <c r="BK115" s="460">
        <f>IF(AND(Suplementação!$T8=Suplementação!$S8,Suplementação!$S8=BK$1),Suplementação!$R8,IF(AND(Suplementação!$T8&gt;=Suplementação!$S8,AND(Suplementação!$S8&lt;=BK$1,Suplementação!$T8&gt;=BK$1)),Suplementação!$R8 /(Suplementação!$T8-Suplementação!$S8+1),0))</f>
        <v>0</v>
      </c>
      <c r="BL115" s="460">
        <f>IF(AND(Suplementação!$T8=Suplementação!$S8,Suplementação!$S8=BL$1),Suplementação!$R8,IF(AND(Suplementação!$T8&gt;=Suplementação!$S8,AND(Suplementação!$S8&lt;=BL$1,Suplementação!$T8&gt;=BL$1)),Suplementação!$R8 /(Suplementação!$T8-Suplementação!$S8+1),0))</f>
        <v>0</v>
      </c>
      <c r="BM115" s="460">
        <f>IF(AND(Suplementação!$T8=Suplementação!$S8,Suplementação!$S8=BM$1),Suplementação!$R8,IF(AND(Suplementação!$T8&gt;=Suplementação!$S8,AND(Suplementação!$S8&lt;=BM$1,Suplementação!$T8&gt;=BM$1)),Suplementação!$R8 /(Suplementação!$T8-Suplementação!$S8+1),0))</f>
        <v>0</v>
      </c>
      <c r="BN115" s="460">
        <f>IF(AND(Suplementação!$T8=Suplementação!$S8,Suplementação!$S8=BN$1),Suplementação!$R8,IF(AND(Suplementação!$T8&gt;=Suplementação!$S8,AND(Suplementação!$S8&lt;=BN$1,Suplementação!$T8&gt;=BN$1)),Suplementação!$R8 /(Suplementação!$T8-Suplementação!$S8+1),0))</f>
        <v>0</v>
      </c>
      <c r="BO115" s="460">
        <f>IF(AND(Suplementação!$T8=Suplementação!$S8,Suplementação!$S8=BO$1),Suplementação!$R8,IF(AND(Suplementação!$T8&gt;=Suplementação!$S8,AND(Suplementação!$S8&lt;=BO$1,Suplementação!$T8&gt;=BO$1)),Suplementação!$R8 /(Suplementação!$T8-Suplementação!$S8+1),0))</f>
        <v>0</v>
      </c>
      <c r="BP115" s="460">
        <f>IF(AND(Suplementação!$T8=Suplementação!$S8,Suplementação!$S8=BP$1),Suplementação!$R8,IF(AND(Suplementação!$T8&gt;=Suplementação!$S8,AND(Suplementação!$S8&lt;=BP$1,Suplementação!$T8&gt;=BP$1)),Suplementação!$R8 /(Suplementação!$T8-Suplementação!$S8+1),0))</f>
        <v>0</v>
      </c>
      <c r="BQ115" s="460">
        <f>IF(AND(Suplementação!$T8=Suplementação!$S8,Suplementação!$S8=BQ$1),Suplementação!$R8,IF(AND(Suplementação!$T8&gt;=Suplementação!$S8,AND(Suplementação!$S8&lt;=BQ$1,Suplementação!$T8&gt;=BQ$1)),Suplementação!$R8 /(Suplementação!$T8-Suplementação!$S8+1),0))</f>
        <v>0</v>
      </c>
      <c r="BR115" s="460">
        <f>IF(AND(Suplementação!$T8=Suplementação!$S8,Suplementação!$S8=BR$1),Suplementação!$R8,IF(AND(Suplementação!$T8&gt;=Suplementação!$S8,AND(Suplementação!$S8&lt;=BR$1,Suplementação!$T8&gt;=BR$1)),Suplementação!$R8 /(Suplementação!$T8-Suplementação!$S8+1),0))</f>
        <v>0</v>
      </c>
      <c r="BS115" s="460">
        <f>IF(AND(Suplementação!$T8=Suplementação!$S8,Suplementação!$S8=BS$1),Suplementação!$R8,IF(AND(Suplementação!$T8&gt;=Suplementação!$S8,AND(Suplementação!$S8&lt;=BS$1,Suplementação!$T8&gt;=BS$1)),Suplementação!$R8 /(Suplementação!$T8-Suplementação!$S8+1),0))</f>
        <v>0</v>
      </c>
      <c r="BT115" s="461">
        <f>IF(AND(Suplementação!$T8=Suplementação!$S8,Suplementação!$S8=BT$1),Suplementação!$R8,IF(AND(Suplementação!$T8&gt;=Suplementação!$S8,AND(Suplementação!$S8&lt;=BT$1,Suplementação!$T8&gt;=BT$1)),Suplementação!$R8 /(Suplementação!$T8-Suplementação!$S8+1),0))</f>
        <v>0</v>
      </c>
    </row>
    <row r="116" spans="2:72" ht="3" customHeight="1" thickBot="1" x14ac:dyDescent="0.25">
      <c r="B116" s="534"/>
      <c r="C116" s="1405"/>
      <c r="D116" s="497"/>
      <c r="E116" s="497"/>
      <c r="F116" s="497"/>
      <c r="G116" s="497"/>
      <c r="H116" s="497"/>
      <c r="I116" s="704"/>
      <c r="J116" s="1398"/>
      <c r="K116" s="704"/>
      <c r="L116" s="704"/>
      <c r="M116" s="704"/>
      <c r="N116" s="704"/>
      <c r="O116" s="704"/>
      <c r="P116" s="704"/>
      <c r="Q116" s="704"/>
      <c r="BA116" s="459" t="str">
        <f>VLOOKUP(Suplementação!C9,Dados!$A$14:$Q$81,17)</f>
        <v>Sal Mineral 60 g de P</v>
      </c>
      <c r="BB116" s="460">
        <f>IF(AND(Suplementação!$T9=Suplementação!$S9,Suplementação!$S9=BB$1),Suplementação!$R9,IF(AND(Suplementação!$T9&gt;=Suplementação!$S9,AND(Suplementação!$S9&lt;=BB$1,Suplementação!$T9&gt;=BB$1)),Suplementação!$R9 /(Suplementação!$T9-Suplementação!$S9+1),0))</f>
        <v>11695.334364883402</v>
      </c>
      <c r="BC116" s="460">
        <f>IF(AND(Suplementação!$T9=Suplementação!$S9,Suplementação!$S9=BC$1),Suplementação!$R9,IF(AND(Suplementação!$T9&gt;=Suplementação!$S9,AND(Suplementação!$S9&lt;=BC$1,Suplementação!$T9&gt;=BC$1)),Suplementação!$R9 /(Suplementação!$T9-Suplementação!$S9+1),0))</f>
        <v>0</v>
      </c>
      <c r="BD116" s="460">
        <f>IF(AND(Suplementação!$T9=Suplementação!$S9,Suplementação!$S9=BD$1),Suplementação!$R9,IF(AND(Suplementação!$T9&gt;=Suplementação!$S9,AND(Suplementação!$S9&lt;=BD$1,Suplementação!$T9&gt;=BD$1)),Suplementação!$R9 /(Suplementação!$T9-Suplementação!$S9+1),0))</f>
        <v>0</v>
      </c>
      <c r="BE116" s="460">
        <f>IF(AND(Suplementação!$T9=Suplementação!$S9,Suplementação!$S9=BE$1),Suplementação!$R9,IF(AND(Suplementação!$T9&gt;=Suplementação!$S9,AND(Suplementação!$S9&lt;=BE$1,Suplementação!$T9&gt;=BE$1)),Suplementação!$R9 /(Suplementação!$T9-Suplementação!$S9+1),0))</f>
        <v>0</v>
      </c>
      <c r="BF116" s="460">
        <f>IF(AND(Suplementação!$T9=Suplementação!$S9,Suplementação!$S9=BF$1),Suplementação!$R9,IF(AND(Suplementação!$T9&gt;=Suplementação!$S9,AND(Suplementação!$S9&lt;=BF$1,Suplementação!$T9&gt;=BF$1)),Suplementação!$R9 /(Suplementação!$T9-Suplementação!$S9+1),0))</f>
        <v>0</v>
      </c>
      <c r="BG116" s="460">
        <f>IF(AND(Suplementação!$T9=Suplementação!$S9,Suplementação!$S9=BG$1),Suplementação!$R9,IF(AND(Suplementação!$T9&gt;=Suplementação!$S9,AND(Suplementação!$S9&lt;=BG$1,Suplementação!$T9&gt;=BG$1)),Suplementação!$R9 /(Suplementação!$T9-Suplementação!$S9+1),0))</f>
        <v>0</v>
      </c>
      <c r="BH116" s="460">
        <f>IF(AND(Suplementação!$T9=Suplementação!$S9,Suplementação!$S9=BH$1),Suplementação!$R9,IF(AND(Suplementação!$T9&gt;=Suplementação!$S9,AND(Suplementação!$S9&lt;=BH$1,Suplementação!$T9&gt;=BH$1)),Suplementação!$R9 /(Suplementação!$T9-Suplementação!$S9+1),0))</f>
        <v>0</v>
      </c>
      <c r="BI116" s="460">
        <f>IF(AND(Suplementação!$T9=Suplementação!$S9,Suplementação!$S9=BI$1),Suplementação!$R9,IF(AND(Suplementação!$T9&gt;=Suplementação!$S9,AND(Suplementação!$S9&lt;=BI$1,Suplementação!$T9&gt;=BI$1)),Suplementação!$R9 /(Suplementação!$T9-Suplementação!$S9+1),0))</f>
        <v>0</v>
      </c>
      <c r="BJ116" s="460">
        <f>IF(AND(Suplementação!$T9=Suplementação!$S9,Suplementação!$S9=BJ$1),Suplementação!$R9,IF(AND(Suplementação!$T9&gt;=Suplementação!$S9,AND(Suplementação!$S9&lt;=BJ$1,Suplementação!$T9&gt;=BJ$1)),Suplementação!$R9 /(Suplementação!$T9-Suplementação!$S9+1),0))</f>
        <v>0</v>
      </c>
      <c r="BK116" s="460">
        <f>IF(AND(Suplementação!$T9=Suplementação!$S9,Suplementação!$S9=BK$1),Suplementação!$R9,IF(AND(Suplementação!$T9&gt;=Suplementação!$S9,AND(Suplementação!$S9&lt;=BK$1,Suplementação!$T9&gt;=BK$1)),Suplementação!$R9 /(Suplementação!$T9-Suplementação!$S9+1),0))</f>
        <v>0</v>
      </c>
      <c r="BL116" s="460">
        <f>IF(AND(Suplementação!$T9=Suplementação!$S9,Suplementação!$S9=BL$1),Suplementação!$R9,IF(AND(Suplementação!$T9&gt;=Suplementação!$S9,AND(Suplementação!$S9&lt;=BL$1,Suplementação!$T9&gt;=BL$1)),Suplementação!$R9 /(Suplementação!$T9-Suplementação!$S9+1),0))</f>
        <v>0</v>
      </c>
      <c r="BM116" s="460">
        <f>IF(AND(Suplementação!$T9=Suplementação!$S9,Suplementação!$S9=BM$1),Suplementação!$R9,IF(AND(Suplementação!$T9&gt;=Suplementação!$S9,AND(Suplementação!$S9&lt;=BM$1,Suplementação!$T9&gt;=BM$1)),Suplementação!$R9 /(Suplementação!$T9-Suplementação!$S9+1),0))</f>
        <v>0</v>
      </c>
      <c r="BN116" s="460">
        <f>IF(AND(Suplementação!$T9=Suplementação!$S9,Suplementação!$S9=BN$1),Suplementação!$R9,IF(AND(Suplementação!$T9&gt;=Suplementação!$S9,AND(Suplementação!$S9&lt;=BN$1,Suplementação!$T9&gt;=BN$1)),Suplementação!$R9 /(Suplementação!$T9-Suplementação!$S9+1),0))</f>
        <v>0</v>
      </c>
      <c r="BO116" s="460">
        <f>IF(AND(Suplementação!$T9=Suplementação!$S9,Suplementação!$S9=BO$1),Suplementação!$R9,IF(AND(Suplementação!$T9&gt;=Suplementação!$S9,AND(Suplementação!$S9&lt;=BO$1,Suplementação!$T9&gt;=BO$1)),Suplementação!$R9 /(Suplementação!$T9-Suplementação!$S9+1),0))</f>
        <v>0</v>
      </c>
      <c r="BP116" s="460">
        <f>IF(AND(Suplementação!$T9=Suplementação!$S9,Suplementação!$S9=BP$1),Suplementação!$R9,IF(AND(Suplementação!$T9&gt;=Suplementação!$S9,AND(Suplementação!$S9&lt;=BP$1,Suplementação!$T9&gt;=BP$1)),Suplementação!$R9 /(Suplementação!$T9-Suplementação!$S9+1),0))</f>
        <v>0</v>
      </c>
      <c r="BQ116" s="460">
        <f>IF(AND(Suplementação!$T9=Suplementação!$S9,Suplementação!$S9=BQ$1),Suplementação!$R9,IF(AND(Suplementação!$T9&gt;=Suplementação!$S9,AND(Suplementação!$S9&lt;=BQ$1,Suplementação!$T9&gt;=BQ$1)),Suplementação!$R9 /(Suplementação!$T9-Suplementação!$S9+1),0))</f>
        <v>0</v>
      </c>
      <c r="BR116" s="460">
        <f>IF(AND(Suplementação!$T9=Suplementação!$S9,Suplementação!$S9=BR$1),Suplementação!$R9,IF(AND(Suplementação!$T9&gt;=Suplementação!$S9,AND(Suplementação!$S9&lt;=BR$1,Suplementação!$T9&gt;=BR$1)),Suplementação!$R9 /(Suplementação!$T9-Suplementação!$S9+1),0))</f>
        <v>0</v>
      </c>
      <c r="BS116" s="460">
        <f>IF(AND(Suplementação!$T9=Suplementação!$S9,Suplementação!$S9=BS$1),Suplementação!$R9,IF(AND(Suplementação!$T9&gt;=Suplementação!$S9,AND(Suplementação!$S9&lt;=BS$1,Suplementação!$T9&gt;=BS$1)),Suplementação!$R9 /(Suplementação!$T9-Suplementação!$S9+1),0))</f>
        <v>0</v>
      </c>
      <c r="BT116" s="461">
        <f>IF(AND(Suplementação!$T9=Suplementação!$S9,Suplementação!$S9=BT$1),Suplementação!$R9,IF(AND(Suplementação!$T9&gt;=Suplementação!$S9,AND(Suplementação!$S9&lt;=BT$1,Suplementação!$T9&gt;=BT$1)),Suplementação!$R9 /(Suplementação!$T9-Suplementação!$S9+1),0))</f>
        <v>0</v>
      </c>
    </row>
    <row r="117" spans="2:72" ht="14.25" customHeight="1" thickBot="1" x14ac:dyDescent="0.25">
      <c r="B117" s="532" t="s">
        <v>900</v>
      </c>
      <c r="C117" s="1481">
        <f>C5/'Análise TEC'!C22</f>
        <v>115.00000000000001</v>
      </c>
      <c r="D117" s="497"/>
      <c r="E117" s="497"/>
      <c r="F117" s="497"/>
      <c r="G117" s="497"/>
      <c r="H117" s="497"/>
      <c r="I117" s="704"/>
      <c r="J117" s="704"/>
      <c r="K117" s="704"/>
      <c r="L117" s="704"/>
      <c r="M117" s="704"/>
      <c r="N117" s="704"/>
      <c r="O117" s="704"/>
      <c r="P117" s="704"/>
      <c r="Q117" s="704"/>
      <c r="BA117" s="459" t="str">
        <f>VLOOKUP(Suplementação!C10,Dados!$A$14:$Q$81,17)</f>
        <v>Sal Mineral 60 g de P</v>
      </c>
      <c r="BB117" s="460">
        <f>IF(AND(Suplementação!$T10=Suplementação!$S10,Suplementação!$S10=BB$1),Suplementação!$R10,IF(AND(Suplementação!$T10&gt;=Suplementação!$S10,AND(Suplementação!$S10&lt;=BB$1,Suplementação!$T10&gt;=BB$1)),Suplementação!$R10 /(Suplementação!$T10-Suplementação!$S10+1),0))</f>
        <v>15764.304673594881</v>
      </c>
      <c r="BC117" s="460">
        <f>IF(AND(Suplementação!$T10=Suplementação!$S10,Suplementação!$S10=BC$1),Suplementação!$R10,IF(AND(Suplementação!$T10&gt;=Suplementação!$S10,AND(Suplementação!$S10&lt;=BC$1,Suplementação!$T10&gt;=BC$1)),Suplementação!$R10 /(Suplementação!$T10-Suplementação!$S10+1),0))</f>
        <v>0</v>
      </c>
      <c r="BD117" s="460">
        <f>IF(AND(Suplementação!$T10=Suplementação!$S10,Suplementação!$S10=BD$1),Suplementação!$R10,IF(AND(Suplementação!$T10&gt;=Suplementação!$S10,AND(Suplementação!$S10&lt;=BD$1,Suplementação!$T10&gt;=BD$1)),Suplementação!$R10 /(Suplementação!$T10-Suplementação!$S10+1),0))</f>
        <v>0</v>
      </c>
      <c r="BE117" s="460">
        <f>IF(AND(Suplementação!$T10=Suplementação!$S10,Suplementação!$S10=BE$1),Suplementação!$R10,IF(AND(Suplementação!$T10&gt;=Suplementação!$S10,AND(Suplementação!$S10&lt;=BE$1,Suplementação!$T10&gt;=BE$1)),Suplementação!$R10 /(Suplementação!$T10-Suplementação!$S10+1),0))</f>
        <v>0</v>
      </c>
      <c r="BF117" s="460">
        <f>IF(AND(Suplementação!$T10=Suplementação!$S10,Suplementação!$S10=BF$1),Suplementação!$R10,IF(AND(Suplementação!$T10&gt;=Suplementação!$S10,AND(Suplementação!$S10&lt;=BF$1,Suplementação!$T10&gt;=BF$1)),Suplementação!$R10 /(Suplementação!$T10-Suplementação!$S10+1),0))</f>
        <v>0</v>
      </c>
      <c r="BG117" s="460">
        <f>IF(AND(Suplementação!$T10=Suplementação!$S10,Suplementação!$S10=BG$1),Suplementação!$R10,IF(AND(Suplementação!$T10&gt;=Suplementação!$S10,AND(Suplementação!$S10&lt;=BG$1,Suplementação!$T10&gt;=BG$1)),Suplementação!$R10 /(Suplementação!$T10-Suplementação!$S10+1),0))</f>
        <v>0</v>
      </c>
      <c r="BH117" s="460">
        <f>IF(AND(Suplementação!$T10=Suplementação!$S10,Suplementação!$S10=BH$1),Suplementação!$R10,IF(AND(Suplementação!$T10&gt;=Suplementação!$S10,AND(Suplementação!$S10&lt;=BH$1,Suplementação!$T10&gt;=BH$1)),Suplementação!$R10 /(Suplementação!$T10-Suplementação!$S10+1),0))</f>
        <v>0</v>
      </c>
      <c r="BI117" s="460">
        <f>IF(AND(Suplementação!$T10=Suplementação!$S10,Suplementação!$S10=BI$1),Suplementação!$R10,IF(AND(Suplementação!$T10&gt;=Suplementação!$S10,AND(Suplementação!$S10&lt;=BI$1,Suplementação!$T10&gt;=BI$1)),Suplementação!$R10 /(Suplementação!$T10-Suplementação!$S10+1),0))</f>
        <v>0</v>
      </c>
      <c r="BJ117" s="460">
        <f>IF(AND(Suplementação!$T10=Suplementação!$S10,Suplementação!$S10=BJ$1),Suplementação!$R10,IF(AND(Suplementação!$T10&gt;=Suplementação!$S10,AND(Suplementação!$S10&lt;=BJ$1,Suplementação!$T10&gt;=BJ$1)),Suplementação!$R10 /(Suplementação!$T10-Suplementação!$S10+1),0))</f>
        <v>0</v>
      </c>
      <c r="BK117" s="460">
        <f>IF(AND(Suplementação!$T10=Suplementação!$S10,Suplementação!$S10=BK$1),Suplementação!$R10,IF(AND(Suplementação!$T10&gt;=Suplementação!$S10,AND(Suplementação!$S10&lt;=BK$1,Suplementação!$T10&gt;=BK$1)),Suplementação!$R10 /(Suplementação!$T10-Suplementação!$S10+1),0))</f>
        <v>0</v>
      </c>
      <c r="BL117" s="460">
        <f>IF(AND(Suplementação!$T10=Suplementação!$S10,Suplementação!$S10=BL$1),Suplementação!$R10,IF(AND(Suplementação!$T10&gt;=Suplementação!$S10,AND(Suplementação!$S10&lt;=BL$1,Suplementação!$T10&gt;=BL$1)),Suplementação!$R10 /(Suplementação!$T10-Suplementação!$S10+1),0))</f>
        <v>0</v>
      </c>
      <c r="BM117" s="460">
        <f>IF(AND(Suplementação!$T10=Suplementação!$S10,Suplementação!$S10=BM$1),Suplementação!$R10,IF(AND(Suplementação!$T10&gt;=Suplementação!$S10,AND(Suplementação!$S10&lt;=BM$1,Suplementação!$T10&gt;=BM$1)),Suplementação!$R10 /(Suplementação!$T10-Suplementação!$S10+1),0))</f>
        <v>0</v>
      </c>
      <c r="BN117" s="460">
        <f>IF(AND(Suplementação!$T10=Suplementação!$S10,Suplementação!$S10=BN$1),Suplementação!$R10,IF(AND(Suplementação!$T10&gt;=Suplementação!$S10,AND(Suplementação!$S10&lt;=BN$1,Suplementação!$T10&gt;=BN$1)),Suplementação!$R10 /(Suplementação!$T10-Suplementação!$S10+1),0))</f>
        <v>0</v>
      </c>
      <c r="BO117" s="460">
        <f>IF(AND(Suplementação!$T10=Suplementação!$S10,Suplementação!$S10=BO$1),Suplementação!$R10,IF(AND(Suplementação!$T10&gt;=Suplementação!$S10,AND(Suplementação!$S10&lt;=BO$1,Suplementação!$T10&gt;=BO$1)),Suplementação!$R10 /(Suplementação!$T10-Suplementação!$S10+1),0))</f>
        <v>0</v>
      </c>
      <c r="BP117" s="460">
        <f>IF(AND(Suplementação!$T10=Suplementação!$S10,Suplementação!$S10=BP$1),Suplementação!$R10,IF(AND(Suplementação!$T10&gt;=Suplementação!$S10,AND(Suplementação!$S10&lt;=BP$1,Suplementação!$T10&gt;=BP$1)),Suplementação!$R10 /(Suplementação!$T10-Suplementação!$S10+1),0))</f>
        <v>0</v>
      </c>
      <c r="BQ117" s="460">
        <f>IF(AND(Suplementação!$T10=Suplementação!$S10,Suplementação!$S10=BQ$1),Suplementação!$R10,IF(AND(Suplementação!$T10&gt;=Suplementação!$S10,AND(Suplementação!$S10&lt;=BQ$1,Suplementação!$T10&gt;=BQ$1)),Suplementação!$R10 /(Suplementação!$T10-Suplementação!$S10+1),0))</f>
        <v>0</v>
      </c>
      <c r="BR117" s="460">
        <f>IF(AND(Suplementação!$T10=Suplementação!$S10,Suplementação!$S10=BR$1),Suplementação!$R10,IF(AND(Suplementação!$T10&gt;=Suplementação!$S10,AND(Suplementação!$S10&lt;=BR$1,Suplementação!$T10&gt;=BR$1)),Suplementação!$R10 /(Suplementação!$T10-Suplementação!$S10+1),0))</f>
        <v>0</v>
      </c>
      <c r="BS117" s="460">
        <f>IF(AND(Suplementação!$T10=Suplementação!$S10,Suplementação!$S10=BS$1),Suplementação!$R10,IF(AND(Suplementação!$T10&gt;=Suplementação!$S10,AND(Suplementação!$S10&lt;=BS$1,Suplementação!$T10&gt;=BS$1)),Suplementação!$R10 /(Suplementação!$T10-Suplementação!$S10+1),0))</f>
        <v>0</v>
      </c>
      <c r="BT117" s="461">
        <f>IF(AND(Suplementação!$T10=Suplementação!$S10,Suplementação!$S10=BT$1),Suplementação!$R10,IF(AND(Suplementação!$T10&gt;=Suplementação!$S10,AND(Suplementação!$S10&lt;=BT$1,Suplementação!$T10&gt;=BT$1)),Suplementação!$R10 /(Suplementação!$T10-Suplementação!$S10+1),0))</f>
        <v>0</v>
      </c>
    </row>
    <row r="118" spans="2:72" ht="13.5" thickBot="1" x14ac:dyDescent="0.25">
      <c r="B118" s="532" t="s">
        <v>1099</v>
      </c>
      <c r="C118" s="1481">
        <f>C84/'Análise TEC'!C22</f>
        <v>115.00000000000001</v>
      </c>
      <c r="D118" s="497"/>
      <c r="E118" s="497"/>
      <c r="F118" s="497"/>
      <c r="G118" s="497"/>
      <c r="H118" s="497"/>
      <c r="I118" s="704"/>
      <c r="J118" s="704"/>
      <c r="K118" s="704"/>
      <c r="L118" s="704"/>
      <c r="M118" s="704"/>
      <c r="N118" s="704"/>
      <c r="O118" s="704"/>
      <c r="P118" s="704"/>
      <c r="Q118" s="704"/>
      <c r="BA118" s="459">
        <f>VLOOKUP(Suplementação!C16,Dados!$A$14:$Q$81,17)</f>
        <v>0</v>
      </c>
      <c r="BB118" s="460">
        <f>IF(AND(Suplementação!$T16=Suplementação!$S16,Suplementação!$S16=BB$1),Suplementação!$R16,IF(AND(Suplementação!$T16&gt;=Suplementação!$S16,AND(Suplementação!$S16&lt;=BB$1,Suplementação!$T16&gt;=BB$1)),Suplementação!$R16 /(Suplementação!$T16-Suplementação!$S16+1),0))</f>
        <v>0</v>
      </c>
      <c r="BC118" s="460">
        <f>IF(AND(Suplementação!$T16=Suplementação!$S16,Suplementação!$S16=BC$1),Suplementação!$R16,IF(AND(Suplementação!$T16&gt;=Suplementação!$S16,AND(Suplementação!$S16&lt;=BC$1,Suplementação!$T16&gt;=BC$1)),Suplementação!$R16 /(Suplementação!$T16-Suplementação!$S16+1),0))</f>
        <v>0</v>
      </c>
      <c r="BD118" s="460">
        <f>IF(AND(Suplementação!$T16=Suplementação!$S16,Suplementação!$S16=BD$1),Suplementação!$R16,IF(AND(Suplementação!$T16&gt;=Suplementação!$S16,AND(Suplementação!$S16&lt;=BD$1,Suplementação!$T16&gt;=BD$1)),Suplementação!$R16 /(Suplementação!$T16-Suplementação!$S16+1),0))</f>
        <v>0</v>
      </c>
      <c r="BE118" s="460">
        <f>IF(AND(Suplementação!$T16=Suplementação!$S16,Suplementação!$S16=BE$1),Suplementação!$R16,IF(AND(Suplementação!$T16&gt;=Suplementação!$S16,AND(Suplementação!$S16&lt;=BE$1,Suplementação!$T16&gt;=BE$1)),Suplementação!$R16 /(Suplementação!$T16-Suplementação!$S16+1),0))</f>
        <v>0</v>
      </c>
      <c r="BF118" s="460">
        <f>IF(AND(Suplementação!$T16=Suplementação!$S16,Suplementação!$S16=BF$1),Suplementação!$R16,IF(AND(Suplementação!$T16&gt;=Suplementação!$S16,AND(Suplementação!$S16&lt;=BF$1,Suplementação!$T16&gt;=BF$1)),Suplementação!$R16 /(Suplementação!$T16-Suplementação!$S16+1),0))</f>
        <v>0</v>
      </c>
      <c r="BG118" s="460">
        <f>IF(AND(Suplementação!$T16=Suplementação!$S16,Suplementação!$S16=BG$1),Suplementação!$R16,IF(AND(Suplementação!$T16&gt;=Suplementação!$S16,AND(Suplementação!$S16&lt;=BG$1,Suplementação!$T16&gt;=BG$1)),Suplementação!$R16 /(Suplementação!$T16-Suplementação!$S16+1),0))</f>
        <v>0</v>
      </c>
      <c r="BH118" s="460">
        <f>IF(AND(Suplementação!$T16=Suplementação!$S16,Suplementação!$S16=BH$1),Suplementação!$R16,IF(AND(Suplementação!$T16&gt;=Suplementação!$S16,AND(Suplementação!$S16&lt;=BH$1,Suplementação!$T16&gt;=BH$1)),Suplementação!$R16 /(Suplementação!$T16-Suplementação!$S16+1),0))</f>
        <v>0</v>
      </c>
      <c r="BI118" s="460">
        <f>IF(AND(Suplementação!$T16=Suplementação!$S16,Suplementação!$S16=BI$1),Suplementação!$R16,IF(AND(Suplementação!$T16&gt;=Suplementação!$S16,AND(Suplementação!$S16&lt;=BI$1,Suplementação!$T16&gt;=BI$1)),Suplementação!$R16 /(Suplementação!$T16-Suplementação!$S16+1),0))</f>
        <v>0</v>
      </c>
      <c r="BJ118" s="460">
        <f>IF(AND(Suplementação!$T16=Suplementação!$S16,Suplementação!$S16=BJ$1),Suplementação!$R16,IF(AND(Suplementação!$T16&gt;=Suplementação!$S16,AND(Suplementação!$S16&lt;=BJ$1,Suplementação!$T16&gt;=BJ$1)),Suplementação!$R16 /(Suplementação!$T16-Suplementação!$S16+1),0))</f>
        <v>0</v>
      </c>
      <c r="BK118" s="460">
        <f>IF(AND(Suplementação!$T16=Suplementação!$S16,Suplementação!$S16=BK$1),Suplementação!$R16,IF(AND(Suplementação!$T16&gt;=Suplementação!$S16,AND(Suplementação!$S16&lt;=BK$1,Suplementação!$T16&gt;=BK$1)),Suplementação!$R16 /(Suplementação!$T16-Suplementação!$S16+1),0))</f>
        <v>0</v>
      </c>
      <c r="BL118" s="460">
        <f>IF(AND(Suplementação!$T16=Suplementação!$S16,Suplementação!$S16=BL$1),Suplementação!$R16,IF(AND(Suplementação!$T16&gt;=Suplementação!$S16,AND(Suplementação!$S16&lt;=BL$1,Suplementação!$T16&gt;=BL$1)),Suplementação!$R16 /(Suplementação!$T16-Suplementação!$S16+1),0))</f>
        <v>0</v>
      </c>
      <c r="BM118" s="460">
        <f>IF(AND(Suplementação!$T16=Suplementação!$S16,Suplementação!$S16=BM$1),Suplementação!$R16,IF(AND(Suplementação!$T16&gt;=Suplementação!$S16,AND(Suplementação!$S16&lt;=BM$1,Suplementação!$T16&gt;=BM$1)),Suplementação!$R16 /(Suplementação!$T16-Suplementação!$S16+1),0))</f>
        <v>0</v>
      </c>
      <c r="BN118" s="460">
        <f>IF(AND(Suplementação!$T16=Suplementação!$S16,Suplementação!$S16=BN$1),Suplementação!$R16,IF(AND(Suplementação!$T16&gt;=Suplementação!$S16,AND(Suplementação!$S16&lt;=BN$1,Suplementação!$T16&gt;=BN$1)),Suplementação!$R16 /(Suplementação!$T16-Suplementação!$S16+1),0))</f>
        <v>0</v>
      </c>
      <c r="BO118" s="460">
        <f>IF(AND(Suplementação!$T16=Suplementação!$S16,Suplementação!$S16=BO$1),Suplementação!$R16,IF(AND(Suplementação!$T16&gt;=Suplementação!$S16,AND(Suplementação!$S16&lt;=BO$1,Suplementação!$T16&gt;=BO$1)),Suplementação!$R16 /(Suplementação!$T16-Suplementação!$S16+1),0))</f>
        <v>0</v>
      </c>
      <c r="BP118" s="460">
        <f>IF(AND(Suplementação!$T16=Suplementação!$S16,Suplementação!$S16=BP$1),Suplementação!$R16,IF(AND(Suplementação!$T16&gt;=Suplementação!$S16,AND(Suplementação!$S16&lt;=BP$1,Suplementação!$T16&gt;=BP$1)),Suplementação!$R16 /(Suplementação!$T16-Suplementação!$S16+1),0))</f>
        <v>0</v>
      </c>
      <c r="BQ118" s="460">
        <f>IF(AND(Suplementação!$T16=Suplementação!$S16,Suplementação!$S16=BQ$1),Suplementação!$R16,IF(AND(Suplementação!$T16&gt;=Suplementação!$S16,AND(Suplementação!$S16&lt;=BQ$1,Suplementação!$T16&gt;=BQ$1)),Suplementação!$R16 /(Suplementação!$T16-Suplementação!$S16+1),0))</f>
        <v>0</v>
      </c>
      <c r="BR118" s="460">
        <f>IF(AND(Suplementação!$T16=Suplementação!$S16,Suplementação!$S16=BR$1),Suplementação!$R16,IF(AND(Suplementação!$T16&gt;=Suplementação!$S16,AND(Suplementação!$S16&lt;=BR$1,Suplementação!$T16&gt;=BR$1)),Suplementação!$R16 /(Suplementação!$T16-Suplementação!$S16+1),0))</f>
        <v>0</v>
      </c>
      <c r="BS118" s="460">
        <f>IF(AND(Suplementação!$T16=Suplementação!$S16,Suplementação!$S16=BS$1),Suplementação!$R16,IF(AND(Suplementação!$T16&gt;=Suplementação!$S16,AND(Suplementação!$S16&lt;=BS$1,Suplementação!$T16&gt;=BS$1)),Suplementação!$R16 /(Suplementação!$T16-Suplementação!$S16+1),0))</f>
        <v>0</v>
      </c>
      <c r="BT118" s="461">
        <f>IF(AND(Suplementação!$T16=Suplementação!$S16,Suplementação!$S16=BT$1),Suplementação!$R16,IF(AND(Suplementação!$T16&gt;=Suplementação!$S16,AND(Suplementação!$S16&lt;=BT$1,Suplementação!$T16&gt;=BT$1)),Suplementação!$R16 /(Suplementação!$T16-Suplementação!$S16+1),0))</f>
        <v>0</v>
      </c>
    </row>
    <row r="119" spans="2:72" x14ac:dyDescent="0.2">
      <c r="B119" s="937" t="s">
        <v>901</v>
      </c>
      <c r="C119" s="1475">
        <f ca="1">C45/'Análise TEC'!C22</f>
        <v>91.378760162324852</v>
      </c>
      <c r="D119" s="497"/>
      <c r="E119" s="497"/>
      <c r="F119" s="497"/>
      <c r="G119" s="497"/>
      <c r="H119" s="1320"/>
      <c r="I119" s="704"/>
      <c r="J119" s="704"/>
      <c r="K119" s="704"/>
      <c r="L119" s="704"/>
      <c r="M119" s="704"/>
      <c r="N119" s="704"/>
      <c r="O119" s="704"/>
      <c r="P119" s="704"/>
      <c r="Q119" s="704"/>
      <c r="BA119" s="935"/>
      <c r="BB119" s="460"/>
      <c r="BC119" s="460"/>
      <c r="BD119" s="460"/>
      <c r="BE119" s="460"/>
      <c r="BF119" s="460"/>
      <c r="BG119" s="460"/>
      <c r="BH119" s="460"/>
      <c r="BI119" s="460"/>
      <c r="BJ119" s="460"/>
      <c r="BK119" s="460"/>
      <c r="BL119" s="460"/>
      <c r="BM119" s="460"/>
      <c r="BN119" s="460"/>
      <c r="BO119" s="460"/>
      <c r="BP119" s="460"/>
      <c r="BQ119" s="460"/>
      <c r="BR119" s="460"/>
      <c r="BS119" s="460"/>
      <c r="BT119" s="461"/>
    </row>
    <row r="120" spans="2:72" x14ac:dyDescent="0.2">
      <c r="B120" s="527" t="s">
        <v>902</v>
      </c>
      <c r="C120" s="1476">
        <f ca="1">C66/'Análise TEC'!C22</f>
        <v>109.35748199969399</v>
      </c>
      <c r="D120" s="497"/>
      <c r="E120" s="497"/>
      <c r="F120" s="497"/>
      <c r="G120" s="497"/>
      <c r="H120" s="497"/>
      <c r="M120" s="704"/>
      <c r="N120" s="704"/>
      <c r="O120" s="704"/>
      <c r="P120" s="704"/>
      <c r="Q120" s="704"/>
      <c r="BA120" s="459">
        <f>VLOOKUP(Suplementação!C17,Dados!$A$14:$Q$81,17)</f>
        <v>0</v>
      </c>
      <c r="BB120" s="460">
        <f>IF(AND(Suplementação!$T17=Suplementação!$S17,Suplementação!$S17=BB$1),Suplementação!$R17,IF(AND(Suplementação!$T17&gt;=Suplementação!$S17,AND(Suplementação!$S17&lt;=BB$1,Suplementação!$T17&gt;=BB$1)),Suplementação!$R17 /(Suplementação!$T17-Suplementação!$S17+1),0))</f>
        <v>0</v>
      </c>
      <c r="BC120" s="460">
        <f>IF(AND(Suplementação!$T17=Suplementação!$S17,Suplementação!$S17=BC$1),Suplementação!$R17,IF(AND(Suplementação!$T17&gt;=Suplementação!$S17,AND(Suplementação!$S17&lt;=BC$1,Suplementação!$T17&gt;=BC$1)),Suplementação!$R17 /(Suplementação!$T17-Suplementação!$S17+1),0))</f>
        <v>0</v>
      </c>
      <c r="BD120" s="460">
        <f>IF(AND(Suplementação!$T17=Suplementação!$S17,Suplementação!$S17=BD$1),Suplementação!$R17,IF(AND(Suplementação!$T17&gt;=Suplementação!$S17,AND(Suplementação!$S17&lt;=BD$1,Suplementação!$T17&gt;=BD$1)),Suplementação!$R17 /(Suplementação!$T17-Suplementação!$S17+1),0))</f>
        <v>0</v>
      </c>
      <c r="BE120" s="460">
        <f>IF(AND(Suplementação!$T17=Suplementação!$S17,Suplementação!$S17=BE$1),Suplementação!$R17,IF(AND(Suplementação!$T17&gt;=Suplementação!$S17,AND(Suplementação!$S17&lt;=BE$1,Suplementação!$T17&gt;=BE$1)),Suplementação!$R17 /(Suplementação!$T17-Suplementação!$S17+1),0))</f>
        <v>0</v>
      </c>
      <c r="BF120" s="460">
        <f>IF(AND(Suplementação!$T17=Suplementação!$S17,Suplementação!$S17=BF$1),Suplementação!$R17,IF(AND(Suplementação!$T17&gt;=Suplementação!$S17,AND(Suplementação!$S17&lt;=BF$1,Suplementação!$T17&gt;=BF$1)),Suplementação!$R17 /(Suplementação!$T17-Suplementação!$S17+1),0))</f>
        <v>0</v>
      </c>
      <c r="BG120" s="460">
        <f>IF(AND(Suplementação!$T17=Suplementação!$S17,Suplementação!$S17=BG$1),Suplementação!$R17,IF(AND(Suplementação!$T17&gt;=Suplementação!$S17,AND(Suplementação!$S17&lt;=BG$1,Suplementação!$T17&gt;=BG$1)),Suplementação!$R17 /(Suplementação!$T17-Suplementação!$S17+1),0))</f>
        <v>0</v>
      </c>
      <c r="BH120" s="460">
        <f>IF(AND(Suplementação!$T17=Suplementação!$S17,Suplementação!$S17=BH$1),Suplementação!$R17,IF(AND(Suplementação!$T17&gt;=Suplementação!$S17,AND(Suplementação!$S17&lt;=BH$1,Suplementação!$T17&gt;=BH$1)),Suplementação!$R17 /(Suplementação!$T17-Suplementação!$S17+1),0))</f>
        <v>0</v>
      </c>
      <c r="BI120" s="460">
        <f>IF(AND(Suplementação!$T17=Suplementação!$S17,Suplementação!$S17=BI$1),Suplementação!$R17,IF(AND(Suplementação!$T17&gt;=Suplementação!$S17,AND(Suplementação!$S17&lt;=BI$1,Suplementação!$T17&gt;=BI$1)),Suplementação!$R17 /(Suplementação!$T17-Suplementação!$S17+1),0))</f>
        <v>0</v>
      </c>
      <c r="BJ120" s="460">
        <f>IF(AND(Suplementação!$T17=Suplementação!$S17,Suplementação!$S17=BJ$1),Suplementação!$R17,IF(AND(Suplementação!$T17&gt;=Suplementação!$S17,AND(Suplementação!$S17&lt;=BJ$1,Suplementação!$T17&gt;=BJ$1)),Suplementação!$R17 /(Suplementação!$T17-Suplementação!$S17+1),0))</f>
        <v>0</v>
      </c>
      <c r="BK120" s="460">
        <f>IF(AND(Suplementação!$T17=Suplementação!$S17,Suplementação!$S17=BK$1),Suplementação!$R17,IF(AND(Suplementação!$T17&gt;=Suplementação!$S17,AND(Suplementação!$S17&lt;=BK$1,Suplementação!$T17&gt;=BK$1)),Suplementação!$R17 /(Suplementação!$T17-Suplementação!$S17+1),0))</f>
        <v>0</v>
      </c>
      <c r="BL120" s="460">
        <f>IF(AND(Suplementação!$T17=Suplementação!$S17,Suplementação!$S17=BL$1),Suplementação!$R17,IF(AND(Suplementação!$T17&gt;=Suplementação!$S17,AND(Suplementação!$S17&lt;=BL$1,Suplementação!$T17&gt;=BL$1)),Suplementação!$R17 /(Suplementação!$T17-Suplementação!$S17+1),0))</f>
        <v>0</v>
      </c>
      <c r="BM120" s="460">
        <f>IF(AND(Suplementação!$T17=Suplementação!$S17,Suplementação!$S17=BM$1),Suplementação!$R17,IF(AND(Suplementação!$T17&gt;=Suplementação!$S17,AND(Suplementação!$S17&lt;=BM$1,Suplementação!$T17&gt;=BM$1)),Suplementação!$R17 /(Suplementação!$T17-Suplementação!$S17+1),0))</f>
        <v>0</v>
      </c>
      <c r="BN120" s="460">
        <f>IF(AND(Suplementação!$T17=Suplementação!$S17,Suplementação!$S17=BN$1),Suplementação!$R17,IF(AND(Suplementação!$T17&gt;=Suplementação!$S17,AND(Suplementação!$S17&lt;=BN$1,Suplementação!$T17&gt;=BN$1)),Suplementação!$R17 /(Suplementação!$T17-Suplementação!$S17+1),0))</f>
        <v>0</v>
      </c>
      <c r="BO120" s="460">
        <f>IF(AND(Suplementação!$T17=Suplementação!$S17,Suplementação!$S17=BO$1),Suplementação!$R17,IF(AND(Suplementação!$T17&gt;=Suplementação!$S17,AND(Suplementação!$S17&lt;=BO$1,Suplementação!$T17&gt;=BO$1)),Suplementação!$R17 /(Suplementação!$T17-Suplementação!$S17+1),0))</f>
        <v>0</v>
      </c>
      <c r="BP120" s="460">
        <f>IF(AND(Suplementação!$T17=Suplementação!$S17,Suplementação!$S17=BP$1),Suplementação!$R17,IF(AND(Suplementação!$T17&gt;=Suplementação!$S17,AND(Suplementação!$S17&lt;=BP$1,Suplementação!$T17&gt;=BP$1)),Suplementação!$R17 /(Suplementação!$T17-Suplementação!$S17+1),0))</f>
        <v>0</v>
      </c>
      <c r="BQ120" s="460">
        <f>IF(AND(Suplementação!$T17=Suplementação!$S17,Suplementação!$S17=BQ$1),Suplementação!$R17,IF(AND(Suplementação!$T17&gt;=Suplementação!$S17,AND(Suplementação!$S17&lt;=BQ$1,Suplementação!$T17&gt;=BQ$1)),Suplementação!$R17 /(Suplementação!$T17-Suplementação!$S17+1),0))</f>
        <v>0</v>
      </c>
      <c r="BR120" s="460">
        <f>IF(AND(Suplementação!$T17=Suplementação!$S17,Suplementação!$S17=BR$1),Suplementação!$R17,IF(AND(Suplementação!$T17&gt;=Suplementação!$S17,AND(Suplementação!$S17&lt;=BR$1,Suplementação!$T17&gt;=BR$1)),Suplementação!$R17 /(Suplementação!$T17-Suplementação!$S17+1),0))</f>
        <v>0</v>
      </c>
      <c r="BS120" s="460">
        <f>IF(AND(Suplementação!$T17=Suplementação!$S17,Suplementação!$S17=BS$1),Suplementação!$R17,IF(AND(Suplementação!$T17&gt;=Suplementação!$S17,AND(Suplementação!$S17&lt;=BS$1,Suplementação!$T17&gt;=BS$1)),Suplementação!$R17 /(Suplementação!$T17-Suplementação!$S17+1),0))</f>
        <v>0</v>
      </c>
      <c r="BT120" s="461">
        <f>IF(AND(Suplementação!$T17=Suplementação!$S17,Suplementação!$S17=BT$1),Suplementação!$R17,IF(AND(Suplementação!$T17&gt;=Suplementação!$S17,AND(Suplementação!$S17&lt;=BT$1,Suplementação!$T17&gt;=BT$1)),Suplementação!$R17 /(Suplementação!$T17-Suplementação!$S17+1),0))</f>
        <v>0</v>
      </c>
    </row>
    <row r="121" spans="2:72" ht="13.5" thickBot="1" x14ac:dyDescent="0.25">
      <c r="B121" s="528" t="s">
        <v>903</v>
      </c>
      <c r="C121" s="1479">
        <f ca="1">C80/'Análise TEC'!C22</f>
        <v>148.25716582266378</v>
      </c>
      <c r="D121" s="497"/>
      <c r="E121" s="497"/>
      <c r="F121" s="497"/>
      <c r="G121" s="497"/>
      <c r="H121" s="497"/>
      <c r="BA121" s="459">
        <f>VLOOKUP(Suplementação!C18,Dados!$A$14:$Q$81,17)</f>
        <v>0</v>
      </c>
      <c r="BB121" s="460">
        <f>IF(AND(Suplementação!$T18=Suplementação!$S18,Suplementação!$S18=BB$1),Suplementação!$R18,IF(AND(Suplementação!$T18&gt;=Suplementação!$S18,AND(Suplementação!$S18&lt;=BB$1,Suplementação!$T18&gt;=BB$1)),Suplementação!$R18 /(Suplementação!$T18-Suplementação!$S18+1),0))</f>
        <v>0</v>
      </c>
      <c r="BC121" s="460">
        <f>IF(AND(Suplementação!$T18=Suplementação!$S18,Suplementação!$S18=BC$1),Suplementação!$R18,IF(AND(Suplementação!$T18&gt;=Suplementação!$S18,AND(Suplementação!$S18&lt;=BC$1,Suplementação!$T18&gt;=BC$1)),Suplementação!$R18 /(Suplementação!$T18-Suplementação!$S18+1),0))</f>
        <v>0</v>
      </c>
      <c r="BD121" s="460">
        <f>IF(AND(Suplementação!$T18=Suplementação!$S18,Suplementação!$S18=BD$1),Suplementação!$R18,IF(AND(Suplementação!$T18&gt;=Suplementação!$S18,AND(Suplementação!$S18&lt;=BD$1,Suplementação!$T18&gt;=BD$1)),Suplementação!$R18 /(Suplementação!$T18-Suplementação!$S18+1),0))</f>
        <v>0</v>
      </c>
      <c r="BE121" s="460">
        <f>IF(AND(Suplementação!$T18=Suplementação!$S18,Suplementação!$S18=BE$1),Suplementação!$R18,IF(AND(Suplementação!$T18&gt;=Suplementação!$S18,AND(Suplementação!$S18&lt;=BE$1,Suplementação!$T18&gt;=BE$1)),Suplementação!$R18 /(Suplementação!$T18-Suplementação!$S18+1),0))</f>
        <v>0</v>
      </c>
      <c r="BF121" s="460">
        <f>IF(AND(Suplementação!$T18=Suplementação!$S18,Suplementação!$S18=BF$1),Suplementação!$R18,IF(AND(Suplementação!$T18&gt;=Suplementação!$S18,AND(Suplementação!$S18&lt;=BF$1,Suplementação!$T18&gt;=BF$1)),Suplementação!$R18 /(Suplementação!$T18-Suplementação!$S18+1),0))</f>
        <v>0</v>
      </c>
      <c r="BG121" s="460">
        <f>IF(AND(Suplementação!$T18=Suplementação!$S18,Suplementação!$S18=BG$1),Suplementação!$R18,IF(AND(Suplementação!$T18&gt;=Suplementação!$S18,AND(Suplementação!$S18&lt;=BG$1,Suplementação!$T18&gt;=BG$1)),Suplementação!$R18 /(Suplementação!$T18-Suplementação!$S18+1),0))</f>
        <v>0</v>
      </c>
      <c r="BH121" s="460">
        <f>IF(AND(Suplementação!$T18=Suplementação!$S18,Suplementação!$S18=BH$1),Suplementação!$R18,IF(AND(Suplementação!$T18&gt;=Suplementação!$S18,AND(Suplementação!$S18&lt;=BH$1,Suplementação!$T18&gt;=BH$1)),Suplementação!$R18 /(Suplementação!$T18-Suplementação!$S18+1),0))</f>
        <v>0</v>
      </c>
      <c r="BI121" s="460">
        <f>IF(AND(Suplementação!$T18=Suplementação!$S18,Suplementação!$S18=BI$1),Suplementação!$R18,IF(AND(Suplementação!$T18&gt;=Suplementação!$S18,AND(Suplementação!$S18&lt;=BI$1,Suplementação!$T18&gt;=BI$1)),Suplementação!$R18 /(Suplementação!$T18-Suplementação!$S18+1),0))</f>
        <v>0</v>
      </c>
      <c r="BJ121" s="460">
        <f>IF(AND(Suplementação!$T18=Suplementação!$S18,Suplementação!$S18=BJ$1),Suplementação!$R18,IF(AND(Suplementação!$T18&gt;=Suplementação!$S18,AND(Suplementação!$S18&lt;=BJ$1,Suplementação!$T18&gt;=BJ$1)),Suplementação!$R18 /(Suplementação!$T18-Suplementação!$S18+1),0))</f>
        <v>0</v>
      </c>
      <c r="BK121" s="460">
        <f>IF(AND(Suplementação!$T18=Suplementação!$S18,Suplementação!$S18=BK$1),Suplementação!$R18,IF(AND(Suplementação!$T18&gt;=Suplementação!$S18,AND(Suplementação!$S18&lt;=BK$1,Suplementação!$T18&gt;=BK$1)),Suplementação!$R18 /(Suplementação!$T18-Suplementação!$S18+1),0))</f>
        <v>0</v>
      </c>
      <c r="BL121" s="460">
        <f>IF(AND(Suplementação!$T18=Suplementação!$S18,Suplementação!$S18=BL$1),Suplementação!$R18,IF(AND(Suplementação!$T18&gt;=Suplementação!$S18,AND(Suplementação!$S18&lt;=BL$1,Suplementação!$T18&gt;=BL$1)),Suplementação!$R18 /(Suplementação!$T18-Suplementação!$S18+1),0))</f>
        <v>0</v>
      </c>
      <c r="BM121" s="460">
        <f>IF(AND(Suplementação!$T18=Suplementação!$S18,Suplementação!$S18=BM$1),Suplementação!$R18,IF(AND(Suplementação!$T18&gt;=Suplementação!$S18,AND(Suplementação!$S18&lt;=BM$1,Suplementação!$T18&gt;=BM$1)),Suplementação!$R18 /(Suplementação!$T18-Suplementação!$S18+1),0))</f>
        <v>0</v>
      </c>
      <c r="BN121" s="460">
        <f>IF(AND(Suplementação!$T18=Suplementação!$S18,Suplementação!$S18=BN$1),Suplementação!$R18,IF(AND(Suplementação!$T18&gt;=Suplementação!$S18,AND(Suplementação!$S18&lt;=BN$1,Suplementação!$T18&gt;=BN$1)),Suplementação!$R18 /(Suplementação!$T18-Suplementação!$S18+1),0))</f>
        <v>0</v>
      </c>
      <c r="BO121" s="460">
        <f>IF(AND(Suplementação!$T18=Suplementação!$S18,Suplementação!$S18=BO$1),Suplementação!$R18,IF(AND(Suplementação!$T18&gt;=Suplementação!$S18,AND(Suplementação!$S18&lt;=BO$1,Suplementação!$T18&gt;=BO$1)),Suplementação!$R18 /(Suplementação!$T18-Suplementação!$S18+1),0))</f>
        <v>0</v>
      </c>
      <c r="BP121" s="460">
        <f>IF(AND(Suplementação!$T18=Suplementação!$S18,Suplementação!$S18=BP$1),Suplementação!$R18,IF(AND(Suplementação!$T18&gt;=Suplementação!$S18,AND(Suplementação!$S18&lt;=BP$1,Suplementação!$T18&gt;=BP$1)),Suplementação!$R18 /(Suplementação!$T18-Suplementação!$S18+1),0))</f>
        <v>0</v>
      </c>
      <c r="BQ121" s="460">
        <f>IF(AND(Suplementação!$T18=Suplementação!$S18,Suplementação!$S18=BQ$1),Suplementação!$R18,IF(AND(Suplementação!$T18&gt;=Suplementação!$S18,AND(Suplementação!$S18&lt;=BQ$1,Suplementação!$T18&gt;=BQ$1)),Suplementação!$R18 /(Suplementação!$T18-Suplementação!$S18+1),0))</f>
        <v>0</v>
      </c>
      <c r="BR121" s="460">
        <f>IF(AND(Suplementação!$T18=Suplementação!$S18,Suplementação!$S18=BR$1),Suplementação!$R18,IF(AND(Suplementação!$T18&gt;=Suplementação!$S18,AND(Suplementação!$S18&lt;=BR$1,Suplementação!$T18&gt;=BR$1)),Suplementação!$R18 /(Suplementação!$T18-Suplementação!$S18+1),0))</f>
        <v>0</v>
      </c>
      <c r="BS121" s="460">
        <f>IF(AND(Suplementação!$T18=Suplementação!$S18,Suplementação!$S18=BS$1),Suplementação!$R18,IF(AND(Suplementação!$T18&gt;=Suplementação!$S18,AND(Suplementação!$S18&lt;=BS$1,Suplementação!$T18&gt;=BS$1)),Suplementação!$R18 /(Suplementação!$T18-Suplementação!$S18+1),0))</f>
        <v>0</v>
      </c>
      <c r="BT121" s="461">
        <f>IF(AND(Suplementação!$T18=Suplementação!$S18,Suplementação!$S18=BT$1),Suplementação!$R18,IF(AND(Suplementação!$T18&gt;=Suplementação!$S18,AND(Suplementação!$S18&lt;=BT$1,Suplementação!$T18&gt;=BT$1)),Suplementação!$R18 /(Suplementação!$T18-Suplementação!$S18+1),0))</f>
        <v>0</v>
      </c>
    </row>
    <row r="122" spans="2:72" ht="13.5" thickBot="1" x14ac:dyDescent="0.25">
      <c r="B122" s="453"/>
      <c r="C122" s="1404"/>
      <c r="D122" s="497"/>
      <c r="E122" s="497"/>
      <c r="F122" s="497"/>
      <c r="G122" s="497"/>
      <c r="H122" s="497"/>
      <c r="BA122" s="459">
        <f>VLOOKUP(Suplementação!C20,Dados!$A$14:$Q$81,17)</f>
        <v>0</v>
      </c>
      <c r="BB122" s="460">
        <f>IF(AND(Suplementação!$T20=Suplementação!$S20,Suplementação!$S20=BB$1),Suplementação!$R20,IF(AND(Suplementação!$T20&gt;=Suplementação!$S20,AND(Suplementação!$S20&lt;=BB$1,Suplementação!$T20&gt;=BB$1)),Suplementação!$R20 /(Suplementação!$T20-Suplementação!$S20+1),0))</f>
        <v>0</v>
      </c>
      <c r="BC122" s="460">
        <f>IF(AND(Suplementação!$T20=Suplementação!$S20,Suplementação!$S20=BC$1),Suplementação!$R20,IF(AND(Suplementação!$T20&gt;=Suplementação!$S20,AND(Suplementação!$S20&lt;=BC$1,Suplementação!$T20&gt;=BC$1)),Suplementação!$R20 /(Suplementação!$T20-Suplementação!$S20+1),0))</f>
        <v>0</v>
      </c>
      <c r="BD122" s="460">
        <f>IF(AND(Suplementação!$T20=Suplementação!$S20,Suplementação!$S20=BD$1),Suplementação!$R20,IF(AND(Suplementação!$T20&gt;=Suplementação!$S20,AND(Suplementação!$S20&lt;=BD$1,Suplementação!$T20&gt;=BD$1)),Suplementação!$R20 /(Suplementação!$T20-Suplementação!$S20+1),0))</f>
        <v>0</v>
      </c>
      <c r="BE122" s="460">
        <f>IF(AND(Suplementação!$T20=Suplementação!$S20,Suplementação!$S20=BE$1),Suplementação!$R20,IF(AND(Suplementação!$T20&gt;=Suplementação!$S20,AND(Suplementação!$S20&lt;=BE$1,Suplementação!$T20&gt;=BE$1)),Suplementação!$R20 /(Suplementação!$T20-Suplementação!$S20+1),0))</f>
        <v>0</v>
      </c>
      <c r="BF122" s="460">
        <f>IF(AND(Suplementação!$T20=Suplementação!$S20,Suplementação!$S20=BF$1),Suplementação!$R20,IF(AND(Suplementação!$T20&gt;=Suplementação!$S20,AND(Suplementação!$S20&lt;=BF$1,Suplementação!$T20&gt;=BF$1)),Suplementação!$R20 /(Suplementação!$T20-Suplementação!$S20+1),0))</f>
        <v>0</v>
      </c>
      <c r="BG122" s="460">
        <f>IF(AND(Suplementação!$T20=Suplementação!$S20,Suplementação!$S20=BG$1),Suplementação!$R20,IF(AND(Suplementação!$T20&gt;=Suplementação!$S20,AND(Suplementação!$S20&lt;=BG$1,Suplementação!$T20&gt;=BG$1)),Suplementação!$R20 /(Suplementação!$T20-Suplementação!$S20+1),0))</f>
        <v>0</v>
      </c>
      <c r="BH122" s="460">
        <f>IF(AND(Suplementação!$T20=Suplementação!$S20,Suplementação!$S20=BH$1),Suplementação!$R20,IF(AND(Suplementação!$T20&gt;=Suplementação!$S20,AND(Suplementação!$S20&lt;=BH$1,Suplementação!$T20&gt;=BH$1)),Suplementação!$R20 /(Suplementação!$T20-Suplementação!$S20+1),0))</f>
        <v>0</v>
      </c>
      <c r="BI122" s="460">
        <f>IF(AND(Suplementação!$T20=Suplementação!$S20,Suplementação!$S20=BI$1),Suplementação!$R20,IF(AND(Suplementação!$T20&gt;=Suplementação!$S20,AND(Suplementação!$S20&lt;=BI$1,Suplementação!$T20&gt;=BI$1)),Suplementação!$R20 /(Suplementação!$T20-Suplementação!$S20+1),0))</f>
        <v>0</v>
      </c>
      <c r="BJ122" s="460">
        <f>IF(AND(Suplementação!$T20=Suplementação!$S20,Suplementação!$S20=BJ$1),Suplementação!$R20,IF(AND(Suplementação!$T20&gt;=Suplementação!$S20,AND(Suplementação!$S20&lt;=BJ$1,Suplementação!$T20&gt;=BJ$1)),Suplementação!$R20 /(Suplementação!$T20-Suplementação!$S20+1),0))</f>
        <v>0</v>
      </c>
      <c r="BK122" s="460">
        <f>IF(AND(Suplementação!$T20=Suplementação!$S20,Suplementação!$S20=BK$1),Suplementação!$R20,IF(AND(Suplementação!$T20&gt;=Suplementação!$S20,AND(Suplementação!$S20&lt;=BK$1,Suplementação!$T20&gt;=BK$1)),Suplementação!$R20 /(Suplementação!$T20-Suplementação!$S20+1),0))</f>
        <v>0</v>
      </c>
      <c r="BL122" s="460">
        <f>IF(AND(Suplementação!$T20=Suplementação!$S20,Suplementação!$S20=BL$1),Suplementação!$R20,IF(AND(Suplementação!$T20&gt;=Suplementação!$S20,AND(Suplementação!$S20&lt;=BL$1,Suplementação!$T20&gt;=BL$1)),Suplementação!$R20 /(Suplementação!$T20-Suplementação!$S20+1),0))</f>
        <v>0</v>
      </c>
      <c r="BM122" s="460">
        <f>IF(AND(Suplementação!$T20=Suplementação!$S20,Suplementação!$S20=BM$1),Suplementação!$R20,IF(AND(Suplementação!$T20&gt;=Suplementação!$S20,AND(Suplementação!$S20&lt;=BM$1,Suplementação!$T20&gt;=BM$1)),Suplementação!$R20 /(Suplementação!$T20-Suplementação!$S20+1),0))</f>
        <v>0</v>
      </c>
      <c r="BN122" s="460">
        <f>IF(AND(Suplementação!$T20=Suplementação!$S20,Suplementação!$S20=BN$1),Suplementação!$R20,IF(AND(Suplementação!$T20&gt;=Suplementação!$S20,AND(Suplementação!$S20&lt;=BN$1,Suplementação!$T20&gt;=BN$1)),Suplementação!$R20 /(Suplementação!$T20-Suplementação!$S20+1),0))</f>
        <v>0</v>
      </c>
      <c r="BO122" s="460">
        <f>IF(AND(Suplementação!$T20=Suplementação!$S20,Suplementação!$S20=BO$1),Suplementação!$R20,IF(AND(Suplementação!$T20&gt;=Suplementação!$S20,AND(Suplementação!$S20&lt;=BO$1,Suplementação!$T20&gt;=BO$1)),Suplementação!$R20 /(Suplementação!$T20-Suplementação!$S20+1),0))</f>
        <v>0</v>
      </c>
      <c r="BP122" s="460">
        <f>IF(AND(Suplementação!$T20=Suplementação!$S20,Suplementação!$S20=BP$1),Suplementação!$R20,IF(AND(Suplementação!$T20&gt;=Suplementação!$S20,AND(Suplementação!$S20&lt;=BP$1,Suplementação!$T20&gt;=BP$1)),Suplementação!$R20 /(Suplementação!$T20-Suplementação!$S20+1),0))</f>
        <v>0</v>
      </c>
      <c r="BQ122" s="460">
        <f>IF(AND(Suplementação!$T20=Suplementação!$S20,Suplementação!$S20=BQ$1),Suplementação!$R20,IF(AND(Suplementação!$T20&gt;=Suplementação!$S20,AND(Suplementação!$S20&lt;=BQ$1,Suplementação!$T20&gt;=BQ$1)),Suplementação!$R20 /(Suplementação!$T20-Suplementação!$S20+1),0))</f>
        <v>0</v>
      </c>
      <c r="BR122" s="460">
        <f>IF(AND(Suplementação!$T20=Suplementação!$S20,Suplementação!$S20=BR$1),Suplementação!$R20,IF(AND(Suplementação!$T20&gt;=Suplementação!$S20,AND(Suplementação!$S20&lt;=BR$1,Suplementação!$T20&gt;=BR$1)),Suplementação!$R20 /(Suplementação!$T20-Suplementação!$S20+1),0))</f>
        <v>0</v>
      </c>
      <c r="BS122" s="460">
        <f>IF(AND(Suplementação!$T20=Suplementação!$S20,Suplementação!$S20=BS$1),Suplementação!$R20,IF(AND(Suplementação!$T20&gt;=Suplementação!$S20,AND(Suplementação!$S20&lt;=BS$1,Suplementação!$T20&gt;=BS$1)),Suplementação!$R20 /(Suplementação!$T20-Suplementação!$S20+1),0))</f>
        <v>0</v>
      </c>
      <c r="BT122" s="461">
        <f>IF(AND(Suplementação!$T20=Suplementação!$S20,Suplementação!$S20=BT$1),Suplementação!$R20,IF(AND(Suplementação!$T20&gt;=Suplementação!$S20,AND(Suplementação!$S20&lt;=BT$1,Suplementação!$T20&gt;=BT$1)),Suplementação!$R20 /(Suplementação!$T20-Suplementação!$S20+1),0))</f>
        <v>0</v>
      </c>
    </row>
    <row r="123" spans="2:72" ht="13.5" thickBot="1" x14ac:dyDescent="0.25">
      <c r="B123" s="532" t="s">
        <v>961</v>
      </c>
      <c r="C123" s="1482">
        <f ca="1">SUM(C5:C8)/'Análise TEC'!C11</f>
        <v>1746.2421884112596</v>
      </c>
      <c r="D123" s="497"/>
      <c r="E123" s="497"/>
      <c r="F123" s="497"/>
      <c r="G123" s="497"/>
      <c r="H123" s="497"/>
      <c r="BA123" s="459">
        <f>VLOOKUP(Suplementação!C21,Dados!$A$14:$Q$81,17)</f>
        <v>0</v>
      </c>
      <c r="BB123" s="460">
        <f>IF(AND(Suplementação!$T21=Suplementação!$S21,Suplementação!$S21=BB$1),Suplementação!$R21,IF(AND(Suplementação!$T21&gt;=Suplementação!$S21,AND(Suplementação!$S21&lt;=BB$1,Suplementação!$T21&gt;=BB$1)),Suplementação!$R21 /(Suplementação!$T21-Suplementação!$S21+1),0))</f>
        <v>0</v>
      </c>
      <c r="BC123" s="460">
        <f>IF(AND(Suplementação!$T21=Suplementação!$S21,Suplementação!$S21=BC$1),Suplementação!$R21,IF(AND(Suplementação!$T21&gt;=Suplementação!$S21,AND(Suplementação!$S21&lt;=BC$1,Suplementação!$T21&gt;=BC$1)),Suplementação!$R21 /(Suplementação!$T21-Suplementação!$S21+1),0))</f>
        <v>0</v>
      </c>
      <c r="BD123" s="460">
        <f>IF(AND(Suplementação!$T21=Suplementação!$S21,Suplementação!$S21=BD$1),Suplementação!$R21,IF(AND(Suplementação!$T21&gt;=Suplementação!$S21,AND(Suplementação!$S21&lt;=BD$1,Suplementação!$T21&gt;=BD$1)),Suplementação!$R21 /(Suplementação!$T21-Suplementação!$S21+1),0))</f>
        <v>0</v>
      </c>
      <c r="BE123" s="460">
        <f>IF(AND(Suplementação!$T21=Suplementação!$S21,Suplementação!$S21=BE$1),Suplementação!$R21,IF(AND(Suplementação!$T21&gt;=Suplementação!$S21,AND(Suplementação!$S21&lt;=BE$1,Suplementação!$T21&gt;=BE$1)),Suplementação!$R21 /(Suplementação!$T21-Suplementação!$S21+1),0))</f>
        <v>0</v>
      </c>
      <c r="BF123" s="460">
        <f>IF(AND(Suplementação!$T21=Suplementação!$S21,Suplementação!$S21=BF$1),Suplementação!$R21,IF(AND(Suplementação!$T21&gt;=Suplementação!$S21,AND(Suplementação!$S21&lt;=BF$1,Suplementação!$T21&gt;=BF$1)),Suplementação!$R21 /(Suplementação!$T21-Suplementação!$S21+1),0))</f>
        <v>0</v>
      </c>
      <c r="BG123" s="460">
        <f>IF(AND(Suplementação!$T21=Suplementação!$S21,Suplementação!$S21=BG$1),Suplementação!$R21,IF(AND(Suplementação!$T21&gt;=Suplementação!$S21,AND(Suplementação!$S21&lt;=BG$1,Suplementação!$T21&gt;=BG$1)),Suplementação!$R21 /(Suplementação!$T21-Suplementação!$S21+1),0))</f>
        <v>0</v>
      </c>
      <c r="BH123" s="460">
        <f>IF(AND(Suplementação!$T21=Suplementação!$S21,Suplementação!$S21=BH$1),Suplementação!$R21,IF(AND(Suplementação!$T21&gt;=Suplementação!$S21,AND(Suplementação!$S21&lt;=BH$1,Suplementação!$T21&gt;=BH$1)),Suplementação!$R21 /(Suplementação!$T21-Suplementação!$S21+1),0))</f>
        <v>0</v>
      </c>
      <c r="BI123" s="460">
        <f>IF(AND(Suplementação!$T21=Suplementação!$S21,Suplementação!$S21=BI$1),Suplementação!$R21,IF(AND(Suplementação!$T21&gt;=Suplementação!$S21,AND(Suplementação!$S21&lt;=BI$1,Suplementação!$T21&gt;=BI$1)),Suplementação!$R21 /(Suplementação!$T21-Suplementação!$S21+1),0))</f>
        <v>0</v>
      </c>
      <c r="BJ123" s="460">
        <f>IF(AND(Suplementação!$T21=Suplementação!$S21,Suplementação!$S21=BJ$1),Suplementação!$R21,IF(AND(Suplementação!$T21&gt;=Suplementação!$S21,AND(Suplementação!$S21&lt;=BJ$1,Suplementação!$T21&gt;=BJ$1)),Suplementação!$R21 /(Suplementação!$T21-Suplementação!$S21+1),0))</f>
        <v>0</v>
      </c>
      <c r="BK123" s="460">
        <f>IF(AND(Suplementação!$T21=Suplementação!$S21,Suplementação!$S21=BK$1),Suplementação!$R21,IF(AND(Suplementação!$T21&gt;=Suplementação!$S21,AND(Suplementação!$S21&lt;=BK$1,Suplementação!$T21&gt;=BK$1)),Suplementação!$R21 /(Suplementação!$T21-Suplementação!$S21+1),0))</f>
        <v>0</v>
      </c>
      <c r="BL123" s="460">
        <f>IF(AND(Suplementação!$T21=Suplementação!$S21,Suplementação!$S21=BL$1),Suplementação!$R21,IF(AND(Suplementação!$T21&gt;=Suplementação!$S21,AND(Suplementação!$S21&lt;=BL$1,Suplementação!$T21&gt;=BL$1)),Suplementação!$R21 /(Suplementação!$T21-Suplementação!$S21+1),0))</f>
        <v>0</v>
      </c>
      <c r="BM123" s="460">
        <f>IF(AND(Suplementação!$T21=Suplementação!$S21,Suplementação!$S21=BM$1),Suplementação!$R21,IF(AND(Suplementação!$T21&gt;=Suplementação!$S21,AND(Suplementação!$S21&lt;=BM$1,Suplementação!$T21&gt;=BM$1)),Suplementação!$R21 /(Suplementação!$T21-Suplementação!$S21+1),0))</f>
        <v>0</v>
      </c>
      <c r="BN123" s="460">
        <f>IF(AND(Suplementação!$T21=Suplementação!$S21,Suplementação!$S21=BN$1),Suplementação!$R21,IF(AND(Suplementação!$T21&gt;=Suplementação!$S21,AND(Suplementação!$S21&lt;=BN$1,Suplementação!$T21&gt;=BN$1)),Suplementação!$R21 /(Suplementação!$T21-Suplementação!$S21+1),0))</f>
        <v>0</v>
      </c>
      <c r="BO123" s="460">
        <f>IF(AND(Suplementação!$T21=Suplementação!$S21,Suplementação!$S21=BO$1),Suplementação!$R21,IF(AND(Suplementação!$T21&gt;=Suplementação!$S21,AND(Suplementação!$S21&lt;=BO$1,Suplementação!$T21&gt;=BO$1)),Suplementação!$R21 /(Suplementação!$T21-Suplementação!$S21+1),0))</f>
        <v>0</v>
      </c>
      <c r="BP123" s="460">
        <f>IF(AND(Suplementação!$T21=Suplementação!$S21,Suplementação!$S21=BP$1),Suplementação!$R21,IF(AND(Suplementação!$T21&gt;=Suplementação!$S21,AND(Suplementação!$S21&lt;=BP$1,Suplementação!$T21&gt;=BP$1)),Suplementação!$R21 /(Suplementação!$T21-Suplementação!$S21+1),0))</f>
        <v>0</v>
      </c>
      <c r="BQ123" s="460">
        <f>IF(AND(Suplementação!$T21=Suplementação!$S21,Suplementação!$S21=BQ$1),Suplementação!$R21,IF(AND(Suplementação!$T21&gt;=Suplementação!$S21,AND(Suplementação!$S21&lt;=BQ$1,Suplementação!$T21&gt;=BQ$1)),Suplementação!$R21 /(Suplementação!$T21-Suplementação!$S21+1),0))</f>
        <v>0</v>
      </c>
      <c r="BR123" s="460">
        <f>IF(AND(Suplementação!$T21=Suplementação!$S21,Suplementação!$S21=BR$1),Suplementação!$R21,IF(AND(Suplementação!$T21&gt;=Suplementação!$S21,AND(Suplementação!$S21&lt;=BR$1,Suplementação!$T21&gt;=BR$1)),Suplementação!$R21 /(Suplementação!$T21-Suplementação!$S21+1),0))</f>
        <v>0</v>
      </c>
      <c r="BS123" s="460">
        <f>IF(AND(Suplementação!$T21=Suplementação!$S21,Suplementação!$S21=BS$1),Suplementação!$R21,IF(AND(Suplementação!$T21&gt;=Suplementação!$S21,AND(Suplementação!$S21&lt;=BS$1,Suplementação!$T21&gt;=BS$1)),Suplementação!$R21 /(Suplementação!$T21-Suplementação!$S21+1),0))</f>
        <v>0</v>
      </c>
      <c r="BT123" s="461">
        <f>IF(AND(Suplementação!$T21=Suplementação!$S21,Suplementação!$S21=BT$1),Suplementação!$R21,IF(AND(Suplementação!$T21&gt;=Suplementação!$S21,AND(Suplementação!$S21&lt;=BT$1,Suplementação!$T21&gt;=BT$1)),Suplementação!$R21 /(Suplementação!$T21-Suplementação!$S21+1),0))</f>
        <v>0</v>
      </c>
    </row>
    <row r="124" spans="2:72" x14ac:dyDescent="0.2">
      <c r="B124" s="526" t="s">
        <v>785</v>
      </c>
      <c r="C124" s="1483">
        <f ca="1">C89/'Análise TEC'!C11</f>
        <v>358.68178736633996</v>
      </c>
      <c r="D124" s="497"/>
      <c r="E124" s="497"/>
      <c r="F124" s="497"/>
      <c r="G124" s="497"/>
      <c r="H124" s="497"/>
      <c r="BA124" s="459">
        <f>VLOOKUP(Suplementação!C22,Dados!$A$14:$Q$81,17)</f>
        <v>0</v>
      </c>
      <c r="BB124" s="460">
        <f>IF(AND(Suplementação!$T22=Suplementação!$S22,Suplementação!$S22=BB$1),Suplementação!$R22,IF(AND(Suplementação!$T22&gt;=Suplementação!$S22,AND(Suplementação!$S22&lt;=BB$1,Suplementação!$T22&gt;=BB$1)),Suplementação!$R22 /(Suplementação!$T22-Suplementação!$S22+1),0))</f>
        <v>0</v>
      </c>
      <c r="BC124" s="460">
        <f>IF(AND(Suplementação!$T22=Suplementação!$S22,Suplementação!$S22=BC$1),Suplementação!$R22,IF(AND(Suplementação!$T22&gt;=Suplementação!$S22,AND(Suplementação!$S22&lt;=BC$1,Suplementação!$T22&gt;=BC$1)),Suplementação!$R22 /(Suplementação!$T22-Suplementação!$S22+1),0))</f>
        <v>0</v>
      </c>
      <c r="BD124" s="460">
        <f>IF(AND(Suplementação!$T22=Suplementação!$S22,Suplementação!$S22=BD$1),Suplementação!$R22,IF(AND(Suplementação!$T22&gt;=Suplementação!$S22,AND(Suplementação!$S22&lt;=BD$1,Suplementação!$T22&gt;=BD$1)),Suplementação!$R22 /(Suplementação!$T22-Suplementação!$S22+1),0))</f>
        <v>0</v>
      </c>
      <c r="BE124" s="460">
        <f>IF(AND(Suplementação!$T22=Suplementação!$S22,Suplementação!$S22=BE$1),Suplementação!$R22,IF(AND(Suplementação!$T22&gt;=Suplementação!$S22,AND(Suplementação!$S22&lt;=BE$1,Suplementação!$T22&gt;=BE$1)),Suplementação!$R22 /(Suplementação!$T22-Suplementação!$S22+1),0))</f>
        <v>0</v>
      </c>
      <c r="BF124" s="460">
        <f>IF(AND(Suplementação!$T22=Suplementação!$S22,Suplementação!$S22=BF$1),Suplementação!$R22,IF(AND(Suplementação!$T22&gt;=Suplementação!$S22,AND(Suplementação!$S22&lt;=BF$1,Suplementação!$T22&gt;=BF$1)),Suplementação!$R22 /(Suplementação!$T22-Suplementação!$S22+1),0))</f>
        <v>0</v>
      </c>
      <c r="BG124" s="460">
        <f>IF(AND(Suplementação!$T22=Suplementação!$S22,Suplementação!$S22=BG$1),Suplementação!$R22,IF(AND(Suplementação!$T22&gt;=Suplementação!$S22,AND(Suplementação!$S22&lt;=BG$1,Suplementação!$T22&gt;=BG$1)),Suplementação!$R22 /(Suplementação!$T22-Suplementação!$S22+1),0))</f>
        <v>0</v>
      </c>
      <c r="BH124" s="460">
        <f>IF(AND(Suplementação!$T22=Suplementação!$S22,Suplementação!$S22=BH$1),Suplementação!$R22,IF(AND(Suplementação!$T22&gt;=Suplementação!$S22,AND(Suplementação!$S22&lt;=BH$1,Suplementação!$T22&gt;=BH$1)),Suplementação!$R22 /(Suplementação!$T22-Suplementação!$S22+1),0))</f>
        <v>0</v>
      </c>
      <c r="BI124" s="460">
        <f>IF(AND(Suplementação!$T22=Suplementação!$S22,Suplementação!$S22=BI$1),Suplementação!$R22,IF(AND(Suplementação!$T22&gt;=Suplementação!$S22,AND(Suplementação!$S22&lt;=BI$1,Suplementação!$T22&gt;=BI$1)),Suplementação!$R22 /(Suplementação!$T22-Suplementação!$S22+1),0))</f>
        <v>0</v>
      </c>
      <c r="BJ124" s="460">
        <f>IF(AND(Suplementação!$T22=Suplementação!$S22,Suplementação!$S22=BJ$1),Suplementação!$R22,IF(AND(Suplementação!$T22&gt;=Suplementação!$S22,AND(Suplementação!$S22&lt;=BJ$1,Suplementação!$T22&gt;=BJ$1)),Suplementação!$R22 /(Suplementação!$T22-Suplementação!$S22+1),0))</f>
        <v>0</v>
      </c>
      <c r="BK124" s="460">
        <f>IF(AND(Suplementação!$T22=Suplementação!$S22,Suplementação!$S22=BK$1),Suplementação!$R22,IF(AND(Suplementação!$T22&gt;=Suplementação!$S22,AND(Suplementação!$S22&lt;=BK$1,Suplementação!$T22&gt;=BK$1)),Suplementação!$R22 /(Suplementação!$T22-Suplementação!$S22+1),0))</f>
        <v>0</v>
      </c>
      <c r="BL124" s="460">
        <f>IF(AND(Suplementação!$T22=Suplementação!$S22,Suplementação!$S22=BL$1),Suplementação!$R22,IF(AND(Suplementação!$T22&gt;=Suplementação!$S22,AND(Suplementação!$S22&lt;=BL$1,Suplementação!$T22&gt;=BL$1)),Suplementação!$R22 /(Suplementação!$T22-Suplementação!$S22+1),0))</f>
        <v>0</v>
      </c>
      <c r="BM124" s="460">
        <f>IF(AND(Suplementação!$T22=Suplementação!$S22,Suplementação!$S22=BM$1),Suplementação!$R22,IF(AND(Suplementação!$T22&gt;=Suplementação!$S22,AND(Suplementação!$S22&lt;=BM$1,Suplementação!$T22&gt;=BM$1)),Suplementação!$R22 /(Suplementação!$T22-Suplementação!$S22+1),0))</f>
        <v>0</v>
      </c>
      <c r="BN124" s="460">
        <f>IF(AND(Suplementação!$T22=Suplementação!$S22,Suplementação!$S22=BN$1),Suplementação!$R22,IF(AND(Suplementação!$T22&gt;=Suplementação!$S22,AND(Suplementação!$S22&lt;=BN$1,Suplementação!$T22&gt;=BN$1)),Suplementação!$R22 /(Suplementação!$T22-Suplementação!$S22+1),0))</f>
        <v>0</v>
      </c>
      <c r="BO124" s="460">
        <f>IF(AND(Suplementação!$T22=Suplementação!$S22,Suplementação!$S22=BO$1),Suplementação!$R22,IF(AND(Suplementação!$T22&gt;=Suplementação!$S22,AND(Suplementação!$S22&lt;=BO$1,Suplementação!$T22&gt;=BO$1)),Suplementação!$R22 /(Suplementação!$T22-Suplementação!$S22+1),0))</f>
        <v>0</v>
      </c>
      <c r="BP124" s="460">
        <f>IF(AND(Suplementação!$T22=Suplementação!$S22,Suplementação!$S22=BP$1),Suplementação!$R22,IF(AND(Suplementação!$T22&gt;=Suplementação!$S22,AND(Suplementação!$S22&lt;=BP$1,Suplementação!$T22&gt;=BP$1)),Suplementação!$R22 /(Suplementação!$T22-Suplementação!$S22+1),0))</f>
        <v>0</v>
      </c>
      <c r="BQ124" s="460">
        <f>IF(AND(Suplementação!$T22=Suplementação!$S22,Suplementação!$S22=BQ$1),Suplementação!$R22,IF(AND(Suplementação!$T22&gt;=Suplementação!$S22,AND(Suplementação!$S22&lt;=BQ$1,Suplementação!$T22&gt;=BQ$1)),Suplementação!$R22 /(Suplementação!$T22-Suplementação!$S22+1),0))</f>
        <v>0</v>
      </c>
      <c r="BR124" s="460">
        <f>IF(AND(Suplementação!$T22=Suplementação!$S22,Suplementação!$S22=BR$1),Suplementação!$R22,IF(AND(Suplementação!$T22&gt;=Suplementação!$S22,AND(Suplementação!$S22&lt;=BR$1,Suplementação!$T22&gt;=BR$1)),Suplementação!$R22 /(Suplementação!$T22-Suplementação!$S22+1),0))</f>
        <v>0</v>
      </c>
      <c r="BS124" s="460">
        <f>IF(AND(Suplementação!$T22=Suplementação!$S22,Suplementação!$S22=BS$1),Suplementação!$R22,IF(AND(Suplementação!$T22&gt;=Suplementação!$S22,AND(Suplementação!$S22&lt;=BS$1,Suplementação!$T22&gt;=BS$1)),Suplementação!$R22 /(Suplementação!$T22-Suplementação!$S22+1),0))</f>
        <v>0</v>
      </c>
      <c r="BT124" s="461">
        <f>IF(AND(Suplementação!$T22=Suplementação!$S22,Suplementação!$S22=BT$1),Suplementação!$R22,IF(AND(Suplementação!$T22&gt;=Suplementação!$S22,AND(Suplementação!$S22&lt;=BT$1,Suplementação!$T22&gt;=BT$1)),Suplementação!$R22 /(Suplementação!$T22-Suplementação!$S22+1),0))</f>
        <v>0</v>
      </c>
    </row>
    <row r="125" spans="2:72" ht="13.5" customHeight="1" x14ac:dyDescent="0.2">
      <c r="B125" s="527" t="s">
        <v>786</v>
      </c>
      <c r="C125" s="1484">
        <f ca="1">C90/'Análise TEC'!C11</f>
        <v>85.680025921776661</v>
      </c>
      <c r="D125" s="497"/>
      <c r="E125" s="497"/>
      <c r="F125" s="497"/>
      <c r="G125" s="497"/>
      <c r="H125" s="497"/>
      <c r="BA125" s="459">
        <f>VLOOKUP(Suplementação!C23,Dados!$A$14:$Q$81,17)</f>
        <v>0</v>
      </c>
      <c r="BB125" s="460">
        <f>IF(AND(Suplementação!$T23=Suplementação!$S23,Suplementação!$S23=BB$1),Suplementação!$R23,IF(AND(Suplementação!$T23&gt;=Suplementação!$S23,AND(Suplementação!$S23&lt;=BB$1,Suplementação!$T23&gt;=BB$1)),Suplementação!$R23 /(Suplementação!$T23-Suplementação!$S23+1),0))</f>
        <v>0</v>
      </c>
      <c r="BC125" s="460">
        <f>IF(AND(Suplementação!$T23=Suplementação!$S23,Suplementação!$S23=BC$1),Suplementação!$R23,IF(AND(Suplementação!$T23&gt;=Suplementação!$S23,AND(Suplementação!$S23&lt;=BC$1,Suplementação!$T23&gt;=BC$1)),Suplementação!$R23 /(Suplementação!$T23-Suplementação!$S23+1),0))</f>
        <v>0</v>
      </c>
      <c r="BD125" s="460">
        <f>IF(AND(Suplementação!$T23=Suplementação!$S23,Suplementação!$S23=BD$1),Suplementação!$R23,IF(AND(Suplementação!$T23&gt;=Suplementação!$S23,AND(Suplementação!$S23&lt;=BD$1,Suplementação!$T23&gt;=BD$1)),Suplementação!$R23 /(Suplementação!$T23-Suplementação!$S23+1),0))</f>
        <v>0</v>
      </c>
      <c r="BE125" s="460">
        <f>IF(AND(Suplementação!$T23=Suplementação!$S23,Suplementação!$S23=BE$1),Suplementação!$R23,IF(AND(Suplementação!$T23&gt;=Suplementação!$S23,AND(Suplementação!$S23&lt;=BE$1,Suplementação!$T23&gt;=BE$1)),Suplementação!$R23 /(Suplementação!$T23-Suplementação!$S23+1),0))</f>
        <v>0</v>
      </c>
      <c r="BF125" s="460">
        <f>IF(AND(Suplementação!$T23=Suplementação!$S23,Suplementação!$S23=BF$1),Suplementação!$R23,IF(AND(Suplementação!$T23&gt;=Suplementação!$S23,AND(Suplementação!$S23&lt;=BF$1,Suplementação!$T23&gt;=BF$1)),Suplementação!$R23 /(Suplementação!$T23-Suplementação!$S23+1),0))</f>
        <v>0</v>
      </c>
      <c r="BG125" s="460">
        <f>IF(AND(Suplementação!$T23=Suplementação!$S23,Suplementação!$S23=BG$1),Suplementação!$R23,IF(AND(Suplementação!$T23&gt;=Suplementação!$S23,AND(Suplementação!$S23&lt;=BG$1,Suplementação!$T23&gt;=BG$1)),Suplementação!$R23 /(Suplementação!$T23-Suplementação!$S23+1),0))</f>
        <v>0</v>
      </c>
      <c r="BH125" s="460">
        <f>IF(AND(Suplementação!$T23=Suplementação!$S23,Suplementação!$S23=BH$1),Suplementação!$R23,IF(AND(Suplementação!$T23&gt;=Suplementação!$S23,AND(Suplementação!$S23&lt;=BH$1,Suplementação!$T23&gt;=BH$1)),Suplementação!$R23 /(Suplementação!$T23-Suplementação!$S23+1),0))</f>
        <v>0</v>
      </c>
      <c r="BI125" s="460">
        <f>IF(AND(Suplementação!$T23=Suplementação!$S23,Suplementação!$S23=BI$1),Suplementação!$R23,IF(AND(Suplementação!$T23&gt;=Suplementação!$S23,AND(Suplementação!$S23&lt;=BI$1,Suplementação!$T23&gt;=BI$1)),Suplementação!$R23 /(Suplementação!$T23-Suplementação!$S23+1),0))</f>
        <v>0</v>
      </c>
      <c r="BJ125" s="460">
        <f>IF(AND(Suplementação!$T23=Suplementação!$S23,Suplementação!$S23=BJ$1),Suplementação!$R23,IF(AND(Suplementação!$T23&gt;=Suplementação!$S23,AND(Suplementação!$S23&lt;=BJ$1,Suplementação!$T23&gt;=BJ$1)),Suplementação!$R23 /(Suplementação!$T23-Suplementação!$S23+1),0))</f>
        <v>0</v>
      </c>
      <c r="BK125" s="460">
        <f>IF(AND(Suplementação!$T23=Suplementação!$S23,Suplementação!$S23=BK$1),Suplementação!$R23,IF(AND(Suplementação!$T23&gt;=Suplementação!$S23,AND(Suplementação!$S23&lt;=BK$1,Suplementação!$T23&gt;=BK$1)),Suplementação!$R23 /(Suplementação!$T23-Suplementação!$S23+1),0))</f>
        <v>0</v>
      </c>
      <c r="BL125" s="460">
        <f>IF(AND(Suplementação!$T23=Suplementação!$S23,Suplementação!$S23=BL$1),Suplementação!$R23,IF(AND(Suplementação!$T23&gt;=Suplementação!$S23,AND(Suplementação!$S23&lt;=BL$1,Suplementação!$T23&gt;=BL$1)),Suplementação!$R23 /(Suplementação!$T23-Suplementação!$S23+1),0))</f>
        <v>0</v>
      </c>
      <c r="BM125" s="460">
        <f>IF(AND(Suplementação!$T23=Suplementação!$S23,Suplementação!$S23=BM$1),Suplementação!$R23,IF(AND(Suplementação!$T23&gt;=Suplementação!$S23,AND(Suplementação!$S23&lt;=BM$1,Suplementação!$T23&gt;=BM$1)),Suplementação!$R23 /(Suplementação!$T23-Suplementação!$S23+1),0))</f>
        <v>0</v>
      </c>
      <c r="BN125" s="460">
        <f>IF(AND(Suplementação!$T23=Suplementação!$S23,Suplementação!$S23=BN$1),Suplementação!$R23,IF(AND(Suplementação!$T23&gt;=Suplementação!$S23,AND(Suplementação!$S23&lt;=BN$1,Suplementação!$T23&gt;=BN$1)),Suplementação!$R23 /(Suplementação!$T23-Suplementação!$S23+1),0))</f>
        <v>0</v>
      </c>
      <c r="BO125" s="460">
        <f>IF(AND(Suplementação!$T23=Suplementação!$S23,Suplementação!$S23=BO$1),Suplementação!$R23,IF(AND(Suplementação!$T23&gt;=Suplementação!$S23,AND(Suplementação!$S23&lt;=BO$1,Suplementação!$T23&gt;=BO$1)),Suplementação!$R23 /(Suplementação!$T23-Suplementação!$S23+1),0))</f>
        <v>0</v>
      </c>
      <c r="BP125" s="460">
        <f>IF(AND(Suplementação!$T23=Suplementação!$S23,Suplementação!$S23=BP$1),Suplementação!$R23,IF(AND(Suplementação!$T23&gt;=Suplementação!$S23,AND(Suplementação!$S23&lt;=BP$1,Suplementação!$T23&gt;=BP$1)),Suplementação!$R23 /(Suplementação!$T23-Suplementação!$S23+1),0))</f>
        <v>0</v>
      </c>
      <c r="BQ125" s="460">
        <f>IF(AND(Suplementação!$T23=Suplementação!$S23,Suplementação!$S23=BQ$1),Suplementação!$R23,IF(AND(Suplementação!$T23&gt;=Suplementação!$S23,AND(Suplementação!$S23&lt;=BQ$1,Suplementação!$T23&gt;=BQ$1)),Suplementação!$R23 /(Suplementação!$T23-Suplementação!$S23+1),0))</f>
        <v>0</v>
      </c>
      <c r="BR125" s="460">
        <f>IF(AND(Suplementação!$T23=Suplementação!$S23,Suplementação!$S23=BR$1),Suplementação!$R23,IF(AND(Suplementação!$T23&gt;=Suplementação!$S23,AND(Suplementação!$S23&lt;=BR$1,Suplementação!$T23&gt;=BR$1)),Suplementação!$R23 /(Suplementação!$T23-Suplementação!$S23+1),0))</f>
        <v>0</v>
      </c>
      <c r="BS125" s="460">
        <f>IF(AND(Suplementação!$T23=Suplementação!$S23,Suplementação!$S23=BS$1),Suplementação!$R23,IF(AND(Suplementação!$T23&gt;=Suplementação!$S23,AND(Suplementação!$S23&lt;=BS$1,Suplementação!$T23&gt;=BS$1)),Suplementação!$R23 /(Suplementação!$T23-Suplementação!$S23+1),0))</f>
        <v>0</v>
      </c>
      <c r="BT125" s="461">
        <f>IF(AND(Suplementação!$T23=Suplementação!$S23,Suplementação!$S23=BT$1),Suplementação!$R23,IF(AND(Suplementação!$T23&gt;=Suplementação!$S23,AND(Suplementação!$S23&lt;=BT$1,Suplementação!$T23&gt;=BT$1)),Suplementação!$R23 /(Suplementação!$T23-Suplementação!$S23+1),0))</f>
        <v>0</v>
      </c>
    </row>
    <row r="126" spans="2:72" ht="5.25" customHeight="1" x14ac:dyDescent="0.2">
      <c r="B126" s="534"/>
      <c r="C126" s="1405"/>
      <c r="D126" s="497"/>
      <c r="E126" s="497"/>
      <c r="F126" s="497"/>
      <c r="G126" s="497"/>
      <c r="H126" s="497"/>
      <c r="BA126" s="459">
        <f>VLOOKUP(Suplementação!C24,Dados!$A$14:$Q$81,17)</f>
        <v>0</v>
      </c>
      <c r="BB126" s="460">
        <f>IF(AND(Suplementação!$T24=Suplementação!$S24,Suplementação!$S24=BB$1),Suplementação!$R24,IF(AND(Suplementação!$T24&gt;=Suplementação!$S24,AND(Suplementação!$S24&lt;=BB$1,Suplementação!$T24&gt;=BB$1)),Suplementação!$R24 /(Suplementação!$T24-Suplementação!$S24+1),0))</f>
        <v>0</v>
      </c>
      <c r="BC126" s="460">
        <f>IF(AND(Suplementação!$T24=Suplementação!$S24,Suplementação!$S24=BC$1),Suplementação!$R24,IF(AND(Suplementação!$T24&gt;=Suplementação!$S24,AND(Suplementação!$S24&lt;=BC$1,Suplementação!$T24&gt;=BC$1)),Suplementação!$R24 /(Suplementação!$T24-Suplementação!$S24+1),0))</f>
        <v>0</v>
      </c>
      <c r="BD126" s="460">
        <f>IF(AND(Suplementação!$T24=Suplementação!$S24,Suplementação!$S24=BD$1),Suplementação!$R24,IF(AND(Suplementação!$T24&gt;=Suplementação!$S24,AND(Suplementação!$S24&lt;=BD$1,Suplementação!$T24&gt;=BD$1)),Suplementação!$R24 /(Suplementação!$T24-Suplementação!$S24+1),0))</f>
        <v>0</v>
      </c>
      <c r="BE126" s="460">
        <f>IF(AND(Suplementação!$T24=Suplementação!$S24,Suplementação!$S24=BE$1),Suplementação!$R24,IF(AND(Suplementação!$T24&gt;=Suplementação!$S24,AND(Suplementação!$S24&lt;=BE$1,Suplementação!$T24&gt;=BE$1)),Suplementação!$R24 /(Suplementação!$T24-Suplementação!$S24+1),0))</f>
        <v>0</v>
      </c>
      <c r="BF126" s="460">
        <f>IF(AND(Suplementação!$T24=Suplementação!$S24,Suplementação!$S24=BF$1),Suplementação!$R24,IF(AND(Suplementação!$T24&gt;=Suplementação!$S24,AND(Suplementação!$S24&lt;=BF$1,Suplementação!$T24&gt;=BF$1)),Suplementação!$R24 /(Suplementação!$T24-Suplementação!$S24+1),0))</f>
        <v>0</v>
      </c>
      <c r="BG126" s="460">
        <f>IF(AND(Suplementação!$T24=Suplementação!$S24,Suplementação!$S24=BG$1),Suplementação!$R24,IF(AND(Suplementação!$T24&gt;=Suplementação!$S24,AND(Suplementação!$S24&lt;=BG$1,Suplementação!$T24&gt;=BG$1)),Suplementação!$R24 /(Suplementação!$T24-Suplementação!$S24+1),0))</f>
        <v>0</v>
      </c>
      <c r="BH126" s="460">
        <f>IF(AND(Suplementação!$T24=Suplementação!$S24,Suplementação!$S24=BH$1),Suplementação!$R24,IF(AND(Suplementação!$T24&gt;=Suplementação!$S24,AND(Suplementação!$S24&lt;=BH$1,Suplementação!$T24&gt;=BH$1)),Suplementação!$R24 /(Suplementação!$T24-Suplementação!$S24+1),0))</f>
        <v>0</v>
      </c>
      <c r="BI126" s="460">
        <f>IF(AND(Suplementação!$T24=Suplementação!$S24,Suplementação!$S24=BI$1),Suplementação!$R24,IF(AND(Suplementação!$T24&gt;=Suplementação!$S24,AND(Suplementação!$S24&lt;=BI$1,Suplementação!$T24&gt;=BI$1)),Suplementação!$R24 /(Suplementação!$T24-Suplementação!$S24+1),0))</f>
        <v>0</v>
      </c>
      <c r="BJ126" s="460">
        <f>IF(AND(Suplementação!$T24=Suplementação!$S24,Suplementação!$S24=BJ$1),Suplementação!$R24,IF(AND(Suplementação!$T24&gt;=Suplementação!$S24,AND(Suplementação!$S24&lt;=BJ$1,Suplementação!$T24&gt;=BJ$1)),Suplementação!$R24 /(Suplementação!$T24-Suplementação!$S24+1),0))</f>
        <v>0</v>
      </c>
      <c r="BK126" s="460">
        <f>IF(AND(Suplementação!$T24=Suplementação!$S24,Suplementação!$S24=BK$1),Suplementação!$R24,IF(AND(Suplementação!$T24&gt;=Suplementação!$S24,AND(Suplementação!$S24&lt;=BK$1,Suplementação!$T24&gt;=BK$1)),Suplementação!$R24 /(Suplementação!$T24-Suplementação!$S24+1),0))</f>
        <v>0</v>
      </c>
      <c r="BL126" s="460">
        <f>IF(AND(Suplementação!$T24=Suplementação!$S24,Suplementação!$S24=BL$1),Suplementação!$R24,IF(AND(Suplementação!$T24&gt;=Suplementação!$S24,AND(Suplementação!$S24&lt;=BL$1,Suplementação!$T24&gt;=BL$1)),Suplementação!$R24 /(Suplementação!$T24-Suplementação!$S24+1),0))</f>
        <v>0</v>
      </c>
      <c r="BM126" s="460">
        <f>IF(AND(Suplementação!$T24=Suplementação!$S24,Suplementação!$S24=BM$1),Suplementação!$R24,IF(AND(Suplementação!$T24&gt;=Suplementação!$S24,AND(Suplementação!$S24&lt;=BM$1,Suplementação!$T24&gt;=BM$1)),Suplementação!$R24 /(Suplementação!$T24-Suplementação!$S24+1),0))</f>
        <v>0</v>
      </c>
      <c r="BN126" s="460">
        <f>IF(AND(Suplementação!$T24=Suplementação!$S24,Suplementação!$S24=BN$1),Suplementação!$R24,IF(AND(Suplementação!$T24&gt;=Suplementação!$S24,AND(Suplementação!$S24&lt;=BN$1,Suplementação!$T24&gt;=BN$1)),Suplementação!$R24 /(Suplementação!$T24-Suplementação!$S24+1),0))</f>
        <v>0</v>
      </c>
      <c r="BO126" s="460">
        <f>IF(AND(Suplementação!$T24=Suplementação!$S24,Suplementação!$S24=BO$1),Suplementação!$R24,IF(AND(Suplementação!$T24&gt;=Suplementação!$S24,AND(Suplementação!$S24&lt;=BO$1,Suplementação!$T24&gt;=BO$1)),Suplementação!$R24 /(Suplementação!$T24-Suplementação!$S24+1),0))</f>
        <v>0</v>
      </c>
      <c r="BP126" s="460">
        <f>IF(AND(Suplementação!$T24=Suplementação!$S24,Suplementação!$S24=BP$1),Suplementação!$R24,IF(AND(Suplementação!$T24&gt;=Suplementação!$S24,AND(Suplementação!$S24&lt;=BP$1,Suplementação!$T24&gt;=BP$1)),Suplementação!$R24 /(Suplementação!$T24-Suplementação!$S24+1),0))</f>
        <v>0</v>
      </c>
      <c r="BQ126" s="460">
        <f>IF(AND(Suplementação!$T24=Suplementação!$S24,Suplementação!$S24=BQ$1),Suplementação!$R24,IF(AND(Suplementação!$T24&gt;=Suplementação!$S24,AND(Suplementação!$S24&lt;=BQ$1,Suplementação!$T24&gt;=BQ$1)),Suplementação!$R24 /(Suplementação!$T24-Suplementação!$S24+1),0))</f>
        <v>0</v>
      </c>
      <c r="BR126" s="460">
        <f>IF(AND(Suplementação!$T24=Suplementação!$S24,Suplementação!$S24=BR$1),Suplementação!$R24,IF(AND(Suplementação!$T24&gt;=Suplementação!$S24,AND(Suplementação!$S24&lt;=BR$1,Suplementação!$T24&gt;=BR$1)),Suplementação!$R24 /(Suplementação!$T24-Suplementação!$S24+1),0))</f>
        <v>0</v>
      </c>
      <c r="BS126" s="460">
        <f>IF(AND(Suplementação!$T24=Suplementação!$S24,Suplementação!$S24=BS$1),Suplementação!$R24,IF(AND(Suplementação!$T24&gt;=Suplementação!$S24,AND(Suplementação!$S24&lt;=BS$1,Suplementação!$T24&gt;=BS$1)),Suplementação!$R24 /(Suplementação!$T24-Suplementação!$S24+1),0))</f>
        <v>0</v>
      </c>
      <c r="BT126" s="461">
        <f>IF(AND(Suplementação!$T24=Suplementação!$S24,Suplementação!$S24=BT$1),Suplementação!$R24,IF(AND(Suplementação!$T24&gt;=Suplementação!$S24,AND(Suplementação!$S24&lt;=BT$1,Suplementação!$T24&gt;=BT$1)),Suplementação!$R24 /(Suplementação!$T24-Suplementação!$S24+1),0))</f>
        <v>0</v>
      </c>
    </row>
    <row r="127" spans="2:72" x14ac:dyDescent="0.2">
      <c r="B127" s="527" t="s">
        <v>905</v>
      </c>
      <c r="C127" s="1485">
        <f ca="1">C45/'Análise TEC'!C11</f>
        <v>1387.5604010449197</v>
      </c>
      <c r="D127" s="497"/>
      <c r="E127" s="497"/>
      <c r="F127" s="497"/>
      <c r="G127" s="497"/>
      <c r="H127" s="497"/>
      <c r="BA127" s="459" t="s">
        <v>495</v>
      </c>
      <c r="BB127" s="460">
        <f>IF(AND(Suplementação!$J44=Suplementação!$I44,Suplementação!$I44=BB$1),Suplementação!$H44,IF(AND(Suplementação!$J44&gt;=Suplementação!$I44,AND(Suplementação!$I44&lt;=BB$1,Suplementação!$J44&gt;=BB$1)),Suplementação!$H44/(Suplementação!$J44-Suplementação!$I44+1),0))</f>
        <v>23866.791666666664</v>
      </c>
      <c r="BC127" s="460">
        <f>IF(AND(Suplementação!$J44=Suplementação!$I44,Suplementação!$I44=BC$1),Suplementação!$H44,IF(AND(Suplementação!$J44&gt;=Suplementação!$I44,AND(Suplementação!$I44&lt;=BC$1,Suplementação!$J44&gt;=BC$1)),Suplementação!$H44/(Suplementação!$J44-Suplementação!$I44+1),0))</f>
        <v>0</v>
      </c>
      <c r="BD127" s="460">
        <f>IF(AND(Suplementação!$J44=Suplementação!$I44,Suplementação!$I44=BD$1),Suplementação!$H44,IF(AND(Suplementação!$J44&gt;=Suplementação!$I44,AND(Suplementação!$I44&lt;=BD$1,Suplementação!$J44&gt;=BD$1)),Suplementação!$H44/(Suplementação!$J44-Suplementação!$I44+1),0))</f>
        <v>0</v>
      </c>
      <c r="BE127" s="460">
        <f>IF(AND(Suplementação!$J44=Suplementação!$I44,Suplementação!$I44=BE$1),Suplementação!$H44,IF(AND(Suplementação!$J44&gt;=Suplementação!$I44,AND(Suplementação!$I44&lt;=BE$1,Suplementação!$J44&gt;=BE$1)),Suplementação!$H44/(Suplementação!$J44-Suplementação!$I44+1),0))</f>
        <v>0</v>
      </c>
      <c r="BF127" s="460">
        <f>IF(AND(Suplementação!$J44=Suplementação!$I44,Suplementação!$I44=BF$1),Suplementação!$H44,IF(AND(Suplementação!$J44&gt;=Suplementação!$I44,AND(Suplementação!$I44&lt;=BF$1,Suplementação!$J44&gt;=BF$1)),Suplementação!$H44/(Suplementação!$J44-Suplementação!$I44+1),0))</f>
        <v>0</v>
      </c>
      <c r="BG127" s="460">
        <f>IF(AND(Suplementação!$J44=Suplementação!$I44,Suplementação!$I44=BG$1),Suplementação!$H44,IF(AND(Suplementação!$J44&gt;=Suplementação!$I44,AND(Suplementação!$I44&lt;=BG$1,Suplementação!$J44&gt;=BG$1)),Suplementação!$H44/(Suplementação!$J44-Suplementação!$I44+1),0))</f>
        <v>0</v>
      </c>
      <c r="BH127" s="460">
        <f>IF(AND(Suplementação!$J44=Suplementação!$I44,Suplementação!$I44=BH$1),Suplementação!$H44,IF(AND(Suplementação!$J44&gt;=Suplementação!$I44,AND(Suplementação!$I44&lt;=BH$1,Suplementação!$J44&gt;=BH$1)),Suplementação!$H44/(Suplementação!$J44-Suplementação!$I44+1),0))</f>
        <v>0</v>
      </c>
      <c r="BI127" s="460">
        <f>IF(AND(Suplementação!$J44=Suplementação!$I44,Suplementação!$I44=BI$1),Suplementação!$H44,IF(AND(Suplementação!$J44&gt;=Suplementação!$I44,AND(Suplementação!$I44&lt;=BI$1,Suplementação!$J44&gt;=BI$1)),Suplementação!$H44/(Suplementação!$J44-Suplementação!$I44+1),0))</f>
        <v>0</v>
      </c>
      <c r="BJ127" s="460">
        <f>IF(AND(Suplementação!$J44=Suplementação!$I44,Suplementação!$I44=BJ$1),Suplementação!$H44,IF(AND(Suplementação!$J44&gt;=Suplementação!$I44,AND(Suplementação!$I44&lt;=BJ$1,Suplementação!$J44&gt;=BJ$1)),Suplementação!$H44/(Suplementação!$J44-Suplementação!$I44+1),0))</f>
        <v>0</v>
      </c>
      <c r="BK127" s="460">
        <f>IF(AND(Suplementação!$J44=Suplementação!$I44,Suplementação!$I44=BK$1),Suplementação!$H44,IF(AND(Suplementação!$J44&gt;=Suplementação!$I44,AND(Suplementação!$I44&lt;=BK$1,Suplementação!$J44&gt;=BK$1)),Suplementação!$H44/(Suplementação!$J44-Suplementação!$I44+1),0))</f>
        <v>0</v>
      </c>
      <c r="BL127" s="460">
        <f>IF(AND(Suplementação!$J44=Suplementação!$I44,Suplementação!$I44=BL$1),Suplementação!$H44,IF(AND(Suplementação!$J44&gt;=Suplementação!$I44,AND(Suplementação!$I44&lt;=BL$1,Suplementação!$J44&gt;=BL$1)),Suplementação!$H44/(Suplementação!$J44-Suplementação!$I44+1),0))</f>
        <v>0</v>
      </c>
      <c r="BM127" s="460">
        <f>IF(AND(Suplementação!$J44=Suplementação!$I44,Suplementação!$I44=BM$1),Suplementação!$H44,IF(AND(Suplementação!$J44&gt;=Suplementação!$I44,AND(Suplementação!$I44&lt;=BM$1,Suplementação!$J44&gt;=BM$1)),Suplementação!$H44/(Suplementação!$J44-Suplementação!$I44+1),0))</f>
        <v>0</v>
      </c>
      <c r="BN127" s="460">
        <f>IF(AND(Suplementação!$J44=Suplementação!$I44,Suplementação!$I44=BN$1),Suplementação!$H44,IF(AND(Suplementação!$J44&gt;=Suplementação!$I44,AND(Suplementação!$I44&lt;=BN$1,Suplementação!$J44&gt;=BN$1)),Suplementação!$H44/(Suplementação!$J44-Suplementação!$I44+1),0))</f>
        <v>0</v>
      </c>
      <c r="BO127" s="460">
        <f>IF(AND(Suplementação!$J44=Suplementação!$I44,Suplementação!$I44=BO$1),Suplementação!$H44,IF(AND(Suplementação!$J44&gt;=Suplementação!$I44,AND(Suplementação!$I44&lt;=BO$1,Suplementação!$J44&gt;=BO$1)),Suplementação!$H44/(Suplementação!$J44-Suplementação!$I44+1),0))</f>
        <v>0</v>
      </c>
      <c r="BP127" s="460">
        <f>IF(AND(Suplementação!$J44=Suplementação!$I44,Suplementação!$I44=BP$1),Suplementação!$H44,IF(AND(Suplementação!$J44&gt;=Suplementação!$I44,AND(Suplementação!$I44&lt;=BP$1,Suplementação!$J44&gt;=BP$1)),Suplementação!$H44/(Suplementação!$J44-Suplementação!$I44+1),0))</f>
        <v>0</v>
      </c>
      <c r="BQ127" s="460">
        <f>IF(AND(Suplementação!$J44=Suplementação!$I44,Suplementação!$I44=BQ$1),Suplementação!$H44,IF(AND(Suplementação!$J44&gt;=Suplementação!$I44,AND(Suplementação!$I44&lt;=BQ$1,Suplementação!$J44&gt;=BQ$1)),Suplementação!$H44/(Suplementação!$J44-Suplementação!$I44+1),0))</f>
        <v>0</v>
      </c>
      <c r="BR127" s="460">
        <f>IF(AND(Suplementação!$J44=Suplementação!$I44,Suplementação!$I44=BR$1),Suplementação!$H44,IF(AND(Suplementação!$J44&gt;=Suplementação!$I44,AND(Suplementação!$I44&lt;=BR$1,Suplementação!$J44&gt;=BR$1)),Suplementação!$H44/(Suplementação!$J44-Suplementação!$I44+1),0))</f>
        <v>0</v>
      </c>
      <c r="BS127" s="460">
        <f>IF(AND(Suplementação!$J44=Suplementação!$I44,Suplementação!$I44=BS$1),Suplementação!$H44,IF(AND(Suplementação!$J44&gt;=Suplementação!$I44,AND(Suplementação!$I44&lt;=BS$1,Suplementação!$J44&gt;=BS$1)),Suplementação!$H44/(Suplementação!$J44-Suplementação!$I44+1),0))</f>
        <v>0</v>
      </c>
      <c r="BT127" s="461">
        <f>IF(AND(Suplementação!$J44=Suplementação!$I44,Suplementação!$I44=BT$1),Suplementação!$H44,IF(AND(Suplementação!$J44&gt;=Suplementação!$I44,AND(Suplementação!$I44&lt;=BT$1,Suplementação!$J44&gt;=BT$1)),Suplementação!$H44/(Suplementação!$J44-Suplementação!$I44+1),0))</f>
        <v>0</v>
      </c>
    </row>
    <row r="128" spans="2:72" ht="13.5" thickBot="1" x14ac:dyDescent="0.25">
      <c r="B128" s="528" t="s">
        <v>906</v>
      </c>
      <c r="C128" s="1486">
        <f ca="1">C66/'Análise TEC'!C11</f>
        <v>1660.5621624894829</v>
      </c>
      <c r="D128" s="497"/>
      <c r="E128" s="497"/>
      <c r="F128" s="497"/>
      <c r="G128" s="497"/>
      <c r="H128" s="497"/>
      <c r="BA128" s="459" t="s">
        <v>495</v>
      </c>
      <c r="BB128" s="460">
        <f>IF(AND(Suplementação!$J45=Suplementação!$I45,Suplementação!$I45=BB$1),Suplementação!$H45,IF(AND(Suplementação!$J45&gt;=Suplementação!$I45,AND(Suplementação!$I45&lt;=BB$1,Suplementação!$J45&gt;=BB$1)),Suplementação!$H45/(Suplementação!$J45-Suplementação!$I45+1),0))</f>
        <v>0</v>
      </c>
      <c r="BC128" s="460">
        <f>IF(AND(Suplementação!$J45=Suplementação!$I45,Suplementação!$I45=BC$1),Suplementação!$H45,IF(AND(Suplementação!$J45&gt;=Suplementação!$I45,AND(Suplementação!$I45&lt;=BC$1,Suplementação!$J45&gt;=BC$1)),Suplementação!$H45/(Suplementação!$J45-Suplementação!$I45+1),0))</f>
        <v>0</v>
      </c>
      <c r="BD128" s="460">
        <f>IF(AND(Suplementação!$J45=Suplementação!$I45,Suplementação!$I45=BD$1),Suplementação!$H45,IF(AND(Suplementação!$J45&gt;=Suplementação!$I45,AND(Suplementação!$I45&lt;=BD$1,Suplementação!$J45&gt;=BD$1)),Suplementação!$H45/(Suplementação!$J45-Suplementação!$I45+1),0))</f>
        <v>0</v>
      </c>
      <c r="BE128" s="460">
        <f>IF(AND(Suplementação!$J45=Suplementação!$I45,Suplementação!$I45=BE$1),Suplementação!$H45,IF(AND(Suplementação!$J45&gt;=Suplementação!$I45,AND(Suplementação!$I45&lt;=BE$1,Suplementação!$J45&gt;=BE$1)),Suplementação!$H45/(Suplementação!$J45-Suplementação!$I45+1),0))</f>
        <v>0</v>
      </c>
      <c r="BF128" s="460">
        <f>IF(AND(Suplementação!$J45=Suplementação!$I45,Suplementação!$I45=BF$1),Suplementação!$H45,IF(AND(Suplementação!$J45&gt;=Suplementação!$I45,AND(Suplementação!$I45&lt;=BF$1,Suplementação!$J45&gt;=BF$1)),Suplementação!$H45/(Suplementação!$J45-Suplementação!$I45+1),0))</f>
        <v>0</v>
      </c>
      <c r="BG128" s="460">
        <f>IF(AND(Suplementação!$J45=Suplementação!$I45,Suplementação!$I45=BG$1),Suplementação!$H45,IF(AND(Suplementação!$J45&gt;=Suplementação!$I45,AND(Suplementação!$I45&lt;=BG$1,Suplementação!$J45&gt;=BG$1)),Suplementação!$H45/(Suplementação!$J45-Suplementação!$I45+1),0))</f>
        <v>0</v>
      </c>
      <c r="BH128" s="460">
        <f>IF(AND(Suplementação!$J45=Suplementação!$I45,Suplementação!$I45=BH$1),Suplementação!$H45,IF(AND(Suplementação!$J45&gt;=Suplementação!$I45,AND(Suplementação!$I45&lt;=BH$1,Suplementação!$J45&gt;=BH$1)),Suplementação!$H45/(Suplementação!$J45-Suplementação!$I45+1),0))</f>
        <v>0</v>
      </c>
      <c r="BI128" s="460">
        <f>IF(AND(Suplementação!$J45=Suplementação!$I45,Suplementação!$I45=BI$1),Suplementação!$H45,IF(AND(Suplementação!$J45&gt;=Suplementação!$I45,AND(Suplementação!$I45&lt;=BI$1,Suplementação!$J45&gt;=BI$1)),Suplementação!$H45/(Suplementação!$J45-Suplementação!$I45+1),0))</f>
        <v>0</v>
      </c>
      <c r="BJ128" s="460">
        <f>IF(AND(Suplementação!$J45=Suplementação!$I45,Suplementação!$I45=BJ$1),Suplementação!$H45,IF(AND(Suplementação!$J45&gt;=Suplementação!$I45,AND(Suplementação!$I45&lt;=BJ$1,Suplementação!$J45&gt;=BJ$1)),Suplementação!$H45/(Suplementação!$J45-Suplementação!$I45+1),0))</f>
        <v>0</v>
      </c>
      <c r="BK128" s="460">
        <f>IF(AND(Suplementação!$J45=Suplementação!$I45,Suplementação!$I45=BK$1),Suplementação!$H45,IF(AND(Suplementação!$J45&gt;=Suplementação!$I45,AND(Suplementação!$I45&lt;=BK$1,Suplementação!$J45&gt;=BK$1)),Suplementação!$H45/(Suplementação!$J45-Suplementação!$I45+1),0))</f>
        <v>0</v>
      </c>
      <c r="BL128" s="460">
        <f>IF(AND(Suplementação!$J45=Suplementação!$I45,Suplementação!$I45=BL$1),Suplementação!$H45,IF(AND(Suplementação!$J45&gt;=Suplementação!$I45,AND(Suplementação!$I45&lt;=BL$1,Suplementação!$J45&gt;=BL$1)),Suplementação!$H45/(Suplementação!$J45-Suplementação!$I45+1),0))</f>
        <v>0</v>
      </c>
      <c r="BM128" s="460">
        <f>IF(AND(Suplementação!$J45=Suplementação!$I45,Suplementação!$I45=BM$1),Suplementação!$H45,IF(AND(Suplementação!$J45&gt;=Suplementação!$I45,AND(Suplementação!$I45&lt;=BM$1,Suplementação!$J45&gt;=BM$1)),Suplementação!$H45/(Suplementação!$J45-Suplementação!$I45+1),0))</f>
        <v>0</v>
      </c>
      <c r="BN128" s="460">
        <f>IF(AND(Suplementação!$J45=Suplementação!$I45,Suplementação!$I45=BN$1),Suplementação!$H45,IF(AND(Suplementação!$J45&gt;=Suplementação!$I45,AND(Suplementação!$I45&lt;=BN$1,Suplementação!$J45&gt;=BN$1)),Suplementação!$H45/(Suplementação!$J45-Suplementação!$I45+1),0))</f>
        <v>0</v>
      </c>
      <c r="BO128" s="460">
        <f>IF(AND(Suplementação!$J45=Suplementação!$I45,Suplementação!$I45=BO$1),Suplementação!$H45,IF(AND(Suplementação!$J45&gt;=Suplementação!$I45,AND(Suplementação!$I45&lt;=BO$1,Suplementação!$J45&gt;=BO$1)),Suplementação!$H45/(Suplementação!$J45-Suplementação!$I45+1),0))</f>
        <v>0</v>
      </c>
      <c r="BP128" s="460">
        <f>IF(AND(Suplementação!$J45=Suplementação!$I45,Suplementação!$I45=BP$1),Suplementação!$H45,IF(AND(Suplementação!$J45&gt;=Suplementação!$I45,AND(Suplementação!$I45&lt;=BP$1,Suplementação!$J45&gt;=BP$1)),Suplementação!$H45/(Suplementação!$J45-Suplementação!$I45+1),0))</f>
        <v>0</v>
      </c>
      <c r="BQ128" s="460">
        <f>IF(AND(Suplementação!$J45=Suplementação!$I45,Suplementação!$I45=BQ$1),Suplementação!$H45,IF(AND(Suplementação!$J45&gt;=Suplementação!$I45,AND(Suplementação!$I45&lt;=BQ$1,Suplementação!$J45&gt;=BQ$1)),Suplementação!$H45/(Suplementação!$J45-Suplementação!$I45+1),0))</f>
        <v>0</v>
      </c>
      <c r="BR128" s="460">
        <f>IF(AND(Suplementação!$J45=Suplementação!$I45,Suplementação!$I45=BR$1),Suplementação!$H45,IF(AND(Suplementação!$J45&gt;=Suplementação!$I45,AND(Suplementação!$I45&lt;=BR$1,Suplementação!$J45&gt;=BR$1)),Suplementação!$H45/(Suplementação!$J45-Suplementação!$I45+1),0))</f>
        <v>0</v>
      </c>
      <c r="BS128" s="460">
        <f>IF(AND(Suplementação!$J45=Suplementação!$I45,Suplementação!$I45=BS$1),Suplementação!$H45,IF(AND(Suplementação!$J45&gt;=Suplementação!$I45,AND(Suplementação!$I45&lt;=BS$1,Suplementação!$J45&gt;=BS$1)),Suplementação!$H45/(Suplementação!$J45-Suplementação!$I45+1),0))</f>
        <v>0</v>
      </c>
      <c r="BT128" s="461">
        <f>IF(AND(Suplementação!$J45=Suplementação!$I45,Suplementação!$I45=BT$1),Suplementação!$H45,IF(AND(Suplementação!$J45&gt;=Suplementação!$I45,AND(Suplementação!$I45&lt;=BT$1,Suplementação!$J45&gt;=BT$1)),Suplementação!$H45/(Suplementação!$J45-Suplementação!$I45+1),0))</f>
        <v>0</v>
      </c>
    </row>
    <row r="129" spans="2:72" x14ac:dyDescent="0.2">
      <c r="B129" s="544" t="s">
        <v>962</v>
      </c>
      <c r="C129" s="543"/>
      <c r="D129" s="497"/>
      <c r="E129" s="497"/>
      <c r="F129" s="497"/>
      <c r="G129" s="497"/>
      <c r="H129" s="497"/>
      <c r="BA129" s="459" t="s">
        <v>495</v>
      </c>
      <c r="BB129" s="460">
        <f>IF(AND(Suplementação!$J46=Suplementação!$I46,Suplementação!$I46=BB$1),Suplementação!$H46,IF(AND(Suplementação!$J46&gt;=Suplementação!$I46,AND(Suplementação!$I46&lt;=BB$1,Suplementação!$J46&gt;=BB$1)),Suplementação!$H46/(Suplementação!$J46-Suplementação!$I46+1),0))</f>
        <v>0</v>
      </c>
      <c r="BC129" s="460">
        <f>IF(AND(Suplementação!$J46=Suplementação!$I46,Suplementação!$I46=BC$1),Suplementação!$H46,IF(AND(Suplementação!$J46&gt;=Suplementação!$I46,AND(Suplementação!$I46&lt;=BC$1,Suplementação!$J46&gt;=BC$1)),Suplementação!$H46/(Suplementação!$J46-Suplementação!$I46+1),0))</f>
        <v>0</v>
      </c>
      <c r="BD129" s="460">
        <f>IF(AND(Suplementação!$J46=Suplementação!$I46,Suplementação!$I46=BD$1),Suplementação!$H46,IF(AND(Suplementação!$J46&gt;=Suplementação!$I46,AND(Suplementação!$I46&lt;=BD$1,Suplementação!$J46&gt;=BD$1)),Suplementação!$H46/(Suplementação!$J46-Suplementação!$I46+1),0))</f>
        <v>0</v>
      </c>
      <c r="BE129" s="460">
        <f>IF(AND(Suplementação!$J46=Suplementação!$I46,Suplementação!$I46=BE$1),Suplementação!$H46,IF(AND(Suplementação!$J46&gt;=Suplementação!$I46,AND(Suplementação!$I46&lt;=BE$1,Suplementação!$J46&gt;=BE$1)),Suplementação!$H46/(Suplementação!$J46-Suplementação!$I46+1),0))</f>
        <v>0</v>
      </c>
      <c r="BF129" s="460">
        <f>IF(AND(Suplementação!$J46=Suplementação!$I46,Suplementação!$I46=BF$1),Suplementação!$H46,IF(AND(Suplementação!$J46&gt;=Suplementação!$I46,AND(Suplementação!$I46&lt;=BF$1,Suplementação!$J46&gt;=BF$1)),Suplementação!$H46/(Suplementação!$J46-Suplementação!$I46+1),0))</f>
        <v>0</v>
      </c>
      <c r="BG129" s="460">
        <f>IF(AND(Suplementação!$J46=Suplementação!$I46,Suplementação!$I46=BG$1),Suplementação!$H46,IF(AND(Suplementação!$J46&gt;=Suplementação!$I46,AND(Suplementação!$I46&lt;=BG$1,Suplementação!$J46&gt;=BG$1)),Suplementação!$H46/(Suplementação!$J46-Suplementação!$I46+1),0))</f>
        <v>0</v>
      </c>
      <c r="BH129" s="460">
        <f>IF(AND(Suplementação!$J46=Suplementação!$I46,Suplementação!$I46=BH$1),Suplementação!$H46,IF(AND(Suplementação!$J46&gt;=Suplementação!$I46,AND(Suplementação!$I46&lt;=BH$1,Suplementação!$J46&gt;=BH$1)),Suplementação!$H46/(Suplementação!$J46-Suplementação!$I46+1),0))</f>
        <v>0</v>
      </c>
      <c r="BI129" s="460">
        <f>IF(AND(Suplementação!$J46=Suplementação!$I46,Suplementação!$I46=BI$1),Suplementação!$H46,IF(AND(Suplementação!$J46&gt;=Suplementação!$I46,AND(Suplementação!$I46&lt;=BI$1,Suplementação!$J46&gt;=BI$1)),Suplementação!$H46/(Suplementação!$J46-Suplementação!$I46+1),0))</f>
        <v>0</v>
      </c>
      <c r="BJ129" s="460">
        <f>IF(AND(Suplementação!$J46=Suplementação!$I46,Suplementação!$I46=BJ$1),Suplementação!$H46,IF(AND(Suplementação!$J46&gt;=Suplementação!$I46,AND(Suplementação!$I46&lt;=BJ$1,Suplementação!$J46&gt;=BJ$1)),Suplementação!$H46/(Suplementação!$J46-Suplementação!$I46+1),0))</f>
        <v>0</v>
      </c>
      <c r="BK129" s="460">
        <f>IF(AND(Suplementação!$J46=Suplementação!$I46,Suplementação!$I46=BK$1),Suplementação!$H46,IF(AND(Suplementação!$J46&gt;=Suplementação!$I46,AND(Suplementação!$I46&lt;=BK$1,Suplementação!$J46&gt;=BK$1)),Suplementação!$H46/(Suplementação!$J46-Suplementação!$I46+1),0))</f>
        <v>0</v>
      </c>
      <c r="BL129" s="460">
        <f>IF(AND(Suplementação!$J46=Suplementação!$I46,Suplementação!$I46=BL$1),Suplementação!$H46,IF(AND(Suplementação!$J46&gt;=Suplementação!$I46,AND(Suplementação!$I46&lt;=BL$1,Suplementação!$J46&gt;=BL$1)),Suplementação!$H46/(Suplementação!$J46-Suplementação!$I46+1),0))</f>
        <v>0</v>
      </c>
      <c r="BM129" s="460">
        <f>IF(AND(Suplementação!$J46=Suplementação!$I46,Suplementação!$I46=BM$1),Suplementação!$H46,IF(AND(Suplementação!$J46&gt;=Suplementação!$I46,AND(Suplementação!$I46&lt;=BM$1,Suplementação!$J46&gt;=BM$1)),Suplementação!$H46/(Suplementação!$J46-Suplementação!$I46+1),0))</f>
        <v>0</v>
      </c>
      <c r="BN129" s="460">
        <f>IF(AND(Suplementação!$J46=Suplementação!$I46,Suplementação!$I46=BN$1),Suplementação!$H46,IF(AND(Suplementação!$J46&gt;=Suplementação!$I46,AND(Suplementação!$I46&lt;=BN$1,Suplementação!$J46&gt;=BN$1)),Suplementação!$H46/(Suplementação!$J46-Suplementação!$I46+1),0))</f>
        <v>0</v>
      </c>
      <c r="BO129" s="460">
        <f>IF(AND(Suplementação!$J46=Suplementação!$I46,Suplementação!$I46=BO$1),Suplementação!$H46,IF(AND(Suplementação!$J46&gt;=Suplementação!$I46,AND(Suplementação!$I46&lt;=BO$1,Suplementação!$J46&gt;=BO$1)),Suplementação!$H46/(Suplementação!$J46-Suplementação!$I46+1),0))</f>
        <v>0</v>
      </c>
      <c r="BP129" s="460">
        <f>IF(AND(Suplementação!$J46=Suplementação!$I46,Suplementação!$I46=BP$1),Suplementação!$H46,IF(AND(Suplementação!$J46&gt;=Suplementação!$I46,AND(Suplementação!$I46&lt;=BP$1,Suplementação!$J46&gt;=BP$1)),Suplementação!$H46/(Suplementação!$J46-Suplementação!$I46+1),0))</f>
        <v>0</v>
      </c>
      <c r="BQ129" s="460">
        <f>IF(AND(Suplementação!$J46=Suplementação!$I46,Suplementação!$I46=BQ$1),Suplementação!$H46,IF(AND(Suplementação!$J46&gt;=Suplementação!$I46,AND(Suplementação!$I46&lt;=BQ$1,Suplementação!$J46&gt;=BQ$1)),Suplementação!$H46/(Suplementação!$J46-Suplementação!$I46+1),0))</f>
        <v>0</v>
      </c>
      <c r="BR129" s="460">
        <f>IF(AND(Suplementação!$J46=Suplementação!$I46,Suplementação!$I46=BR$1),Suplementação!$H46,IF(AND(Suplementação!$J46&gt;=Suplementação!$I46,AND(Suplementação!$I46&lt;=BR$1,Suplementação!$J46&gt;=BR$1)),Suplementação!$H46/(Suplementação!$J46-Suplementação!$I46+1),0))</f>
        <v>0</v>
      </c>
      <c r="BS129" s="460">
        <f>IF(AND(Suplementação!$J46=Suplementação!$I46,Suplementação!$I46=BS$1),Suplementação!$H46,IF(AND(Suplementação!$J46&gt;=Suplementação!$I46,AND(Suplementação!$I46&lt;=BS$1,Suplementação!$J46&gt;=BS$1)),Suplementação!$H46/(Suplementação!$J46-Suplementação!$I46+1),0))</f>
        <v>0</v>
      </c>
      <c r="BT129" s="461">
        <f>IF(AND(Suplementação!$J46=Suplementação!$I46,Suplementação!$I46=BT$1),Suplementação!$H46,IF(AND(Suplementação!$J46&gt;=Suplementação!$I46,AND(Suplementação!$I46&lt;=BT$1,Suplementação!$J46&gt;=BT$1)),Suplementação!$H46/(Suplementação!$J46-Suplementação!$I46+1),0))</f>
        <v>0</v>
      </c>
    </row>
    <row r="130" spans="2:72" x14ac:dyDescent="0.2">
      <c r="B130" s="545" t="s">
        <v>963</v>
      </c>
      <c r="D130" s="497"/>
      <c r="E130" s="497"/>
      <c r="F130" s="497"/>
      <c r="G130" s="497"/>
      <c r="H130" s="497"/>
      <c r="BA130" s="459" t="s">
        <v>495</v>
      </c>
      <c r="BB130" s="460">
        <f>IF(AND(Suplementação!$J47=Suplementação!$I47,Suplementação!$I47=BB$1),Suplementação!$H47,IF(AND(Suplementação!$J47&gt;=Suplementação!$I47,AND(Suplementação!$I47&lt;=BB$1,Suplementação!$J47&gt;=BB$1)),Suplementação!$H47/(Suplementação!$J47-Suplementação!$I47+1),0))</f>
        <v>0</v>
      </c>
      <c r="BC130" s="460">
        <f>IF(AND(Suplementação!$J47=Suplementação!$I47,Suplementação!$I47=BC$1),Suplementação!$H47,IF(AND(Suplementação!$J47&gt;=Suplementação!$I47,AND(Suplementação!$I47&lt;=BC$1,Suplementação!$J47&gt;=BC$1)),Suplementação!$H47/(Suplementação!$J47-Suplementação!$I47+1),0))</f>
        <v>0</v>
      </c>
      <c r="BD130" s="460">
        <f>IF(AND(Suplementação!$J47=Suplementação!$I47,Suplementação!$I47=BD$1),Suplementação!$H47,IF(AND(Suplementação!$J47&gt;=Suplementação!$I47,AND(Suplementação!$I47&lt;=BD$1,Suplementação!$J47&gt;=BD$1)),Suplementação!$H47/(Suplementação!$J47-Suplementação!$I47+1),0))</f>
        <v>0</v>
      </c>
      <c r="BE130" s="460">
        <f>IF(AND(Suplementação!$J47=Suplementação!$I47,Suplementação!$I47=BE$1),Suplementação!$H47,IF(AND(Suplementação!$J47&gt;=Suplementação!$I47,AND(Suplementação!$I47&lt;=BE$1,Suplementação!$J47&gt;=BE$1)),Suplementação!$H47/(Suplementação!$J47-Suplementação!$I47+1),0))</f>
        <v>0</v>
      </c>
      <c r="BF130" s="460">
        <f>IF(AND(Suplementação!$J47=Suplementação!$I47,Suplementação!$I47=BF$1),Suplementação!$H47,IF(AND(Suplementação!$J47&gt;=Suplementação!$I47,AND(Suplementação!$I47&lt;=BF$1,Suplementação!$J47&gt;=BF$1)),Suplementação!$H47/(Suplementação!$J47-Suplementação!$I47+1),0))</f>
        <v>0</v>
      </c>
      <c r="BG130" s="460">
        <f>IF(AND(Suplementação!$J47=Suplementação!$I47,Suplementação!$I47=BG$1),Suplementação!$H47,IF(AND(Suplementação!$J47&gt;=Suplementação!$I47,AND(Suplementação!$I47&lt;=BG$1,Suplementação!$J47&gt;=BG$1)),Suplementação!$H47/(Suplementação!$J47-Suplementação!$I47+1),0))</f>
        <v>0</v>
      </c>
      <c r="BH130" s="460">
        <f>IF(AND(Suplementação!$J47=Suplementação!$I47,Suplementação!$I47=BH$1),Suplementação!$H47,IF(AND(Suplementação!$J47&gt;=Suplementação!$I47,AND(Suplementação!$I47&lt;=BH$1,Suplementação!$J47&gt;=BH$1)),Suplementação!$H47/(Suplementação!$J47-Suplementação!$I47+1),0))</f>
        <v>0</v>
      </c>
      <c r="BI130" s="460">
        <f>IF(AND(Suplementação!$J47=Suplementação!$I47,Suplementação!$I47=BI$1),Suplementação!$H47,IF(AND(Suplementação!$J47&gt;=Suplementação!$I47,AND(Suplementação!$I47&lt;=BI$1,Suplementação!$J47&gt;=BI$1)),Suplementação!$H47/(Suplementação!$J47-Suplementação!$I47+1),0))</f>
        <v>0</v>
      </c>
      <c r="BJ130" s="460">
        <f>IF(AND(Suplementação!$J47=Suplementação!$I47,Suplementação!$I47=BJ$1),Suplementação!$H47,IF(AND(Suplementação!$J47&gt;=Suplementação!$I47,AND(Suplementação!$I47&lt;=BJ$1,Suplementação!$J47&gt;=BJ$1)),Suplementação!$H47/(Suplementação!$J47-Suplementação!$I47+1),0))</f>
        <v>0</v>
      </c>
      <c r="BK130" s="460">
        <f>IF(AND(Suplementação!$J47=Suplementação!$I47,Suplementação!$I47=BK$1),Suplementação!$H47,IF(AND(Suplementação!$J47&gt;=Suplementação!$I47,AND(Suplementação!$I47&lt;=BK$1,Suplementação!$J47&gt;=BK$1)),Suplementação!$H47/(Suplementação!$J47-Suplementação!$I47+1),0))</f>
        <v>0</v>
      </c>
      <c r="BL130" s="460">
        <f>IF(AND(Suplementação!$J47=Suplementação!$I47,Suplementação!$I47=BL$1),Suplementação!$H47,IF(AND(Suplementação!$J47&gt;=Suplementação!$I47,AND(Suplementação!$I47&lt;=BL$1,Suplementação!$J47&gt;=BL$1)),Suplementação!$H47/(Suplementação!$J47-Suplementação!$I47+1),0))</f>
        <v>0</v>
      </c>
      <c r="BM130" s="460">
        <f>IF(AND(Suplementação!$J47=Suplementação!$I47,Suplementação!$I47=BM$1),Suplementação!$H47,IF(AND(Suplementação!$J47&gt;=Suplementação!$I47,AND(Suplementação!$I47&lt;=BM$1,Suplementação!$J47&gt;=BM$1)),Suplementação!$H47/(Suplementação!$J47-Suplementação!$I47+1),0))</f>
        <v>0</v>
      </c>
      <c r="BN130" s="460">
        <f>IF(AND(Suplementação!$J47=Suplementação!$I47,Suplementação!$I47=BN$1),Suplementação!$H47,IF(AND(Suplementação!$J47&gt;=Suplementação!$I47,AND(Suplementação!$I47&lt;=BN$1,Suplementação!$J47&gt;=BN$1)),Suplementação!$H47/(Suplementação!$J47-Suplementação!$I47+1),0))</f>
        <v>0</v>
      </c>
      <c r="BO130" s="460">
        <f>IF(AND(Suplementação!$J47=Suplementação!$I47,Suplementação!$I47=BO$1),Suplementação!$H47,IF(AND(Suplementação!$J47&gt;=Suplementação!$I47,AND(Suplementação!$I47&lt;=BO$1,Suplementação!$J47&gt;=BO$1)),Suplementação!$H47/(Suplementação!$J47-Suplementação!$I47+1),0))</f>
        <v>0</v>
      </c>
      <c r="BP130" s="460">
        <f>IF(AND(Suplementação!$J47=Suplementação!$I47,Suplementação!$I47=BP$1),Suplementação!$H47,IF(AND(Suplementação!$J47&gt;=Suplementação!$I47,AND(Suplementação!$I47&lt;=BP$1,Suplementação!$J47&gt;=BP$1)),Suplementação!$H47/(Suplementação!$J47-Suplementação!$I47+1),0))</f>
        <v>0</v>
      </c>
      <c r="BQ130" s="460">
        <f>IF(AND(Suplementação!$J47=Suplementação!$I47,Suplementação!$I47=BQ$1),Suplementação!$H47,IF(AND(Suplementação!$J47&gt;=Suplementação!$I47,AND(Suplementação!$I47&lt;=BQ$1,Suplementação!$J47&gt;=BQ$1)),Suplementação!$H47/(Suplementação!$J47-Suplementação!$I47+1),0))</f>
        <v>0</v>
      </c>
      <c r="BR130" s="460">
        <f>IF(AND(Suplementação!$J47=Suplementação!$I47,Suplementação!$I47=BR$1),Suplementação!$H47,IF(AND(Suplementação!$J47&gt;=Suplementação!$I47,AND(Suplementação!$I47&lt;=BR$1,Suplementação!$J47&gt;=BR$1)),Suplementação!$H47/(Suplementação!$J47-Suplementação!$I47+1),0))</f>
        <v>0</v>
      </c>
      <c r="BS130" s="460">
        <f>IF(AND(Suplementação!$J47=Suplementação!$I47,Suplementação!$I47=BS$1),Suplementação!$H47,IF(AND(Suplementação!$J47&gt;=Suplementação!$I47,AND(Suplementação!$I47&lt;=BS$1,Suplementação!$J47&gt;=BS$1)),Suplementação!$H47/(Suplementação!$J47-Suplementação!$I47+1),0))</f>
        <v>0</v>
      </c>
      <c r="BT130" s="461">
        <f>IF(AND(Suplementação!$J47=Suplementação!$I47,Suplementação!$I47=BT$1),Suplementação!$H47,IF(AND(Suplementação!$J47&gt;=Suplementação!$I47,AND(Suplementação!$I47&lt;=BT$1,Suplementação!$J47&gt;=BT$1)),Suplementação!$H47/(Suplementação!$J47-Suplementação!$I47+1),0))</f>
        <v>0</v>
      </c>
    </row>
    <row r="131" spans="2:72" x14ac:dyDescent="0.2">
      <c r="B131" s="499"/>
      <c r="C131" s="500"/>
      <c r="D131" s="497"/>
      <c r="E131" s="497"/>
      <c r="F131" s="497"/>
      <c r="G131" s="497"/>
      <c r="H131" s="497"/>
      <c r="BA131" s="459">
        <f>VLOOKUP(Suplementação!D52,'Mão-de-obra'!$CJ$10:$CK$29,2)</f>
        <v>0</v>
      </c>
      <c r="BB131" s="460">
        <f>IF(AND(Suplementação!$J52=Suplementação!$I52,Suplementação!$I52=BB$1),Suplementação!$H52,IF(AND(Suplementação!$J52&gt;=Suplementação!$I52,AND(Suplementação!$I52&lt;=BB$1,Suplementação!$J52&gt;=BB$1)),Suplementação!$H52/(Suplementação!$J52-Suplementação!$I52+1),0))</f>
        <v>0</v>
      </c>
      <c r="BC131" s="460">
        <f>IF(AND(Suplementação!$J52=Suplementação!$I52,Suplementação!$I52=BC$1),Suplementação!$H52,IF(AND(Suplementação!$J52&gt;=Suplementação!$I52,AND(Suplementação!$I52&lt;=BC$1,Suplementação!$J52&gt;=BC$1)),Suplementação!$H52/(Suplementação!$J52-Suplementação!$I52+1),0))</f>
        <v>0</v>
      </c>
      <c r="BD131" s="460">
        <f>IF(AND(Suplementação!$J52=Suplementação!$I52,Suplementação!$I52=BD$1),Suplementação!$H52,IF(AND(Suplementação!$J52&gt;=Suplementação!$I52,AND(Suplementação!$I52&lt;=BD$1,Suplementação!$J52&gt;=BD$1)),Suplementação!$H52/(Suplementação!$J52-Suplementação!$I52+1),0))</f>
        <v>0</v>
      </c>
      <c r="BE131" s="460">
        <f>IF(AND(Suplementação!$J52=Suplementação!$I52,Suplementação!$I52=BE$1),Suplementação!$H52,IF(AND(Suplementação!$J52&gt;=Suplementação!$I52,AND(Suplementação!$I52&lt;=BE$1,Suplementação!$J52&gt;=BE$1)),Suplementação!$H52/(Suplementação!$J52-Suplementação!$I52+1),0))</f>
        <v>0</v>
      </c>
      <c r="BF131" s="460">
        <f>IF(AND(Suplementação!$J52=Suplementação!$I52,Suplementação!$I52=BF$1),Suplementação!$H52,IF(AND(Suplementação!$J52&gt;=Suplementação!$I52,AND(Suplementação!$I52&lt;=BF$1,Suplementação!$J52&gt;=BF$1)),Suplementação!$H52/(Suplementação!$J52-Suplementação!$I52+1),0))</f>
        <v>0</v>
      </c>
      <c r="BG131" s="460">
        <f>IF(AND(Suplementação!$J52=Suplementação!$I52,Suplementação!$I52=BG$1),Suplementação!$H52,IF(AND(Suplementação!$J52&gt;=Suplementação!$I52,AND(Suplementação!$I52&lt;=BG$1,Suplementação!$J52&gt;=BG$1)),Suplementação!$H52/(Suplementação!$J52-Suplementação!$I52+1),0))</f>
        <v>0</v>
      </c>
      <c r="BH131" s="460">
        <f>IF(AND(Suplementação!$J52=Suplementação!$I52,Suplementação!$I52=BH$1),Suplementação!$H52,IF(AND(Suplementação!$J52&gt;=Suplementação!$I52,AND(Suplementação!$I52&lt;=BH$1,Suplementação!$J52&gt;=BH$1)),Suplementação!$H52/(Suplementação!$J52-Suplementação!$I52+1),0))</f>
        <v>0</v>
      </c>
      <c r="BI131" s="460">
        <f>IF(AND(Suplementação!$J52=Suplementação!$I52,Suplementação!$I52=BI$1),Suplementação!$H52,IF(AND(Suplementação!$J52&gt;=Suplementação!$I52,AND(Suplementação!$I52&lt;=BI$1,Suplementação!$J52&gt;=BI$1)),Suplementação!$H52/(Suplementação!$J52-Suplementação!$I52+1),0))</f>
        <v>0</v>
      </c>
      <c r="BJ131" s="460">
        <f>IF(AND(Suplementação!$J52=Suplementação!$I52,Suplementação!$I52=BJ$1),Suplementação!$H52,IF(AND(Suplementação!$J52&gt;=Suplementação!$I52,AND(Suplementação!$I52&lt;=BJ$1,Suplementação!$J52&gt;=BJ$1)),Suplementação!$H52/(Suplementação!$J52-Suplementação!$I52+1),0))</f>
        <v>0</v>
      </c>
      <c r="BK131" s="460">
        <f>IF(AND(Suplementação!$J52=Suplementação!$I52,Suplementação!$I52=BK$1),Suplementação!$H52,IF(AND(Suplementação!$J52&gt;=Suplementação!$I52,AND(Suplementação!$I52&lt;=BK$1,Suplementação!$J52&gt;=BK$1)),Suplementação!$H52/(Suplementação!$J52-Suplementação!$I52+1),0))</f>
        <v>0</v>
      </c>
      <c r="BL131" s="460">
        <f>IF(AND(Suplementação!$J52=Suplementação!$I52,Suplementação!$I52=BL$1),Suplementação!$H52,IF(AND(Suplementação!$J52&gt;=Suplementação!$I52,AND(Suplementação!$I52&lt;=BL$1,Suplementação!$J52&gt;=BL$1)),Suplementação!$H52/(Suplementação!$J52-Suplementação!$I52+1),0))</f>
        <v>0</v>
      </c>
      <c r="BM131" s="460">
        <f>IF(AND(Suplementação!$J52=Suplementação!$I52,Suplementação!$I52=BM$1),Suplementação!$H52,IF(AND(Suplementação!$J52&gt;=Suplementação!$I52,AND(Suplementação!$I52&lt;=BM$1,Suplementação!$J52&gt;=BM$1)),Suplementação!$H52/(Suplementação!$J52-Suplementação!$I52+1),0))</f>
        <v>0</v>
      </c>
      <c r="BN131" s="460">
        <f>IF(AND(Suplementação!$J52=Suplementação!$I52,Suplementação!$I52=BN$1),Suplementação!$H52,IF(AND(Suplementação!$J52&gt;=Suplementação!$I52,AND(Suplementação!$I52&lt;=BN$1,Suplementação!$J52&gt;=BN$1)),Suplementação!$H52/(Suplementação!$J52-Suplementação!$I52+1),0))</f>
        <v>0</v>
      </c>
      <c r="BO131" s="460">
        <f>IF(AND(Suplementação!$J52=Suplementação!$I52,Suplementação!$I52=BO$1),Suplementação!$H52,IF(AND(Suplementação!$J52&gt;=Suplementação!$I52,AND(Suplementação!$I52&lt;=BO$1,Suplementação!$J52&gt;=BO$1)),Suplementação!$H52/(Suplementação!$J52-Suplementação!$I52+1),0))</f>
        <v>0</v>
      </c>
      <c r="BP131" s="460">
        <f>IF(AND(Suplementação!$J52=Suplementação!$I52,Suplementação!$I52=BP$1),Suplementação!$H52,IF(AND(Suplementação!$J52&gt;=Suplementação!$I52,AND(Suplementação!$I52&lt;=BP$1,Suplementação!$J52&gt;=BP$1)),Suplementação!$H52/(Suplementação!$J52-Suplementação!$I52+1),0))</f>
        <v>0</v>
      </c>
      <c r="BQ131" s="460">
        <f>IF(AND(Suplementação!$J52=Suplementação!$I52,Suplementação!$I52=BQ$1),Suplementação!$H52,IF(AND(Suplementação!$J52&gt;=Suplementação!$I52,AND(Suplementação!$I52&lt;=BQ$1,Suplementação!$J52&gt;=BQ$1)),Suplementação!$H52/(Suplementação!$J52-Suplementação!$I52+1),0))</f>
        <v>0</v>
      </c>
      <c r="BR131" s="460">
        <f>IF(AND(Suplementação!$J52=Suplementação!$I52,Suplementação!$I52=BR$1),Suplementação!$H52,IF(AND(Suplementação!$J52&gt;=Suplementação!$I52,AND(Suplementação!$I52&lt;=BR$1,Suplementação!$J52&gt;=BR$1)),Suplementação!$H52/(Suplementação!$J52-Suplementação!$I52+1),0))</f>
        <v>0</v>
      </c>
      <c r="BS131" s="460">
        <f>IF(AND(Suplementação!$J52=Suplementação!$I52,Suplementação!$I52=BS$1),Suplementação!$H52,IF(AND(Suplementação!$J52&gt;=Suplementação!$I52,AND(Suplementação!$I52&lt;=BS$1,Suplementação!$J52&gt;=BS$1)),Suplementação!$H52/(Suplementação!$J52-Suplementação!$I52+1),0))</f>
        <v>0</v>
      </c>
      <c r="BT131" s="461">
        <f>IF(AND(Suplementação!$J52=Suplementação!$I52,Suplementação!$I52=BT$1),Suplementação!$H52,IF(AND(Suplementação!$J52&gt;=Suplementação!$I52,AND(Suplementação!$I52&lt;=BT$1,Suplementação!$J52&gt;=BT$1)),Suplementação!$H52/(Suplementação!$J52-Suplementação!$I52+1),0))</f>
        <v>0</v>
      </c>
    </row>
    <row r="132" spans="2:72" x14ac:dyDescent="0.2">
      <c r="B132" s="499"/>
      <c r="C132" s="500"/>
      <c r="D132" s="497"/>
      <c r="E132" s="497"/>
      <c r="F132" s="497"/>
      <c r="G132" s="497"/>
      <c r="H132" s="497"/>
      <c r="BA132" s="459">
        <f>VLOOKUP(Suplementação!D53,'Mão-de-obra'!$CJ$10:$CK$29,2)</f>
        <v>0</v>
      </c>
      <c r="BB132" s="460">
        <f>IF(AND(Suplementação!$J53=Suplementação!$I53,Suplementação!$I53=BB$1),Suplementação!$H53,IF(AND(Suplementação!$J53&gt;=Suplementação!$I53,AND(Suplementação!$I53&lt;=BB$1,Suplementação!$J53&gt;=BB$1)),Suplementação!$H53/(Suplementação!$J53-Suplementação!$I53+1),0))</f>
        <v>0</v>
      </c>
      <c r="BC132" s="460">
        <f>IF(AND(Suplementação!$J53=Suplementação!$I53,Suplementação!$I53=BC$1),Suplementação!$H53,IF(AND(Suplementação!$J53&gt;=Suplementação!$I53,AND(Suplementação!$I53&lt;=BC$1,Suplementação!$J53&gt;=BC$1)),Suplementação!$H53/(Suplementação!$J53-Suplementação!$I53+1),0))</f>
        <v>0</v>
      </c>
      <c r="BD132" s="460">
        <f>IF(AND(Suplementação!$J53=Suplementação!$I53,Suplementação!$I53=BD$1),Suplementação!$H53,IF(AND(Suplementação!$J53&gt;=Suplementação!$I53,AND(Suplementação!$I53&lt;=BD$1,Suplementação!$J53&gt;=BD$1)),Suplementação!$H53/(Suplementação!$J53-Suplementação!$I53+1),0))</f>
        <v>0</v>
      </c>
      <c r="BE132" s="460">
        <f>IF(AND(Suplementação!$J53=Suplementação!$I53,Suplementação!$I53=BE$1),Suplementação!$H53,IF(AND(Suplementação!$J53&gt;=Suplementação!$I53,AND(Suplementação!$I53&lt;=BE$1,Suplementação!$J53&gt;=BE$1)),Suplementação!$H53/(Suplementação!$J53-Suplementação!$I53+1),0))</f>
        <v>0</v>
      </c>
      <c r="BF132" s="460">
        <f>IF(AND(Suplementação!$J53=Suplementação!$I53,Suplementação!$I53=BF$1),Suplementação!$H53,IF(AND(Suplementação!$J53&gt;=Suplementação!$I53,AND(Suplementação!$I53&lt;=BF$1,Suplementação!$J53&gt;=BF$1)),Suplementação!$H53/(Suplementação!$J53-Suplementação!$I53+1),0))</f>
        <v>0</v>
      </c>
      <c r="BG132" s="460">
        <f>IF(AND(Suplementação!$J53=Suplementação!$I53,Suplementação!$I53=BG$1),Suplementação!$H53,IF(AND(Suplementação!$J53&gt;=Suplementação!$I53,AND(Suplementação!$I53&lt;=BG$1,Suplementação!$J53&gt;=BG$1)),Suplementação!$H53/(Suplementação!$J53-Suplementação!$I53+1),0))</f>
        <v>0</v>
      </c>
      <c r="BH132" s="460">
        <f>IF(AND(Suplementação!$J53=Suplementação!$I53,Suplementação!$I53=BH$1),Suplementação!$H53,IF(AND(Suplementação!$J53&gt;=Suplementação!$I53,AND(Suplementação!$I53&lt;=BH$1,Suplementação!$J53&gt;=BH$1)),Suplementação!$H53/(Suplementação!$J53-Suplementação!$I53+1),0))</f>
        <v>0</v>
      </c>
      <c r="BI132" s="460">
        <f>IF(AND(Suplementação!$J53=Suplementação!$I53,Suplementação!$I53=BI$1),Suplementação!$H53,IF(AND(Suplementação!$J53&gt;=Suplementação!$I53,AND(Suplementação!$I53&lt;=BI$1,Suplementação!$J53&gt;=BI$1)),Suplementação!$H53/(Suplementação!$J53-Suplementação!$I53+1),0))</f>
        <v>0</v>
      </c>
      <c r="BJ132" s="460">
        <f>IF(AND(Suplementação!$J53=Suplementação!$I53,Suplementação!$I53=BJ$1),Suplementação!$H53,IF(AND(Suplementação!$J53&gt;=Suplementação!$I53,AND(Suplementação!$I53&lt;=BJ$1,Suplementação!$J53&gt;=BJ$1)),Suplementação!$H53/(Suplementação!$J53-Suplementação!$I53+1),0))</f>
        <v>0</v>
      </c>
      <c r="BK132" s="460">
        <f>IF(AND(Suplementação!$J53=Suplementação!$I53,Suplementação!$I53=BK$1),Suplementação!$H53,IF(AND(Suplementação!$J53&gt;=Suplementação!$I53,AND(Suplementação!$I53&lt;=BK$1,Suplementação!$J53&gt;=BK$1)),Suplementação!$H53/(Suplementação!$J53-Suplementação!$I53+1),0))</f>
        <v>0</v>
      </c>
      <c r="BL132" s="460">
        <f>IF(AND(Suplementação!$J53=Suplementação!$I53,Suplementação!$I53=BL$1),Suplementação!$H53,IF(AND(Suplementação!$J53&gt;=Suplementação!$I53,AND(Suplementação!$I53&lt;=BL$1,Suplementação!$J53&gt;=BL$1)),Suplementação!$H53/(Suplementação!$J53-Suplementação!$I53+1),0))</f>
        <v>0</v>
      </c>
      <c r="BM132" s="460">
        <f>IF(AND(Suplementação!$J53=Suplementação!$I53,Suplementação!$I53=BM$1),Suplementação!$H53,IF(AND(Suplementação!$J53&gt;=Suplementação!$I53,AND(Suplementação!$I53&lt;=BM$1,Suplementação!$J53&gt;=BM$1)),Suplementação!$H53/(Suplementação!$J53-Suplementação!$I53+1),0))</f>
        <v>0</v>
      </c>
      <c r="BN132" s="460">
        <f>IF(AND(Suplementação!$J53=Suplementação!$I53,Suplementação!$I53=BN$1),Suplementação!$H53,IF(AND(Suplementação!$J53&gt;=Suplementação!$I53,AND(Suplementação!$I53&lt;=BN$1,Suplementação!$J53&gt;=BN$1)),Suplementação!$H53/(Suplementação!$J53-Suplementação!$I53+1),0))</f>
        <v>0</v>
      </c>
      <c r="BO132" s="460">
        <f>IF(AND(Suplementação!$J53=Suplementação!$I53,Suplementação!$I53=BO$1),Suplementação!$H53,IF(AND(Suplementação!$J53&gt;=Suplementação!$I53,AND(Suplementação!$I53&lt;=BO$1,Suplementação!$J53&gt;=BO$1)),Suplementação!$H53/(Suplementação!$J53-Suplementação!$I53+1),0))</f>
        <v>0</v>
      </c>
      <c r="BP132" s="460">
        <f>IF(AND(Suplementação!$J53=Suplementação!$I53,Suplementação!$I53=BP$1),Suplementação!$H53,IF(AND(Suplementação!$J53&gt;=Suplementação!$I53,AND(Suplementação!$I53&lt;=BP$1,Suplementação!$J53&gt;=BP$1)),Suplementação!$H53/(Suplementação!$J53-Suplementação!$I53+1),0))</f>
        <v>0</v>
      </c>
      <c r="BQ132" s="460">
        <f>IF(AND(Suplementação!$J53=Suplementação!$I53,Suplementação!$I53=BQ$1),Suplementação!$H53,IF(AND(Suplementação!$J53&gt;=Suplementação!$I53,AND(Suplementação!$I53&lt;=BQ$1,Suplementação!$J53&gt;=BQ$1)),Suplementação!$H53/(Suplementação!$J53-Suplementação!$I53+1),0))</f>
        <v>0</v>
      </c>
      <c r="BR132" s="460">
        <f>IF(AND(Suplementação!$J53=Suplementação!$I53,Suplementação!$I53=BR$1),Suplementação!$H53,IF(AND(Suplementação!$J53&gt;=Suplementação!$I53,AND(Suplementação!$I53&lt;=BR$1,Suplementação!$J53&gt;=BR$1)),Suplementação!$H53/(Suplementação!$J53-Suplementação!$I53+1),0))</f>
        <v>0</v>
      </c>
      <c r="BS132" s="460">
        <f>IF(AND(Suplementação!$J53=Suplementação!$I53,Suplementação!$I53=BS$1),Suplementação!$H53,IF(AND(Suplementação!$J53&gt;=Suplementação!$I53,AND(Suplementação!$I53&lt;=BS$1,Suplementação!$J53&gt;=BS$1)),Suplementação!$H53/(Suplementação!$J53-Suplementação!$I53+1),0))</f>
        <v>0</v>
      </c>
      <c r="BT132" s="461">
        <f>IF(AND(Suplementação!$J53=Suplementação!$I53,Suplementação!$I53=BT$1),Suplementação!$H53,IF(AND(Suplementação!$J53&gt;=Suplementação!$I53,AND(Suplementação!$I53&lt;=BT$1,Suplementação!$J53&gt;=BT$1)),Suplementação!$H53/(Suplementação!$J53-Suplementação!$I53+1),0))</f>
        <v>0</v>
      </c>
    </row>
    <row r="133" spans="2:72" x14ac:dyDescent="0.2">
      <c r="B133" s="499"/>
      <c r="C133" s="500"/>
      <c r="D133" s="497"/>
      <c r="E133" s="497"/>
      <c r="F133" s="497"/>
      <c r="G133" s="497"/>
      <c r="H133" s="497"/>
      <c r="BA133" s="459">
        <f>VLOOKUP(Suplementação!D54,'Mão-de-obra'!$CJ$10:$CK$29,2)</f>
        <v>0</v>
      </c>
      <c r="BB133" s="460">
        <f>IF(AND(Suplementação!$J54=Suplementação!$I54,Suplementação!$I54=BB$1),Suplementação!$H54,IF(AND(Suplementação!$J54&gt;=Suplementação!$I54,AND(Suplementação!$I54&lt;=BB$1,Suplementação!$J54&gt;=BB$1)),Suplementação!$H54/(Suplementação!$J54-Suplementação!$I54+1),0))</f>
        <v>0</v>
      </c>
      <c r="BC133" s="460">
        <f>IF(AND(Suplementação!$J54=Suplementação!$I54,Suplementação!$I54=BC$1),Suplementação!$H54,IF(AND(Suplementação!$J54&gt;=Suplementação!$I54,AND(Suplementação!$I54&lt;=BC$1,Suplementação!$J54&gt;=BC$1)),Suplementação!$H54/(Suplementação!$J54-Suplementação!$I54+1),0))</f>
        <v>0</v>
      </c>
      <c r="BD133" s="460">
        <f>IF(AND(Suplementação!$J54=Suplementação!$I54,Suplementação!$I54=BD$1),Suplementação!$H54,IF(AND(Suplementação!$J54&gt;=Suplementação!$I54,AND(Suplementação!$I54&lt;=BD$1,Suplementação!$J54&gt;=BD$1)),Suplementação!$H54/(Suplementação!$J54-Suplementação!$I54+1),0))</f>
        <v>0</v>
      </c>
      <c r="BE133" s="460">
        <f>IF(AND(Suplementação!$J54=Suplementação!$I54,Suplementação!$I54=BE$1),Suplementação!$H54,IF(AND(Suplementação!$J54&gt;=Suplementação!$I54,AND(Suplementação!$I54&lt;=BE$1,Suplementação!$J54&gt;=BE$1)),Suplementação!$H54/(Suplementação!$J54-Suplementação!$I54+1),0))</f>
        <v>0</v>
      </c>
      <c r="BF133" s="460">
        <f>IF(AND(Suplementação!$J54=Suplementação!$I54,Suplementação!$I54=BF$1),Suplementação!$H54,IF(AND(Suplementação!$J54&gt;=Suplementação!$I54,AND(Suplementação!$I54&lt;=BF$1,Suplementação!$J54&gt;=BF$1)),Suplementação!$H54/(Suplementação!$J54-Suplementação!$I54+1),0))</f>
        <v>0</v>
      </c>
      <c r="BG133" s="460">
        <f>IF(AND(Suplementação!$J54=Suplementação!$I54,Suplementação!$I54=BG$1),Suplementação!$H54,IF(AND(Suplementação!$J54&gt;=Suplementação!$I54,AND(Suplementação!$I54&lt;=BG$1,Suplementação!$J54&gt;=BG$1)),Suplementação!$H54/(Suplementação!$J54-Suplementação!$I54+1),0))</f>
        <v>0</v>
      </c>
      <c r="BH133" s="460">
        <f>IF(AND(Suplementação!$J54=Suplementação!$I54,Suplementação!$I54=BH$1),Suplementação!$H54,IF(AND(Suplementação!$J54&gt;=Suplementação!$I54,AND(Suplementação!$I54&lt;=BH$1,Suplementação!$J54&gt;=BH$1)),Suplementação!$H54/(Suplementação!$J54-Suplementação!$I54+1),0))</f>
        <v>0</v>
      </c>
      <c r="BI133" s="460">
        <f>IF(AND(Suplementação!$J54=Suplementação!$I54,Suplementação!$I54=BI$1),Suplementação!$H54,IF(AND(Suplementação!$J54&gt;=Suplementação!$I54,AND(Suplementação!$I54&lt;=BI$1,Suplementação!$J54&gt;=BI$1)),Suplementação!$H54/(Suplementação!$J54-Suplementação!$I54+1),0))</f>
        <v>0</v>
      </c>
      <c r="BJ133" s="460">
        <f>IF(AND(Suplementação!$J54=Suplementação!$I54,Suplementação!$I54=BJ$1),Suplementação!$H54,IF(AND(Suplementação!$J54&gt;=Suplementação!$I54,AND(Suplementação!$I54&lt;=BJ$1,Suplementação!$J54&gt;=BJ$1)),Suplementação!$H54/(Suplementação!$J54-Suplementação!$I54+1),0))</f>
        <v>0</v>
      </c>
      <c r="BK133" s="460">
        <f>IF(AND(Suplementação!$J54=Suplementação!$I54,Suplementação!$I54=BK$1),Suplementação!$H54,IF(AND(Suplementação!$J54&gt;=Suplementação!$I54,AND(Suplementação!$I54&lt;=BK$1,Suplementação!$J54&gt;=BK$1)),Suplementação!$H54/(Suplementação!$J54-Suplementação!$I54+1),0))</f>
        <v>0</v>
      </c>
      <c r="BL133" s="460">
        <f>IF(AND(Suplementação!$J54=Suplementação!$I54,Suplementação!$I54=BL$1),Suplementação!$H54,IF(AND(Suplementação!$J54&gt;=Suplementação!$I54,AND(Suplementação!$I54&lt;=BL$1,Suplementação!$J54&gt;=BL$1)),Suplementação!$H54/(Suplementação!$J54-Suplementação!$I54+1),0))</f>
        <v>0</v>
      </c>
      <c r="BM133" s="460">
        <f>IF(AND(Suplementação!$J54=Suplementação!$I54,Suplementação!$I54=BM$1),Suplementação!$H54,IF(AND(Suplementação!$J54&gt;=Suplementação!$I54,AND(Suplementação!$I54&lt;=BM$1,Suplementação!$J54&gt;=BM$1)),Suplementação!$H54/(Suplementação!$J54-Suplementação!$I54+1),0))</f>
        <v>0</v>
      </c>
      <c r="BN133" s="460">
        <f>IF(AND(Suplementação!$J54=Suplementação!$I54,Suplementação!$I54=BN$1),Suplementação!$H54,IF(AND(Suplementação!$J54&gt;=Suplementação!$I54,AND(Suplementação!$I54&lt;=BN$1,Suplementação!$J54&gt;=BN$1)),Suplementação!$H54/(Suplementação!$J54-Suplementação!$I54+1),0))</f>
        <v>0</v>
      </c>
      <c r="BO133" s="460">
        <f>IF(AND(Suplementação!$J54=Suplementação!$I54,Suplementação!$I54=BO$1),Suplementação!$H54,IF(AND(Suplementação!$J54&gt;=Suplementação!$I54,AND(Suplementação!$I54&lt;=BO$1,Suplementação!$J54&gt;=BO$1)),Suplementação!$H54/(Suplementação!$J54-Suplementação!$I54+1),0))</f>
        <v>0</v>
      </c>
      <c r="BP133" s="460">
        <f>IF(AND(Suplementação!$J54=Suplementação!$I54,Suplementação!$I54=BP$1),Suplementação!$H54,IF(AND(Suplementação!$J54&gt;=Suplementação!$I54,AND(Suplementação!$I54&lt;=BP$1,Suplementação!$J54&gt;=BP$1)),Suplementação!$H54/(Suplementação!$J54-Suplementação!$I54+1),0))</f>
        <v>0</v>
      </c>
      <c r="BQ133" s="460">
        <f>IF(AND(Suplementação!$J54=Suplementação!$I54,Suplementação!$I54=BQ$1),Suplementação!$H54,IF(AND(Suplementação!$J54&gt;=Suplementação!$I54,AND(Suplementação!$I54&lt;=BQ$1,Suplementação!$J54&gt;=BQ$1)),Suplementação!$H54/(Suplementação!$J54-Suplementação!$I54+1),0))</f>
        <v>0</v>
      </c>
      <c r="BR133" s="460">
        <f>IF(AND(Suplementação!$J54=Suplementação!$I54,Suplementação!$I54=BR$1),Suplementação!$H54,IF(AND(Suplementação!$J54&gt;=Suplementação!$I54,AND(Suplementação!$I54&lt;=BR$1,Suplementação!$J54&gt;=BR$1)),Suplementação!$H54/(Suplementação!$J54-Suplementação!$I54+1),0))</f>
        <v>0</v>
      </c>
      <c r="BS133" s="460">
        <f>IF(AND(Suplementação!$J54=Suplementação!$I54,Suplementação!$I54=BS$1),Suplementação!$H54,IF(AND(Suplementação!$J54&gt;=Suplementação!$I54,AND(Suplementação!$I54&lt;=BS$1,Suplementação!$J54&gt;=BS$1)),Suplementação!$H54/(Suplementação!$J54-Suplementação!$I54+1),0))</f>
        <v>0</v>
      </c>
      <c r="BT133" s="461">
        <f>IF(AND(Suplementação!$J54=Suplementação!$I54,Suplementação!$I54=BT$1),Suplementação!$H54,IF(AND(Suplementação!$J54&gt;=Suplementação!$I54,AND(Suplementação!$I54&lt;=BT$1,Suplementação!$J54&gt;=BT$1)),Suplementação!$H54/(Suplementação!$J54-Suplementação!$I54+1),0))</f>
        <v>0</v>
      </c>
    </row>
    <row r="134" spans="2:72" x14ac:dyDescent="0.2">
      <c r="B134" s="499"/>
      <c r="C134" s="500"/>
      <c r="D134" s="497"/>
      <c r="E134" s="497"/>
      <c r="F134" s="497"/>
      <c r="G134" s="497"/>
      <c r="H134" s="497"/>
      <c r="BA134" s="459">
        <f>VLOOKUP(Suplementação!D55,'Mão-de-obra'!$CJ$10:$CK$29,2)</f>
        <v>0</v>
      </c>
      <c r="BB134" s="460">
        <f>IF(AND(Suplementação!$J55=Suplementação!$I55,Suplementação!$I55=BB$1),Suplementação!$H55,IF(AND(Suplementação!$J55&gt;=Suplementação!$I55,AND(Suplementação!$I55&lt;=BB$1,Suplementação!$J55&gt;=BB$1)),Suplementação!$H55/(Suplementação!$J55-Suplementação!$I55+1),0))</f>
        <v>0</v>
      </c>
      <c r="BC134" s="460">
        <f>IF(AND(Suplementação!$J55=Suplementação!$I55,Suplementação!$I55=BC$1),Suplementação!$H55,IF(AND(Suplementação!$J55&gt;=Suplementação!$I55,AND(Suplementação!$I55&lt;=BC$1,Suplementação!$J55&gt;=BC$1)),Suplementação!$H55/(Suplementação!$J55-Suplementação!$I55+1),0))</f>
        <v>0</v>
      </c>
      <c r="BD134" s="460">
        <f>IF(AND(Suplementação!$J55=Suplementação!$I55,Suplementação!$I55=BD$1),Suplementação!$H55,IF(AND(Suplementação!$J55&gt;=Suplementação!$I55,AND(Suplementação!$I55&lt;=BD$1,Suplementação!$J55&gt;=BD$1)),Suplementação!$H55/(Suplementação!$J55-Suplementação!$I55+1),0))</f>
        <v>0</v>
      </c>
      <c r="BE134" s="460">
        <f>IF(AND(Suplementação!$J55=Suplementação!$I55,Suplementação!$I55=BE$1),Suplementação!$H55,IF(AND(Suplementação!$J55&gt;=Suplementação!$I55,AND(Suplementação!$I55&lt;=BE$1,Suplementação!$J55&gt;=BE$1)),Suplementação!$H55/(Suplementação!$J55-Suplementação!$I55+1),0))</f>
        <v>0</v>
      </c>
      <c r="BF134" s="460">
        <f>IF(AND(Suplementação!$J55=Suplementação!$I55,Suplementação!$I55=BF$1),Suplementação!$H55,IF(AND(Suplementação!$J55&gt;=Suplementação!$I55,AND(Suplementação!$I55&lt;=BF$1,Suplementação!$J55&gt;=BF$1)),Suplementação!$H55/(Suplementação!$J55-Suplementação!$I55+1),0))</f>
        <v>0</v>
      </c>
      <c r="BG134" s="460">
        <f>IF(AND(Suplementação!$J55=Suplementação!$I55,Suplementação!$I55=BG$1),Suplementação!$H55,IF(AND(Suplementação!$J55&gt;=Suplementação!$I55,AND(Suplementação!$I55&lt;=BG$1,Suplementação!$J55&gt;=BG$1)),Suplementação!$H55/(Suplementação!$J55-Suplementação!$I55+1),0))</f>
        <v>0</v>
      </c>
      <c r="BH134" s="460">
        <f>IF(AND(Suplementação!$J55=Suplementação!$I55,Suplementação!$I55=BH$1),Suplementação!$H55,IF(AND(Suplementação!$J55&gt;=Suplementação!$I55,AND(Suplementação!$I55&lt;=BH$1,Suplementação!$J55&gt;=BH$1)),Suplementação!$H55/(Suplementação!$J55-Suplementação!$I55+1),0))</f>
        <v>0</v>
      </c>
      <c r="BI134" s="460">
        <f>IF(AND(Suplementação!$J55=Suplementação!$I55,Suplementação!$I55=BI$1),Suplementação!$H55,IF(AND(Suplementação!$J55&gt;=Suplementação!$I55,AND(Suplementação!$I55&lt;=BI$1,Suplementação!$J55&gt;=BI$1)),Suplementação!$H55/(Suplementação!$J55-Suplementação!$I55+1),0))</f>
        <v>0</v>
      </c>
      <c r="BJ134" s="460">
        <f>IF(AND(Suplementação!$J55=Suplementação!$I55,Suplementação!$I55=BJ$1),Suplementação!$H55,IF(AND(Suplementação!$J55&gt;=Suplementação!$I55,AND(Suplementação!$I55&lt;=BJ$1,Suplementação!$J55&gt;=BJ$1)),Suplementação!$H55/(Suplementação!$J55-Suplementação!$I55+1),0))</f>
        <v>0</v>
      </c>
      <c r="BK134" s="460">
        <f>IF(AND(Suplementação!$J55=Suplementação!$I55,Suplementação!$I55=BK$1),Suplementação!$H55,IF(AND(Suplementação!$J55&gt;=Suplementação!$I55,AND(Suplementação!$I55&lt;=BK$1,Suplementação!$J55&gt;=BK$1)),Suplementação!$H55/(Suplementação!$J55-Suplementação!$I55+1),0))</f>
        <v>0</v>
      </c>
      <c r="BL134" s="460">
        <f>IF(AND(Suplementação!$J55=Suplementação!$I55,Suplementação!$I55=BL$1),Suplementação!$H55,IF(AND(Suplementação!$J55&gt;=Suplementação!$I55,AND(Suplementação!$I55&lt;=BL$1,Suplementação!$J55&gt;=BL$1)),Suplementação!$H55/(Suplementação!$J55-Suplementação!$I55+1),0))</f>
        <v>0</v>
      </c>
      <c r="BM134" s="460">
        <f>IF(AND(Suplementação!$J55=Suplementação!$I55,Suplementação!$I55=BM$1),Suplementação!$H55,IF(AND(Suplementação!$J55&gt;=Suplementação!$I55,AND(Suplementação!$I55&lt;=BM$1,Suplementação!$J55&gt;=BM$1)),Suplementação!$H55/(Suplementação!$J55-Suplementação!$I55+1),0))</f>
        <v>0</v>
      </c>
      <c r="BN134" s="460">
        <f>IF(AND(Suplementação!$J55=Suplementação!$I55,Suplementação!$I55=BN$1),Suplementação!$H55,IF(AND(Suplementação!$J55&gt;=Suplementação!$I55,AND(Suplementação!$I55&lt;=BN$1,Suplementação!$J55&gt;=BN$1)),Suplementação!$H55/(Suplementação!$J55-Suplementação!$I55+1),0))</f>
        <v>0</v>
      </c>
      <c r="BO134" s="460">
        <f>IF(AND(Suplementação!$J55=Suplementação!$I55,Suplementação!$I55=BO$1),Suplementação!$H55,IF(AND(Suplementação!$J55&gt;=Suplementação!$I55,AND(Suplementação!$I55&lt;=BO$1,Suplementação!$J55&gt;=BO$1)),Suplementação!$H55/(Suplementação!$J55-Suplementação!$I55+1),0))</f>
        <v>0</v>
      </c>
      <c r="BP134" s="460">
        <f>IF(AND(Suplementação!$J55=Suplementação!$I55,Suplementação!$I55=BP$1),Suplementação!$H55,IF(AND(Suplementação!$J55&gt;=Suplementação!$I55,AND(Suplementação!$I55&lt;=BP$1,Suplementação!$J55&gt;=BP$1)),Suplementação!$H55/(Suplementação!$J55-Suplementação!$I55+1),0))</f>
        <v>0</v>
      </c>
      <c r="BQ134" s="460">
        <f>IF(AND(Suplementação!$J55=Suplementação!$I55,Suplementação!$I55=BQ$1),Suplementação!$H55,IF(AND(Suplementação!$J55&gt;=Suplementação!$I55,AND(Suplementação!$I55&lt;=BQ$1,Suplementação!$J55&gt;=BQ$1)),Suplementação!$H55/(Suplementação!$J55-Suplementação!$I55+1),0))</f>
        <v>0</v>
      </c>
      <c r="BR134" s="460">
        <f>IF(AND(Suplementação!$J55=Suplementação!$I55,Suplementação!$I55=BR$1),Suplementação!$H55,IF(AND(Suplementação!$J55&gt;=Suplementação!$I55,AND(Suplementação!$I55&lt;=BR$1,Suplementação!$J55&gt;=BR$1)),Suplementação!$H55/(Suplementação!$J55-Suplementação!$I55+1),0))</f>
        <v>0</v>
      </c>
      <c r="BS134" s="460">
        <f>IF(AND(Suplementação!$J55=Suplementação!$I55,Suplementação!$I55=BS$1),Suplementação!$H55,IF(AND(Suplementação!$J55&gt;=Suplementação!$I55,AND(Suplementação!$I55&lt;=BS$1,Suplementação!$J55&gt;=BS$1)),Suplementação!$H55/(Suplementação!$J55-Suplementação!$I55+1),0))</f>
        <v>0</v>
      </c>
      <c r="BT134" s="461">
        <f>IF(AND(Suplementação!$J55=Suplementação!$I55,Suplementação!$I55=BT$1),Suplementação!$H55,IF(AND(Suplementação!$J55&gt;=Suplementação!$I55,AND(Suplementação!$I55&lt;=BT$1,Suplementação!$J55&gt;=BT$1)),Suplementação!$H55/(Suplementação!$J55-Suplementação!$I55+1),0))</f>
        <v>0</v>
      </c>
    </row>
    <row r="135" spans="2:72" x14ac:dyDescent="0.2">
      <c r="B135" s="499"/>
      <c r="C135" s="500"/>
      <c r="D135" s="497"/>
      <c r="E135" s="497"/>
      <c r="F135" s="497"/>
      <c r="G135" s="497"/>
      <c r="H135" s="497"/>
      <c r="BA135" s="459">
        <f>VLOOKUP(Suplementação!D56,'Mão-de-obra'!$CJ$10:$CK$29,2)</f>
        <v>0</v>
      </c>
      <c r="BB135" s="460">
        <f>IF(AND(Suplementação!$J56=Suplementação!$I56,Suplementação!$I56=BB$1),Suplementação!$H56,IF(AND(Suplementação!$J56&gt;=Suplementação!$I56,AND(Suplementação!$I56&lt;=BB$1,Suplementação!$J56&gt;=BB$1)),Suplementação!$H56/(Suplementação!$J56-Suplementação!$I56+1),0))</f>
        <v>0</v>
      </c>
      <c r="BC135" s="460">
        <f>IF(AND(Suplementação!$J56=Suplementação!$I56,Suplementação!$I56=BC$1),Suplementação!$H56,IF(AND(Suplementação!$J56&gt;=Suplementação!$I56,AND(Suplementação!$I56&lt;=BC$1,Suplementação!$J56&gt;=BC$1)),Suplementação!$H56/(Suplementação!$J56-Suplementação!$I56+1),0))</f>
        <v>0</v>
      </c>
      <c r="BD135" s="460">
        <f>IF(AND(Suplementação!$J56=Suplementação!$I56,Suplementação!$I56=BD$1),Suplementação!$H56,IF(AND(Suplementação!$J56&gt;=Suplementação!$I56,AND(Suplementação!$I56&lt;=BD$1,Suplementação!$J56&gt;=BD$1)),Suplementação!$H56/(Suplementação!$J56-Suplementação!$I56+1),0))</f>
        <v>0</v>
      </c>
      <c r="BE135" s="460">
        <f>IF(AND(Suplementação!$J56=Suplementação!$I56,Suplementação!$I56=BE$1),Suplementação!$H56,IF(AND(Suplementação!$J56&gt;=Suplementação!$I56,AND(Suplementação!$I56&lt;=BE$1,Suplementação!$J56&gt;=BE$1)),Suplementação!$H56/(Suplementação!$J56-Suplementação!$I56+1),0))</f>
        <v>0</v>
      </c>
      <c r="BF135" s="460">
        <f>IF(AND(Suplementação!$J56=Suplementação!$I56,Suplementação!$I56=BF$1),Suplementação!$H56,IF(AND(Suplementação!$J56&gt;=Suplementação!$I56,AND(Suplementação!$I56&lt;=BF$1,Suplementação!$J56&gt;=BF$1)),Suplementação!$H56/(Suplementação!$J56-Suplementação!$I56+1),0))</f>
        <v>0</v>
      </c>
      <c r="BG135" s="460">
        <f>IF(AND(Suplementação!$J56=Suplementação!$I56,Suplementação!$I56=BG$1),Suplementação!$H56,IF(AND(Suplementação!$J56&gt;=Suplementação!$I56,AND(Suplementação!$I56&lt;=BG$1,Suplementação!$J56&gt;=BG$1)),Suplementação!$H56/(Suplementação!$J56-Suplementação!$I56+1),0))</f>
        <v>0</v>
      </c>
      <c r="BH135" s="460">
        <f>IF(AND(Suplementação!$J56=Suplementação!$I56,Suplementação!$I56=BH$1),Suplementação!$H56,IF(AND(Suplementação!$J56&gt;=Suplementação!$I56,AND(Suplementação!$I56&lt;=BH$1,Suplementação!$J56&gt;=BH$1)),Suplementação!$H56/(Suplementação!$J56-Suplementação!$I56+1),0))</f>
        <v>0</v>
      </c>
      <c r="BI135" s="460">
        <f>IF(AND(Suplementação!$J56=Suplementação!$I56,Suplementação!$I56=BI$1),Suplementação!$H56,IF(AND(Suplementação!$J56&gt;=Suplementação!$I56,AND(Suplementação!$I56&lt;=BI$1,Suplementação!$J56&gt;=BI$1)),Suplementação!$H56/(Suplementação!$J56-Suplementação!$I56+1),0))</f>
        <v>0</v>
      </c>
      <c r="BJ135" s="460">
        <f>IF(AND(Suplementação!$J56=Suplementação!$I56,Suplementação!$I56=BJ$1),Suplementação!$H56,IF(AND(Suplementação!$J56&gt;=Suplementação!$I56,AND(Suplementação!$I56&lt;=BJ$1,Suplementação!$J56&gt;=BJ$1)),Suplementação!$H56/(Suplementação!$J56-Suplementação!$I56+1),0))</f>
        <v>0</v>
      </c>
      <c r="BK135" s="460">
        <f>IF(AND(Suplementação!$J56=Suplementação!$I56,Suplementação!$I56=BK$1),Suplementação!$H56,IF(AND(Suplementação!$J56&gt;=Suplementação!$I56,AND(Suplementação!$I56&lt;=BK$1,Suplementação!$J56&gt;=BK$1)),Suplementação!$H56/(Suplementação!$J56-Suplementação!$I56+1),0))</f>
        <v>0</v>
      </c>
      <c r="BL135" s="460">
        <f>IF(AND(Suplementação!$J56=Suplementação!$I56,Suplementação!$I56=BL$1),Suplementação!$H56,IF(AND(Suplementação!$J56&gt;=Suplementação!$I56,AND(Suplementação!$I56&lt;=BL$1,Suplementação!$J56&gt;=BL$1)),Suplementação!$H56/(Suplementação!$J56-Suplementação!$I56+1),0))</f>
        <v>0</v>
      </c>
      <c r="BM135" s="460">
        <f>IF(AND(Suplementação!$J56=Suplementação!$I56,Suplementação!$I56=BM$1),Suplementação!$H56,IF(AND(Suplementação!$J56&gt;=Suplementação!$I56,AND(Suplementação!$I56&lt;=BM$1,Suplementação!$J56&gt;=BM$1)),Suplementação!$H56/(Suplementação!$J56-Suplementação!$I56+1),0))</f>
        <v>0</v>
      </c>
      <c r="BN135" s="460">
        <f>IF(AND(Suplementação!$J56=Suplementação!$I56,Suplementação!$I56=BN$1),Suplementação!$H56,IF(AND(Suplementação!$J56&gt;=Suplementação!$I56,AND(Suplementação!$I56&lt;=BN$1,Suplementação!$J56&gt;=BN$1)),Suplementação!$H56/(Suplementação!$J56-Suplementação!$I56+1),0))</f>
        <v>0</v>
      </c>
      <c r="BO135" s="460">
        <f>IF(AND(Suplementação!$J56=Suplementação!$I56,Suplementação!$I56=BO$1),Suplementação!$H56,IF(AND(Suplementação!$J56&gt;=Suplementação!$I56,AND(Suplementação!$I56&lt;=BO$1,Suplementação!$J56&gt;=BO$1)),Suplementação!$H56/(Suplementação!$J56-Suplementação!$I56+1),0))</f>
        <v>0</v>
      </c>
      <c r="BP135" s="460">
        <f>IF(AND(Suplementação!$J56=Suplementação!$I56,Suplementação!$I56=BP$1),Suplementação!$H56,IF(AND(Suplementação!$J56&gt;=Suplementação!$I56,AND(Suplementação!$I56&lt;=BP$1,Suplementação!$J56&gt;=BP$1)),Suplementação!$H56/(Suplementação!$J56-Suplementação!$I56+1),0))</f>
        <v>0</v>
      </c>
      <c r="BQ135" s="460">
        <f>IF(AND(Suplementação!$J56=Suplementação!$I56,Suplementação!$I56=BQ$1),Suplementação!$H56,IF(AND(Suplementação!$J56&gt;=Suplementação!$I56,AND(Suplementação!$I56&lt;=BQ$1,Suplementação!$J56&gt;=BQ$1)),Suplementação!$H56/(Suplementação!$J56-Suplementação!$I56+1),0))</f>
        <v>0</v>
      </c>
      <c r="BR135" s="460">
        <f>IF(AND(Suplementação!$J56=Suplementação!$I56,Suplementação!$I56=BR$1),Suplementação!$H56,IF(AND(Suplementação!$J56&gt;=Suplementação!$I56,AND(Suplementação!$I56&lt;=BR$1,Suplementação!$J56&gt;=BR$1)),Suplementação!$H56/(Suplementação!$J56-Suplementação!$I56+1),0))</f>
        <v>0</v>
      </c>
      <c r="BS135" s="460">
        <f>IF(AND(Suplementação!$J56=Suplementação!$I56,Suplementação!$I56=BS$1),Suplementação!$H56,IF(AND(Suplementação!$J56&gt;=Suplementação!$I56,AND(Suplementação!$I56&lt;=BS$1,Suplementação!$J56&gt;=BS$1)),Suplementação!$H56/(Suplementação!$J56-Suplementação!$I56+1),0))</f>
        <v>0</v>
      </c>
      <c r="BT135" s="461">
        <f>IF(AND(Suplementação!$J56=Suplementação!$I56,Suplementação!$I56=BT$1),Suplementação!$H56,IF(AND(Suplementação!$J56&gt;=Suplementação!$I56,AND(Suplementação!$I56&lt;=BT$1,Suplementação!$J56&gt;=BT$1)),Suplementação!$H56/(Suplementação!$J56-Suplementação!$I56+1),0))</f>
        <v>0</v>
      </c>
    </row>
    <row r="136" spans="2:72" ht="13.5" thickBot="1" x14ac:dyDescent="0.25">
      <c r="B136" s="499"/>
      <c r="C136" s="500"/>
      <c r="D136" s="497"/>
      <c r="E136" s="497"/>
      <c r="F136" s="497"/>
      <c r="G136" s="497"/>
      <c r="H136" s="497"/>
      <c r="BA136" s="473" t="s">
        <v>2</v>
      </c>
      <c r="BB136" s="479">
        <f>SUM(BB108:BB135)</f>
        <v>56464.48831831367</v>
      </c>
      <c r="BC136" s="479">
        <f t="shared" ref="BC136:BT136" si="29">SUM(BC108:BC135)</f>
        <v>0</v>
      </c>
      <c r="BD136" s="479">
        <f t="shared" si="29"/>
        <v>0</v>
      </c>
      <c r="BE136" s="479">
        <f t="shared" si="29"/>
        <v>0</v>
      </c>
      <c r="BF136" s="479">
        <f t="shared" si="29"/>
        <v>0</v>
      </c>
      <c r="BG136" s="479">
        <f t="shared" si="29"/>
        <v>0</v>
      </c>
      <c r="BH136" s="479">
        <f t="shared" si="29"/>
        <v>0</v>
      </c>
      <c r="BI136" s="479">
        <f t="shared" si="29"/>
        <v>0</v>
      </c>
      <c r="BJ136" s="479">
        <f t="shared" si="29"/>
        <v>0</v>
      </c>
      <c r="BK136" s="479">
        <f t="shared" si="29"/>
        <v>0</v>
      </c>
      <c r="BL136" s="479">
        <f t="shared" si="29"/>
        <v>0</v>
      </c>
      <c r="BM136" s="479">
        <f t="shared" si="29"/>
        <v>0</v>
      </c>
      <c r="BN136" s="479">
        <f t="shared" si="29"/>
        <v>0</v>
      </c>
      <c r="BO136" s="479">
        <f t="shared" si="29"/>
        <v>0</v>
      </c>
      <c r="BP136" s="479">
        <f t="shared" si="29"/>
        <v>0</v>
      </c>
      <c r="BQ136" s="479">
        <f t="shared" si="29"/>
        <v>0</v>
      </c>
      <c r="BR136" s="479">
        <f t="shared" si="29"/>
        <v>0</v>
      </c>
      <c r="BS136" s="479">
        <f t="shared" si="29"/>
        <v>0</v>
      </c>
      <c r="BT136" s="479">
        <f t="shared" si="29"/>
        <v>0</v>
      </c>
    </row>
    <row r="137" spans="2:72" ht="13.5" thickBot="1" x14ac:dyDescent="0.25">
      <c r="B137" s="499"/>
      <c r="C137" s="500"/>
      <c r="D137" s="497"/>
      <c r="E137" s="497"/>
      <c r="F137" s="497"/>
      <c r="G137" s="497"/>
      <c r="H137" s="497"/>
      <c r="BA137" s="472" t="s">
        <v>525</v>
      </c>
    </row>
    <row r="138" spans="2:72" x14ac:dyDescent="0.2">
      <c r="B138" s="499"/>
      <c r="C138" s="500"/>
      <c r="D138" s="497"/>
      <c r="E138" s="497"/>
      <c r="F138" s="497"/>
      <c r="G138" s="497"/>
      <c r="H138" s="497"/>
      <c r="BA138" s="454" t="str">
        <f>VLOOKUP(Sanidade!E7,Dados!$A$3:$N$10,13)</f>
        <v>Vacinas</v>
      </c>
      <c r="BB138" s="455">
        <f>IF(AND(Sanidade!$Y7=Sanidade!$X7,Sanidade!$X7=BB$1),Sanidade!$W7,IF(AND(Sanidade!$Y7&gt;=Sanidade!$X7,AND(Sanidade!$X7&lt;=BB$1,Sanidade!$Y7&gt;=BB$1)),Sanidade!$W7/(Sanidade!$Y7-Sanidade!$X7+1),0))</f>
        <v>3740.2379093333338</v>
      </c>
      <c r="BC138" s="455">
        <f>IF(AND(Sanidade!$Y7=Sanidade!$X7,Sanidade!$X7=BC$1),Sanidade!$W7,IF(AND(Sanidade!$Y7&gt;=Sanidade!$X7,AND(Sanidade!$X7&lt;=BC$1,Sanidade!$Y7&gt;=BC$1)),Sanidade!$W7/(Sanidade!$Y7-Sanidade!$X7+1),0))</f>
        <v>0</v>
      </c>
      <c r="BD138" s="455">
        <f>IF(AND(Sanidade!$Y7=Sanidade!$X7,Sanidade!$X7=BD$1),Sanidade!$W7,IF(AND(Sanidade!$Y7&gt;=Sanidade!$X7,AND(Sanidade!$X7&lt;=BD$1,Sanidade!$Y7&gt;=BD$1)),Sanidade!$W7/(Sanidade!$Y7-Sanidade!$X7+1),0))</f>
        <v>0</v>
      </c>
      <c r="BE138" s="455">
        <f>IF(AND(Sanidade!$Y7=Sanidade!$X7,Sanidade!$X7=BE$1),Sanidade!$W7,IF(AND(Sanidade!$Y7&gt;=Sanidade!$X7,AND(Sanidade!$X7&lt;=BE$1,Sanidade!$Y7&gt;=BE$1)),Sanidade!$W7/(Sanidade!$Y7-Sanidade!$X7+1),0))</f>
        <v>0</v>
      </c>
      <c r="BF138" s="455">
        <f>IF(AND(Sanidade!$Y7=Sanidade!$X7,Sanidade!$X7=BF$1),Sanidade!$W7,IF(AND(Sanidade!$Y7&gt;=Sanidade!$X7,AND(Sanidade!$X7&lt;=BF$1,Sanidade!$Y7&gt;=BF$1)),Sanidade!$W7/(Sanidade!$Y7-Sanidade!$X7+1),0))</f>
        <v>0</v>
      </c>
      <c r="BG138" s="455">
        <f>IF(AND(Sanidade!$Y7=Sanidade!$X7,Sanidade!$X7=BG$1),Sanidade!$W7,IF(AND(Sanidade!$Y7&gt;=Sanidade!$X7,AND(Sanidade!$X7&lt;=BG$1,Sanidade!$Y7&gt;=BG$1)),Sanidade!$W7/(Sanidade!$Y7-Sanidade!$X7+1),0))</f>
        <v>0</v>
      </c>
      <c r="BH138" s="455">
        <f>IF(AND(Sanidade!$Y7=Sanidade!$X7,Sanidade!$X7=BH$1),Sanidade!$W7,IF(AND(Sanidade!$Y7&gt;=Sanidade!$X7,AND(Sanidade!$X7&lt;=BH$1,Sanidade!$Y7&gt;=BH$1)),Sanidade!$W7/(Sanidade!$Y7-Sanidade!$X7+1),0))</f>
        <v>0</v>
      </c>
      <c r="BI138" s="455">
        <f>IF(AND(Sanidade!$Y7=Sanidade!$X7,Sanidade!$X7=BI$1),Sanidade!$W7,IF(AND(Sanidade!$Y7&gt;=Sanidade!$X7,AND(Sanidade!$X7&lt;=BI$1,Sanidade!$Y7&gt;=BI$1)),Sanidade!$W7/(Sanidade!$Y7-Sanidade!$X7+1),0))</f>
        <v>0</v>
      </c>
      <c r="BJ138" s="455">
        <f>IF(AND(Sanidade!$Y7=Sanidade!$X7,Sanidade!$X7=BJ$1),Sanidade!$W7,IF(AND(Sanidade!$Y7&gt;=Sanidade!$X7,AND(Sanidade!$X7&lt;=BJ$1,Sanidade!$Y7&gt;=BJ$1)),Sanidade!$W7/(Sanidade!$Y7-Sanidade!$X7+1),0))</f>
        <v>0</v>
      </c>
      <c r="BK138" s="455">
        <f>IF(AND(Sanidade!$Y7=Sanidade!$X7,Sanidade!$X7=BK$1),Sanidade!$W7,IF(AND(Sanidade!$Y7&gt;=Sanidade!$X7,AND(Sanidade!$X7&lt;=BK$1,Sanidade!$Y7&gt;=BK$1)),Sanidade!$W7/(Sanidade!$Y7-Sanidade!$X7+1),0))</f>
        <v>0</v>
      </c>
      <c r="BL138" s="455">
        <f>IF(AND(Sanidade!$Y7=Sanidade!$X7,Sanidade!$X7=BL$1),Sanidade!$W7,IF(AND(Sanidade!$Y7&gt;=Sanidade!$X7,AND(Sanidade!$X7&lt;=BL$1,Sanidade!$Y7&gt;=BL$1)),Sanidade!$W7/(Sanidade!$Y7-Sanidade!$X7+1),0))</f>
        <v>0</v>
      </c>
      <c r="BM138" s="455">
        <f>IF(AND(Sanidade!$Y7=Sanidade!$X7,Sanidade!$X7=BM$1),Sanidade!$W7,IF(AND(Sanidade!$Y7&gt;=Sanidade!$X7,AND(Sanidade!$X7&lt;=BM$1,Sanidade!$Y7&gt;=BM$1)),Sanidade!$W7/(Sanidade!$Y7-Sanidade!$X7+1),0))</f>
        <v>0</v>
      </c>
      <c r="BN138" s="455">
        <f>IF(AND(Sanidade!$Y7=Sanidade!$X7,Sanidade!$X7=BN$1),Sanidade!$W7,IF(AND(Sanidade!$Y7&gt;=Sanidade!$X7,AND(Sanidade!$X7&lt;=BN$1,Sanidade!$Y7&gt;=BN$1)),Sanidade!$W7/(Sanidade!$Y7-Sanidade!$X7+1),0))</f>
        <v>0</v>
      </c>
      <c r="BO138" s="455">
        <f>IF(AND(Sanidade!$Y7=Sanidade!$X7,Sanidade!$X7=BO$1),Sanidade!$W7,IF(AND(Sanidade!$Y7&gt;=Sanidade!$X7,AND(Sanidade!$X7&lt;=BO$1,Sanidade!$Y7&gt;=BO$1)),Sanidade!$W7/(Sanidade!$Y7-Sanidade!$X7+1),0))</f>
        <v>0</v>
      </c>
      <c r="BP138" s="455">
        <f>IF(AND(Sanidade!$Y7=Sanidade!$X7,Sanidade!$X7=BP$1),Sanidade!$W7,IF(AND(Sanidade!$Y7&gt;=Sanidade!$X7,AND(Sanidade!$X7&lt;=BP$1,Sanidade!$Y7&gt;=BP$1)),Sanidade!$W7/(Sanidade!$Y7-Sanidade!$X7+1),0))</f>
        <v>0</v>
      </c>
      <c r="BQ138" s="455">
        <f>IF(AND(Sanidade!$Y7=Sanidade!$X7,Sanidade!$X7=BQ$1),Sanidade!$W7,IF(AND(Sanidade!$Y7&gt;=Sanidade!$X7,AND(Sanidade!$X7&lt;=BQ$1,Sanidade!$Y7&gt;=BQ$1)),Sanidade!$W7/(Sanidade!$Y7-Sanidade!$X7+1),0))</f>
        <v>0</v>
      </c>
      <c r="BR138" s="455">
        <f>IF(AND(Sanidade!$Y7=Sanidade!$X7,Sanidade!$X7=BR$1),Sanidade!$W7,IF(AND(Sanidade!$Y7&gt;=Sanidade!$X7,AND(Sanidade!$X7&lt;=BR$1,Sanidade!$Y7&gt;=BR$1)),Sanidade!$W7/(Sanidade!$Y7-Sanidade!$X7+1),0))</f>
        <v>0</v>
      </c>
      <c r="BS138" s="455">
        <f>IF(AND(Sanidade!$Y7=Sanidade!$X7,Sanidade!$X7=BS$1),Sanidade!$W7,IF(AND(Sanidade!$Y7&gt;=Sanidade!$X7,AND(Sanidade!$X7&lt;=BS$1,Sanidade!$Y7&gt;=BS$1)),Sanidade!$W7/(Sanidade!$Y7-Sanidade!$X7+1),0))</f>
        <v>0</v>
      </c>
      <c r="BT138" s="456">
        <f>IF(AND(Sanidade!$Y7=Sanidade!$X7,Sanidade!$X7=BT$1),Sanidade!$W7,IF(AND(Sanidade!$Y7&gt;=Sanidade!$X7,AND(Sanidade!$X7&lt;=BT$1,Sanidade!$Y7&gt;=BT$1)),Sanidade!$W7/(Sanidade!$Y7-Sanidade!$X7+1),0))</f>
        <v>0</v>
      </c>
    </row>
    <row r="139" spans="2:72" x14ac:dyDescent="0.2">
      <c r="B139" s="499"/>
      <c r="C139" s="500"/>
      <c r="D139" s="497"/>
      <c r="E139" s="497"/>
      <c r="F139" s="497"/>
      <c r="G139" s="497"/>
      <c r="H139" s="497"/>
      <c r="BA139" s="459" t="str">
        <f>VLOOKUP(Sanidade!E8,Dados!$A$3:$N$10,13)</f>
        <v>Vacinas</v>
      </c>
      <c r="BB139" s="460">
        <f>IF(AND(Sanidade!$Y8=Sanidade!$X8,Sanidade!$X8=BB$1),Sanidade!$W8,IF(AND(Sanidade!$Y8&gt;=Sanidade!$X8,AND(Sanidade!$X8&lt;=BB$1,Sanidade!$Y8&gt;=BB$1)),Sanidade!$W8/(Sanidade!$Y8-Sanidade!$X8+1),0))</f>
        <v>952</v>
      </c>
      <c r="BC139" s="460">
        <f>IF(AND(Sanidade!$Y8=Sanidade!$X8,Sanidade!$X8=BC$1),Sanidade!$W8,IF(AND(Sanidade!$Y8&gt;=Sanidade!$X8,AND(Sanidade!$X8&lt;=BC$1,Sanidade!$Y8&gt;=BC$1)),Sanidade!$W8/(Sanidade!$Y8-Sanidade!$X8+1),0))</f>
        <v>0</v>
      </c>
      <c r="BD139" s="460">
        <f>IF(AND(Sanidade!$Y8=Sanidade!$X8,Sanidade!$X8=BD$1),Sanidade!$W8,IF(AND(Sanidade!$Y8&gt;=Sanidade!$X8,AND(Sanidade!$X8&lt;=BD$1,Sanidade!$Y8&gt;=BD$1)),Sanidade!$W8/(Sanidade!$Y8-Sanidade!$X8+1),0))</f>
        <v>0</v>
      </c>
      <c r="BE139" s="460">
        <f>IF(AND(Sanidade!$Y8=Sanidade!$X8,Sanidade!$X8=BE$1),Sanidade!$W8,IF(AND(Sanidade!$Y8&gt;=Sanidade!$X8,AND(Sanidade!$X8&lt;=BE$1,Sanidade!$Y8&gt;=BE$1)),Sanidade!$W8/(Sanidade!$Y8-Sanidade!$X8+1),0))</f>
        <v>0</v>
      </c>
      <c r="BF139" s="460">
        <f>IF(AND(Sanidade!$Y8=Sanidade!$X8,Sanidade!$X8=BF$1),Sanidade!$W8,IF(AND(Sanidade!$Y8&gt;=Sanidade!$X8,AND(Sanidade!$X8&lt;=BF$1,Sanidade!$Y8&gt;=BF$1)),Sanidade!$W8/(Sanidade!$Y8-Sanidade!$X8+1),0))</f>
        <v>0</v>
      </c>
      <c r="BG139" s="460">
        <f>IF(AND(Sanidade!$Y8=Sanidade!$X8,Sanidade!$X8=BG$1),Sanidade!$W8,IF(AND(Sanidade!$Y8&gt;=Sanidade!$X8,AND(Sanidade!$X8&lt;=BG$1,Sanidade!$Y8&gt;=BG$1)),Sanidade!$W8/(Sanidade!$Y8-Sanidade!$X8+1),0))</f>
        <v>0</v>
      </c>
      <c r="BH139" s="460">
        <f>IF(AND(Sanidade!$Y8=Sanidade!$X8,Sanidade!$X8=BH$1),Sanidade!$W8,IF(AND(Sanidade!$Y8&gt;=Sanidade!$X8,AND(Sanidade!$X8&lt;=BH$1,Sanidade!$Y8&gt;=BH$1)),Sanidade!$W8/(Sanidade!$Y8-Sanidade!$X8+1),0))</f>
        <v>0</v>
      </c>
      <c r="BI139" s="460">
        <f>IF(AND(Sanidade!$Y8=Sanidade!$X8,Sanidade!$X8=BI$1),Sanidade!$W8,IF(AND(Sanidade!$Y8&gt;=Sanidade!$X8,AND(Sanidade!$X8&lt;=BI$1,Sanidade!$Y8&gt;=BI$1)),Sanidade!$W8/(Sanidade!$Y8-Sanidade!$X8+1),0))</f>
        <v>0</v>
      </c>
      <c r="BJ139" s="460">
        <f>IF(AND(Sanidade!$Y8=Sanidade!$X8,Sanidade!$X8=BJ$1),Sanidade!$W8,IF(AND(Sanidade!$Y8&gt;=Sanidade!$X8,AND(Sanidade!$X8&lt;=BJ$1,Sanidade!$Y8&gt;=BJ$1)),Sanidade!$W8/(Sanidade!$Y8-Sanidade!$X8+1),0))</f>
        <v>0</v>
      </c>
      <c r="BK139" s="460">
        <f>IF(AND(Sanidade!$Y8=Sanidade!$X8,Sanidade!$X8=BK$1),Sanidade!$W8,IF(AND(Sanidade!$Y8&gt;=Sanidade!$X8,AND(Sanidade!$X8&lt;=BK$1,Sanidade!$Y8&gt;=BK$1)),Sanidade!$W8/(Sanidade!$Y8-Sanidade!$X8+1),0))</f>
        <v>0</v>
      </c>
      <c r="BL139" s="460">
        <f>IF(AND(Sanidade!$Y8=Sanidade!$X8,Sanidade!$X8=BL$1),Sanidade!$W8,IF(AND(Sanidade!$Y8&gt;=Sanidade!$X8,AND(Sanidade!$X8&lt;=BL$1,Sanidade!$Y8&gt;=BL$1)),Sanidade!$W8/(Sanidade!$Y8-Sanidade!$X8+1),0))</f>
        <v>0</v>
      </c>
      <c r="BM139" s="460">
        <f>IF(AND(Sanidade!$Y8=Sanidade!$X8,Sanidade!$X8=BM$1),Sanidade!$W8,IF(AND(Sanidade!$Y8&gt;=Sanidade!$X8,AND(Sanidade!$X8&lt;=BM$1,Sanidade!$Y8&gt;=BM$1)),Sanidade!$W8/(Sanidade!$Y8-Sanidade!$X8+1),0))</f>
        <v>0</v>
      </c>
      <c r="BN139" s="460">
        <f>IF(AND(Sanidade!$Y8=Sanidade!$X8,Sanidade!$X8=BN$1),Sanidade!$W8,IF(AND(Sanidade!$Y8&gt;=Sanidade!$X8,AND(Sanidade!$X8&lt;=BN$1,Sanidade!$Y8&gt;=BN$1)),Sanidade!$W8/(Sanidade!$Y8-Sanidade!$X8+1),0))</f>
        <v>0</v>
      </c>
      <c r="BO139" s="460">
        <f>IF(AND(Sanidade!$Y8=Sanidade!$X8,Sanidade!$X8=BO$1),Sanidade!$W8,IF(AND(Sanidade!$Y8&gt;=Sanidade!$X8,AND(Sanidade!$X8&lt;=BO$1,Sanidade!$Y8&gt;=BO$1)),Sanidade!$W8/(Sanidade!$Y8-Sanidade!$X8+1),0))</f>
        <v>0</v>
      </c>
      <c r="BP139" s="460">
        <f>IF(AND(Sanidade!$Y8=Sanidade!$X8,Sanidade!$X8=BP$1),Sanidade!$W8,IF(AND(Sanidade!$Y8&gt;=Sanidade!$X8,AND(Sanidade!$X8&lt;=BP$1,Sanidade!$Y8&gt;=BP$1)),Sanidade!$W8/(Sanidade!$Y8-Sanidade!$X8+1),0))</f>
        <v>0</v>
      </c>
      <c r="BQ139" s="460">
        <f>IF(AND(Sanidade!$Y8=Sanidade!$X8,Sanidade!$X8=BQ$1),Sanidade!$W8,IF(AND(Sanidade!$Y8&gt;=Sanidade!$X8,AND(Sanidade!$X8&lt;=BQ$1,Sanidade!$Y8&gt;=BQ$1)),Sanidade!$W8/(Sanidade!$Y8-Sanidade!$X8+1),0))</f>
        <v>0</v>
      </c>
      <c r="BR139" s="460">
        <f>IF(AND(Sanidade!$Y8=Sanidade!$X8,Sanidade!$X8=BR$1),Sanidade!$W8,IF(AND(Sanidade!$Y8&gt;=Sanidade!$X8,AND(Sanidade!$X8&lt;=BR$1,Sanidade!$Y8&gt;=BR$1)),Sanidade!$W8/(Sanidade!$Y8-Sanidade!$X8+1),0))</f>
        <v>0</v>
      </c>
      <c r="BS139" s="460">
        <f>IF(AND(Sanidade!$Y8=Sanidade!$X8,Sanidade!$X8=BS$1),Sanidade!$W8,IF(AND(Sanidade!$Y8&gt;=Sanidade!$X8,AND(Sanidade!$X8&lt;=BS$1,Sanidade!$Y8&gt;=BS$1)),Sanidade!$W8/(Sanidade!$Y8-Sanidade!$X8+1),0))</f>
        <v>0</v>
      </c>
      <c r="BT139" s="461">
        <f>IF(AND(Sanidade!$Y8=Sanidade!$X8,Sanidade!$X8=BT$1),Sanidade!$W8,IF(AND(Sanidade!$Y8&gt;=Sanidade!$X8,AND(Sanidade!$X8&lt;=BT$1,Sanidade!$Y8&gt;=BT$1)),Sanidade!$W8/(Sanidade!$Y8-Sanidade!$X8+1),0))</f>
        <v>0</v>
      </c>
    </row>
    <row r="140" spans="2:72" x14ac:dyDescent="0.2">
      <c r="B140" s="499"/>
      <c r="C140" s="500"/>
      <c r="D140" s="497"/>
      <c r="E140" s="497"/>
      <c r="F140" s="497"/>
      <c r="G140" s="497"/>
      <c r="H140" s="497"/>
      <c r="BA140" s="459" t="str">
        <f>VLOOKUP(Sanidade!E9,Dados!$A$3:$N$10,13)</f>
        <v>Vacinas</v>
      </c>
      <c r="BB140" s="460">
        <f>IF(AND(Sanidade!$Y9=Sanidade!$X9,Sanidade!$X9=BB$1),Sanidade!$W9,IF(AND(Sanidade!$Y9&gt;=Sanidade!$X9,AND(Sanidade!$X9&lt;=BB$1,Sanidade!$Y9&gt;=BB$1)),Sanidade!$W9/(Sanidade!$Y9-Sanidade!$X9+1),0))</f>
        <v>939.30666666666662</v>
      </c>
      <c r="BC140" s="460">
        <f>IF(AND(Sanidade!$Y9=Sanidade!$X9,Sanidade!$X9=BC$1),Sanidade!$W9,IF(AND(Sanidade!$Y9&gt;=Sanidade!$X9,AND(Sanidade!$X9&lt;=BC$1,Sanidade!$Y9&gt;=BC$1)),Sanidade!$W9/(Sanidade!$Y9-Sanidade!$X9+1),0))</f>
        <v>0</v>
      </c>
      <c r="BD140" s="460">
        <f>IF(AND(Sanidade!$Y9=Sanidade!$X9,Sanidade!$X9=BD$1),Sanidade!$W9,IF(AND(Sanidade!$Y9&gt;=Sanidade!$X9,AND(Sanidade!$X9&lt;=BD$1,Sanidade!$Y9&gt;=BD$1)),Sanidade!$W9/(Sanidade!$Y9-Sanidade!$X9+1),0))</f>
        <v>0</v>
      </c>
      <c r="BE140" s="460">
        <f>IF(AND(Sanidade!$Y9=Sanidade!$X9,Sanidade!$X9=BE$1),Sanidade!$W9,IF(AND(Sanidade!$Y9&gt;=Sanidade!$X9,AND(Sanidade!$X9&lt;=BE$1,Sanidade!$Y9&gt;=BE$1)),Sanidade!$W9/(Sanidade!$Y9-Sanidade!$X9+1),0))</f>
        <v>0</v>
      </c>
      <c r="BF140" s="460">
        <f>IF(AND(Sanidade!$Y9=Sanidade!$X9,Sanidade!$X9=BF$1),Sanidade!$W9,IF(AND(Sanidade!$Y9&gt;=Sanidade!$X9,AND(Sanidade!$X9&lt;=BF$1,Sanidade!$Y9&gt;=BF$1)),Sanidade!$W9/(Sanidade!$Y9-Sanidade!$X9+1),0))</f>
        <v>0</v>
      </c>
      <c r="BG140" s="460">
        <f>IF(AND(Sanidade!$Y9=Sanidade!$X9,Sanidade!$X9=BG$1),Sanidade!$W9,IF(AND(Sanidade!$Y9&gt;=Sanidade!$X9,AND(Sanidade!$X9&lt;=BG$1,Sanidade!$Y9&gt;=BG$1)),Sanidade!$W9/(Sanidade!$Y9-Sanidade!$X9+1),0))</f>
        <v>0</v>
      </c>
      <c r="BH140" s="460">
        <f>IF(AND(Sanidade!$Y9=Sanidade!$X9,Sanidade!$X9=BH$1),Sanidade!$W9,IF(AND(Sanidade!$Y9&gt;=Sanidade!$X9,AND(Sanidade!$X9&lt;=BH$1,Sanidade!$Y9&gt;=BH$1)),Sanidade!$W9/(Sanidade!$Y9-Sanidade!$X9+1),0))</f>
        <v>0</v>
      </c>
      <c r="BI140" s="460">
        <f>IF(AND(Sanidade!$Y9=Sanidade!$X9,Sanidade!$X9=BI$1),Sanidade!$W9,IF(AND(Sanidade!$Y9&gt;=Sanidade!$X9,AND(Sanidade!$X9&lt;=BI$1,Sanidade!$Y9&gt;=BI$1)),Sanidade!$W9/(Sanidade!$Y9-Sanidade!$X9+1),0))</f>
        <v>0</v>
      </c>
      <c r="BJ140" s="460">
        <f>IF(AND(Sanidade!$Y9=Sanidade!$X9,Sanidade!$X9=BJ$1),Sanidade!$W9,IF(AND(Sanidade!$Y9&gt;=Sanidade!$X9,AND(Sanidade!$X9&lt;=BJ$1,Sanidade!$Y9&gt;=BJ$1)),Sanidade!$W9/(Sanidade!$Y9-Sanidade!$X9+1),0))</f>
        <v>0</v>
      </c>
      <c r="BK140" s="460">
        <f>IF(AND(Sanidade!$Y9=Sanidade!$X9,Sanidade!$X9=BK$1),Sanidade!$W9,IF(AND(Sanidade!$Y9&gt;=Sanidade!$X9,AND(Sanidade!$X9&lt;=BK$1,Sanidade!$Y9&gt;=BK$1)),Sanidade!$W9/(Sanidade!$Y9-Sanidade!$X9+1),0))</f>
        <v>0</v>
      </c>
      <c r="BL140" s="460">
        <f>IF(AND(Sanidade!$Y9=Sanidade!$X9,Sanidade!$X9=BL$1),Sanidade!$W9,IF(AND(Sanidade!$Y9&gt;=Sanidade!$X9,AND(Sanidade!$X9&lt;=BL$1,Sanidade!$Y9&gt;=BL$1)),Sanidade!$W9/(Sanidade!$Y9-Sanidade!$X9+1),0))</f>
        <v>0</v>
      </c>
      <c r="BM140" s="460">
        <f>IF(AND(Sanidade!$Y9=Sanidade!$X9,Sanidade!$X9=BM$1),Sanidade!$W9,IF(AND(Sanidade!$Y9&gt;=Sanidade!$X9,AND(Sanidade!$X9&lt;=BM$1,Sanidade!$Y9&gt;=BM$1)),Sanidade!$W9/(Sanidade!$Y9-Sanidade!$X9+1),0))</f>
        <v>0</v>
      </c>
      <c r="BN140" s="460">
        <f>IF(AND(Sanidade!$Y9=Sanidade!$X9,Sanidade!$X9=BN$1),Sanidade!$W9,IF(AND(Sanidade!$Y9&gt;=Sanidade!$X9,AND(Sanidade!$X9&lt;=BN$1,Sanidade!$Y9&gt;=BN$1)),Sanidade!$W9/(Sanidade!$Y9-Sanidade!$X9+1),0))</f>
        <v>0</v>
      </c>
      <c r="BO140" s="460">
        <f>IF(AND(Sanidade!$Y9=Sanidade!$X9,Sanidade!$X9=BO$1),Sanidade!$W9,IF(AND(Sanidade!$Y9&gt;=Sanidade!$X9,AND(Sanidade!$X9&lt;=BO$1,Sanidade!$Y9&gt;=BO$1)),Sanidade!$W9/(Sanidade!$Y9-Sanidade!$X9+1),0))</f>
        <v>0</v>
      </c>
      <c r="BP140" s="460">
        <f>IF(AND(Sanidade!$Y9=Sanidade!$X9,Sanidade!$X9=BP$1),Sanidade!$W9,IF(AND(Sanidade!$Y9&gt;=Sanidade!$X9,AND(Sanidade!$X9&lt;=BP$1,Sanidade!$Y9&gt;=BP$1)),Sanidade!$W9/(Sanidade!$Y9-Sanidade!$X9+1),0))</f>
        <v>0</v>
      </c>
      <c r="BQ140" s="460">
        <f>IF(AND(Sanidade!$Y9=Sanidade!$X9,Sanidade!$X9=BQ$1),Sanidade!$W9,IF(AND(Sanidade!$Y9&gt;=Sanidade!$X9,AND(Sanidade!$X9&lt;=BQ$1,Sanidade!$Y9&gt;=BQ$1)),Sanidade!$W9/(Sanidade!$Y9-Sanidade!$X9+1),0))</f>
        <v>0</v>
      </c>
      <c r="BR140" s="460">
        <f>IF(AND(Sanidade!$Y9=Sanidade!$X9,Sanidade!$X9=BR$1),Sanidade!$W9,IF(AND(Sanidade!$Y9&gt;=Sanidade!$X9,AND(Sanidade!$X9&lt;=BR$1,Sanidade!$Y9&gt;=BR$1)),Sanidade!$W9/(Sanidade!$Y9-Sanidade!$X9+1),0))</f>
        <v>0</v>
      </c>
      <c r="BS140" s="460">
        <f>IF(AND(Sanidade!$Y9=Sanidade!$X9,Sanidade!$X9=BS$1),Sanidade!$W9,IF(AND(Sanidade!$Y9&gt;=Sanidade!$X9,AND(Sanidade!$X9&lt;=BS$1,Sanidade!$Y9&gt;=BS$1)),Sanidade!$W9/(Sanidade!$Y9-Sanidade!$X9+1),0))</f>
        <v>0</v>
      </c>
      <c r="BT140" s="461">
        <f>IF(AND(Sanidade!$Y9=Sanidade!$X9,Sanidade!$X9=BT$1),Sanidade!$W9,IF(AND(Sanidade!$Y9&gt;=Sanidade!$X9,AND(Sanidade!$X9&lt;=BT$1,Sanidade!$Y9&gt;=BT$1)),Sanidade!$W9/(Sanidade!$Y9-Sanidade!$X9+1),0))</f>
        <v>0</v>
      </c>
    </row>
    <row r="141" spans="2:72" x14ac:dyDescent="0.2">
      <c r="B141" s="499"/>
      <c r="C141" s="500"/>
      <c r="D141" s="497"/>
      <c r="E141" s="497"/>
      <c r="F141" s="497"/>
      <c r="G141" s="497"/>
      <c r="H141" s="497"/>
      <c r="BA141" s="459" t="str">
        <f>VLOOKUP(Sanidade!E10,Dados!$A$3:$N$10,13)</f>
        <v>Vacinas</v>
      </c>
      <c r="BB141" s="460">
        <f>IF(AND(Sanidade!$Y10=Sanidade!$X10,Sanidade!$X10=BB$1),Sanidade!$W10,IF(AND(Sanidade!$Y10&gt;=Sanidade!$X10,AND(Sanidade!$X10&lt;=BB$1,Sanidade!$Y10&gt;=BB$1)),Sanidade!$W10/(Sanidade!$Y10-Sanidade!$X10+1),0))</f>
        <v>2493.4919395555562</v>
      </c>
      <c r="BC141" s="460">
        <f>IF(AND(Sanidade!$Y10=Sanidade!$X10,Sanidade!$X10=BC$1),Sanidade!$W10,IF(AND(Sanidade!$Y10&gt;=Sanidade!$X10,AND(Sanidade!$X10&lt;=BC$1,Sanidade!$Y10&gt;=BC$1)),Sanidade!$W10/(Sanidade!$Y10-Sanidade!$X10+1),0))</f>
        <v>0</v>
      </c>
      <c r="BD141" s="460">
        <f>IF(AND(Sanidade!$Y10=Sanidade!$X10,Sanidade!$X10=BD$1),Sanidade!$W10,IF(AND(Sanidade!$Y10&gt;=Sanidade!$X10,AND(Sanidade!$X10&lt;=BD$1,Sanidade!$Y10&gt;=BD$1)),Sanidade!$W10/(Sanidade!$Y10-Sanidade!$X10+1),0))</f>
        <v>0</v>
      </c>
      <c r="BE141" s="460">
        <f>IF(AND(Sanidade!$Y10=Sanidade!$X10,Sanidade!$X10=BE$1),Sanidade!$W10,IF(AND(Sanidade!$Y10&gt;=Sanidade!$X10,AND(Sanidade!$X10&lt;=BE$1,Sanidade!$Y10&gt;=BE$1)),Sanidade!$W10/(Sanidade!$Y10-Sanidade!$X10+1),0))</f>
        <v>0</v>
      </c>
      <c r="BF141" s="460">
        <f>IF(AND(Sanidade!$Y10=Sanidade!$X10,Sanidade!$X10=BF$1),Sanidade!$W10,IF(AND(Sanidade!$Y10&gt;=Sanidade!$X10,AND(Sanidade!$X10&lt;=BF$1,Sanidade!$Y10&gt;=BF$1)),Sanidade!$W10/(Sanidade!$Y10-Sanidade!$X10+1),0))</f>
        <v>0</v>
      </c>
      <c r="BG141" s="460">
        <f>IF(AND(Sanidade!$Y10=Sanidade!$X10,Sanidade!$X10=BG$1),Sanidade!$W10,IF(AND(Sanidade!$Y10&gt;=Sanidade!$X10,AND(Sanidade!$X10&lt;=BG$1,Sanidade!$Y10&gt;=BG$1)),Sanidade!$W10/(Sanidade!$Y10-Sanidade!$X10+1),0))</f>
        <v>0</v>
      </c>
      <c r="BH141" s="460">
        <f>IF(AND(Sanidade!$Y10=Sanidade!$X10,Sanidade!$X10=BH$1),Sanidade!$W10,IF(AND(Sanidade!$Y10&gt;=Sanidade!$X10,AND(Sanidade!$X10&lt;=BH$1,Sanidade!$Y10&gt;=BH$1)),Sanidade!$W10/(Sanidade!$Y10-Sanidade!$X10+1),0))</f>
        <v>0</v>
      </c>
      <c r="BI141" s="460">
        <f>IF(AND(Sanidade!$Y10=Sanidade!$X10,Sanidade!$X10=BI$1),Sanidade!$W10,IF(AND(Sanidade!$Y10&gt;=Sanidade!$X10,AND(Sanidade!$X10&lt;=BI$1,Sanidade!$Y10&gt;=BI$1)),Sanidade!$W10/(Sanidade!$Y10-Sanidade!$X10+1),0))</f>
        <v>0</v>
      </c>
      <c r="BJ141" s="460">
        <f>IF(AND(Sanidade!$Y10=Sanidade!$X10,Sanidade!$X10=BJ$1),Sanidade!$W10,IF(AND(Sanidade!$Y10&gt;=Sanidade!$X10,AND(Sanidade!$X10&lt;=BJ$1,Sanidade!$Y10&gt;=BJ$1)),Sanidade!$W10/(Sanidade!$Y10-Sanidade!$X10+1),0))</f>
        <v>0</v>
      </c>
      <c r="BK141" s="460">
        <f>IF(AND(Sanidade!$Y10=Sanidade!$X10,Sanidade!$X10=BK$1),Sanidade!$W10,IF(AND(Sanidade!$Y10&gt;=Sanidade!$X10,AND(Sanidade!$X10&lt;=BK$1,Sanidade!$Y10&gt;=BK$1)),Sanidade!$W10/(Sanidade!$Y10-Sanidade!$X10+1),0))</f>
        <v>0</v>
      </c>
      <c r="BL141" s="460">
        <f>IF(AND(Sanidade!$Y10=Sanidade!$X10,Sanidade!$X10=BL$1),Sanidade!$W10,IF(AND(Sanidade!$Y10&gt;=Sanidade!$X10,AND(Sanidade!$X10&lt;=BL$1,Sanidade!$Y10&gt;=BL$1)),Sanidade!$W10/(Sanidade!$Y10-Sanidade!$X10+1),0))</f>
        <v>0</v>
      </c>
      <c r="BM141" s="460">
        <f>IF(AND(Sanidade!$Y10=Sanidade!$X10,Sanidade!$X10=BM$1),Sanidade!$W10,IF(AND(Sanidade!$Y10&gt;=Sanidade!$X10,AND(Sanidade!$X10&lt;=BM$1,Sanidade!$Y10&gt;=BM$1)),Sanidade!$W10/(Sanidade!$Y10-Sanidade!$X10+1),0))</f>
        <v>0</v>
      </c>
      <c r="BN141" s="460">
        <f>IF(AND(Sanidade!$Y10=Sanidade!$X10,Sanidade!$X10=BN$1),Sanidade!$W10,IF(AND(Sanidade!$Y10&gt;=Sanidade!$X10,AND(Sanidade!$X10&lt;=BN$1,Sanidade!$Y10&gt;=BN$1)),Sanidade!$W10/(Sanidade!$Y10-Sanidade!$X10+1),0))</f>
        <v>0</v>
      </c>
      <c r="BO141" s="460">
        <f>IF(AND(Sanidade!$Y10=Sanidade!$X10,Sanidade!$X10=BO$1),Sanidade!$W10,IF(AND(Sanidade!$Y10&gt;=Sanidade!$X10,AND(Sanidade!$X10&lt;=BO$1,Sanidade!$Y10&gt;=BO$1)),Sanidade!$W10/(Sanidade!$Y10-Sanidade!$X10+1),0))</f>
        <v>0</v>
      </c>
      <c r="BP141" s="460">
        <f>IF(AND(Sanidade!$Y10=Sanidade!$X10,Sanidade!$X10=BP$1),Sanidade!$W10,IF(AND(Sanidade!$Y10&gt;=Sanidade!$X10,AND(Sanidade!$X10&lt;=BP$1,Sanidade!$Y10&gt;=BP$1)),Sanidade!$W10/(Sanidade!$Y10-Sanidade!$X10+1),0))</f>
        <v>0</v>
      </c>
      <c r="BQ141" s="460">
        <f>IF(AND(Sanidade!$Y10=Sanidade!$X10,Sanidade!$X10=BQ$1),Sanidade!$W10,IF(AND(Sanidade!$Y10&gt;=Sanidade!$X10,AND(Sanidade!$X10&lt;=BQ$1,Sanidade!$Y10&gt;=BQ$1)),Sanidade!$W10/(Sanidade!$Y10-Sanidade!$X10+1),0))</f>
        <v>0</v>
      </c>
      <c r="BR141" s="460">
        <f>IF(AND(Sanidade!$Y10=Sanidade!$X10,Sanidade!$X10=BR$1),Sanidade!$W10,IF(AND(Sanidade!$Y10&gt;=Sanidade!$X10,AND(Sanidade!$X10&lt;=BR$1,Sanidade!$Y10&gt;=BR$1)),Sanidade!$W10/(Sanidade!$Y10-Sanidade!$X10+1),0))</f>
        <v>0</v>
      </c>
      <c r="BS141" s="460">
        <f>IF(AND(Sanidade!$Y10=Sanidade!$X10,Sanidade!$X10=BS$1),Sanidade!$W10,IF(AND(Sanidade!$Y10&gt;=Sanidade!$X10,AND(Sanidade!$X10&lt;=BS$1,Sanidade!$Y10&gt;=BS$1)),Sanidade!$W10/(Sanidade!$Y10-Sanidade!$X10+1),0))</f>
        <v>0</v>
      </c>
      <c r="BT141" s="461">
        <f>IF(AND(Sanidade!$Y10=Sanidade!$X10,Sanidade!$X10=BT$1),Sanidade!$W10,IF(AND(Sanidade!$Y10&gt;=Sanidade!$X10,AND(Sanidade!$X10&lt;=BT$1,Sanidade!$Y10&gt;=BT$1)),Sanidade!$W10/(Sanidade!$Y10-Sanidade!$X10+1),0))</f>
        <v>0</v>
      </c>
    </row>
    <row r="142" spans="2:72" x14ac:dyDescent="0.2">
      <c r="B142" s="499"/>
      <c r="C142" s="500"/>
      <c r="D142" s="497"/>
      <c r="E142" s="497"/>
      <c r="F142" s="497"/>
      <c r="G142" s="497"/>
      <c r="H142" s="497"/>
      <c r="BA142" s="459" t="str">
        <f>VLOOKUP(Sanidade!E11,Dados!$A$3:$N$10,13)</f>
        <v>Vacinas</v>
      </c>
      <c r="BB142" s="460">
        <f>IF(AND(Sanidade!$Y11=Sanidade!$X11,Sanidade!$X11=BB$1),Sanidade!$W11,IF(AND(Sanidade!$Y11&gt;=Sanidade!$X11,AND(Sanidade!$X11&lt;=BB$1,Sanidade!$Y11&gt;=BB$1)),Sanidade!$W11/(Sanidade!$Y11-Sanidade!$X11+1),0))</f>
        <v>634.66666666666674</v>
      </c>
      <c r="BC142" s="460">
        <f>IF(AND(Sanidade!$Y11=Sanidade!$X11,Sanidade!$X11=BC$1),Sanidade!$W11,IF(AND(Sanidade!$Y11&gt;=Sanidade!$X11,AND(Sanidade!$X11&lt;=BC$1,Sanidade!$Y11&gt;=BC$1)),Sanidade!$W11/(Sanidade!$Y11-Sanidade!$X11+1),0))</f>
        <v>0</v>
      </c>
      <c r="BD142" s="460">
        <f>IF(AND(Sanidade!$Y11=Sanidade!$X11,Sanidade!$X11=BD$1),Sanidade!$W11,IF(AND(Sanidade!$Y11&gt;=Sanidade!$X11,AND(Sanidade!$X11&lt;=BD$1,Sanidade!$Y11&gt;=BD$1)),Sanidade!$W11/(Sanidade!$Y11-Sanidade!$X11+1),0))</f>
        <v>0</v>
      </c>
      <c r="BE142" s="460">
        <f>IF(AND(Sanidade!$Y11=Sanidade!$X11,Sanidade!$X11=BE$1),Sanidade!$W11,IF(AND(Sanidade!$Y11&gt;=Sanidade!$X11,AND(Sanidade!$X11&lt;=BE$1,Sanidade!$Y11&gt;=BE$1)),Sanidade!$W11/(Sanidade!$Y11-Sanidade!$X11+1),0))</f>
        <v>0</v>
      </c>
      <c r="BF142" s="460">
        <f>IF(AND(Sanidade!$Y11=Sanidade!$X11,Sanidade!$X11=BF$1),Sanidade!$W11,IF(AND(Sanidade!$Y11&gt;=Sanidade!$X11,AND(Sanidade!$X11&lt;=BF$1,Sanidade!$Y11&gt;=BF$1)),Sanidade!$W11/(Sanidade!$Y11-Sanidade!$X11+1),0))</f>
        <v>0</v>
      </c>
      <c r="BG142" s="460">
        <f>IF(AND(Sanidade!$Y11=Sanidade!$X11,Sanidade!$X11=BG$1),Sanidade!$W11,IF(AND(Sanidade!$Y11&gt;=Sanidade!$X11,AND(Sanidade!$X11&lt;=BG$1,Sanidade!$Y11&gt;=BG$1)),Sanidade!$W11/(Sanidade!$Y11-Sanidade!$X11+1),0))</f>
        <v>0</v>
      </c>
      <c r="BH142" s="460">
        <f>IF(AND(Sanidade!$Y11=Sanidade!$X11,Sanidade!$X11=BH$1),Sanidade!$W11,IF(AND(Sanidade!$Y11&gt;=Sanidade!$X11,AND(Sanidade!$X11&lt;=BH$1,Sanidade!$Y11&gt;=BH$1)),Sanidade!$W11/(Sanidade!$Y11-Sanidade!$X11+1),0))</f>
        <v>0</v>
      </c>
      <c r="BI142" s="460">
        <f>IF(AND(Sanidade!$Y11=Sanidade!$X11,Sanidade!$X11=BI$1),Sanidade!$W11,IF(AND(Sanidade!$Y11&gt;=Sanidade!$X11,AND(Sanidade!$X11&lt;=BI$1,Sanidade!$Y11&gt;=BI$1)),Sanidade!$W11/(Sanidade!$Y11-Sanidade!$X11+1),0))</f>
        <v>0</v>
      </c>
      <c r="BJ142" s="460">
        <f>IF(AND(Sanidade!$Y11=Sanidade!$X11,Sanidade!$X11=BJ$1),Sanidade!$W11,IF(AND(Sanidade!$Y11&gt;=Sanidade!$X11,AND(Sanidade!$X11&lt;=BJ$1,Sanidade!$Y11&gt;=BJ$1)),Sanidade!$W11/(Sanidade!$Y11-Sanidade!$X11+1),0))</f>
        <v>0</v>
      </c>
      <c r="BK142" s="460">
        <f>IF(AND(Sanidade!$Y11=Sanidade!$X11,Sanidade!$X11=BK$1),Sanidade!$W11,IF(AND(Sanidade!$Y11&gt;=Sanidade!$X11,AND(Sanidade!$X11&lt;=BK$1,Sanidade!$Y11&gt;=BK$1)),Sanidade!$W11/(Sanidade!$Y11-Sanidade!$X11+1),0))</f>
        <v>0</v>
      </c>
      <c r="BL142" s="460">
        <f>IF(AND(Sanidade!$Y11=Sanidade!$X11,Sanidade!$X11=BL$1),Sanidade!$W11,IF(AND(Sanidade!$Y11&gt;=Sanidade!$X11,AND(Sanidade!$X11&lt;=BL$1,Sanidade!$Y11&gt;=BL$1)),Sanidade!$W11/(Sanidade!$Y11-Sanidade!$X11+1),0))</f>
        <v>0</v>
      </c>
      <c r="BM142" s="460">
        <f>IF(AND(Sanidade!$Y11=Sanidade!$X11,Sanidade!$X11=BM$1),Sanidade!$W11,IF(AND(Sanidade!$Y11&gt;=Sanidade!$X11,AND(Sanidade!$X11&lt;=BM$1,Sanidade!$Y11&gt;=BM$1)),Sanidade!$W11/(Sanidade!$Y11-Sanidade!$X11+1),0))</f>
        <v>0</v>
      </c>
      <c r="BN142" s="460">
        <f>IF(AND(Sanidade!$Y11=Sanidade!$X11,Sanidade!$X11=BN$1),Sanidade!$W11,IF(AND(Sanidade!$Y11&gt;=Sanidade!$X11,AND(Sanidade!$X11&lt;=BN$1,Sanidade!$Y11&gt;=BN$1)),Sanidade!$W11/(Sanidade!$Y11-Sanidade!$X11+1),0))</f>
        <v>0</v>
      </c>
      <c r="BO142" s="460">
        <f>IF(AND(Sanidade!$Y11=Sanidade!$X11,Sanidade!$X11=BO$1),Sanidade!$W11,IF(AND(Sanidade!$Y11&gt;=Sanidade!$X11,AND(Sanidade!$X11&lt;=BO$1,Sanidade!$Y11&gt;=BO$1)),Sanidade!$W11/(Sanidade!$Y11-Sanidade!$X11+1),0))</f>
        <v>0</v>
      </c>
      <c r="BP142" s="460">
        <f>IF(AND(Sanidade!$Y11=Sanidade!$X11,Sanidade!$X11=BP$1),Sanidade!$W11,IF(AND(Sanidade!$Y11&gt;=Sanidade!$X11,AND(Sanidade!$X11&lt;=BP$1,Sanidade!$Y11&gt;=BP$1)),Sanidade!$W11/(Sanidade!$Y11-Sanidade!$X11+1),0))</f>
        <v>0</v>
      </c>
      <c r="BQ142" s="460">
        <f>IF(AND(Sanidade!$Y11=Sanidade!$X11,Sanidade!$X11=BQ$1),Sanidade!$W11,IF(AND(Sanidade!$Y11&gt;=Sanidade!$X11,AND(Sanidade!$X11&lt;=BQ$1,Sanidade!$Y11&gt;=BQ$1)),Sanidade!$W11/(Sanidade!$Y11-Sanidade!$X11+1),0))</f>
        <v>0</v>
      </c>
      <c r="BR142" s="460">
        <f>IF(AND(Sanidade!$Y11=Sanidade!$X11,Sanidade!$X11=BR$1),Sanidade!$W11,IF(AND(Sanidade!$Y11&gt;=Sanidade!$X11,AND(Sanidade!$X11&lt;=BR$1,Sanidade!$Y11&gt;=BR$1)),Sanidade!$W11/(Sanidade!$Y11-Sanidade!$X11+1),0))</f>
        <v>0</v>
      </c>
      <c r="BS142" s="460">
        <f>IF(AND(Sanidade!$Y11=Sanidade!$X11,Sanidade!$X11=BS$1),Sanidade!$W11,IF(AND(Sanidade!$Y11&gt;=Sanidade!$X11,AND(Sanidade!$X11&lt;=BS$1,Sanidade!$Y11&gt;=BS$1)),Sanidade!$W11/(Sanidade!$Y11-Sanidade!$X11+1),0))</f>
        <v>0</v>
      </c>
      <c r="BT142" s="461">
        <f>IF(AND(Sanidade!$Y11=Sanidade!$X11,Sanidade!$X11=BT$1),Sanidade!$W11,IF(AND(Sanidade!$Y11&gt;=Sanidade!$X11,AND(Sanidade!$X11&lt;=BT$1,Sanidade!$Y11&gt;=BT$1)),Sanidade!$W11/(Sanidade!$Y11-Sanidade!$X11+1),0))</f>
        <v>0</v>
      </c>
    </row>
    <row r="143" spans="2:72" x14ac:dyDescent="0.2">
      <c r="B143" s="499"/>
      <c r="C143" s="500"/>
      <c r="D143" s="497"/>
      <c r="E143" s="497"/>
      <c r="F143" s="497"/>
      <c r="G143" s="497"/>
      <c r="H143" s="497"/>
      <c r="BA143" s="459" t="str">
        <f>VLOOKUP(Sanidade!E16,Dados!$A$3:$N$10,13)</f>
        <v>Controle Paras.</v>
      </c>
      <c r="BB143" s="460">
        <f>IF(AND(Sanidade!$Y16=Sanidade!$X16,Sanidade!$X16=BB$1),Sanidade!$W16,IF(AND(Sanidade!$Y16&gt;=Sanidade!$X16,AND(Sanidade!$X16&lt;=BB$1,Sanidade!$Y16&gt;=BB$1)),Sanidade!$W16/(Sanidade!$Y16-Sanidade!$X16+1),0))</f>
        <v>18281.364192331854</v>
      </c>
      <c r="BC143" s="460">
        <f>IF(AND(Sanidade!$Y16=Sanidade!$X16,Sanidade!$X16=BC$1),Sanidade!$W16,IF(AND(Sanidade!$Y16&gt;=Sanidade!$X16,AND(Sanidade!$X16&lt;=BC$1,Sanidade!$Y16&gt;=BC$1)),Sanidade!$W16/(Sanidade!$Y16-Sanidade!$X16+1),0))</f>
        <v>0</v>
      </c>
      <c r="BD143" s="460">
        <f>IF(AND(Sanidade!$Y16=Sanidade!$X16,Sanidade!$X16=BD$1),Sanidade!$W16,IF(AND(Sanidade!$Y16&gt;=Sanidade!$X16,AND(Sanidade!$X16&lt;=BD$1,Sanidade!$Y16&gt;=BD$1)),Sanidade!$W16/(Sanidade!$Y16-Sanidade!$X16+1),0))</f>
        <v>0</v>
      </c>
      <c r="BE143" s="460">
        <f>IF(AND(Sanidade!$Y16=Sanidade!$X16,Sanidade!$X16=BE$1),Sanidade!$W16,IF(AND(Sanidade!$Y16&gt;=Sanidade!$X16,AND(Sanidade!$X16&lt;=BE$1,Sanidade!$Y16&gt;=BE$1)),Sanidade!$W16/(Sanidade!$Y16-Sanidade!$X16+1),0))</f>
        <v>0</v>
      </c>
      <c r="BF143" s="460">
        <f>IF(AND(Sanidade!$Y16=Sanidade!$X16,Sanidade!$X16=BF$1),Sanidade!$W16,IF(AND(Sanidade!$Y16&gt;=Sanidade!$X16,AND(Sanidade!$X16&lt;=BF$1,Sanidade!$Y16&gt;=BF$1)),Sanidade!$W16/(Sanidade!$Y16-Sanidade!$X16+1),0))</f>
        <v>0</v>
      </c>
      <c r="BG143" s="460">
        <f>IF(AND(Sanidade!$Y16=Sanidade!$X16,Sanidade!$X16=BG$1),Sanidade!$W16,IF(AND(Sanidade!$Y16&gt;=Sanidade!$X16,AND(Sanidade!$X16&lt;=BG$1,Sanidade!$Y16&gt;=BG$1)),Sanidade!$W16/(Sanidade!$Y16-Sanidade!$X16+1),0))</f>
        <v>0</v>
      </c>
      <c r="BH143" s="460">
        <f>IF(AND(Sanidade!$Y16=Sanidade!$X16,Sanidade!$X16=BH$1),Sanidade!$W16,IF(AND(Sanidade!$Y16&gt;=Sanidade!$X16,AND(Sanidade!$X16&lt;=BH$1,Sanidade!$Y16&gt;=BH$1)),Sanidade!$W16/(Sanidade!$Y16-Sanidade!$X16+1),0))</f>
        <v>0</v>
      </c>
      <c r="BI143" s="460">
        <f>IF(AND(Sanidade!$Y16=Sanidade!$X16,Sanidade!$X16=BI$1),Sanidade!$W16,IF(AND(Sanidade!$Y16&gt;=Sanidade!$X16,AND(Sanidade!$X16&lt;=BI$1,Sanidade!$Y16&gt;=BI$1)),Sanidade!$W16/(Sanidade!$Y16-Sanidade!$X16+1),0))</f>
        <v>0</v>
      </c>
      <c r="BJ143" s="460">
        <f>IF(AND(Sanidade!$Y16=Sanidade!$X16,Sanidade!$X16=BJ$1),Sanidade!$W16,IF(AND(Sanidade!$Y16&gt;=Sanidade!$X16,AND(Sanidade!$X16&lt;=BJ$1,Sanidade!$Y16&gt;=BJ$1)),Sanidade!$W16/(Sanidade!$Y16-Sanidade!$X16+1),0))</f>
        <v>0</v>
      </c>
      <c r="BK143" s="460">
        <f>IF(AND(Sanidade!$Y16=Sanidade!$X16,Sanidade!$X16=BK$1),Sanidade!$W16,IF(AND(Sanidade!$Y16&gt;=Sanidade!$X16,AND(Sanidade!$X16&lt;=BK$1,Sanidade!$Y16&gt;=BK$1)),Sanidade!$W16/(Sanidade!$Y16-Sanidade!$X16+1),0))</f>
        <v>0</v>
      </c>
      <c r="BL143" s="460">
        <f>IF(AND(Sanidade!$Y16=Sanidade!$X16,Sanidade!$X16=BL$1),Sanidade!$W16,IF(AND(Sanidade!$Y16&gt;=Sanidade!$X16,AND(Sanidade!$X16&lt;=BL$1,Sanidade!$Y16&gt;=BL$1)),Sanidade!$W16/(Sanidade!$Y16-Sanidade!$X16+1),0))</f>
        <v>0</v>
      </c>
      <c r="BM143" s="460">
        <f>IF(AND(Sanidade!$Y16=Sanidade!$X16,Sanidade!$X16=BM$1),Sanidade!$W16,IF(AND(Sanidade!$Y16&gt;=Sanidade!$X16,AND(Sanidade!$X16&lt;=BM$1,Sanidade!$Y16&gt;=BM$1)),Sanidade!$W16/(Sanidade!$Y16-Sanidade!$X16+1),0))</f>
        <v>0</v>
      </c>
      <c r="BN143" s="460">
        <f>IF(AND(Sanidade!$Y16=Sanidade!$X16,Sanidade!$X16=BN$1),Sanidade!$W16,IF(AND(Sanidade!$Y16&gt;=Sanidade!$X16,AND(Sanidade!$X16&lt;=BN$1,Sanidade!$Y16&gt;=BN$1)),Sanidade!$W16/(Sanidade!$Y16-Sanidade!$X16+1),0))</f>
        <v>0</v>
      </c>
      <c r="BO143" s="460">
        <f>IF(AND(Sanidade!$Y16=Sanidade!$X16,Sanidade!$X16=BO$1),Sanidade!$W16,IF(AND(Sanidade!$Y16&gt;=Sanidade!$X16,AND(Sanidade!$X16&lt;=BO$1,Sanidade!$Y16&gt;=BO$1)),Sanidade!$W16/(Sanidade!$Y16-Sanidade!$X16+1),0))</f>
        <v>0</v>
      </c>
      <c r="BP143" s="460">
        <f>IF(AND(Sanidade!$Y16=Sanidade!$X16,Sanidade!$X16=BP$1),Sanidade!$W16,IF(AND(Sanidade!$Y16&gt;=Sanidade!$X16,AND(Sanidade!$X16&lt;=BP$1,Sanidade!$Y16&gt;=BP$1)),Sanidade!$W16/(Sanidade!$Y16-Sanidade!$X16+1),0))</f>
        <v>0</v>
      </c>
      <c r="BQ143" s="460">
        <f>IF(AND(Sanidade!$Y16=Sanidade!$X16,Sanidade!$X16=BQ$1),Sanidade!$W16,IF(AND(Sanidade!$Y16&gt;=Sanidade!$X16,AND(Sanidade!$X16&lt;=BQ$1,Sanidade!$Y16&gt;=BQ$1)),Sanidade!$W16/(Sanidade!$Y16-Sanidade!$X16+1),0))</f>
        <v>0</v>
      </c>
      <c r="BR143" s="460">
        <f>IF(AND(Sanidade!$Y16=Sanidade!$X16,Sanidade!$X16=BR$1),Sanidade!$W16,IF(AND(Sanidade!$Y16&gt;=Sanidade!$X16,AND(Sanidade!$X16&lt;=BR$1,Sanidade!$Y16&gt;=BR$1)),Sanidade!$W16/(Sanidade!$Y16-Sanidade!$X16+1),0))</f>
        <v>0</v>
      </c>
      <c r="BS143" s="460">
        <f>IF(AND(Sanidade!$Y16=Sanidade!$X16,Sanidade!$X16=BS$1),Sanidade!$W16,IF(AND(Sanidade!$Y16&gt;=Sanidade!$X16,AND(Sanidade!$X16&lt;=BS$1,Sanidade!$Y16&gt;=BS$1)),Sanidade!$W16/(Sanidade!$Y16-Sanidade!$X16+1),0))</f>
        <v>0</v>
      </c>
      <c r="BT143" s="461">
        <f>IF(AND(Sanidade!$Y16=Sanidade!$X16,Sanidade!$X16=BT$1),Sanidade!$W16,IF(AND(Sanidade!$Y16&gt;=Sanidade!$X16,AND(Sanidade!$X16&lt;=BT$1,Sanidade!$Y16&gt;=BT$1)),Sanidade!$W16/(Sanidade!$Y16-Sanidade!$X16+1),0))</f>
        <v>0</v>
      </c>
    </row>
    <row r="144" spans="2:72" x14ac:dyDescent="0.2">
      <c r="B144" s="499"/>
      <c r="C144" s="500"/>
      <c r="D144" s="497"/>
      <c r="E144" s="497"/>
      <c r="F144" s="497"/>
      <c r="G144" s="497"/>
      <c r="H144" s="497"/>
      <c r="BA144" s="459" t="str">
        <f>VLOOKUP(Sanidade!E17,Dados!$A$3:$N$10,13)</f>
        <v>Controle Paras.</v>
      </c>
      <c r="BB144" s="460">
        <f>IF(AND(Sanidade!$Y17=Sanidade!$X17,Sanidade!$X17=BB$1),Sanidade!$W17,IF(AND(Sanidade!$Y17&gt;=Sanidade!$X17,AND(Sanidade!$X17&lt;=BB$1,Sanidade!$Y17&gt;=BB$1)),Sanidade!$W17/(Sanidade!$Y17-Sanidade!$X17+1),0))</f>
        <v>72</v>
      </c>
      <c r="BC144" s="460">
        <f>IF(AND(Sanidade!$Y17=Sanidade!$X17,Sanidade!$X17=BC$1),Sanidade!$W17,IF(AND(Sanidade!$Y17&gt;=Sanidade!$X17,AND(Sanidade!$X17&lt;=BC$1,Sanidade!$Y17&gt;=BC$1)),Sanidade!$W17/(Sanidade!$Y17-Sanidade!$X17+1),0))</f>
        <v>0</v>
      </c>
      <c r="BD144" s="460">
        <f>IF(AND(Sanidade!$Y17=Sanidade!$X17,Sanidade!$X17=BD$1),Sanidade!$W17,IF(AND(Sanidade!$Y17&gt;=Sanidade!$X17,AND(Sanidade!$X17&lt;=BD$1,Sanidade!$Y17&gt;=BD$1)),Sanidade!$W17/(Sanidade!$Y17-Sanidade!$X17+1),0))</f>
        <v>0</v>
      </c>
      <c r="BE144" s="460">
        <f>IF(AND(Sanidade!$Y17=Sanidade!$X17,Sanidade!$X17=BE$1),Sanidade!$W17,IF(AND(Sanidade!$Y17&gt;=Sanidade!$X17,AND(Sanidade!$X17&lt;=BE$1,Sanidade!$Y17&gt;=BE$1)),Sanidade!$W17/(Sanidade!$Y17-Sanidade!$X17+1),0))</f>
        <v>0</v>
      </c>
      <c r="BF144" s="460">
        <f>IF(AND(Sanidade!$Y17=Sanidade!$X17,Sanidade!$X17=BF$1),Sanidade!$W17,IF(AND(Sanidade!$Y17&gt;=Sanidade!$X17,AND(Sanidade!$X17&lt;=BF$1,Sanidade!$Y17&gt;=BF$1)),Sanidade!$W17/(Sanidade!$Y17-Sanidade!$X17+1),0))</f>
        <v>0</v>
      </c>
      <c r="BG144" s="460">
        <f>IF(AND(Sanidade!$Y17=Sanidade!$X17,Sanidade!$X17=BG$1),Sanidade!$W17,IF(AND(Sanidade!$Y17&gt;=Sanidade!$X17,AND(Sanidade!$X17&lt;=BG$1,Sanidade!$Y17&gt;=BG$1)),Sanidade!$W17/(Sanidade!$Y17-Sanidade!$X17+1),0))</f>
        <v>0</v>
      </c>
      <c r="BH144" s="460">
        <f>IF(AND(Sanidade!$Y17=Sanidade!$X17,Sanidade!$X17=BH$1),Sanidade!$W17,IF(AND(Sanidade!$Y17&gt;=Sanidade!$X17,AND(Sanidade!$X17&lt;=BH$1,Sanidade!$Y17&gt;=BH$1)),Sanidade!$W17/(Sanidade!$Y17-Sanidade!$X17+1),0))</f>
        <v>0</v>
      </c>
      <c r="BI144" s="460">
        <f>IF(AND(Sanidade!$Y17=Sanidade!$X17,Sanidade!$X17=BI$1),Sanidade!$W17,IF(AND(Sanidade!$Y17&gt;=Sanidade!$X17,AND(Sanidade!$X17&lt;=BI$1,Sanidade!$Y17&gt;=BI$1)),Sanidade!$W17/(Sanidade!$Y17-Sanidade!$X17+1),0))</f>
        <v>0</v>
      </c>
      <c r="BJ144" s="460">
        <f>IF(AND(Sanidade!$Y17=Sanidade!$X17,Sanidade!$X17=BJ$1),Sanidade!$W17,IF(AND(Sanidade!$Y17&gt;=Sanidade!$X17,AND(Sanidade!$X17&lt;=BJ$1,Sanidade!$Y17&gt;=BJ$1)),Sanidade!$W17/(Sanidade!$Y17-Sanidade!$X17+1),0))</f>
        <v>0</v>
      </c>
      <c r="BK144" s="460">
        <f>IF(AND(Sanidade!$Y17=Sanidade!$X17,Sanidade!$X17=BK$1),Sanidade!$W17,IF(AND(Sanidade!$Y17&gt;=Sanidade!$X17,AND(Sanidade!$X17&lt;=BK$1,Sanidade!$Y17&gt;=BK$1)),Sanidade!$W17/(Sanidade!$Y17-Sanidade!$X17+1),0))</f>
        <v>0</v>
      </c>
      <c r="BL144" s="460">
        <f>IF(AND(Sanidade!$Y17=Sanidade!$X17,Sanidade!$X17=BL$1),Sanidade!$W17,IF(AND(Sanidade!$Y17&gt;=Sanidade!$X17,AND(Sanidade!$X17&lt;=BL$1,Sanidade!$Y17&gt;=BL$1)),Sanidade!$W17/(Sanidade!$Y17-Sanidade!$X17+1),0))</f>
        <v>0</v>
      </c>
      <c r="BM144" s="460">
        <f>IF(AND(Sanidade!$Y17=Sanidade!$X17,Sanidade!$X17=BM$1),Sanidade!$W17,IF(AND(Sanidade!$Y17&gt;=Sanidade!$X17,AND(Sanidade!$X17&lt;=BM$1,Sanidade!$Y17&gt;=BM$1)),Sanidade!$W17/(Sanidade!$Y17-Sanidade!$X17+1),0))</f>
        <v>0</v>
      </c>
      <c r="BN144" s="460">
        <f>IF(AND(Sanidade!$Y17=Sanidade!$X17,Sanidade!$X17=BN$1),Sanidade!$W17,IF(AND(Sanidade!$Y17&gt;=Sanidade!$X17,AND(Sanidade!$X17&lt;=BN$1,Sanidade!$Y17&gt;=BN$1)),Sanidade!$W17/(Sanidade!$Y17-Sanidade!$X17+1),0))</f>
        <v>0</v>
      </c>
      <c r="BO144" s="460">
        <f>IF(AND(Sanidade!$Y17=Sanidade!$X17,Sanidade!$X17=BO$1),Sanidade!$W17,IF(AND(Sanidade!$Y17&gt;=Sanidade!$X17,AND(Sanidade!$X17&lt;=BO$1,Sanidade!$Y17&gt;=BO$1)),Sanidade!$W17/(Sanidade!$Y17-Sanidade!$X17+1),0))</f>
        <v>0</v>
      </c>
      <c r="BP144" s="460">
        <f>IF(AND(Sanidade!$Y17=Sanidade!$X17,Sanidade!$X17=BP$1),Sanidade!$W17,IF(AND(Sanidade!$Y17&gt;=Sanidade!$X17,AND(Sanidade!$X17&lt;=BP$1,Sanidade!$Y17&gt;=BP$1)),Sanidade!$W17/(Sanidade!$Y17-Sanidade!$X17+1),0))</f>
        <v>0</v>
      </c>
      <c r="BQ144" s="460">
        <f>IF(AND(Sanidade!$Y17=Sanidade!$X17,Sanidade!$X17=BQ$1),Sanidade!$W17,IF(AND(Sanidade!$Y17&gt;=Sanidade!$X17,AND(Sanidade!$X17&lt;=BQ$1,Sanidade!$Y17&gt;=BQ$1)),Sanidade!$W17/(Sanidade!$Y17-Sanidade!$X17+1),0))</f>
        <v>0</v>
      </c>
      <c r="BR144" s="460">
        <f>IF(AND(Sanidade!$Y17=Sanidade!$X17,Sanidade!$X17=BR$1),Sanidade!$W17,IF(AND(Sanidade!$Y17&gt;=Sanidade!$X17,AND(Sanidade!$X17&lt;=BR$1,Sanidade!$Y17&gt;=BR$1)),Sanidade!$W17/(Sanidade!$Y17-Sanidade!$X17+1),0))</f>
        <v>0</v>
      </c>
      <c r="BS144" s="460">
        <f>IF(AND(Sanidade!$Y17=Sanidade!$X17,Sanidade!$X17=BS$1),Sanidade!$W17,IF(AND(Sanidade!$Y17&gt;=Sanidade!$X17,AND(Sanidade!$X17&lt;=BS$1,Sanidade!$Y17&gt;=BS$1)),Sanidade!$W17/(Sanidade!$Y17-Sanidade!$X17+1),0))</f>
        <v>0</v>
      </c>
      <c r="BT144" s="461">
        <f>IF(AND(Sanidade!$Y17=Sanidade!$X17,Sanidade!$X17=BT$1),Sanidade!$W17,IF(AND(Sanidade!$Y17&gt;=Sanidade!$X17,AND(Sanidade!$X17&lt;=BT$1,Sanidade!$Y17&gt;=BT$1)),Sanidade!$W17/(Sanidade!$Y17-Sanidade!$X17+1),0))</f>
        <v>0</v>
      </c>
    </row>
    <row r="145" spans="2:72" x14ac:dyDescent="0.2">
      <c r="B145" s="499"/>
      <c r="C145" s="500"/>
      <c r="D145" s="497"/>
      <c r="E145" s="497"/>
      <c r="F145" s="497"/>
      <c r="G145" s="497"/>
      <c r="H145" s="497"/>
      <c r="BA145" s="459" t="str">
        <f>VLOOKUP(Sanidade!E18,Dados!$A$3:$N$10,13)</f>
        <v>Controle Paras.</v>
      </c>
      <c r="BB145" s="460">
        <f>IF(AND(Sanidade!$Y18=Sanidade!$X18,Sanidade!$X18=BB$1),Sanidade!$W18,IF(AND(Sanidade!$Y18&gt;=Sanidade!$X18,AND(Sanidade!$X18&lt;=BB$1,Sanidade!$Y18&gt;=BB$1)),Sanidade!$W18/(Sanidade!$Y18-Sanidade!$X18+1),0))</f>
        <v>320</v>
      </c>
      <c r="BC145" s="460">
        <f>IF(AND(Sanidade!$Y18=Sanidade!$X18,Sanidade!$X18=BC$1),Sanidade!$W18,IF(AND(Sanidade!$Y18&gt;=Sanidade!$X18,AND(Sanidade!$X18&lt;=BC$1,Sanidade!$Y18&gt;=BC$1)),Sanidade!$W18/(Sanidade!$Y18-Sanidade!$X18+1),0))</f>
        <v>0</v>
      </c>
      <c r="BD145" s="460">
        <f>IF(AND(Sanidade!$Y18=Sanidade!$X18,Sanidade!$X18=BD$1),Sanidade!$W18,IF(AND(Sanidade!$Y18&gt;=Sanidade!$X18,AND(Sanidade!$X18&lt;=BD$1,Sanidade!$Y18&gt;=BD$1)),Sanidade!$W18/(Sanidade!$Y18-Sanidade!$X18+1),0))</f>
        <v>0</v>
      </c>
      <c r="BE145" s="460">
        <f>IF(AND(Sanidade!$Y18=Sanidade!$X18,Sanidade!$X18=BE$1),Sanidade!$W18,IF(AND(Sanidade!$Y18&gt;=Sanidade!$X18,AND(Sanidade!$X18&lt;=BE$1,Sanidade!$Y18&gt;=BE$1)),Sanidade!$W18/(Sanidade!$Y18-Sanidade!$X18+1),0))</f>
        <v>0</v>
      </c>
      <c r="BF145" s="460">
        <f>IF(AND(Sanidade!$Y18=Sanidade!$X18,Sanidade!$X18=BF$1),Sanidade!$W18,IF(AND(Sanidade!$Y18&gt;=Sanidade!$X18,AND(Sanidade!$X18&lt;=BF$1,Sanidade!$Y18&gt;=BF$1)),Sanidade!$W18/(Sanidade!$Y18-Sanidade!$X18+1),0))</f>
        <v>0</v>
      </c>
      <c r="BG145" s="460">
        <f>IF(AND(Sanidade!$Y18=Sanidade!$X18,Sanidade!$X18=BG$1),Sanidade!$W18,IF(AND(Sanidade!$Y18&gt;=Sanidade!$X18,AND(Sanidade!$X18&lt;=BG$1,Sanidade!$Y18&gt;=BG$1)),Sanidade!$W18/(Sanidade!$Y18-Sanidade!$X18+1),0))</f>
        <v>0</v>
      </c>
      <c r="BH145" s="460">
        <f>IF(AND(Sanidade!$Y18=Sanidade!$X18,Sanidade!$X18=BH$1),Sanidade!$W18,IF(AND(Sanidade!$Y18&gt;=Sanidade!$X18,AND(Sanidade!$X18&lt;=BH$1,Sanidade!$Y18&gt;=BH$1)),Sanidade!$W18/(Sanidade!$Y18-Sanidade!$X18+1),0))</f>
        <v>0</v>
      </c>
      <c r="BI145" s="460">
        <f>IF(AND(Sanidade!$Y18=Sanidade!$X18,Sanidade!$X18=BI$1),Sanidade!$W18,IF(AND(Sanidade!$Y18&gt;=Sanidade!$X18,AND(Sanidade!$X18&lt;=BI$1,Sanidade!$Y18&gt;=BI$1)),Sanidade!$W18/(Sanidade!$Y18-Sanidade!$X18+1),0))</f>
        <v>0</v>
      </c>
      <c r="BJ145" s="460">
        <f>IF(AND(Sanidade!$Y18=Sanidade!$X18,Sanidade!$X18=BJ$1),Sanidade!$W18,IF(AND(Sanidade!$Y18&gt;=Sanidade!$X18,AND(Sanidade!$X18&lt;=BJ$1,Sanidade!$Y18&gt;=BJ$1)),Sanidade!$W18/(Sanidade!$Y18-Sanidade!$X18+1),0))</f>
        <v>0</v>
      </c>
      <c r="BK145" s="460">
        <f>IF(AND(Sanidade!$Y18=Sanidade!$X18,Sanidade!$X18=BK$1),Sanidade!$W18,IF(AND(Sanidade!$Y18&gt;=Sanidade!$X18,AND(Sanidade!$X18&lt;=BK$1,Sanidade!$Y18&gt;=BK$1)),Sanidade!$W18/(Sanidade!$Y18-Sanidade!$X18+1),0))</f>
        <v>0</v>
      </c>
      <c r="BL145" s="460">
        <f>IF(AND(Sanidade!$Y18=Sanidade!$X18,Sanidade!$X18=BL$1),Sanidade!$W18,IF(AND(Sanidade!$Y18&gt;=Sanidade!$X18,AND(Sanidade!$X18&lt;=BL$1,Sanidade!$Y18&gt;=BL$1)),Sanidade!$W18/(Sanidade!$Y18-Sanidade!$X18+1),0))</f>
        <v>0</v>
      </c>
      <c r="BM145" s="460">
        <f>IF(AND(Sanidade!$Y18=Sanidade!$X18,Sanidade!$X18=BM$1),Sanidade!$W18,IF(AND(Sanidade!$Y18&gt;=Sanidade!$X18,AND(Sanidade!$X18&lt;=BM$1,Sanidade!$Y18&gt;=BM$1)),Sanidade!$W18/(Sanidade!$Y18-Sanidade!$X18+1),0))</f>
        <v>0</v>
      </c>
      <c r="BN145" s="460">
        <f>IF(AND(Sanidade!$Y18=Sanidade!$X18,Sanidade!$X18=BN$1),Sanidade!$W18,IF(AND(Sanidade!$Y18&gt;=Sanidade!$X18,AND(Sanidade!$X18&lt;=BN$1,Sanidade!$Y18&gt;=BN$1)),Sanidade!$W18/(Sanidade!$Y18-Sanidade!$X18+1),0))</f>
        <v>0</v>
      </c>
      <c r="BO145" s="460">
        <f>IF(AND(Sanidade!$Y18=Sanidade!$X18,Sanidade!$X18=BO$1),Sanidade!$W18,IF(AND(Sanidade!$Y18&gt;=Sanidade!$X18,AND(Sanidade!$X18&lt;=BO$1,Sanidade!$Y18&gt;=BO$1)),Sanidade!$W18/(Sanidade!$Y18-Sanidade!$X18+1),0))</f>
        <v>0</v>
      </c>
      <c r="BP145" s="460">
        <f>IF(AND(Sanidade!$Y18=Sanidade!$X18,Sanidade!$X18=BP$1),Sanidade!$W18,IF(AND(Sanidade!$Y18&gt;=Sanidade!$X18,AND(Sanidade!$X18&lt;=BP$1,Sanidade!$Y18&gt;=BP$1)),Sanidade!$W18/(Sanidade!$Y18-Sanidade!$X18+1),0))</f>
        <v>0</v>
      </c>
      <c r="BQ145" s="460">
        <f>IF(AND(Sanidade!$Y18=Sanidade!$X18,Sanidade!$X18=BQ$1),Sanidade!$W18,IF(AND(Sanidade!$Y18&gt;=Sanidade!$X18,AND(Sanidade!$X18&lt;=BQ$1,Sanidade!$Y18&gt;=BQ$1)),Sanidade!$W18/(Sanidade!$Y18-Sanidade!$X18+1),0))</f>
        <v>0</v>
      </c>
      <c r="BR145" s="460">
        <f>IF(AND(Sanidade!$Y18=Sanidade!$X18,Sanidade!$X18=BR$1),Sanidade!$W18,IF(AND(Sanidade!$Y18&gt;=Sanidade!$X18,AND(Sanidade!$X18&lt;=BR$1,Sanidade!$Y18&gt;=BR$1)),Sanidade!$W18/(Sanidade!$Y18-Sanidade!$X18+1),0))</f>
        <v>0</v>
      </c>
      <c r="BS145" s="460">
        <f>IF(AND(Sanidade!$Y18=Sanidade!$X18,Sanidade!$X18=BS$1),Sanidade!$W18,IF(AND(Sanidade!$Y18&gt;=Sanidade!$X18,AND(Sanidade!$X18&lt;=BS$1,Sanidade!$Y18&gt;=BS$1)),Sanidade!$W18/(Sanidade!$Y18-Sanidade!$X18+1),0))</f>
        <v>0</v>
      </c>
      <c r="BT145" s="461">
        <f>IF(AND(Sanidade!$Y18=Sanidade!$X18,Sanidade!$X18=BT$1),Sanidade!$W18,IF(AND(Sanidade!$Y18&gt;=Sanidade!$X18,AND(Sanidade!$X18&lt;=BT$1,Sanidade!$Y18&gt;=BT$1)),Sanidade!$W18/(Sanidade!$Y18-Sanidade!$X18+1),0))</f>
        <v>0</v>
      </c>
    </row>
    <row r="146" spans="2:72" x14ac:dyDescent="0.2">
      <c r="B146" s="499"/>
      <c r="C146" s="500"/>
      <c r="D146" s="497"/>
      <c r="E146" s="497"/>
      <c r="F146" s="497"/>
      <c r="G146" s="497"/>
      <c r="H146" s="497"/>
      <c r="BA146" s="459" t="str">
        <f>VLOOKUP(Sanidade!E19,Dados!$A$3:$N$10,13)</f>
        <v>Vacinas</v>
      </c>
      <c r="BB146" s="460">
        <f>IF(AND(Sanidade!$Y19=Sanidade!$X19,Sanidade!$X19=BB$1),Sanidade!$W19,IF(AND(Sanidade!$Y19&gt;=Sanidade!$X19,AND(Sanidade!$X19&lt;=BB$1,Sanidade!$Y19&gt;=BB$1)),Sanidade!$W19/(Sanidade!$Y19-Sanidade!$X19+1),0))</f>
        <v>626.20444444444456</v>
      </c>
      <c r="BC146" s="460">
        <f>IF(AND(Sanidade!$Y19=Sanidade!$X19,Sanidade!$X19=BC$1),Sanidade!$W19,IF(AND(Sanidade!$Y19&gt;=Sanidade!$X19,AND(Sanidade!$X19&lt;=BC$1,Sanidade!$Y19&gt;=BC$1)),Sanidade!$W19/(Sanidade!$Y19-Sanidade!$X19+1),0))</f>
        <v>0</v>
      </c>
      <c r="BD146" s="460">
        <f>IF(AND(Sanidade!$Y19=Sanidade!$X19,Sanidade!$X19=BD$1),Sanidade!$W19,IF(AND(Sanidade!$Y19&gt;=Sanidade!$X19,AND(Sanidade!$X19&lt;=BD$1,Sanidade!$Y19&gt;=BD$1)),Sanidade!$W19/(Sanidade!$Y19-Sanidade!$X19+1),0))</f>
        <v>0</v>
      </c>
      <c r="BE146" s="460">
        <f>IF(AND(Sanidade!$Y19=Sanidade!$X19,Sanidade!$X19=BE$1),Sanidade!$W19,IF(AND(Sanidade!$Y19&gt;=Sanidade!$X19,AND(Sanidade!$X19&lt;=BE$1,Sanidade!$Y19&gt;=BE$1)),Sanidade!$W19/(Sanidade!$Y19-Sanidade!$X19+1),0))</f>
        <v>0</v>
      </c>
      <c r="BF146" s="460">
        <f>IF(AND(Sanidade!$Y19=Sanidade!$X19,Sanidade!$X19=BF$1),Sanidade!$W19,IF(AND(Sanidade!$Y19&gt;=Sanidade!$X19,AND(Sanidade!$X19&lt;=BF$1,Sanidade!$Y19&gt;=BF$1)),Sanidade!$W19/(Sanidade!$Y19-Sanidade!$X19+1),0))</f>
        <v>0</v>
      </c>
      <c r="BG146" s="460">
        <f>IF(AND(Sanidade!$Y19=Sanidade!$X19,Sanidade!$X19=BG$1),Sanidade!$W19,IF(AND(Sanidade!$Y19&gt;=Sanidade!$X19,AND(Sanidade!$X19&lt;=BG$1,Sanidade!$Y19&gt;=BG$1)),Sanidade!$W19/(Sanidade!$Y19-Sanidade!$X19+1),0))</f>
        <v>0</v>
      </c>
      <c r="BH146" s="460">
        <f>IF(AND(Sanidade!$Y19=Sanidade!$X19,Sanidade!$X19=BH$1),Sanidade!$W19,IF(AND(Sanidade!$Y19&gt;=Sanidade!$X19,AND(Sanidade!$X19&lt;=BH$1,Sanidade!$Y19&gt;=BH$1)),Sanidade!$W19/(Sanidade!$Y19-Sanidade!$X19+1),0))</f>
        <v>0</v>
      </c>
      <c r="BI146" s="460">
        <f>IF(AND(Sanidade!$Y19=Sanidade!$X19,Sanidade!$X19=BI$1),Sanidade!$W19,IF(AND(Sanidade!$Y19&gt;=Sanidade!$X19,AND(Sanidade!$X19&lt;=BI$1,Sanidade!$Y19&gt;=BI$1)),Sanidade!$W19/(Sanidade!$Y19-Sanidade!$X19+1),0))</f>
        <v>0</v>
      </c>
      <c r="BJ146" s="460">
        <f>IF(AND(Sanidade!$Y19=Sanidade!$X19,Sanidade!$X19=BJ$1),Sanidade!$W19,IF(AND(Sanidade!$Y19&gt;=Sanidade!$X19,AND(Sanidade!$X19&lt;=BJ$1,Sanidade!$Y19&gt;=BJ$1)),Sanidade!$W19/(Sanidade!$Y19-Sanidade!$X19+1),0))</f>
        <v>0</v>
      </c>
      <c r="BK146" s="460">
        <f>IF(AND(Sanidade!$Y19=Sanidade!$X19,Sanidade!$X19=BK$1),Sanidade!$W19,IF(AND(Sanidade!$Y19&gt;=Sanidade!$X19,AND(Sanidade!$X19&lt;=BK$1,Sanidade!$Y19&gt;=BK$1)),Sanidade!$W19/(Sanidade!$Y19-Sanidade!$X19+1),0))</f>
        <v>0</v>
      </c>
      <c r="BL146" s="460">
        <f>IF(AND(Sanidade!$Y19=Sanidade!$X19,Sanidade!$X19=BL$1),Sanidade!$W19,IF(AND(Sanidade!$Y19&gt;=Sanidade!$X19,AND(Sanidade!$X19&lt;=BL$1,Sanidade!$Y19&gt;=BL$1)),Sanidade!$W19/(Sanidade!$Y19-Sanidade!$X19+1),0))</f>
        <v>0</v>
      </c>
      <c r="BM146" s="460">
        <f>IF(AND(Sanidade!$Y19=Sanidade!$X19,Sanidade!$X19=BM$1),Sanidade!$W19,IF(AND(Sanidade!$Y19&gt;=Sanidade!$X19,AND(Sanidade!$X19&lt;=BM$1,Sanidade!$Y19&gt;=BM$1)),Sanidade!$W19/(Sanidade!$Y19-Sanidade!$X19+1),0))</f>
        <v>0</v>
      </c>
      <c r="BN146" s="460">
        <f>IF(AND(Sanidade!$Y19=Sanidade!$X19,Sanidade!$X19=BN$1),Sanidade!$W19,IF(AND(Sanidade!$Y19&gt;=Sanidade!$X19,AND(Sanidade!$X19&lt;=BN$1,Sanidade!$Y19&gt;=BN$1)),Sanidade!$W19/(Sanidade!$Y19-Sanidade!$X19+1),0))</f>
        <v>0</v>
      </c>
      <c r="BO146" s="460">
        <f>IF(AND(Sanidade!$Y19=Sanidade!$X19,Sanidade!$X19=BO$1),Sanidade!$W19,IF(AND(Sanidade!$Y19&gt;=Sanidade!$X19,AND(Sanidade!$X19&lt;=BO$1,Sanidade!$Y19&gt;=BO$1)),Sanidade!$W19/(Sanidade!$Y19-Sanidade!$X19+1),0))</f>
        <v>0</v>
      </c>
      <c r="BP146" s="460">
        <f>IF(AND(Sanidade!$Y19=Sanidade!$X19,Sanidade!$X19=BP$1),Sanidade!$W19,IF(AND(Sanidade!$Y19&gt;=Sanidade!$X19,AND(Sanidade!$X19&lt;=BP$1,Sanidade!$Y19&gt;=BP$1)),Sanidade!$W19/(Sanidade!$Y19-Sanidade!$X19+1),0))</f>
        <v>0</v>
      </c>
      <c r="BQ146" s="460">
        <f>IF(AND(Sanidade!$Y19=Sanidade!$X19,Sanidade!$X19=BQ$1),Sanidade!$W19,IF(AND(Sanidade!$Y19&gt;=Sanidade!$X19,AND(Sanidade!$X19&lt;=BQ$1,Sanidade!$Y19&gt;=BQ$1)),Sanidade!$W19/(Sanidade!$Y19-Sanidade!$X19+1),0))</f>
        <v>0</v>
      </c>
      <c r="BR146" s="460">
        <f>IF(AND(Sanidade!$Y19=Sanidade!$X19,Sanidade!$X19=BR$1),Sanidade!$W19,IF(AND(Sanidade!$Y19&gt;=Sanidade!$X19,AND(Sanidade!$X19&lt;=BR$1,Sanidade!$Y19&gt;=BR$1)),Sanidade!$W19/(Sanidade!$Y19-Sanidade!$X19+1),0))</f>
        <v>0</v>
      </c>
      <c r="BS146" s="460">
        <f>IF(AND(Sanidade!$Y19=Sanidade!$X19,Sanidade!$X19=BS$1),Sanidade!$W19,IF(AND(Sanidade!$Y19&gt;=Sanidade!$X19,AND(Sanidade!$X19&lt;=BS$1,Sanidade!$Y19&gt;=BS$1)),Sanidade!$W19/(Sanidade!$Y19-Sanidade!$X19+1),0))</f>
        <v>0</v>
      </c>
      <c r="BT146" s="461">
        <f>IF(AND(Sanidade!$Y19=Sanidade!$X19,Sanidade!$X19=BT$1),Sanidade!$W19,IF(AND(Sanidade!$Y19&gt;=Sanidade!$X19,AND(Sanidade!$X19&lt;=BT$1,Sanidade!$Y19&gt;=BT$1)),Sanidade!$W19/(Sanidade!$Y19-Sanidade!$X19+1),0))</f>
        <v>0</v>
      </c>
    </row>
    <row r="147" spans="2:72" x14ac:dyDescent="0.2">
      <c r="B147" s="499"/>
      <c r="C147" s="500"/>
      <c r="D147" s="497"/>
      <c r="E147" s="497"/>
      <c r="F147" s="497"/>
      <c r="G147" s="497"/>
      <c r="H147" s="497"/>
      <c r="BA147" s="459">
        <f>VLOOKUP(Sanidade!E20,Dados!$A$3:$N$10,13)</f>
        <v>0</v>
      </c>
      <c r="BB147" s="460">
        <f>IF(AND(Sanidade!$Y20=Sanidade!$X20,Sanidade!$X20=BB$1),Sanidade!$W20,IF(AND(Sanidade!$Y20&gt;=Sanidade!$X20,AND(Sanidade!$X20&lt;=BB$1,Sanidade!$Y20&gt;=BB$1)),Sanidade!$W20/(Sanidade!$Y20-Sanidade!$X20+1),0))</f>
        <v>0</v>
      </c>
      <c r="BC147" s="460">
        <f>IF(AND(Sanidade!$Y20=Sanidade!$X20,Sanidade!$X20=BC$1),Sanidade!$W20,IF(AND(Sanidade!$Y20&gt;=Sanidade!$X20,AND(Sanidade!$X20&lt;=BC$1,Sanidade!$Y20&gt;=BC$1)),Sanidade!$W20/(Sanidade!$Y20-Sanidade!$X20+1),0))</f>
        <v>0</v>
      </c>
      <c r="BD147" s="460">
        <f>IF(AND(Sanidade!$Y20=Sanidade!$X20,Sanidade!$X20=BD$1),Sanidade!$W20,IF(AND(Sanidade!$Y20&gt;=Sanidade!$X20,AND(Sanidade!$X20&lt;=BD$1,Sanidade!$Y20&gt;=BD$1)),Sanidade!$W20/(Sanidade!$Y20-Sanidade!$X20+1),0))</f>
        <v>0</v>
      </c>
      <c r="BE147" s="460">
        <f>IF(AND(Sanidade!$Y20=Sanidade!$X20,Sanidade!$X20=BE$1),Sanidade!$W20,IF(AND(Sanidade!$Y20&gt;=Sanidade!$X20,AND(Sanidade!$X20&lt;=BE$1,Sanidade!$Y20&gt;=BE$1)),Sanidade!$W20/(Sanidade!$Y20-Sanidade!$X20+1),0))</f>
        <v>0</v>
      </c>
      <c r="BF147" s="460">
        <f>IF(AND(Sanidade!$Y20=Sanidade!$X20,Sanidade!$X20=BF$1),Sanidade!$W20,IF(AND(Sanidade!$Y20&gt;=Sanidade!$X20,AND(Sanidade!$X20&lt;=BF$1,Sanidade!$Y20&gt;=BF$1)),Sanidade!$W20/(Sanidade!$Y20-Sanidade!$X20+1),0))</f>
        <v>0</v>
      </c>
      <c r="BG147" s="460">
        <f>IF(AND(Sanidade!$Y20=Sanidade!$X20,Sanidade!$X20=BG$1),Sanidade!$W20,IF(AND(Sanidade!$Y20&gt;=Sanidade!$X20,AND(Sanidade!$X20&lt;=BG$1,Sanidade!$Y20&gt;=BG$1)),Sanidade!$W20/(Sanidade!$Y20-Sanidade!$X20+1),0))</f>
        <v>0</v>
      </c>
      <c r="BH147" s="460">
        <f>IF(AND(Sanidade!$Y20=Sanidade!$X20,Sanidade!$X20=BH$1),Sanidade!$W20,IF(AND(Sanidade!$Y20&gt;=Sanidade!$X20,AND(Sanidade!$X20&lt;=BH$1,Sanidade!$Y20&gt;=BH$1)),Sanidade!$W20/(Sanidade!$Y20-Sanidade!$X20+1),0))</f>
        <v>0</v>
      </c>
      <c r="BI147" s="460">
        <f>IF(AND(Sanidade!$Y20=Sanidade!$X20,Sanidade!$X20=BI$1),Sanidade!$W20,IF(AND(Sanidade!$Y20&gt;=Sanidade!$X20,AND(Sanidade!$X20&lt;=BI$1,Sanidade!$Y20&gt;=BI$1)),Sanidade!$W20/(Sanidade!$Y20-Sanidade!$X20+1),0))</f>
        <v>0</v>
      </c>
      <c r="BJ147" s="460">
        <f>IF(AND(Sanidade!$Y20=Sanidade!$X20,Sanidade!$X20=BJ$1),Sanidade!$W20,IF(AND(Sanidade!$Y20&gt;=Sanidade!$X20,AND(Sanidade!$X20&lt;=BJ$1,Sanidade!$Y20&gt;=BJ$1)),Sanidade!$W20/(Sanidade!$Y20-Sanidade!$X20+1),0))</f>
        <v>0</v>
      </c>
      <c r="BK147" s="460">
        <f>IF(AND(Sanidade!$Y20=Sanidade!$X20,Sanidade!$X20=BK$1),Sanidade!$W20,IF(AND(Sanidade!$Y20&gt;=Sanidade!$X20,AND(Sanidade!$X20&lt;=BK$1,Sanidade!$Y20&gt;=BK$1)),Sanidade!$W20/(Sanidade!$Y20-Sanidade!$X20+1),0))</f>
        <v>0</v>
      </c>
      <c r="BL147" s="460">
        <f>IF(AND(Sanidade!$Y20=Sanidade!$X20,Sanidade!$X20=BL$1),Sanidade!$W20,IF(AND(Sanidade!$Y20&gt;=Sanidade!$X20,AND(Sanidade!$X20&lt;=BL$1,Sanidade!$Y20&gt;=BL$1)),Sanidade!$W20/(Sanidade!$Y20-Sanidade!$X20+1),0))</f>
        <v>0</v>
      </c>
      <c r="BM147" s="460">
        <f>IF(AND(Sanidade!$Y20=Sanidade!$X20,Sanidade!$X20=BM$1),Sanidade!$W20,IF(AND(Sanidade!$Y20&gt;=Sanidade!$X20,AND(Sanidade!$X20&lt;=BM$1,Sanidade!$Y20&gt;=BM$1)),Sanidade!$W20/(Sanidade!$Y20-Sanidade!$X20+1),0))</f>
        <v>0</v>
      </c>
      <c r="BN147" s="460">
        <f>IF(AND(Sanidade!$Y20=Sanidade!$X20,Sanidade!$X20=BN$1),Sanidade!$W20,IF(AND(Sanidade!$Y20&gt;=Sanidade!$X20,AND(Sanidade!$X20&lt;=BN$1,Sanidade!$Y20&gt;=BN$1)),Sanidade!$W20/(Sanidade!$Y20-Sanidade!$X20+1),0))</f>
        <v>0</v>
      </c>
      <c r="BO147" s="460">
        <f>IF(AND(Sanidade!$Y20=Sanidade!$X20,Sanidade!$X20=BO$1),Sanidade!$W20,IF(AND(Sanidade!$Y20&gt;=Sanidade!$X20,AND(Sanidade!$X20&lt;=BO$1,Sanidade!$Y20&gt;=BO$1)),Sanidade!$W20/(Sanidade!$Y20-Sanidade!$X20+1),0))</f>
        <v>0</v>
      </c>
      <c r="BP147" s="460">
        <f>IF(AND(Sanidade!$Y20=Sanidade!$X20,Sanidade!$X20=BP$1),Sanidade!$W20,IF(AND(Sanidade!$Y20&gt;=Sanidade!$X20,AND(Sanidade!$X20&lt;=BP$1,Sanidade!$Y20&gt;=BP$1)),Sanidade!$W20/(Sanidade!$Y20-Sanidade!$X20+1),0))</f>
        <v>0</v>
      </c>
      <c r="BQ147" s="460">
        <f>IF(AND(Sanidade!$Y20=Sanidade!$X20,Sanidade!$X20=BQ$1),Sanidade!$W20,IF(AND(Sanidade!$Y20&gt;=Sanidade!$X20,AND(Sanidade!$X20&lt;=BQ$1,Sanidade!$Y20&gt;=BQ$1)),Sanidade!$W20/(Sanidade!$Y20-Sanidade!$X20+1),0))</f>
        <v>0</v>
      </c>
      <c r="BR147" s="460">
        <f>IF(AND(Sanidade!$Y20=Sanidade!$X20,Sanidade!$X20=BR$1),Sanidade!$W20,IF(AND(Sanidade!$Y20&gt;=Sanidade!$X20,AND(Sanidade!$X20&lt;=BR$1,Sanidade!$Y20&gt;=BR$1)),Sanidade!$W20/(Sanidade!$Y20-Sanidade!$X20+1),0))</f>
        <v>0</v>
      </c>
      <c r="BS147" s="460">
        <f>IF(AND(Sanidade!$Y20=Sanidade!$X20,Sanidade!$X20=BS$1),Sanidade!$W20,IF(AND(Sanidade!$Y20&gt;=Sanidade!$X20,AND(Sanidade!$X20&lt;=BS$1,Sanidade!$Y20&gt;=BS$1)),Sanidade!$W20/(Sanidade!$Y20-Sanidade!$X20+1),0))</f>
        <v>0</v>
      </c>
      <c r="BT147" s="461">
        <f>IF(AND(Sanidade!$Y20=Sanidade!$X20,Sanidade!$X20=BT$1),Sanidade!$W20,IF(AND(Sanidade!$Y20&gt;=Sanidade!$X20,AND(Sanidade!$X20&lt;=BT$1,Sanidade!$Y20&gt;=BT$1)),Sanidade!$W20/(Sanidade!$Y20-Sanidade!$X20+1),0))</f>
        <v>0</v>
      </c>
    </row>
    <row r="148" spans="2:72" x14ac:dyDescent="0.2">
      <c r="B148" s="499"/>
      <c r="C148" s="500"/>
      <c r="D148" s="497"/>
      <c r="E148" s="497"/>
      <c r="F148" s="497"/>
      <c r="G148" s="497"/>
      <c r="H148" s="497"/>
      <c r="BA148" s="459" t="str">
        <f>VLOOKUP(Sanidade!E25,Dados!$A$3:$N$10,13)</f>
        <v>Antibióticos</v>
      </c>
      <c r="BB148" s="460">
        <f>IF(AND(Sanidade!$Y25=Sanidade!$X25,Sanidade!$X25=BB$1),Sanidade!$W25,IF(AND(Sanidade!$Y25&gt;=Sanidade!$X25,AND(Sanidade!$X25&lt;=BB$1,Sanidade!$Y25&gt;=BB$1)),Sanidade!$W25/(Sanidade!$Y25-Sanidade!$X25+1),0))</f>
        <v>250</v>
      </c>
      <c r="BC148" s="460">
        <f>IF(AND(Sanidade!$Y25=Sanidade!$X25,Sanidade!$X25=BC$1),Sanidade!$W25,IF(AND(Sanidade!$Y25&gt;=Sanidade!$X25,AND(Sanidade!$X25&lt;=BC$1,Sanidade!$Y25&gt;=BC$1)),Sanidade!$W25/(Sanidade!$Y25-Sanidade!$X25+1),0))</f>
        <v>0</v>
      </c>
      <c r="BD148" s="460">
        <f>IF(AND(Sanidade!$Y25=Sanidade!$X25,Sanidade!$X25=BD$1),Sanidade!$W25,IF(AND(Sanidade!$Y25&gt;=Sanidade!$X25,AND(Sanidade!$X25&lt;=BD$1,Sanidade!$Y25&gt;=BD$1)),Sanidade!$W25/(Sanidade!$Y25-Sanidade!$X25+1),0))</f>
        <v>0</v>
      </c>
      <c r="BE148" s="460">
        <f>IF(AND(Sanidade!$Y25=Sanidade!$X25,Sanidade!$X25=BE$1),Sanidade!$W25,IF(AND(Sanidade!$Y25&gt;=Sanidade!$X25,AND(Sanidade!$X25&lt;=BE$1,Sanidade!$Y25&gt;=BE$1)),Sanidade!$W25/(Sanidade!$Y25-Sanidade!$X25+1),0))</f>
        <v>0</v>
      </c>
      <c r="BF148" s="460">
        <f>IF(AND(Sanidade!$Y25=Sanidade!$X25,Sanidade!$X25=BF$1),Sanidade!$W25,IF(AND(Sanidade!$Y25&gt;=Sanidade!$X25,AND(Sanidade!$X25&lt;=BF$1,Sanidade!$Y25&gt;=BF$1)),Sanidade!$W25/(Sanidade!$Y25-Sanidade!$X25+1),0))</f>
        <v>0</v>
      </c>
      <c r="BG148" s="460">
        <f>IF(AND(Sanidade!$Y25=Sanidade!$X25,Sanidade!$X25=BG$1),Sanidade!$W25,IF(AND(Sanidade!$Y25&gt;=Sanidade!$X25,AND(Sanidade!$X25&lt;=BG$1,Sanidade!$Y25&gt;=BG$1)),Sanidade!$W25/(Sanidade!$Y25-Sanidade!$X25+1),0))</f>
        <v>0</v>
      </c>
      <c r="BH148" s="460">
        <f>IF(AND(Sanidade!$Y25=Sanidade!$X25,Sanidade!$X25=BH$1),Sanidade!$W25,IF(AND(Sanidade!$Y25&gt;=Sanidade!$X25,AND(Sanidade!$X25&lt;=BH$1,Sanidade!$Y25&gt;=BH$1)),Sanidade!$W25/(Sanidade!$Y25-Sanidade!$X25+1),0))</f>
        <v>0</v>
      </c>
      <c r="BI148" s="460">
        <f>IF(AND(Sanidade!$Y25=Sanidade!$X25,Sanidade!$X25=BI$1),Sanidade!$W25,IF(AND(Sanidade!$Y25&gt;=Sanidade!$X25,AND(Sanidade!$X25&lt;=BI$1,Sanidade!$Y25&gt;=BI$1)),Sanidade!$W25/(Sanidade!$Y25-Sanidade!$X25+1),0))</f>
        <v>0</v>
      </c>
      <c r="BJ148" s="460">
        <f>IF(AND(Sanidade!$Y25=Sanidade!$X25,Sanidade!$X25=BJ$1),Sanidade!$W25,IF(AND(Sanidade!$Y25&gt;=Sanidade!$X25,AND(Sanidade!$X25&lt;=BJ$1,Sanidade!$Y25&gt;=BJ$1)),Sanidade!$W25/(Sanidade!$Y25-Sanidade!$X25+1),0))</f>
        <v>0</v>
      </c>
      <c r="BK148" s="460">
        <f>IF(AND(Sanidade!$Y25=Sanidade!$X25,Sanidade!$X25=BK$1),Sanidade!$W25,IF(AND(Sanidade!$Y25&gt;=Sanidade!$X25,AND(Sanidade!$X25&lt;=BK$1,Sanidade!$Y25&gt;=BK$1)),Sanidade!$W25/(Sanidade!$Y25-Sanidade!$X25+1),0))</f>
        <v>0</v>
      </c>
      <c r="BL148" s="460">
        <f>IF(AND(Sanidade!$Y25=Sanidade!$X25,Sanidade!$X25=BL$1),Sanidade!$W25,IF(AND(Sanidade!$Y25&gt;=Sanidade!$X25,AND(Sanidade!$X25&lt;=BL$1,Sanidade!$Y25&gt;=BL$1)),Sanidade!$W25/(Sanidade!$Y25-Sanidade!$X25+1),0))</f>
        <v>0</v>
      </c>
      <c r="BM148" s="460">
        <f>IF(AND(Sanidade!$Y25=Sanidade!$X25,Sanidade!$X25=BM$1),Sanidade!$W25,IF(AND(Sanidade!$Y25&gt;=Sanidade!$X25,AND(Sanidade!$X25&lt;=BM$1,Sanidade!$Y25&gt;=BM$1)),Sanidade!$W25/(Sanidade!$Y25-Sanidade!$X25+1),0))</f>
        <v>0</v>
      </c>
      <c r="BN148" s="460">
        <f>IF(AND(Sanidade!$Y25=Sanidade!$X25,Sanidade!$X25=BN$1),Sanidade!$W25,IF(AND(Sanidade!$Y25&gt;=Sanidade!$X25,AND(Sanidade!$X25&lt;=BN$1,Sanidade!$Y25&gt;=BN$1)),Sanidade!$W25/(Sanidade!$Y25-Sanidade!$X25+1),0))</f>
        <v>0</v>
      </c>
      <c r="BO148" s="460">
        <f>IF(AND(Sanidade!$Y25=Sanidade!$X25,Sanidade!$X25=BO$1),Sanidade!$W25,IF(AND(Sanidade!$Y25&gt;=Sanidade!$X25,AND(Sanidade!$X25&lt;=BO$1,Sanidade!$Y25&gt;=BO$1)),Sanidade!$W25/(Sanidade!$Y25-Sanidade!$X25+1),0))</f>
        <v>0</v>
      </c>
      <c r="BP148" s="460">
        <f>IF(AND(Sanidade!$Y25=Sanidade!$X25,Sanidade!$X25=BP$1),Sanidade!$W25,IF(AND(Sanidade!$Y25&gt;=Sanidade!$X25,AND(Sanidade!$X25&lt;=BP$1,Sanidade!$Y25&gt;=BP$1)),Sanidade!$W25/(Sanidade!$Y25-Sanidade!$X25+1),0))</f>
        <v>0</v>
      </c>
      <c r="BQ148" s="460">
        <f>IF(AND(Sanidade!$Y25=Sanidade!$X25,Sanidade!$X25=BQ$1),Sanidade!$W25,IF(AND(Sanidade!$Y25&gt;=Sanidade!$X25,AND(Sanidade!$X25&lt;=BQ$1,Sanidade!$Y25&gt;=BQ$1)),Sanidade!$W25/(Sanidade!$Y25-Sanidade!$X25+1),0))</f>
        <v>0</v>
      </c>
      <c r="BR148" s="460">
        <f>IF(AND(Sanidade!$Y25=Sanidade!$X25,Sanidade!$X25=BR$1),Sanidade!$W25,IF(AND(Sanidade!$Y25&gt;=Sanidade!$X25,AND(Sanidade!$X25&lt;=BR$1,Sanidade!$Y25&gt;=BR$1)),Sanidade!$W25/(Sanidade!$Y25-Sanidade!$X25+1),0))</f>
        <v>0</v>
      </c>
      <c r="BS148" s="460">
        <f>IF(AND(Sanidade!$Y25=Sanidade!$X25,Sanidade!$X25=BS$1),Sanidade!$W25,IF(AND(Sanidade!$Y25&gt;=Sanidade!$X25,AND(Sanidade!$X25&lt;=BS$1,Sanidade!$Y25&gt;=BS$1)),Sanidade!$W25/(Sanidade!$Y25-Sanidade!$X25+1),0))</f>
        <v>0</v>
      </c>
      <c r="BT148" s="461">
        <f>IF(AND(Sanidade!$Y25=Sanidade!$X25,Sanidade!$X25=BT$1),Sanidade!$W25,IF(AND(Sanidade!$Y25&gt;=Sanidade!$X25,AND(Sanidade!$X25&lt;=BT$1,Sanidade!$Y25&gt;=BT$1)),Sanidade!$W25/(Sanidade!$Y25-Sanidade!$X25+1),0))</f>
        <v>0</v>
      </c>
    </row>
    <row r="149" spans="2:72" x14ac:dyDescent="0.2">
      <c r="B149" s="499"/>
      <c r="C149" s="500"/>
      <c r="D149" s="497"/>
      <c r="E149" s="497"/>
      <c r="F149" s="497"/>
      <c r="G149" s="497"/>
      <c r="H149" s="497"/>
      <c r="BA149" s="459" t="str">
        <f>VLOOKUP(Sanidade!E26,Dados!$A$3:$N$10,13)</f>
        <v>Med. em geral</v>
      </c>
      <c r="BB149" s="460">
        <f>IF(AND(Sanidade!$Y26=Sanidade!$X26,Sanidade!$X26=BB$1),Sanidade!$W26,IF(AND(Sanidade!$Y26&gt;=Sanidade!$X26,AND(Sanidade!$X26&lt;=BB$1,Sanidade!$Y26&gt;=BB$1)),Sanidade!$W26/(Sanidade!$Y26-Sanidade!$X26+1),0))</f>
        <v>1380</v>
      </c>
      <c r="BC149" s="460">
        <f>IF(AND(Sanidade!$Y26=Sanidade!$X26,Sanidade!$X26=BC$1),Sanidade!$W26,IF(AND(Sanidade!$Y26&gt;=Sanidade!$X26,AND(Sanidade!$X26&lt;=BC$1,Sanidade!$Y26&gt;=BC$1)),Sanidade!$W26/(Sanidade!$Y26-Sanidade!$X26+1),0))</f>
        <v>0</v>
      </c>
      <c r="BD149" s="460">
        <f>IF(AND(Sanidade!$Y26=Sanidade!$X26,Sanidade!$X26=BD$1),Sanidade!$W26,IF(AND(Sanidade!$Y26&gt;=Sanidade!$X26,AND(Sanidade!$X26&lt;=BD$1,Sanidade!$Y26&gt;=BD$1)),Sanidade!$W26/(Sanidade!$Y26-Sanidade!$X26+1),0))</f>
        <v>0</v>
      </c>
      <c r="BE149" s="460">
        <f>IF(AND(Sanidade!$Y26=Sanidade!$X26,Sanidade!$X26=BE$1),Sanidade!$W26,IF(AND(Sanidade!$Y26&gt;=Sanidade!$X26,AND(Sanidade!$X26&lt;=BE$1,Sanidade!$Y26&gt;=BE$1)),Sanidade!$W26/(Sanidade!$Y26-Sanidade!$X26+1),0))</f>
        <v>0</v>
      </c>
      <c r="BF149" s="460">
        <f>IF(AND(Sanidade!$Y26=Sanidade!$X26,Sanidade!$X26=BF$1),Sanidade!$W26,IF(AND(Sanidade!$Y26&gt;=Sanidade!$X26,AND(Sanidade!$X26&lt;=BF$1,Sanidade!$Y26&gt;=BF$1)),Sanidade!$W26/(Sanidade!$Y26-Sanidade!$X26+1),0))</f>
        <v>0</v>
      </c>
      <c r="BG149" s="460">
        <f>IF(AND(Sanidade!$Y26=Sanidade!$X26,Sanidade!$X26=BG$1),Sanidade!$W26,IF(AND(Sanidade!$Y26&gt;=Sanidade!$X26,AND(Sanidade!$X26&lt;=BG$1,Sanidade!$Y26&gt;=BG$1)),Sanidade!$W26/(Sanidade!$Y26-Sanidade!$X26+1),0))</f>
        <v>0</v>
      </c>
      <c r="BH149" s="460">
        <f>IF(AND(Sanidade!$Y26=Sanidade!$X26,Sanidade!$X26=BH$1),Sanidade!$W26,IF(AND(Sanidade!$Y26&gt;=Sanidade!$X26,AND(Sanidade!$X26&lt;=BH$1,Sanidade!$Y26&gt;=BH$1)),Sanidade!$W26/(Sanidade!$Y26-Sanidade!$X26+1),0))</f>
        <v>0</v>
      </c>
      <c r="BI149" s="460">
        <f>IF(AND(Sanidade!$Y26=Sanidade!$X26,Sanidade!$X26=BI$1),Sanidade!$W26,IF(AND(Sanidade!$Y26&gt;=Sanidade!$X26,AND(Sanidade!$X26&lt;=BI$1,Sanidade!$Y26&gt;=BI$1)),Sanidade!$W26/(Sanidade!$Y26-Sanidade!$X26+1),0))</f>
        <v>0</v>
      </c>
      <c r="BJ149" s="460">
        <f>IF(AND(Sanidade!$Y26=Sanidade!$X26,Sanidade!$X26=BJ$1),Sanidade!$W26,IF(AND(Sanidade!$Y26&gt;=Sanidade!$X26,AND(Sanidade!$X26&lt;=BJ$1,Sanidade!$Y26&gt;=BJ$1)),Sanidade!$W26/(Sanidade!$Y26-Sanidade!$X26+1),0))</f>
        <v>0</v>
      </c>
      <c r="BK149" s="460">
        <f>IF(AND(Sanidade!$Y26=Sanidade!$X26,Sanidade!$X26=BK$1),Sanidade!$W26,IF(AND(Sanidade!$Y26&gt;=Sanidade!$X26,AND(Sanidade!$X26&lt;=BK$1,Sanidade!$Y26&gt;=BK$1)),Sanidade!$W26/(Sanidade!$Y26-Sanidade!$X26+1),0))</f>
        <v>0</v>
      </c>
      <c r="BL149" s="460">
        <f>IF(AND(Sanidade!$Y26=Sanidade!$X26,Sanidade!$X26=BL$1),Sanidade!$W26,IF(AND(Sanidade!$Y26&gt;=Sanidade!$X26,AND(Sanidade!$X26&lt;=BL$1,Sanidade!$Y26&gt;=BL$1)),Sanidade!$W26/(Sanidade!$Y26-Sanidade!$X26+1),0))</f>
        <v>0</v>
      </c>
      <c r="BM149" s="460">
        <f>IF(AND(Sanidade!$Y26=Sanidade!$X26,Sanidade!$X26=BM$1),Sanidade!$W26,IF(AND(Sanidade!$Y26&gt;=Sanidade!$X26,AND(Sanidade!$X26&lt;=BM$1,Sanidade!$Y26&gt;=BM$1)),Sanidade!$W26/(Sanidade!$Y26-Sanidade!$X26+1),0))</f>
        <v>0</v>
      </c>
      <c r="BN149" s="460">
        <f>IF(AND(Sanidade!$Y26=Sanidade!$X26,Sanidade!$X26=BN$1),Sanidade!$W26,IF(AND(Sanidade!$Y26&gt;=Sanidade!$X26,AND(Sanidade!$X26&lt;=BN$1,Sanidade!$Y26&gt;=BN$1)),Sanidade!$W26/(Sanidade!$Y26-Sanidade!$X26+1),0))</f>
        <v>0</v>
      </c>
      <c r="BO149" s="460">
        <f>IF(AND(Sanidade!$Y26=Sanidade!$X26,Sanidade!$X26=BO$1),Sanidade!$W26,IF(AND(Sanidade!$Y26&gt;=Sanidade!$X26,AND(Sanidade!$X26&lt;=BO$1,Sanidade!$Y26&gt;=BO$1)),Sanidade!$W26/(Sanidade!$Y26-Sanidade!$X26+1),0))</f>
        <v>0</v>
      </c>
      <c r="BP149" s="460">
        <f>IF(AND(Sanidade!$Y26=Sanidade!$X26,Sanidade!$X26=BP$1),Sanidade!$W26,IF(AND(Sanidade!$Y26&gt;=Sanidade!$X26,AND(Sanidade!$X26&lt;=BP$1,Sanidade!$Y26&gt;=BP$1)),Sanidade!$W26/(Sanidade!$Y26-Sanidade!$X26+1),0))</f>
        <v>0</v>
      </c>
      <c r="BQ149" s="460">
        <f>IF(AND(Sanidade!$Y26=Sanidade!$X26,Sanidade!$X26=BQ$1),Sanidade!$W26,IF(AND(Sanidade!$Y26&gt;=Sanidade!$X26,AND(Sanidade!$X26&lt;=BQ$1,Sanidade!$Y26&gt;=BQ$1)),Sanidade!$W26/(Sanidade!$Y26-Sanidade!$X26+1),0))</f>
        <v>0</v>
      </c>
      <c r="BR149" s="460">
        <f>IF(AND(Sanidade!$Y26=Sanidade!$X26,Sanidade!$X26=BR$1),Sanidade!$W26,IF(AND(Sanidade!$Y26&gt;=Sanidade!$X26,AND(Sanidade!$X26&lt;=BR$1,Sanidade!$Y26&gt;=BR$1)),Sanidade!$W26/(Sanidade!$Y26-Sanidade!$X26+1),0))</f>
        <v>0</v>
      </c>
      <c r="BS149" s="460">
        <f>IF(AND(Sanidade!$Y26=Sanidade!$X26,Sanidade!$X26=BS$1),Sanidade!$W26,IF(AND(Sanidade!$Y26&gt;=Sanidade!$X26,AND(Sanidade!$X26&lt;=BS$1,Sanidade!$Y26&gt;=BS$1)),Sanidade!$W26/(Sanidade!$Y26-Sanidade!$X26+1),0))</f>
        <v>0</v>
      </c>
      <c r="BT149" s="461">
        <f>IF(AND(Sanidade!$Y26=Sanidade!$X26,Sanidade!$X26=BT$1),Sanidade!$W26,IF(AND(Sanidade!$Y26&gt;=Sanidade!$X26,AND(Sanidade!$X26&lt;=BT$1,Sanidade!$Y26&gt;=BT$1)),Sanidade!$W26/(Sanidade!$Y26-Sanidade!$X26+1),0))</f>
        <v>0</v>
      </c>
    </row>
    <row r="150" spans="2:72" x14ac:dyDescent="0.2">
      <c r="B150" s="499"/>
      <c r="C150" s="500"/>
      <c r="D150" s="497"/>
      <c r="E150" s="497"/>
      <c r="F150" s="497"/>
      <c r="G150" s="497"/>
      <c r="H150" s="497"/>
      <c r="BA150" s="459">
        <f>VLOOKUP(Sanidade!E27,Dados!$A$3:$N$10,13)</f>
        <v>0</v>
      </c>
      <c r="BB150" s="460">
        <f>IF(AND(Sanidade!$Y27=Sanidade!$X27,Sanidade!$X27=BB$1),Sanidade!$W27,IF(AND(Sanidade!$Y27&gt;=Sanidade!$X27,AND(Sanidade!$X27&lt;=BB$1,Sanidade!$Y27&gt;=BB$1)),Sanidade!$W27/(Sanidade!$Y27-Sanidade!$X27+1),0))</f>
        <v>0</v>
      </c>
      <c r="BC150" s="460">
        <f>IF(AND(Sanidade!$Y27=Sanidade!$X27,Sanidade!$X27=BC$1),Sanidade!$W27,IF(AND(Sanidade!$Y27&gt;=Sanidade!$X27,AND(Sanidade!$X27&lt;=BC$1,Sanidade!$Y27&gt;=BC$1)),Sanidade!$W27/(Sanidade!$Y27-Sanidade!$X27+1),0))</f>
        <v>0</v>
      </c>
      <c r="BD150" s="460">
        <f>IF(AND(Sanidade!$Y27=Sanidade!$X27,Sanidade!$X27=BD$1),Sanidade!$W27,IF(AND(Sanidade!$Y27&gt;=Sanidade!$X27,AND(Sanidade!$X27&lt;=BD$1,Sanidade!$Y27&gt;=BD$1)),Sanidade!$W27/(Sanidade!$Y27-Sanidade!$X27+1),0))</f>
        <v>0</v>
      </c>
      <c r="BE150" s="460">
        <f>IF(AND(Sanidade!$Y27=Sanidade!$X27,Sanidade!$X27=BE$1),Sanidade!$W27,IF(AND(Sanidade!$Y27&gt;=Sanidade!$X27,AND(Sanidade!$X27&lt;=BE$1,Sanidade!$Y27&gt;=BE$1)),Sanidade!$W27/(Sanidade!$Y27-Sanidade!$X27+1),0))</f>
        <v>0</v>
      </c>
      <c r="BF150" s="460">
        <f>IF(AND(Sanidade!$Y27=Sanidade!$X27,Sanidade!$X27=BF$1),Sanidade!$W27,IF(AND(Sanidade!$Y27&gt;=Sanidade!$X27,AND(Sanidade!$X27&lt;=BF$1,Sanidade!$Y27&gt;=BF$1)),Sanidade!$W27/(Sanidade!$Y27-Sanidade!$X27+1),0))</f>
        <v>0</v>
      </c>
      <c r="BG150" s="460">
        <f>IF(AND(Sanidade!$Y27=Sanidade!$X27,Sanidade!$X27=BG$1),Sanidade!$W27,IF(AND(Sanidade!$Y27&gt;=Sanidade!$X27,AND(Sanidade!$X27&lt;=BG$1,Sanidade!$Y27&gt;=BG$1)),Sanidade!$W27/(Sanidade!$Y27-Sanidade!$X27+1),0))</f>
        <v>0</v>
      </c>
      <c r="BH150" s="460">
        <f>IF(AND(Sanidade!$Y27=Sanidade!$X27,Sanidade!$X27=BH$1),Sanidade!$W27,IF(AND(Sanidade!$Y27&gt;=Sanidade!$X27,AND(Sanidade!$X27&lt;=BH$1,Sanidade!$Y27&gt;=BH$1)),Sanidade!$W27/(Sanidade!$Y27-Sanidade!$X27+1),0))</f>
        <v>0</v>
      </c>
      <c r="BI150" s="460">
        <f>IF(AND(Sanidade!$Y27=Sanidade!$X27,Sanidade!$X27=BI$1),Sanidade!$W27,IF(AND(Sanidade!$Y27&gt;=Sanidade!$X27,AND(Sanidade!$X27&lt;=BI$1,Sanidade!$Y27&gt;=BI$1)),Sanidade!$W27/(Sanidade!$Y27-Sanidade!$X27+1),0))</f>
        <v>0</v>
      </c>
      <c r="BJ150" s="460">
        <f>IF(AND(Sanidade!$Y27=Sanidade!$X27,Sanidade!$X27=BJ$1),Sanidade!$W27,IF(AND(Sanidade!$Y27&gt;=Sanidade!$X27,AND(Sanidade!$X27&lt;=BJ$1,Sanidade!$Y27&gt;=BJ$1)),Sanidade!$W27/(Sanidade!$Y27-Sanidade!$X27+1),0))</f>
        <v>0</v>
      </c>
      <c r="BK150" s="460">
        <f>IF(AND(Sanidade!$Y27=Sanidade!$X27,Sanidade!$X27=BK$1),Sanidade!$W27,IF(AND(Sanidade!$Y27&gt;=Sanidade!$X27,AND(Sanidade!$X27&lt;=BK$1,Sanidade!$Y27&gt;=BK$1)),Sanidade!$W27/(Sanidade!$Y27-Sanidade!$X27+1),0))</f>
        <v>0</v>
      </c>
      <c r="BL150" s="460">
        <f>IF(AND(Sanidade!$Y27=Sanidade!$X27,Sanidade!$X27=BL$1),Sanidade!$W27,IF(AND(Sanidade!$Y27&gt;=Sanidade!$X27,AND(Sanidade!$X27&lt;=BL$1,Sanidade!$Y27&gt;=BL$1)),Sanidade!$W27/(Sanidade!$Y27-Sanidade!$X27+1),0))</f>
        <v>0</v>
      </c>
      <c r="BM150" s="460">
        <f>IF(AND(Sanidade!$Y27=Sanidade!$X27,Sanidade!$X27=BM$1),Sanidade!$W27,IF(AND(Sanidade!$Y27&gt;=Sanidade!$X27,AND(Sanidade!$X27&lt;=BM$1,Sanidade!$Y27&gt;=BM$1)),Sanidade!$W27/(Sanidade!$Y27-Sanidade!$X27+1),0))</f>
        <v>0</v>
      </c>
      <c r="BN150" s="460">
        <f>IF(AND(Sanidade!$Y27=Sanidade!$X27,Sanidade!$X27=BN$1),Sanidade!$W27,IF(AND(Sanidade!$Y27&gt;=Sanidade!$X27,AND(Sanidade!$X27&lt;=BN$1,Sanidade!$Y27&gt;=BN$1)),Sanidade!$W27/(Sanidade!$Y27-Sanidade!$X27+1),0))</f>
        <v>0</v>
      </c>
      <c r="BO150" s="460">
        <f>IF(AND(Sanidade!$Y27=Sanidade!$X27,Sanidade!$X27=BO$1),Sanidade!$W27,IF(AND(Sanidade!$Y27&gt;=Sanidade!$X27,AND(Sanidade!$X27&lt;=BO$1,Sanidade!$Y27&gt;=BO$1)),Sanidade!$W27/(Sanidade!$Y27-Sanidade!$X27+1),0))</f>
        <v>0</v>
      </c>
      <c r="BP150" s="460">
        <f>IF(AND(Sanidade!$Y27=Sanidade!$X27,Sanidade!$X27=BP$1),Sanidade!$W27,IF(AND(Sanidade!$Y27&gt;=Sanidade!$X27,AND(Sanidade!$X27&lt;=BP$1,Sanidade!$Y27&gt;=BP$1)),Sanidade!$W27/(Sanidade!$Y27-Sanidade!$X27+1),0))</f>
        <v>0</v>
      </c>
      <c r="BQ150" s="460">
        <f>IF(AND(Sanidade!$Y27=Sanidade!$X27,Sanidade!$X27=BQ$1),Sanidade!$W27,IF(AND(Sanidade!$Y27&gt;=Sanidade!$X27,AND(Sanidade!$X27&lt;=BQ$1,Sanidade!$Y27&gt;=BQ$1)),Sanidade!$W27/(Sanidade!$Y27-Sanidade!$X27+1),0))</f>
        <v>0</v>
      </c>
      <c r="BR150" s="460">
        <f>IF(AND(Sanidade!$Y27=Sanidade!$X27,Sanidade!$X27=BR$1),Sanidade!$W27,IF(AND(Sanidade!$Y27&gt;=Sanidade!$X27,AND(Sanidade!$X27&lt;=BR$1,Sanidade!$Y27&gt;=BR$1)),Sanidade!$W27/(Sanidade!$Y27-Sanidade!$X27+1),0))</f>
        <v>0</v>
      </c>
      <c r="BS150" s="460">
        <f>IF(AND(Sanidade!$Y27=Sanidade!$X27,Sanidade!$X27=BS$1),Sanidade!$W27,IF(AND(Sanidade!$Y27&gt;=Sanidade!$X27,AND(Sanidade!$X27&lt;=BS$1,Sanidade!$Y27&gt;=BS$1)),Sanidade!$W27/(Sanidade!$Y27-Sanidade!$X27+1),0))</f>
        <v>0</v>
      </c>
      <c r="BT150" s="461">
        <f>IF(AND(Sanidade!$Y27=Sanidade!$X27,Sanidade!$X27=BT$1),Sanidade!$W27,IF(AND(Sanidade!$Y27&gt;=Sanidade!$X27,AND(Sanidade!$X27&lt;=BT$1,Sanidade!$Y27&gt;=BT$1)),Sanidade!$W27/(Sanidade!$Y27-Sanidade!$X27+1),0))</f>
        <v>0</v>
      </c>
    </row>
    <row r="151" spans="2:72" x14ac:dyDescent="0.2">
      <c r="B151" s="499"/>
      <c r="C151" s="500"/>
      <c r="D151" s="497"/>
      <c r="E151" s="497"/>
      <c r="F151" s="497"/>
      <c r="G151" s="497"/>
      <c r="H151" s="497"/>
      <c r="BA151" s="459">
        <f>VLOOKUP(Sanidade!E28,Dados!$A$3:$N$10,13)</f>
        <v>0</v>
      </c>
      <c r="BB151" s="460">
        <f>IF(AND(Sanidade!$Y28=Sanidade!$X28,Sanidade!$X28=BB$1),Sanidade!$W28,IF(AND(Sanidade!$Y28&gt;=Sanidade!$X28,AND(Sanidade!$X28&lt;=BB$1,Sanidade!$Y28&gt;=BB$1)),Sanidade!$W28/(Sanidade!$Y28-Sanidade!$X28+1),0))</f>
        <v>0</v>
      </c>
      <c r="BC151" s="460">
        <f>IF(AND(Sanidade!$Y28=Sanidade!$X28,Sanidade!$X28=BC$1),Sanidade!$W28,IF(AND(Sanidade!$Y28&gt;=Sanidade!$X28,AND(Sanidade!$X28&lt;=BC$1,Sanidade!$Y28&gt;=BC$1)),Sanidade!$W28/(Sanidade!$Y28-Sanidade!$X28+1),0))</f>
        <v>0</v>
      </c>
      <c r="BD151" s="460">
        <f>IF(AND(Sanidade!$Y28=Sanidade!$X28,Sanidade!$X28=BD$1),Sanidade!$W28,IF(AND(Sanidade!$Y28&gt;=Sanidade!$X28,AND(Sanidade!$X28&lt;=BD$1,Sanidade!$Y28&gt;=BD$1)),Sanidade!$W28/(Sanidade!$Y28-Sanidade!$X28+1),0))</f>
        <v>0</v>
      </c>
      <c r="BE151" s="460">
        <f>IF(AND(Sanidade!$Y28=Sanidade!$X28,Sanidade!$X28=BE$1),Sanidade!$W28,IF(AND(Sanidade!$Y28&gt;=Sanidade!$X28,AND(Sanidade!$X28&lt;=BE$1,Sanidade!$Y28&gt;=BE$1)),Sanidade!$W28/(Sanidade!$Y28-Sanidade!$X28+1),0))</f>
        <v>0</v>
      </c>
      <c r="BF151" s="460">
        <f>IF(AND(Sanidade!$Y28=Sanidade!$X28,Sanidade!$X28=BF$1),Sanidade!$W28,IF(AND(Sanidade!$Y28&gt;=Sanidade!$X28,AND(Sanidade!$X28&lt;=BF$1,Sanidade!$Y28&gt;=BF$1)),Sanidade!$W28/(Sanidade!$Y28-Sanidade!$X28+1),0))</f>
        <v>0</v>
      </c>
      <c r="BG151" s="460">
        <f>IF(AND(Sanidade!$Y28=Sanidade!$X28,Sanidade!$X28=BG$1),Sanidade!$W28,IF(AND(Sanidade!$Y28&gt;=Sanidade!$X28,AND(Sanidade!$X28&lt;=BG$1,Sanidade!$Y28&gt;=BG$1)),Sanidade!$W28/(Sanidade!$Y28-Sanidade!$X28+1),0))</f>
        <v>0</v>
      </c>
      <c r="BH151" s="460">
        <f>IF(AND(Sanidade!$Y28=Sanidade!$X28,Sanidade!$X28=BH$1),Sanidade!$W28,IF(AND(Sanidade!$Y28&gt;=Sanidade!$X28,AND(Sanidade!$X28&lt;=BH$1,Sanidade!$Y28&gt;=BH$1)),Sanidade!$W28/(Sanidade!$Y28-Sanidade!$X28+1),0))</f>
        <v>0</v>
      </c>
      <c r="BI151" s="460">
        <f>IF(AND(Sanidade!$Y28=Sanidade!$X28,Sanidade!$X28=BI$1),Sanidade!$W28,IF(AND(Sanidade!$Y28&gt;=Sanidade!$X28,AND(Sanidade!$X28&lt;=BI$1,Sanidade!$Y28&gt;=BI$1)),Sanidade!$W28/(Sanidade!$Y28-Sanidade!$X28+1),0))</f>
        <v>0</v>
      </c>
      <c r="BJ151" s="460">
        <f>IF(AND(Sanidade!$Y28=Sanidade!$X28,Sanidade!$X28=BJ$1),Sanidade!$W28,IF(AND(Sanidade!$Y28&gt;=Sanidade!$X28,AND(Sanidade!$X28&lt;=BJ$1,Sanidade!$Y28&gt;=BJ$1)),Sanidade!$W28/(Sanidade!$Y28-Sanidade!$X28+1),0))</f>
        <v>0</v>
      </c>
      <c r="BK151" s="460">
        <f>IF(AND(Sanidade!$Y28=Sanidade!$X28,Sanidade!$X28=BK$1),Sanidade!$W28,IF(AND(Sanidade!$Y28&gt;=Sanidade!$X28,AND(Sanidade!$X28&lt;=BK$1,Sanidade!$Y28&gt;=BK$1)),Sanidade!$W28/(Sanidade!$Y28-Sanidade!$X28+1),0))</f>
        <v>0</v>
      </c>
      <c r="BL151" s="460">
        <f>IF(AND(Sanidade!$Y28=Sanidade!$X28,Sanidade!$X28=BL$1),Sanidade!$W28,IF(AND(Sanidade!$Y28&gt;=Sanidade!$X28,AND(Sanidade!$X28&lt;=BL$1,Sanidade!$Y28&gt;=BL$1)),Sanidade!$W28/(Sanidade!$Y28-Sanidade!$X28+1),0))</f>
        <v>0</v>
      </c>
      <c r="BM151" s="460">
        <f>IF(AND(Sanidade!$Y28=Sanidade!$X28,Sanidade!$X28=BM$1),Sanidade!$W28,IF(AND(Sanidade!$Y28&gt;=Sanidade!$X28,AND(Sanidade!$X28&lt;=BM$1,Sanidade!$Y28&gt;=BM$1)),Sanidade!$W28/(Sanidade!$Y28-Sanidade!$X28+1),0))</f>
        <v>0</v>
      </c>
      <c r="BN151" s="460">
        <f>IF(AND(Sanidade!$Y28=Sanidade!$X28,Sanidade!$X28=BN$1),Sanidade!$W28,IF(AND(Sanidade!$Y28&gt;=Sanidade!$X28,AND(Sanidade!$X28&lt;=BN$1,Sanidade!$Y28&gt;=BN$1)),Sanidade!$W28/(Sanidade!$Y28-Sanidade!$X28+1),0))</f>
        <v>0</v>
      </c>
      <c r="BO151" s="460">
        <f>IF(AND(Sanidade!$Y28=Sanidade!$X28,Sanidade!$X28=BO$1),Sanidade!$W28,IF(AND(Sanidade!$Y28&gt;=Sanidade!$X28,AND(Sanidade!$X28&lt;=BO$1,Sanidade!$Y28&gt;=BO$1)),Sanidade!$W28/(Sanidade!$Y28-Sanidade!$X28+1),0))</f>
        <v>0</v>
      </c>
      <c r="BP151" s="460">
        <f>IF(AND(Sanidade!$Y28=Sanidade!$X28,Sanidade!$X28=BP$1),Sanidade!$W28,IF(AND(Sanidade!$Y28&gt;=Sanidade!$X28,AND(Sanidade!$X28&lt;=BP$1,Sanidade!$Y28&gt;=BP$1)),Sanidade!$W28/(Sanidade!$Y28-Sanidade!$X28+1),0))</f>
        <v>0</v>
      </c>
      <c r="BQ151" s="460">
        <f>IF(AND(Sanidade!$Y28=Sanidade!$X28,Sanidade!$X28=BQ$1),Sanidade!$W28,IF(AND(Sanidade!$Y28&gt;=Sanidade!$X28,AND(Sanidade!$X28&lt;=BQ$1,Sanidade!$Y28&gt;=BQ$1)),Sanidade!$W28/(Sanidade!$Y28-Sanidade!$X28+1),0))</f>
        <v>0</v>
      </c>
      <c r="BR151" s="460">
        <f>IF(AND(Sanidade!$Y28=Sanidade!$X28,Sanidade!$X28=BR$1),Sanidade!$W28,IF(AND(Sanidade!$Y28&gt;=Sanidade!$X28,AND(Sanidade!$X28&lt;=BR$1,Sanidade!$Y28&gt;=BR$1)),Sanidade!$W28/(Sanidade!$Y28-Sanidade!$X28+1),0))</f>
        <v>0</v>
      </c>
      <c r="BS151" s="460">
        <f>IF(AND(Sanidade!$Y28=Sanidade!$X28,Sanidade!$X28=BS$1),Sanidade!$W28,IF(AND(Sanidade!$Y28&gt;=Sanidade!$X28,AND(Sanidade!$X28&lt;=BS$1,Sanidade!$Y28&gt;=BS$1)),Sanidade!$W28/(Sanidade!$Y28-Sanidade!$X28+1),0))</f>
        <v>0</v>
      </c>
      <c r="BT151" s="461">
        <f>IF(AND(Sanidade!$Y28=Sanidade!$X28,Sanidade!$X28=BT$1),Sanidade!$W28,IF(AND(Sanidade!$Y28&gt;=Sanidade!$X28,AND(Sanidade!$X28&lt;=BT$1,Sanidade!$Y28&gt;=BT$1)),Sanidade!$W28/(Sanidade!$Y28-Sanidade!$X28+1),0))</f>
        <v>0</v>
      </c>
    </row>
    <row r="152" spans="2:72" x14ac:dyDescent="0.2">
      <c r="B152" s="499"/>
      <c r="C152" s="500"/>
      <c r="D152" s="497"/>
      <c r="E152" s="497"/>
      <c r="F152" s="497"/>
      <c r="G152" s="497"/>
      <c r="H152" s="497"/>
      <c r="BA152" s="459">
        <f>VLOOKUP(Sanidade!E29,Dados!$A$3:$N$10,13)</f>
        <v>0</v>
      </c>
      <c r="BB152" s="460">
        <f>IF(AND(Sanidade!$Y29=Sanidade!$X29,Sanidade!$X29=BB$1),Sanidade!$W29,IF(AND(Sanidade!$Y29&gt;=Sanidade!$X29,AND(Sanidade!$X29&lt;=BB$1,Sanidade!$Y29&gt;=BB$1)),Sanidade!$W29/(Sanidade!$Y29-Sanidade!$X29+1),0))</f>
        <v>0</v>
      </c>
      <c r="BC152" s="460">
        <f>IF(AND(Sanidade!$Y29=Sanidade!$X29,Sanidade!$X29=BC$1),Sanidade!$W29,IF(AND(Sanidade!$Y29&gt;=Sanidade!$X29,AND(Sanidade!$X29&lt;=BC$1,Sanidade!$Y29&gt;=BC$1)),Sanidade!$W29/(Sanidade!$Y29-Sanidade!$X29+1),0))</f>
        <v>0</v>
      </c>
      <c r="BD152" s="460">
        <f>IF(AND(Sanidade!$Y29=Sanidade!$X29,Sanidade!$X29=BD$1),Sanidade!$W29,IF(AND(Sanidade!$Y29&gt;=Sanidade!$X29,AND(Sanidade!$X29&lt;=BD$1,Sanidade!$Y29&gt;=BD$1)),Sanidade!$W29/(Sanidade!$Y29-Sanidade!$X29+1),0))</f>
        <v>0</v>
      </c>
      <c r="BE152" s="460">
        <f>IF(AND(Sanidade!$Y29=Sanidade!$X29,Sanidade!$X29=BE$1),Sanidade!$W29,IF(AND(Sanidade!$Y29&gt;=Sanidade!$X29,AND(Sanidade!$X29&lt;=BE$1,Sanidade!$Y29&gt;=BE$1)),Sanidade!$W29/(Sanidade!$Y29-Sanidade!$X29+1),0))</f>
        <v>0</v>
      </c>
      <c r="BF152" s="460">
        <f>IF(AND(Sanidade!$Y29=Sanidade!$X29,Sanidade!$X29=BF$1),Sanidade!$W29,IF(AND(Sanidade!$Y29&gt;=Sanidade!$X29,AND(Sanidade!$X29&lt;=BF$1,Sanidade!$Y29&gt;=BF$1)),Sanidade!$W29/(Sanidade!$Y29-Sanidade!$X29+1),0))</f>
        <v>0</v>
      </c>
      <c r="BG152" s="460">
        <f>IF(AND(Sanidade!$Y29=Sanidade!$X29,Sanidade!$X29=BG$1),Sanidade!$W29,IF(AND(Sanidade!$Y29&gt;=Sanidade!$X29,AND(Sanidade!$X29&lt;=BG$1,Sanidade!$Y29&gt;=BG$1)),Sanidade!$W29/(Sanidade!$Y29-Sanidade!$X29+1),0))</f>
        <v>0</v>
      </c>
      <c r="BH152" s="460">
        <f>IF(AND(Sanidade!$Y29=Sanidade!$X29,Sanidade!$X29=BH$1),Sanidade!$W29,IF(AND(Sanidade!$Y29&gt;=Sanidade!$X29,AND(Sanidade!$X29&lt;=BH$1,Sanidade!$Y29&gt;=BH$1)),Sanidade!$W29/(Sanidade!$Y29-Sanidade!$X29+1),0))</f>
        <v>0</v>
      </c>
      <c r="BI152" s="460">
        <f>IF(AND(Sanidade!$Y29=Sanidade!$X29,Sanidade!$X29=BI$1),Sanidade!$W29,IF(AND(Sanidade!$Y29&gt;=Sanidade!$X29,AND(Sanidade!$X29&lt;=BI$1,Sanidade!$Y29&gt;=BI$1)),Sanidade!$W29/(Sanidade!$Y29-Sanidade!$X29+1),0))</f>
        <v>0</v>
      </c>
      <c r="BJ152" s="460">
        <f>IF(AND(Sanidade!$Y29=Sanidade!$X29,Sanidade!$X29=BJ$1),Sanidade!$W29,IF(AND(Sanidade!$Y29&gt;=Sanidade!$X29,AND(Sanidade!$X29&lt;=BJ$1,Sanidade!$Y29&gt;=BJ$1)),Sanidade!$W29/(Sanidade!$Y29-Sanidade!$X29+1),0))</f>
        <v>0</v>
      </c>
      <c r="BK152" s="460">
        <f>IF(AND(Sanidade!$Y29=Sanidade!$X29,Sanidade!$X29=BK$1),Sanidade!$W29,IF(AND(Sanidade!$Y29&gt;=Sanidade!$X29,AND(Sanidade!$X29&lt;=BK$1,Sanidade!$Y29&gt;=BK$1)),Sanidade!$W29/(Sanidade!$Y29-Sanidade!$X29+1),0))</f>
        <v>0</v>
      </c>
      <c r="BL152" s="460">
        <f>IF(AND(Sanidade!$Y29=Sanidade!$X29,Sanidade!$X29=BL$1),Sanidade!$W29,IF(AND(Sanidade!$Y29&gt;=Sanidade!$X29,AND(Sanidade!$X29&lt;=BL$1,Sanidade!$Y29&gt;=BL$1)),Sanidade!$W29/(Sanidade!$Y29-Sanidade!$X29+1),0))</f>
        <v>0</v>
      </c>
      <c r="BM152" s="460">
        <f>IF(AND(Sanidade!$Y29=Sanidade!$X29,Sanidade!$X29=BM$1),Sanidade!$W29,IF(AND(Sanidade!$Y29&gt;=Sanidade!$X29,AND(Sanidade!$X29&lt;=BM$1,Sanidade!$Y29&gt;=BM$1)),Sanidade!$W29/(Sanidade!$Y29-Sanidade!$X29+1),0))</f>
        <v>0</v>
      </c>
      <c r="BN152" s="460">
        <f>IF(AND(Sanidade!$Y29=Sanidade!$X29,Sanidade!$X29=BN$1),Sanidade!$W29,IF(AND(Sanidade!$Y29&gt;=Sanidade!$X29,AND(Sanidade!$X29&lt;=BN$1,Sanidade!$Y29&gt;=BN$1)),Sanidade!$W29/(Sanidade!$Y29-Sanidade!$X29+1),0))</f>
        <v>0</v>
      </c>
      <c r="BO152" s="460">
        <f>IF(AND(Sanidade!$Y29=Sanidade!$X29,Sanidade!$X29=BO$1),Sanidade!$W29,IF(AND(Sanidade!$Y29&gt;=Sanidade!$X29,AND(Sanidade!$X29&lt;=BO$1,Sanidade!$Y29&gt;=BO$1)),Sanidade!$W29/(Sanidade!$Y29-Sanidade!$X29+1),0))</f>
        <v>0</v>
      </c>
      <c r="BP152" s="460">
        <f>IF(AND(Sanidade!$Y29=Sanidade!$X29,Sanidade!$X29=BP$1),Sanidade!$W29,IF(AND(Sanidade!$Y29&gt;=Sanidade!$X29,AND(Sanidade!$X29&lt;=BP$1,Sanidade!$Y29&gt;=BP$1)),Sanidade!$W29/(Sanidade!$Y29-Sanidade!$X29+1),0))</f>
        <v>0</v>
      </c>
      <c r="BQ152" s="460">
        <f>IF(AND(Sanidade!$Y29=Sanidade!$X29,Sanidade!$X29=BQ$1),Sanidade!$W29,IF(AND(Sanidade!$Y29&gt;=Sanidade!$X29,AND(Sanidade!$X29&lt;=BQ$1,Sanidade!$Y29&gt;=BQ$1)),Sanidade!$W29/(Sanidade!$Y29-Sanidade!$X29+1),0))</f>
        <v>0</v>
      </c>
      <c r="BR152" s="460">
        <f>IF(AND(Sanidade!$Y29=Sanidade!$X29,Sanidade!$X29=BR$1),Sanidade!$W29,IF(AND(Sanidade!$Y29&gt;=Sanidade!$X29,AND(Sanidade!$X29&lt;=BR$1,Sanidade!$Y29&gt;=BR$1)),Sanidade!$W29/(Sanidade!$Y29-Sanidade!$X29+1),0))</f>
        <v>0</v>
      </c>
      <c r="BS152" s="460">
        <f>IF(AND(Sanidade!$Y29=Sanidade!$X29,Sanidade!$X29=BS$1),Sanidade!$W29,IF(AND(Sanidade!$Y29&gt;=Sanidade!$X29,AND(Sanidade!$X29&lt;=BS$1,Sanidade!$Y29&gt;=BS$1)),Sanidade!$W29/(Sanidade!$Y29-Sanidade!$X29+1),0))</f>
        <v>0</v>
      </c>
      <c r="BT152" s="461">
        <f>IF(AND(Sanidade!$Y29=Sanidade!$X29,Sanidade!$X29=BT$1),Sanidade!$W29,IF(AND(Sanidade!$Y29&gt;=Sanidade!$X29,AND(Sanidade!$X29&lt;=BT$1,Sanidade!$Y29&gt;=BT$1)),Sanidade!$W29/(Sanidade!$Y29-Sanidade!$X29+1),0))</f>
        <v>0</v>
      </c>
    </row>
    <row r="153" spans="2:72" x14ac:dyDescent="0.2">
      <c r="B153" s="499"/>
      <c r="C153" s="500"/>
      <c r="D153" s="497"/>
      <c r="E153" s="497"/>
      <c r="F153" s="497"/>
      <c r="G153" s="497"/>
      <c r="H153" s="497"/>
      <c r="BA153" s="459" t="str">
        <f>VLOOKUP(Sanidade!E34,Dados!$A$3:$N$10,13)</f>
        <v>Controle Paras.</v>
      </c>
      <c r="BB153" s="460">
        <f>IF(AND(Sanidade!$Y34=Sanidade!$X34,Sanidade!$X34=BB$1),Sanidade!$W34,IF(AND(Sanidade!$Y34&gt;=Sanidade!$X34,AND(Sanidade!$X34&lt;=BB$1,Sanidade!$Y34&gt;=BB$1)),Sanidade!$W34/(Sanidade!$Y34-Sanidade!$X34+1),0))</f>
        <v>240</v>
      </c>
      <c r="BC153" s="460">
        <f>IF(AND(Sanidade!$Y34=Sanidade!$X34,Sanidade!$X34=BC$1),Sanidade!$W34,IF(AND(Sanidade!$Y34&gt;=Sanidade!$X34,AND(Sanidade!$X34&lt;=BC$1,Sanidade!$Y34&gt;=BC$1)),Sanidade!$W34/(Sanidade!$Y34-Sanidade!$X34+1),0))</f>
        <v>0</v>
      </c>
      <c r="BD153" s="460">
        <f>IF(AND(Sanidade!$Y34=Sanidade!$X34,Sanidade!$X34=BD$1),Sanidade!$W34,IF(AND(Sanidade!$Y34&gt;=Sanidade!$X34,AND(Sanidade!$X34&lt;=BD$1,Sanidade!$Y34&gt;=BD$1)),Sanidade!$W34/(Sanidade!$Y34-Sanidade!$X34+1),0))</f>
        <v>0</v>
      </c>
      <c r="BE153" s="460">
        <f>IF(AND(Sanidade!$Y34=Sanidade!$X34,Sanidade!$X34=BE$1),Sanidade!$W34,IF(AND(Sanidade!$Y34&gt;=Sanidade!$X34,AND(Sanidade!$X34&lt;=BE$1,Sanidade!$Y34&gt;=BE$1)),Sanidade!$W34/(Sanidade!$Y34-Sanidade!$X34+1),0))</f>
        <v>0</v>
      </c>
      <c r="BF153" s="460">
        <f>IF(AND(Sanidade!$Y34=Sanidade!$X34,Sanidade!$X34=BF$1),Sanidade!$W34,IF(AND(Sanidade!$Y34&gt;=Sanidade!$X34,AND(Sanidade!$X34&lt;=BF$1,Sanidade!$Y34&gt;=BF$1)),Sanidade!$W34/(Sanidade!$Y34-Sanidade!$X34+1),0))</f>
        <v>0</v>
      </c>
      <c r="BG153" s="460">
        <f>IF(AND(Sanidade!$Y34=Sanidade!$X34,Sanidade!$X34=BG$1),Sanidade!$W34,IF(AND(Sanidade!$Y34&gt;=Sanidade!$X34,AND(Sanidade!$X34&lt;=BG$1,Sanidade!$Y34&gt;=BG$1)),Sanidade!$W34/(Sanidade!$Y34-Sanidade!$X34+1),0))</f>
        <v>0</v>
      </c>
      <c r="BH153" s="460">
        <f>IF(AND(Sanidade!$Y34=Sanidade!$X34,Sanidade!$X34=BH$1),Sanidade!$W34,IF(AND(Sanidade!$Y34&gt;=Sanidade!$X34,AND(Sanidade!$X34&lt;=BH$1,Sanidade!$Y34&gt;=BH$1)),Sanidade!$W34/(Sanidade!$Y34-Sanidade!$X34+1),0))</f>
        <v>0</v>
      </c>
      <c r="BI153" s="460">
        <f>IF(AND(Sanidade!$Y34=Sanidade!$X34,Sanidade!$X34=BI$1),Sanidade!$W34,IF(AND(Sanidade!$Y34&gt;=Sanidade!$X34,AND(Sanidade!$X34&lt;=BI$1,Sanidade!$Y34&gt;=BI$1)),Sanidade!$W34/(Sanidade!$Y34-Sanidade!$X34+1),0))</f>
        <v>0</v>
      </c>
      <c r="BJ153" s="460">
        <f>IF(AND(Sanidade!$Y34=Sanidade!$X34,Sanidade!$X34=BJ$1),Sanidade!$W34,IF(AND(Sanidade!$Y34&gt;=Sanidade!$X34,AND(Sanidade!$X34&lt;=BJ$1,Sanidade!$Y34&gt;=BJ$1)),Sanidade!$W34/(Sanidade!$Y34-Sanidade!$X34+1),0))</f>
        <v>0</v>
      </c>
      <c r="BK153" s="460">
        <f>IF(AND(Sanidade!$Y34=Sanidade!$X34,Sanidade!$X34=BK$1),Sanidade!$W34,IF(AND(Sanidade!$Y34&gt;=Sanidade!$X34,AND(Sanidade!$X34&lt;=BK$1,Sanidade!$Y34&gt;=BK$1)),Sanidade!$W34/(Sanidade!$Y34-Sanidade!$X34+1),0))</f>
        <v>0</v>
      </c>
      <c r="BL153" s="460">
        <f>IF(AND(Sanidade!$Y34=Sanidade!$X34,Sanidade!$X34=BL$1),Sanidade!$W34,IF(AND(Sanidade!$Y34&gt;=Sanidade!$X34,AND(Sanidade!$X34&lt;=BL$1,Sanidade!$Y34&gt;=BL$1)),Sanidade!$W34/(Sanidade!$Y34-Sanidade!$X34+1),0))</f>
        <v>0</v>
      </c>
      <c r="BM153" s="460">
        <f>IF(AND(Sanidade!$Y34=Sanidade!$X34,Sanidade!$X34=BM$1),Sanidade!$W34,IF(AND(Sanidade!$Y34&gt;=Sanidade!$X34,AND(Sanidade!$X34&lt;=BM$1,Sanidade!$Y34&gt;=BM$1)),Sanidade!$W34/(Sanidade!$Y34-Sanidade!$X34+1),0))</f>
        <v>0</v>
      </c>
      <c r="BN153" s="460">
        <f>IF(AND(Sanidade!$Y34=Sanidade!$X34,Sanidade!$X34=BN$1),Sanidade!$W34,IF(AND(Sanidade!$Y34&gt;=Sanidade!$X34,AND(Sanidade!$X34&lt;=BN$1,Sanidade!$Y34&gt;=BN$1)),Sanidade!$W34/(Sanidade!$Y34-Sanidade!$X34+1),0))</f>
        <v>0</v>
      </c>
      <c r="BO153" s="460">
        <f>IF(AND(Sanidade!$Y34=Sanidade!$X34,Sanidade!$X34=BO$1),Sanidade!$W34,IF(AND(Sanidade!$Y34&gt;=Sanidade!$X34,AND(Sanidade!$X34&lt;=BO$1,Sanidade!$Y34&gt;=BO$1)),Sanidade!$W34/(Sanidade!$Y34-Sanidade!$X34+1),0))</f>
        <v>0</v>
      </c>
      <c r="BP153" s="460">
        <f>IF(AND(Sanidade!$Y34=Sanidade!$X34,Sanidade!$X34=BP$1),Sanidade!$W34,IF(AND(Sanidade!$Y34&gt;=Sanidade!$X34,AND(Sanidade!$X34&lt;=BP$1,Sanidade!$Y34&gt;=BP$1)),Sanidade!$W34/(Sanidade!$Y34-Sanidade!$X34+1),0))</f>
        <v>0</v>
      </c>
      <c r="BQ153" s="460">
        <f>IF(AND(Sanidade!$Y34=Sanidade!$X34,Sanidade!$X34=BQ$1),Sanidade!$W34,IF(AND(Sanidade!$Y34&gt;=Sanidade!$X34,AND(Sanidade!$X34&lt;=BQ$1,Sanidade!$Y34&gt;=BQ$1)),Sanidade!$W34/(Sanidade!$Y34-Sanidade!$X34+1),0))</f>
        <v>0</v>
      </c>
      <c r="BR153" s="460">
        <f>IF(AND(Sanidade!$Y34=Sanidade!$X34,Sanidade!$X34=BR$1),Sanidade!$W34,IF(AND(Sanidade!$Y34&gt;=Sanidade!$X34,AND(Sanidade!$X34&lt;=BR$1,Sanidade!$Y34&gt;=BR$1)),Sanidade!$W34/(Sanidade!$Y34-Sanidade!$X34+1),0))</f>
        <v>0</v>
      </c>
      <c r="BS153" s="460">
        <f>IF(AND(Sanidade!$Y34=Sanidade!$X34,Sanidade!$X34=BS$1),Sanidade!$W34,IF(AND(Sanidade!$Y34&gt;=Sanidade!$X34,AND(Sanidade!$X34&lt;=BS$1,Sanidade!$Y34&gt;=BS$1)),Sanidade!$W34/(Sanidade!$Y34-Sanidade!$X34+1),0))</f>
        <v>0</v>
      </c>
      <c r="BT153" s="461">
        <f>IF(AND(Sanidade!$Y34=Sanidade!$X34,Sanidade!$X34=BT$1),Sanidade!$W34,IF(AND(Sanidade!$Y34&gt;=Sanidade!$X34,AND(Sanidade!$X34&lt;=BT$1,Sanidade!$Y34&gt;=BT$1)),Sanidade!$W34/(Sanidade!$Y34-Sanidade!$X34+1),0))</f>
        <v>0</v>
      </c>
    </row>
    <row r="154" spans="2:72" x14ac:dyDescent="0.2">
      <c r="B154" s="499"/>
      <c r="C154" s="500"/>
      <c r="D154" s="497"/>
      <c r="E154" s="497"/>
      <c r="F154" s="497"/>
      <c r="G154" s="497"/>
      <c r="H154" s="497"/>
      <c r="BA154" s="459">
        <f>VLOOKUP(Sanidade!E35,Dados!$A$3:$N$10,13)</f>
        <v>0</v>
      </c>
      <c r="BB154" s="460">
        <f>IF(AND(Sanidade!$Y35=Sanidade!$X35,Sanidade!$X35=BB$1),Sanidade!$W35,IF(AND(Sanidade!$Y35&gt;=Sanidade!$X35,AND(Sanidade!$X35&lt;=BB$1,Sanidade!$Y35&gt;=BB$1)),Sanidade!$W35/(Sanidade!$Y35-Sanidade!$X35+1),0))</f>
        <v>0</v>
      </c>
      <c r="BC154" s="460">
        <f>IF(AND(Sanidade!$Y35=Sanidade!$X35,Sanidade!$X35=BC$1),Sanidade!$W35,IF(AND(Sanidade!$Y35&gt;=Sanidade!$X35,AND(Sanidade!$X35&lt;=BC$1,Sanidade!$Y35&gt;=BC$1)),Sanidade!$W35/(Sanidade!$Y35-Sanidade!$X35+1),0))</f>
        <v>0</v>
      </c>
      <c r="BD154" s="460">
        <f>IF(AND(Sanidade!$Y35=Sanidade!$X35,Sanidade!$X35=BD$1),Sanidade!$W35,IF(AND(Sanidade!$Y35&gt;=Sanidade!$X35,AND(Sanidade!$X35&lt;=BD$1,Sanidade!$Y35&gt;=BD$1)),Sanidade!$W35/(Sanidade!$Y35-Sanidade!$X35+1),0))</f>
        <v>0</v>
      </c>
      <c r="BE154" s="460">
        <f>IF(AND(Sanidade!$Y35=Sanidade!$X35,Sanidade!$X35=BE$1),Sanidade!$W35,IF(AND(Sanidade!$Y35&gt;=Sanidade!$X35,AND(Sanidade!$X35&lt;=BE$1,Sanidade!$Y35&gt;=BE$1)),Sanidade!$W35/(Sanidade!$Y35-Sanidade!$X35+1),0))</f>
        <v>0</v>
      </c>
      <c r="BF154" s="460">
        <f>IF(AND(Sanidade!$Y35=Sanidade!$X35,Sanidade!$X35=BF$1),Sanidade!$W35,IF(AND(Sanidade!$Y35&gt;=Sanidade!$X35,AND(Sanidade!$X35&lt;=BF$1,Sanidade!$Y35&gt;=BF$1)),Sanidade!$W35/(Sanidade!$Y35-Sanidade!$X35+1),0))</f>
        <v>0</v>
      </c>
      <c r="BG154" s="460">
        <f>IF(AND(Sanidade!$Y35=Sanidade!$X35,Sanidade!$X35=BG$1),Sanidade!$W35,IF(AND(Sanidade!$Y35&gt;=Sanidade!$X35,AND(Sanidade!$X35&lt;=BG$1,Sanidade!$Y35&gt;=BG$1)),Sanidade!$W35/(Sanidade!$Y35-Sanidade!$X35+1),0))</f>
        <v>0</v>
      </c>
      <c r="BH154" s="460">
        <f>IF(AND(Sanidade!$Y35=Sanidade!$X35,Sanidade!$X35=BH$1),Sanidade!$W35,IF(AND(Sanidade!$Y35&gt;=Sanidade!$X35,AND(Sanidade!$X35&lt;=BH$1,Sanidade!$Y35&gt;=BH$1)),Sanidade!$W35/(Sanidade!$Y35-Sanidade!$X35+1),0))</f>
        <v>0</v>
      </c>
      <c r="BI154" s="460">
        <f>IF(AND(Sanidade!$Y35=Sanidade!$X35,Sanidade!$X35=BI$1),Sanidade!$W35,IF(AND(Sanidade!$Y35&gt;=Sanidade!$X35,AND(Sanidade!$X35&lt;=BI$1,Sanidade!$Y35&gt;=BI$1)),Sanidade!$W35/(Sanidade!$Y35-Sanidade!$X35+1),0))</f>
        <v>0</v>
      </c>
      <c r="BJ154" s="460">
        <f>IF(AND(Sanidade!$Y35=Sanidade!$X35,Sanidade!$X35=BJ$1),Sanidade!$W35,IF(AND(Sanidade!$Y35&gt;=Sanidade!$X35,AND(Sanidade!$X35&lt;=BJ$1,Sanidade!$Y35&gt;=BJ$1)),Sanidade!$W35/(Sanidade!$Y35-Sanidade!$X35+1),0))</f>
        <v>0</v>
      </c>
      <c r="BK154" s="460">
        <f>IF(AND(Sanidade!$Y35=Sanidade!$X35,Sanidade!$X35=BK$1),Sanidade!$W35,IF(AND(Sanidade!$Y35&gt;=Sanidade!$X35,AND(Sanidade!$X35&lt;=BK$1,Sanidade!$Y35&gt;=BK$1)),Sanidade!$W35/(Sanidade!$Y35-Sanidade!$X35+1),0))</f>
        <v>0</v>
      </c>
      <c r="BL154" s="460">
        <f>IF(AND(Sanidade!$Y35=Sanidade!$X35,Sanidade!$X35=BL$1),Sanidade!$W35,IF(AND(Sanidade!$Y35&gt;=Sanidade!$X35,AND(Sanidade!$X35&lt;=BL$1,Sanidade!$Y35&gt;=BL$1)),Sanidade!$W35/(Sanidade!$Y35-Sanidade!$X35+1),0))</f>
        <v>0</v>
      </c>
      <c r="BM154" s="460">
        <f>IF(AND(Sanidade!$Y35=Sanidade!$X35,Sanidade!$X35=BM$1),Sanidade!$W35,IF(AND(Sanidade!$Y35&gt;=Sanidade!$X35,AND(Sanidade!$X35&lt;=BM$1,Sanidade!$Y35&gt;=BM$1)),Sanidade!$W35/(Sanidade!$Y35-Sanidade!$X35+1),0))</f>
        <v>0</v>
      </c>
      <c r="BN154" s="460">
        <f>IF(AND(Sanidade!$Y35=Sanidade!$X35,Sanidade!$X35=BN$1),Sanidade!$W35,IF(AND(Sanidade!$Y35&gt;=Sanidade!$X35,AND(Sanidade!$X35&lt;=BN$1,Sanidade!$Y35&gt;=BN$1)),Sanidade!$W35/(Sanidade!$Y35-Sanidade!$X35+1),0))</f>
        <v>0</v>
      </c>
      <c r="BO154" s="460">
        <f>IF(AND(Sanidade!$Y35=Sanidade!$X35,Sanidade!$X35=BO$1),Sanidade!$W35,IF(AND(Sanidade!$Y35&gt;=Sanidade!$X35,AND(Sanidade!$X35&lt;=BO$1,Sanidade!$Y35&gt;=BO$1)),Sanidade!$W35/(Sanidade!$Y35-Sanidade!$X35+1),0))</f>
        <v>0</v>
      </c>
      <c r="BP154" s="460">
        <f>IF(AND(Sanidade!$Y35=Sanidade!$X35,Sanidade!$X35=BP$1),Sanidade!$W35,IF(AND(Sanidade!$Y35&gt;=Sanidade!$X35,AND(Sanidade!$X35&lt;=BP$1,Sanidade!$Y35&gt;=BP$1)),Sanidade!$W35/(Sanidade!$Y35-Sanidade!$X35+1),0))</f>
        <v>0</v>
      </c>
      <c r="BQ154" s="460">
        <f>IF(AND(Sanidade!$Y35=Sanidade!$X35,Sanidade!$X35=BQ$1),Sanidade!$W35,IF(AND(Sanidade!$Y35&gt;=Sanidade!$X35,AND(Sanidade!$X35&lt;=BQ$1,Sanidade!$Y35&gt;=BQ$1)),Sanidade!$W35/(Sanidade!$Y35-Sanidade!$X35+1),0))</f>
        <v>0</v>
      </c>
      <c r="BR154" s="460">
        <f>IF(AND(Sanidade!$Y35=Sanidade!$X35,Sanidade!$X35=BR$1),Sanidade!$W35,IF(AND(Sanidade!$Y35&gt;=Sanidade!$X35,AND(Sanidade!$X35&lt;=BR$1,Sanidade!$Y35&gt;=BR$1)),Sanidade!$W35/(Sanidade!$Y35-Sanidade!$X35+1),0))</f>
        <v>0</v>
      </c>
      <c r="BS154" s="460">
        <f>IF(AND(Sanidade!$Y35=Sanidade!$X35,Sanidade!$X35=BS$1),Sanidade!$W35,IF(AND(Sanidade!$Y35&gt;=Sanidade!$X35,AND(Sanidade!$X35&lt;=BS$1,Sanidade!$Y35&gt;=BS$1)),Sanidade!$W35/(Sanidade!$Y35-Sanidade!$X35+1),0))</f>
        <v>0</v>
      </c>
      <c r="BT154" s="461">
        <f>IF(AND(Sanidade!$Y35=Sanidade!$X35,Sanidade!$X35=BT$1),Sanidade!$W35,IF(AND(Sanidade!$Y35&gt;=Sanidade!$X35,AND(Sanidade!$X35&lt;=BT$1,Sanidade!$Y35&gt;=BT$1)),Sanidade!$W35/(Sanidade!$Y35-Sanidade!$X35+1),0))</f>
        <v>0</v>
      </c>
    </row>
    <row r="155" spans="2:72" x14ac:dyDescent="0.2">
      <c r="B155" s="499"/>
      <c r="C155" s="500"/>
      <c r="D155" s="497"/>
      <c r="E155" s="497"/>
      <c r="F155" s="497"/>
      <c r="G155" s="497"/>
      <c r="H155" s="497"/>
      <c r="BA155" s="459">
        <f>VLOOKUP(Sanidade!E36,Dados!$A$3:$N$10,13)</f>
        <v>0</v>
      </c>
      <c r="BB155" s="460">
        <f>IF(AND(Sanidade!$Y36=Sanidade!$X36,Sanidade!$X36=BB$1),Sanidade!$W36,IF(AND(Sanidade!$Y36&gt;=Sanidade!$X36,AND(Sanidade!$X36&lt;=BB$1,Sanidade!$Y36&gt;=BB$1)),Sanidade!$W36/(Sanidade!$Y36-Sanidade!$X36+1),0))</f>
        <v>0</v>
      </c>
      <c r="BC155" s="460">
        <f>IF(AND(Sanidade!$Y36=Sanidade!$X36,Sanidade!$X36=BC$1),Sanidade!$W36,IF(AND(Sanidade!$Y36&gt;=Sanidade!$X36,AND(Sanidade!$X36&lt;=BC$1,Sanidade!$Y36&gt;=BC$1)),Sanidade!$W36/(Sanidade!$Y36-Sanidade!$X36+1),0))</f>
        <v>0</v>
      </c>
      <c r="BD155" s="460">
        <f>IF(AND(Sanidade!$Y36=Sanidade!$X36,Sanidade!$X36=BD$1),Sanidade!$W36,IF(AND(Sanidade!$Y36&gt;=Sanidade!$X36,AND(Sanidade!$X36&lt;=BD$1,Sanidade!$Y36&gt;=BD$1)),Sanidade!$W36/(Sanidade!$Y36-Sanidade!$X36+1),0))</f>
        <v>0</v>
      </c>
      <c r="BE155" s="460">
        <f>IF(AND(Sanidade!$Y36=Sanidade!$X36,Sanidade!$X36=BE$1),Sanidade!$W36,IF(AND(Sanidade!$Y36&gt;=Sanidade!$X36,AND(Sanidade!$X36&lt;=BE$1,Sanidade!$Y36&gt;=BE$1)),Sanidade!$W36/(Sanidade!$Y36-Sanidade!$X36+1),0))</f>
        <v>0</v>
      </c>
      <c r="BF155" s="460">
        <f>IF(AND(Sanidade!$Y36=Sanidade!$X36,Sanidade!$X36=BF$1),Sanidade!$W36,IF(AND(Sanidade!$Y36&gt;=Sanidade!$X36,AND(Sanidade!$X36&lt;=BF$1,Sanidade!$Y36&gt;=BF$1)),Sanidade!$W36/(Sanidade!$Y36-Sanidade!$X36+1),0))</f>
        <v>0</v>
      </c>
      <c r="BG155" s="460">
        <f>IF(AND(Sanidade!$Y36=Sanidade!$X36,Sanidade!$X36=BG$1),Sanidade!$W36,IF(AND(Sanidade!$Y36&gt;=Sanidade!$X36,AND(Sanidade!$X36&lt;=BG$1,Sanidade!$Y36&gt;=BG$1)),Sanidade!$W36/(Sanidade!$Y36-Sanidade!$X36+1),0))</f>
        <v>0</v>
      </c>
      <c r="BH155" s="460">
        <f>IF(AND(Sanidade!$Y36=Sanidade!$X36,Sanidade!$X36=BH$1),Sanidade!$W36,IF(AND(Sanidade!$Y36&gt;=Sanidade!$X36,AND(Sanidade!$X36&lt;=BH$1,Sanidade!$Y36&gt;=BH$1)),Sanidade!$W36/(Sanidade!$Y36-Sanidade!$X36+1),0))</f>
        <v>0</v>
      </c>
      <c r="BI155" s="460">
        <f>IF(AND(Sanidade!$Y36=Sanidade!$X36,Sanidade!$X36=BI$1),Sanidade!$W36,IF(AND(Sanidade!$Y36&gt;=Sanidade!$X36,AND(Sanidade!$X36&lt;=BI$1,Sanidade!$Y36&gt;=BI$1)),Sanidade!$W36/(Sanidade!$Y36-Sanidade!$X36+1),0))</f>
        <v>0</v>
      </c>
      <c r="BJ155" s="460">
        <f>IF(AND(Sanidade!$Y36=Sanidade!$X36,Sanidade!$X36=BJ$1),Sanidade!$W36,IF(AND(Sanidade!$Y36&gt;=Sanidade!$X36,AND(Sanidade!$X36&lt;=BJ$1,Sanidade!$Y36&gt;=BJ$1)),Sanidade!$W36/(Sanidade!$Y36-Sanidade!$X36+1),0))</f>
        <v>0</v>
      </c>
      <c r="BK155" s="460">
        <f>IF(AND(Sanidade!$Y36=Sanidade!$X36,Sanidade!$X36=BK$1),Sanidade!$W36,IF(AND(Sanidade!$Y36&gt;=Sanidade!$X36,AND(Sanidade!$X36&lt;=BK$1,Sanidade!$Y36&gt;=BK$1)),Sanidade!$W36/(Sanidade!$Y36-Sanidade!$X36+1),0))</f>
        <v>0</v>
      </c>
      <c r="BL155" s="460">
        <f>IF(AND(Sanidade!$Y36=Sanidade!$X36,Sanidade!$X36=BL$1),Sanidade!$W36,IF(AND(Sanidade!$Y36&gt;=Sanidade!$X36,AND(Sanidade!$X36&lt;=BL$1,Sanidade!$Y36&gt;=BL$1)),Sanidade!$W36/(Sanidade!$Y36-Sanidade!$X36+1),0))</f>
        <v>0</v>
      </c>
      <c r="BM155" s="460">
        <f>IF(AND(Sanidade!$Y36=Sanidade!$X36,Sanidade!$X36=BM$1),Sanidade!$W36,IF(AND(Sanidade!$Y36&gt;=Sanidade!$X36,AND(Sanidade!$X36&lt;=BM$1,Sanidade!$Y36&gt;=BM$1)),Sanidade!$W36/(Sanidade!$Y36-Sanidade!$X36+1),0))</f>
        <v>0</v>
      </c>
      <c r="BN155" s="460">
        <f>IF(AND(Sanidade!$Y36=Sanidade!$X36,Sanidade!$X36=BN$1),Sanidade!$W36,IF(AND(Sanidade!$Y36&gt;=Sanidade!$X36,AND(Sanidade!$X36&lt;=BN$1,Sanidade!$Y36&gt;=BN$1)),Sanidade!$W36/(Sanidade!$Y36-Sanidade!$X36+1),0))</f>
        <v>0</v>
      </c>
      <c r="BO155" s="460">
        <f>IF(AND(Sanidade!$Y36=Sanidade!$X36,Sanidade!$X36=BO$1),Sanidade!$W36,IF(AND(Sanidade!$Y36&gt;=Sanidade!$X36,AND(Sanidade!$X36&lt;=BO$1,Sanidade!$Y36&gt;=BO$1)),Sanidade!$W36/(Sanidade!$Y36-Sanidade!$X36+1),0))</f>
        <v>0</v>
      </c>
      <c r="BP155" s="460">
        <f>IF(AND(Sanidade!$Y36=Sanidade!$X36,Sanidade!$X36=BP$1),Sanidade!$W36,IF(AND(Sanidade!$Y36&gt;=Sanidade!$X36,AND(Sanidade!$X36&lt;=BP$1,Sanidade!$Y36&gt;=BP$1)),Sanidade!$W36/(Sanidade!$Y36-Sanidade!$X36+1),0))</f>
        <v>0</v>
      </c>
      <c r="BQ155" s="460">
        <f>IF(AND(Sanidade!$Y36=Sanidade!$X36,Sanidade!$X36=BQ$1),Sanidade!$W36,IF(AND(Sanidade!$Y36&gt;=Sanidade!$X36,AND(Sanidade!$X36&lt;=BQ$1,Sanidade!$Y36&gt;=BQ$1)),Sanidade!$W36/(Sanidade!$Y36-Sanidade!$X36+1),0))</f>
        <v>0</v>
      </c>
      <c r="BR155" s="460">
        <f>IF(AND(Sanidade!$Y36=Sanidade!$X36,Sanidade!$X36=BR$1),Sanidade!$W36,IF(AND(Sanidade!$Y36&gt;=Sanidade!$X36,AND(Sanidade!$X36&lt;=BR$1,Sanidade!$Y36&gt;=BR$1)),Sanidade!$W36/(Sanidade!$Y36-Sanidade!$X36+1),0))</f>
        <v>0</v>
      </c>
      <c r="BS155" s="460">
        <f>IF(AND(Sanidade!$Y36=Sanidade!$X36,Sanidade!$X36=BS$1),Sanidade!$W36,IF(AND(Sanidade!$Y36&gt;=Sanidade!$X36,AND(Sanidade!$X36&lt;=BS$1,Sanidade!$Y36&gt;=BS$1)),Sanidade!$W36/(Sanidade!$Y36-Sanidade!$X36+1),0))</f>
        <v>0</v>
      </c>
      <c r="BT155" s="461">
        <f>IF(AND(Sanidade!$Y36=Sanidade!$X36,Sanidade!$X36=BT$1),Sanidade!$W36,IF(AND(Sanidade!$Y36&gt;=Sanidade!$X36,AND(Sanidade!$X36&lt;=BT$1,Sanidade!$Y36&gt;=BT$1)),Sanidade!$W36/(Sanidade!$Y36-Sanidade!$X36+1),0))</f>
        <v>0</v>
      </c>
    </row>
    <row r="156" spans="2:72" x14ac:dyDescent="0.2">
      <c r="B156" s="499"/>
      <c r="C156" s="500"/>
      <c r="D156" s="497"/>
      <c r="E156" s="497"/>
      <c r="F156" s="497"/>
      <c r="G156" s="497"/>
      <c r="H156" s="497"/>
      <c r="BA156" s="459">
        <f>VLOOKUP(Sanidade!E37,Dados!$A$3:$N$10,13)</f>
        <v>0</v>
      </c>
      <c r="BB156" s="460">
        <f>IF(AND(Sanidade!$Y37=Sanidade!$X37,Sanidade!$X37=BB$1),Sanidade!$W37,IF(AND(Sanidade!$Y37&gt;=Sanidade!$X37,AND(Sanidade!$X37&lt;=BB$1,Sanidade!$Y37&gt;=BB$1)),Sanidade!$W37/(Sanidade!$Y37-Sanidade!$X37+1),0))</f>
        <v>0</v>
      </c>
      <c r="BC156" s="460">
        <f>IF(AND(Sanidade!$Y37=Sanidade!$X37,Sanidade!$X37=BC$1),Sanidade!$W37,IF(AND(Sanidade!$Y37&gt;=Sanidade!$X37,AND(Sanidade!$X37&lt;=BC$1,Sanidade!$Y37&gt;=BC$1)),Sanidade!$W37/(Sanidade!$Y37-Sanidade!$X37+1),0))</f>
        <v>0</v>
      </c>
      <c r="BD156" s="460">
        <f>IF(AND(Sanidade!$Y37=Sanidade!$X37,Sanidade!$X37=BD$1),Sanidade!$W37,IF(AND(Sanidade!$Y37&gt;=Sanidade!$X37,AND(Sanidade!$X37&lt;=BD$1,Sanidade!$Y37&gt;=BD$1)),Sanidade!$W37/(Sanidade!$Y37-Sanidade!$X37+1),0))</f>
        <v>0</v>
      </c>
      <c r="BE156" s="460">
        <f>IF(AND(Sanidade!$Y37=Sanidade!$X37,Sanidade!$X37=BE$1),Sanidade!$W37,IF(AND(Sanidade!$Y37&gt;=Sanidade!$X37,AND(Sanidade!$X37&lt;=BE$1,Sanidade!$Y37&gt;=BE$1)),Sanidade!$W37/(Sanidade!$Y37-Sanidade!$X37+1),0))</f>
        <v>0</v>
      </c>
      <c r="BF156" s="460">
        <f>IF(AND(Sanidade!$Y37=Sanidade!$X37,Sanidade!$X37=BF$1),Sanidade!$W37,IF(AND(Sanidade!$Y37&gt;=Sanidade!$X37,AND(Sanidade!$X37&lt;=BF$1,Sanidade!$Y37&gt;=BF$1)),Sanidade!$W37/(Sanidade!$Y37-Sanidade!$X37+1),0))</f>
        <v>0</v>
      </c>
      <c r="BG156" s="460">
        <f>IF(AND(Sanidade!$Y37=Sanidade!$X37,Sanidade!$X37=BG$1),Sanidade!$W37,IF(AND(Sanidade!$Y37&gt;=Sanidade!$X37,AND(Sanidade!$X37&lt;=BG$1,Sanidade!$Y37&gt;=BG$1)),Sanidade!$W37/(Sanidade!$Y37-Sanidade!$X37+1),0))</f>
        <v>0</v>
      </c>
      <c r="BH156" s="460">
        <f>IF(AND(Sanidade!$Y37=Sanidade!$X37,Sanidade!$X37=BH$1),Sanidade!$W37,IF(AND(Sanidade!$Y37&gt;=Sanidade!$X37,AND(Sanidade!$X37&lt;=BH$1,Sanidade!$Y37&gt;=BH$1)),Sanidade!$W37/(Sanidade!$Y37-Sanidade!$X37+1),0))</f>
        <v>0</v>
      </c>
      <c r="BI156" s="460">
        <f>IF(AND(Sanidade!$Y37=Sanidade!$X37,Sanidade!$X37=BI$1),Sanidade!$W37,IF(AND(Sanidade!$Y37&gt;=Sanidade!$X37,AND(Sanidade!$X37&lt;=BI$1,Sanidade!$Y37&gt;=BI$1)),Sanidade!$W37/(Sanidade!$Y37-Sanidade!$X37+1),0))</f>
        <v>0</v>
      </c>
      <c r="BJ156" s="460">
        <f>IF(AND(Sanidade!$Y37=Sanidade!$X37,Sanidade!$X37=BJ$1),Sanidade!$W37,IF(AND(Sanidade!$Y37&gt;=Sanidade!$X37,AND(Sanidade!$X37&lt;=BJ$1,Sanidade!$Y37&gt;=BJ$1)),Sanidade!$W37/(Sanidade!$Y37-Sanidade!$X37+1),0))</f>
        <v>0</v>
      </c>
      <c r="BK156" s="460">
        <f>IF(AND(Sanidade!$Y37=Sanidade!$X37,Sanidade!$X37=BK$1),Sanidade!$W37,IF(AND(Sanidade!$Y37&gt;=Sanidade!$X37,AND(Sanidade!$X37&lt;=BK$1,Sanidade!$Y37&gt;=BK$1)),Sanidade!$W37/(Sanidade!$Y37-Sanidade!$X37+1),0))</f>
        <v>0</v>
      </c>
      <c r="BL156" s="460">
        <f>IF(AND(Sanidade!$Y37=Sanidade!$X37,Sanidade!$X37=BL$1),Sanidade!$W37,IF(AND(Sanidade!$Y37&gt;=Sanidade!$X37,AND(Sanidade!$X37&lt;=BL$1,Sanidade!$Y37&gt;=BL$1)),Sanidade!$W37/(Sanidade!$Y37-Sanidade!$X37+1),0))</f>
        <v>0</v>
      </c>
      <c r="BM156" s="460">
        <f>IF(AND(Sanidade!$Y37=Sanidade!$X37,Sanidade!$X37=BM$1),Sanidade!$W37,IF(AND(Sanidade!$Y37&gt;=Sanidade!$X37,AND(Sanidade!$X37&lt;=BM$1,Sanidade!$Y37&gt;=BM$1)),Sanidade!$W37/(Sanidade!$Y37-Sanidade!$X37+1),0))</f>
        <v>0</v>
      </c>
      <c r="BN156" s="460">
        <f>IF(AND(Sanidade!$Y37=Sanidade!$X37,Sanidade!$X37=BN$1),Sanidade!$W37,IF(AND(Sanidade!$Y37&gt;=Sanidade!$X37,AND(Sanidade!$X37&lt;=BN$1,Sanidade!$Y37&gt;=BN$1)),Sanidade!$W37/(Sanidade!$Y37-Sanidade!$X37+1),0))</f>
        <v>0</v>
      </c>
      <c r="BO156" s="460">
        <f>IF(AND(Sanidade!$Y37=Sanidade!$X37,Sanidade!$X37=BO$1),Sanidade!$W37,IF(AND(Sanidade!$Y37&gt;=Sanidade!$X37,AND(Sanidade!$X37&lt;=BO$1,Sanidade!$Y37&gt;=BO$1)),Sanidade!$W37/(Sanidade!$Y37-Sanidade!$X37+1),0))</f>
        <v>0</v>
      </c>
      <c r="BP156" s="460">
        <f>IF(AND(Sanidade!$Y37=Sanidade!$X37,Sanidade!$X37=BP$1),Sanidade!$W37,IF(AND(Sanidade!$Y37&gt;=Sanidade!$X37,AND(Sanidade!$X37&lt;=BP$1,Sanidade!$Y37&gt;=BP$1)),Sanidade!$W37/(Sanidade!$Y37-Sanidade!$X37+1),0))</f>
        <v>0</v>
      </c>
      <c r="BQ156" s="460">
        <f>IF(AND(Sanidade!$Y37=Sanidade!$X37,Sanidade!$X37=BQ$1),Sanidade!$W37,IF(AND(Sanidade!$Y37&gt;=Sanidade!$X37,AND(Sanidade!$X37&lt;=BQ$1,Sanidade!$Y37&gt;=BQ$1)),Sanidade!$W37/(Sanidade!$Y37-Sanidade!$X37+1),0))</f>
        <v>0</v>
      </c>
      <c r="BR156" s="460">
        <f>IF(AND(Sanidade!$Y37=Sanidade!$X37,Sanidade!$X37=BR$1),Sanidade!$W37,IF(AND(Sanidade!$Y37&gt;=Sanidade!$X37,AND(Sanidade!$X37&lt;=BR$1,Sanidade!$Y37&gt;=BR$1)),Sanidade!$W37/(Sanidade!$Y37-Sanidade!$X37+1),0))</f>
        <v>0</v>
      </c>
      <c r="BS156" s="460">
        <f>IF(AND(Sanidade!$Y37=Sanidade!$X37,Sanidade!$X37=BS$1),Sanidade!$W37,IF(AND(Sanidade!$Y37&gt;=Sanidade!$X37,AND(Sanidade!$X37&lt;=BS$1,Sanidade!$Y37&gt;=BS$1)),Sanidade!$W37/(Sanidade!$Y37-Sanidade!$X37+1),0))</f>
        <v>0</v>
      </c>
      <c r="BT156" s="461">
        <f>IF(AND(Sanidade!$Y37=Sanidade!$X37,Sanidade!$X37=BT$1),Sanidade!$W37,IF(AND(Sanidade!$Y37&gt;=Sanidade!$X37,AND(Sanidade!$X37&lt;=BT$1,Sanidade!$Y37&gt;=BT$1)),Sanidade!$W37/(Sanidade!$Y37-Sanidade!$X37+1),0))</f>
        <v>0</v>
      </c>
    </row>
    <row r="157" spans="2:72" x14ac:dyDescent="0.2">
      <c r="B157" s="499"/>
      <c r="C157" s="500"/>
      <c r="D157" s="497"/>
      <c r="E157" s="497"/>
      <c r="F157" s="497"/>
      <c r="G157" s="497"/>
      <c r="H157" s="497"/>
      <c r="BA157" s="459">
        <f>VLOOKUP(Sanidade!E38,Dados!$A$3:$N$10,13)</f>
        <v>0</v>
      </c>
      <c r="BB157" s="460">
        <f>IF(AND(Sanidade!$Y38=Sanidade!$X38,Sanidade!$X38=BB$1),Sanidade!$W38,IF(AND(Sanidade!$Y38&gt;=Sanidade!$X38,AND(Sanidade!$X38&lt;=BB$1,Sanidade!$Y38&gt;=BB$1)),Sanidade!$W38/(Sanidade!$Y38-Sanidade!$X38+1),0))</f>
        <v>0</v>
      </c>
      <c r="BC157" s="460">
        <f>IF(AND(Sanidade!$Y38=Sanidade!$X38,Sanidade!$X38=BC$1),Sanidade!$W38,IF(AND(Sanidade!$Y38&gt;=Sanidade!$X38,AND(Sanidade!$X38&lt;=BC$1,Sanidade!$Y38&gt;=BC$1)),Sanidade!$W38/(Sanidade!$Y38-Sanidade!$X38+1),0))</f>
        <v>0</v>
      </c>
      <c r="BD157" s="460">
        <f>IF(AND(Sanidade!$Y38=Sanidade!$X38,Sanidade!$X38=BD$1),Sanidade!$W38,IF(AND(Sanidade!$Y38&gt;=Sanidade!$X38,AND(Sanidade!$X38&lt;=BD$1,Sanidade!$Y38&gt;=BD$1)),Sanidade!$W38/(Sanidade!$Y38-Sanidade!$X38+1),0))</f>
        <v>0</v>
      </c>
      <c r="BE157" s="460">
        <f>IF(AND(Sanidade!$Y38=Sanidade!$X38,Sanidade!$X38=BE$1),Sanidade!$W38,IF(AND(Sanidade!$Y38&gt;=Sanidade!$X38,AND(Sanidade!$X38&lt;=BE$1,Sanidade!$Y38&gt;=BE$1)),Sanidade!$W38/(Sanidade!$Y38-Sanidade!$X38+1),0))</f>
        <v>0</v>
      </c>
      <c r="BF157" s="460">
        <f>IF(AND(Sanidade!$Y38=Sanidade!$X38,Sanidade!$X38=BF$1),Sanidade!$W38,IF(AND(Sanidade!$Y38&gt;=Sanidade!$X38,AND(Sanidade!$X38&lt;=BF$1,Sanidade!$Y38&gt;=BF$1)),Sanidade!$W38/(Sanidade!$Y38-Sanidade!$X38+1),0))</f>
        <v>0</v>
      </c>
      <c r="BG157" s="460">
        <f>IF(AND(Sanidade!$Y38=Sanidade!$X38,Sanidade!$X38=BG$1),Sanidade!$W38,IF(AND(Sanidade!$Y38&gt;=Sanidade!$X38,AND(Sanidade!$X38&lt;=BG$1,Sanidade!$Y38&gt;=BG$1)),Sanidade!$W38/(Sanidade!$Y38-Sanidade!$X38+1),0))</f>
        <v>0</v>
      </c>
      <c r="BH157" s="460">
        <f>IF(AND(Sanidade!$Y38=Sanidade!$X38,Sanidade!$X38=BH$1),Sanidade!$W38,IF(AND(Sanidade!$Y38&gt;=Sanidade!$X38,AND(Sanidade!$X38&lt;=BH$1,Sanidade!$Y38&gt;=BH$1)),Sanidade!$W38/(Sanidade!$Y38-Sanidade!$X38+1),0))</f>
        <v>0</v>
      </c>
      <c r="BI157" s="460">
        <f>IF(AND(Sanidade!$Y38=Sanidade!$X38,Sanidade!$X38=BI$1),Sanidade!$W38,IF(AND(Sanidade!$Y38&gt;=Sanidade!$X38,AND(Sanidade!$X38&lt;=BI$1,Sanidade!$Y38&gt;=BI$1)),Sanidade!$W38/(Sanidade!$Y38-Sanidade!$X38+1),0))</f>
        <v>0</v>
      </c>
      <c r="BJ157" s="460">
        <f>IF(AND(Sanidade!$Y38=Sanidade!$X38,Sanidade!$X38=BJ$1),Sanidade!$W38,IF(AND(Sanidade!$Y38&gt;=Sanidade!$X38,AND(Sanidade!$X38&lt;=BJ$1,Sanidade!$Y38&gt;=BJ$1)),Sanidade!$W38/(Sanidade!$Y38-Sanidade!$X38+1),0))</f>
        <v>0</v>
      </c>
      <c r="BK157" s="460">
        <f>IF(AND(Sanidade!$Y38=Sanidade!$X38,Sanidade!$X38=BK$1),Sanidade!$W38,IF(AND(Sanidade!$Y38&gt;=Sanidade!$X38,AND(Sanidade!$X38&lt;=BK$1,Sanidade!$Y38&gt;=BK$1)),Sanidade!$W38/(Sanidade!$Y38-Sanidade!$X38+1),0))</f>
        <v>0</v>
      </c>
      <c r="BL157" s="460">
        <f>IF(AND(Sanidade!$Y38=Sanidade!$X38,Sanidade!$X38=BL$1),Sanidade!$W38,IF(AND(Sanidade!$Y38&gt;=Sanidade!$X38,AND(Sanidade!$X38&lt;=BL$1,Sanidade!$Y38&gt;=BL$1)),Sanidade!$W38/(Sanidade!$Y38-Sanidade!$X38+1),0))</f>
        <v>0</v>
      </c>
      <c r="BM157" s="460">
        <f>IF(AND(Sanidade!$Y38=Sanidade!$X38,Sanidade!$X38=BM$1),Sanidade!$W38,IF(AND(Sanidade!$Y38&gt;=Sanidade!$X38,AND(Sanidade!$X38&lt;=BM$1,Sanidade!$Y38&gt;=BM$1)),Sanidade!$W38/(Sanidade!$Y38-Sanidade!$X38+1),0))</f>
        <v>0</v>
      </c>
      <c r="BN157" s="460">
        <f>IF(AND(Sanidade!$Y38=Sanidade!$X38,Sanidade!$X38=BN$1),Sanidade!$W38,IF(AND(Sanidade!$Y38&gt;=Sanidade!$X38,AND(Sanidade!$X38&lt;=BN$1,Sanidade!$Y38&gt;=BN$1)),Sanidade!$W38/(Sanidade!$Y38-Sanidade!$X38+1),0))</f>
        <v>0</v>
      </c>
      <c r="BO157" s="460">
        <f>IF(AND(Sanidade!$Y38=Sanidade!$X38,Sanidade!$X38=BO$1),Sanidade!$W38,IF(AND(Sanidade!$Y38&gt;=Sanidade!$X38,AND(Sanidade!$X38&lt;=BO$1,Sanidade!$Y38&gt;=BO$1)),Sanidade!$W38/(Sanidade!$Y38-Sanidade!$X38+1),0))</f>
        <v>0</v>
      </c>
      <c r="BP157" s="460">
        <f>IF(AND(Sanidade!$Y38=Sanidade!$X38,Sanidade!$X38=BP$1),Sanidade!$W38,IF(AND(Sanidade!$Y38&gt;=Sanidade!$X38,AND(Sanidade!$X38&lt;=BP$1,Sanidade!$Y38&gt;=BP$1)),Sanidade!$W38/(Sanidade!$Y38-Sanidade!$X38+1),0))</f>
        <v>0</v>
      </c>
      <c r="BQ157" s="460">
        <f>IF(AND(Sanidade!$Y38=Sanidade!$X38,Sanidade!$X38=BQ$1),Sanidade!$W38,IF(AND(Sanidade!$Y38&gt;=Sanidade!$X38,AND(Sanidade!$X38&lt;=BQ$1,Sanidade!$Y38&gt;=BQ$1)),Sanidade!$W38/(Sanidade!$Y38-Sanidade!$X38+1),0))</f>
        <v>0</v>
      </c>
      <c r="BR157" s="460">
        <f>IF(AND(Sanidade!$Y38=Sanidade!$X38,Sanidade!$X38=BR$1),Sanidade!$W38,IF(AND(Sanidade!$Y38&gt;=Sanidade!$X38,AND(Sanidade!$X38&lt;=BR$1,Sanidade!$Y38&gt;=BR$1)),Sanidade!$W38/(Sanidade!$Y38-Sanidade!$X38+1),0))</f>
        <v>0</v>
      </c>
      <c r="BS157" s="460">
        <f>IF(AND(Sanidade!$Y38=Sanidade!$X38,Sanidade!$X38=BS$1),Sanidade!$W38,IF(AND(Sanidade!$Y38&gt;=Sanidade!$X38,AND(Sanidade!$X38&lt;=BS$1,Sanidade!$Y38&gt;=BS$1)),Sanidade!$W38/(Sanidade!$Y38-Sanidade!$X38+1),0))</f>
        <v>0</v>
      </c>
      <c r="BT157" s="461">
        <f>IF(AND(Sanidade!$Y38=Sanidade!$X38,Sanidade!$X38=BT$1),Sanidade!$W38,IF(AND(Sanidade!$Y38&gt;=Sanidade!$X38,AND(Sanidade!$X38&lt;=BT$1,Sanidade!$Y38&gt;=BT$1)),Sanidade!$W38/(Sanidade!$Y38-Sanidade!$X38+1),0))</f>
        <v>0</v>
      </c>
    </row>
    <row r="158" spans="2:72" x14ac:dyDescent="0.2">
      <c r="B158" s="499"/>
      <c r="C158" s="500"/>
      <c r="D158" s="497"/>
      <c r="E158" s="497"/>
      <c r="F158" s="497"/>
      <c r="G158" s="497"/>
      <c r="H158" s="497"/>
      <c r="BA158" s="459">
        <f>VLOOKUP(Sanidade!E43,Dados!$A$3:$N$10,13)</f>
        <v>0</v>
      </c>
      <c r="BB158" s="460">
        <f>IF(AND(Sanidade!$Y43=Sanidade!$X43,Sanidade!$X43=BB$1),Sanidade!$W43,IF(AND(Sanidade!$Y43&gt;=Sanidade!$X43,AND(Sanidade!$X43&lt;=BB$1,Sanidade!$Y43&gt;=BB$1)),Sanidade!$W43/(Sanidade!$Y43-Sanidade!$X43+1),0))</f>
        <v>0</v>
      </c>
      <c r="BC158" s="460">
        <f>IF(AND(Sanidade!$Y43=Sanidade!$X43,Sanidade!$X43=BC$1),Sanidade!$W43,IF(AND(Sanidade!$Y43&gt;=Sanidade!$X43,AND(Sanidade!$X43&lt;=BC$1,Sanidade!$Y43&gt;=BC$1)),Sanidade!$W43/(Sanidade!$Y43-Sanidade!$X43+1),0))</f>
        <v>0</v>
      </c>
      <c r="BD158" s="460">
        <f>IF(AND(Sanidade!$Y43=Sanidade!$X43,Sanidade!$X43=BD$1),Sanidade!$W43,IF(AND(Sanidade!$Y43&gt;=Sanidade!$X43,AND(Sanidade!$X43&lt;=BD$1,Sanidade!$Y43&gt;=BD$1)),Sanidade!$W43/(Sanidade!$Y43-Sanidade!$X43+1),0))</f>
        <v>0</v>
      </c>
      <c r="BE158" s="460">
        <f>IF(AND(Sanidade!$Y43=Sanidade!$X43,Sanidade!$X43=BE$1),Sanidade!$W43,IF(AND(Sanidade!$Y43&gt;=Sanidade!$X43,AND(Sanidade!$X43&lt;=BE$1,Sanidade!$Y43&gt;=BE$1)),Sanidade!$W43/(Sanidade!$Y43-Sanidade!$X43+1),0))</f>
        <v>0</v>
      </c>
      <c r="BF158" s="460">
        <f>IF(AND(Sanidade!$Y43=Sanidade!$X43,Sanidade!$X43=BF$1),Sanidade!$W43,IF(AND(Sanidade!$Y43&gt;=Sanidade!$X43,AND(Sanidade!$X43&lt;=BF$1,Sanidade!$Y43&gt;=BF$1)),Sanidade!$W43/(Sanidade!$Y43-Sanidade!$X43+1),0))</f>
        <v>0</v>
      </c>
      <c r="BG158" s="460">
        <f>IF(AND(Sanidade!$Y43=Sanidade!$X43,Sanidade!$X43=BG$1),Sanidade!$W43,IF(AND(Sanidade!$Y43&gt;=Sanidade!$X43,AND(Sanidade!$X43&lt;=BG$1,Sanidade!$Y43&gt;=BG$1)),Sanidade!$W43/(Sanidade!$Y43-Sanidade!$X43+1),0))</f>
        <v>0</v>
      </c>
      <c r="BH158" s="460">
        <f>IF(AND(Sanidade!$Y43=Sanidade!$X43,Sanidade!$X43=BH$1),Sanidade!$W43,IF(AND(Sanidade!$Y43&gt;=Sanidade!$X43,AND(Sanidade!$X43&lt;=BH$1,Sanidade!$Y43&gt;=BH$1)),Sanidade!$W43/(Sanidade!$Y43-Sanidade!$X43+1),0))</f>
        <v>0</v>
      </c>
      <c r="BI158" s="460">
        <f>IF(AND(Sanidade!$Y43=Sanidade!$X43,Sanidade!$X43=BI$1),Sanidade!$W43,IF(AND(Sanidade!$Y43&gt;=Sanidade!$X43,AND(Sanidade!$X43&lt;=BI$1,Sanidade!$Y43&gt;=BI$1)),Sanidade!$W43/(Sanidade!$Y43-Sanidade!$X43+1),0))</f>
        <v>0</v>
      </c>
      <c r="BJ158" s="460">
        <f>IF(AND(Sanidade!$Y43=Sanidade!$X43,Sanidade!$X43=BJ$1),Sanidade!$W43,IF(AND(Sanidade!$Y43&gt;=Sanidade!$X43,AND(Sanidade!$X43&lt;=BJ$1,Sanidade!$Y43&gt;=BJ$1)),Sanidade!$W43/(Sanidade!$Y43-Sanidade!$X43+1),0))</f>
        <v>0</v>
      </c>
      <c r="BK158" s="460">
        <f>IF(AND(Sanidade!$Y43=Sanidade!$X43,Sanidade!$X43=BK$1),Sanidade!$W43,IF(AND(Sanidade!$Y43&gt;=Sanidade!$X43,AND(Sanidade!$X43&lt;=BK$1,Sanidade!$Y43&gt;=BK$1)),Sanidade!$W43/(Sanidade!$Y43-Sanidade!$X43+1),0))</f>
        <v>0</v>
      </c>
      <c r="BL158" s="460">
        <f>IF(AND(Sanidade!$Y43=Sanidade!$X43,Sanidade!$X43=BL$1),Sanidade!$W43,IF(AND(Sanidade!$Y43&gt;=Sanidade!$X43,AND(Sanidade!$X43&lt;=BL$1,Sanidade!$Y43&gt;=BL$1)),Sanidade!$W43/(Sanidade!$Y43-Sanidade!$X43+1),0))</f>
        <v>0</v>
      </c>
      <c r="BM158" s="460">
        <f>IF(AND(Sanidade!$Y43=Sanidade!$X43,Sanidade!$X43=BM$1),Sanidade!$W43,IF(AND(Sanidade!$Y43&gt;=Sanidade!$X43,AND(Sanidade!$X43&lt;=BM$1,Sanidade!$Y43&gt;=BM$1)),Sanidade!$W43/(Sanidade!$Y43-Sanidade!$X43+1),0))</f>
        <v>0</v>
      </c>
      <c r="BN158" s="460">
        <f>IF(AND(Sanidade!$Y43=Sanidade!$X43,Sanidade!$X43=BN$1),Sanidade!$W43,IF(AND(Sanidade!$Y43&gt;=Sanidade!$X43,AND(Sanidade!$X43&lt;=BN$1,Sanidade!$Y43&gt;=BN$1)),Sanidade!$W43/(Sanidade!$Y43-Sanidade!$X43+1),0))</f>
        <v>0</v>
      </c>
      <c r="BO158" s="460">
        <f>IF(AND(Sanidade!$Y43=Sanidade!$X43,Sanidade!$X43=BO$1),Sanidade!$W43,IF(AND(Sanidade!$Y43&gt;=Sanidade!$X43,AND(Sanidade!$X43&lt;=BO$1,Sanidade!$Y43&gt;=BO$1)),Sanidade!$W43/(Sanidade!$Y43-Sanidade!$X43+1),0))</f>
        <v>0</v>
      </c>
      <c r="BP158" s="460">
        <f>IF(AND(Sanidade!$Y43=Sanidade!$X43,Sanidade!$X43=BP$1),Sanidade!$W43,IF(AND(Sanidade!$Y43&gt;=Sanidade!$X43,AND(Sanidade!$X43&lt;=BP$1,Sanidade!$Y43&gt;=BP$1)),Sanidade!$W43/(Sanidade!$Y43-Sanidade!$X43+1),0))</f>
        <v>0</v>
      </c>
      <c r="BQ158" s="460">
        <f>IF(AND(Sanidade!$Y43=Sanidade!$X43,Sanidade!$X43=BQ$1),Sanidade!$W43,IF(AND(Sanidade!$Y43&gt;=Sanidade!$X43,AND(Sanidade!$X43&lt;=BQ$1,Sanidade!$Y43&gt;=BQ$1)),Sanidade!$W43/(Sanidade!$Y43-Sanidade!$X43+1),0))</f>
        <v>0</v>
      </c>
      <c r="BR158" s="460">
        <f>IF(AND(Sanidade!$Y43=Sanidade!$X43,Sanidade!$X43=BR$1),Sanidade!$W43,IF(AND(Sanidade!$Y43&gt;=Sanidade!$X43,AND(Sanidade!$X43&lt;=BR$1,Sanidade!$Y43&gt;=BR$1)),Sanidade!$W43/(Sanidade!$Y43-Sanidade!$X43+1),0))</f>
        <v>0</v>
      </c>
      <c r="BS158" s="460">
        <f>IF(AND(Sanidade!$Y43=Sanidade!$X43,Sanidade!$X43=BS$1),Sanidade!$W43,IF(AND(Sanidade!$Y43&gt;=Sanidade!$X43,AND(Sanidade!$X43&lt;=BS$1,Sanidade!$Y43&gt;=BS$1)),Sanidade!$W43/(Sanidade!$Y43-Sanidade!$X43+1),0))</f>
        <v>0</v>
      </c>
      <c r="BT158" s="461">
        <f>IF(AND(Sanidade!$Y43=Sanidade!$X43,Sanidade!$X43=BT$1),Sanidade!$W43,IF(AND(Sanidade!$Y43&gt;=Sanidade!$X43,AND(Sanidade!$X43&lt;=BT$1,Sanidade!$Y43&gt;=BT$1)),Sanidade!$W43/(Sanidade!$Y43-Sanidade!$X43+1),0))</f>
        <v>0</v>
      </c>
    </row>
    <row r="159" spans="2:72" x14ac:dyDescent="0.2">
      <c r="B159" s="499"/>
      <c r="C159" s="500"/>
      <c r="D159" s="497"/>
      <c r="E159" s="497"/>
      <c r="F159" s="497"/>
      <c r="G159" s="497"/>
      <c r="H159" s="497"/>
      <c r="BA159" s="459">
        <f>VLOOKUP(Sanidade!E44,Dados!$A$3:$N$10,13)</f>
        <v>0</v>
      </c>
      <c r="BB159" s="460">
        <f>IF(AND(Sanidade!$Y44=Sanidade!$X44,Sanidade!$X44=BB$1),Sanidade!$W44,IF(AND(Sanidade!$Y44&gt;=Sanidade!$X44,AND(Sanidade!$X44&lt;=BB$1,Sanidade!$Y44&gt;=BB$1)),Sanidade!$W44/(Sanidade!$Y44-Sanidade!$X44+1),0))</f>
        <v>0</v>
      </c>
      <c r="BC159" s="460">
        <f>IF(AND(Sanidade!$Y44=Sanidade!$X44,Sanidade!$X44=BC$1),Sanidade!$W44,IF(AND(Sanidade!$Y44&gt;=Sanidade!$X44,AND(Sanidade!$X44&lt;=BC$1,Sanidade!$Y44&gt;=BC$1)),Sanidade!$W44/(Sanidade!$Y44-Sanidade!$X44+1),0))</f>
        <v>0</v>
      </c>
      <c r="BD159" s="460">
        <f>IF(AND(Sanidade!$Y44=Sanidade!$X44,Sanidade!$X44=BD$1),Sanidade!$W44,IF(AND(Sanidade!$Y44&gt;=Sanidade!$X44,AND(Sanidade!$X44&lt;=BD$1,Sanidade!$Y44&gt;=BD$1)),Sanidade!$W44/(Sanidade!$Y44-Sanidade!$X44+1),0))</f>
        <v>0</v>
      </c>
      <c r="BE159" s="460">
        <f>IF(AND(Sanidade!$Y44=Sanidade!$X44,Sanidade!$X44=BE$1),Sanidade!$W44,IF(AND(Sanidade!$Y44&gt;=Sanidade!$X44,AND(Sanidade!$X44&lt;=BE$1,Sanidade!$Y44&gt;=BE$1)),Sanidade!$W44/(Sanidade!$Y44-Sanidade!$X44+1),0))</f>
        <v>0</v>
      </c>
      <c r="BF159" s="460">
        <f>IF(AND(Sanidade!$Y44=Sanidade!$X44,Sanidade!$X44=BF$1),Sanidade!$W44,IF(AND(Sanidade!$Y44&gt;=Sanidade!$X44,AND(Sanidade!$X44&lt;=BF$1,Sanidade!$Y44&gt;=BF$1)),Sanidade!$W44/(Sanidade!$Y44-Sanidade!$X44+1),0))</f>
        <v>0</v>
      </c>
      <c r="BG159" s="460">
        <f>IF(AND(Sanidade!$Y44=Sanidade!$X44,Sanidade!$X44=BG$1),Sanidade!$W44,IF(AND(Sanidade!$Y44&gt;=Sanidade!$X44,AND(Sanidade!$X44&lt;=BG$1,Sanidade!$Y44&gt;=BG$1)),Sanidade!$W44/(Sanidade!$Y44-Sanidade!$X44+1),0))</f>
        <v>0</v>
      </c>
      <c r="BH159" s="460">
        <f>IF(AND(Sanidade!$Y44=Sanidade!$X44,Sanidade!$X44=BH$1),Sanidade!$W44,IF(AND(Sanidade!$Y44&gt;=Sanidade!$X44,AND(Sanidade!$X44&lt;=BH$1,Sanidade!$Y44&gt;=BH$1)),Sanidade!$W44/(Sanidade!$Y44-Sanidade!$X44+1),0))</f>
        <v>0</v>
      </c>
      <c r="BI159" s="460">
        <f>IF(AND(Sanidade!$Y44=Sanidade!$X44,Sanidade!$X44=BI$1),Sanidade!$W44,IF(AND(Sanidade!$Y44&gt;=Sanidade!$X44,AND(Sanidade!$X44&lt;=BI$1,Sanidade!$Y44&gt;=BI$1)),Sanidade!$W44/(Sanidade!$Y44-Sanidade!$X44+1),0))</f>
        <v>0</v>
      </c>
      <c r="BJ159" s="460">
        <f>IF(AND(Sanidade!$Y44=Sanidade!$X44,Sanidade!$X44=BJ$1),Sanidade!$W44,IF(AND(Sanidade!$Y44&gt;=Sanidade!$X44,AND(Sanidade!$X44&lt;=BJ$1,Sanidade!$Y44&gt;=BJ$1)),Sanidade!$W44/(Sanidade!$Y44-Sanidade!$X44+1),0))</f>
        <v>0</v>
      </c>
      <c r="BK159" s="460">
        <f>IF(AND(Sanidade!$Y44=Sanidade!$X44,Sanidade!$X44=BK$1),Sanidade!$W44,IF(AND(Sanidade!$Y44&gt;=Sanidade!$X44,AND(Sanidade!$X44&lt;=BK$1,Sanidade!$Y44&gt;=BK$1)),Sanidade!$W44/(Sanidade!$Y44-Sanidade!$X44+1),0))</f>
        <v>0</v>
      </c>
      <c r="BL159" s="460">
        <f>IF(AND(Sanidade!$Y44=Sanidade!$X44,Sanidade!$X44=BL$1),Sanidade!$W44,IF(AND(Sanidade!$Y44&gt;=Sanidade!$X44,AND(Sanidade!$X44&lt;=BL$1,Sanidade!$Y44&gt;=BL$1)),Sanidade!$W44/(Sanidade!$Y44-Sanidade!$X44+1),0))</f>
        <v>0</v>
      </c>
      <c r="BM159" s="460">
        <f>IF(AND(Sanidade!$Y44=Sanidade!$X44,Sanidade!$X44=BM$1),Sanidade!$W44,IF(AND(Sanidade!$Y44&gt;=Sanidade!$X44,AND(Sanidade!$X44&lt;=BM$1,Sanidade!$Y44&gt;=BM$1)),Sanidade!$W44/(Sanidade!$Y44-Sanidade!$X44+1),0))</f>
        <v>0</v>
      </c>
      <c r="BN159" s="460">
        <f>IF(AND(Sanidade!$Y44=Sanidade!$X44,Sanidade!$X44=BN$1),Sanidade!$W44,IF(AND(Sanidade!$Y44&gt;=Sanidade!$X44,AND(Sanidade!$X44&lt;=BN$1,Sanidade!$Y44&gt;=BN$1)),Sanidade!$W44/(Sanidade!$Y44-Sanidade!$X44+1),0))</f>
        <v>0</v>
      </c>
      <c r="BO159" s="460">
        <f>IF(AND(Sanidade!$Y44=Sanidade!$X44,Sanidade!$X44=BO$1),Sanidade!$W44,IF(AND(Sanidade!$Y44&gt;=Sanidade!$X44,AND(Sanidade!$X44&lt;=BO$1,Sanidade!$Y44&gt;=BO$1)),Sanidade!$W44/(Sanidade!$Y44-Sanidade!$X44+1),0))</f>
        <v>0</v>
      </c>
      <c r="BP159" s="460">
        <f>IF(AND(Sanidade!$Y44=Sanidade!$X44,Sanidade!$X44=BP$1),Sanidade!$W44,IF(AND(Sanidade!$Y44&gt;=Sanidade!$X44,AND(Sanidade!$X44&lt;=BP$1,Sanidade!$Y44&gt;=BP$1)),Sanidade!$W44/(Sanidade!$Y44-Sanidade!$X44+1),0))</f>
        <v>0</v>
      </c>
      <c r="BQ159" s="460">
        <f>IF(AND(Sanidade!$Y44=Sanidade!$X44,Sanidade!$X44=BQ$1),Sanidade!$W44,IF(AND(Sanidade!$Y44&gt;=Sanidade!$X44,AND(Sanidade!$X44&lt;=BQ$1,Sanidade!$Y44&gt;=BQ$1)),Sanidade!$W44/(Sanidade!$Y44-Sanidade!$X44+1),0))</f>
        <v>0</v>
      </c>
      <c r="BR159" s="460">
        <f>IF(AND(Sanidade!$Y44=Sanidade!$X44,Sanidade!$X44=BR$1),Sanidade!$W44,IF(AND(Sanidade!$Y44&gt;=Sanidade!$X44,AND(Sanidade!$X44&lt;=BR$1,Sanidade!$Y44&gt;=BR$1)),Sanidade!$W44/(Sanidade!$Y44-Sanidade!$X44+1),0))</f>
        <v>0</v>
      </c>
      <c r="BS159" s="460">
        <f>IF(AND(Sanidade!$Y44=Sanidade!$X44,Sanidade!$X44=BS$1),Sanidade!$W44,IF(AND(Sanidade!$Y44&gt;=Sanidade!$X44,AND(Sanidade!$X44&lt;=BS$1,Sanidade!$Y44&gt;=BS$1)),Sanidade!$W44/(Sanidade!$Y44-Sanidade!$X44+1),0))</f>
        <v>0</v>
      </c>
      <c r="BT159" s="461">
        <f>IF(AND(Sanidade!$Y44=Sanidade!$X44,Sanidade!$X44=BT$1),Sanidade!$W44,IF(AND(Sanidade!$Y44&gt;=Sanidade!$X44,AND(Sanidade!$X44&lt;=BT$1,Sanidade!$Y44&gt;=BT$1)),Sanidade!$W44/(Sanidade!$Y44-Sanidade!$X44+1),0))</f>
        <v>0</v>
      </c>
    </row>
    <row r="160" spans="2:72" x14ac:dyDescent="0.2">
      <c r="B160" s="499"/>
      <c r="C160" s="500"/>
      <c r="D160" s="497"/>
      <c r="E160" s="497"/>
      <c r="F160" s="497"/>
      <c r="G160" s="497"/>
      <c r="H160" s="497"/>
      <c r="BA160" s="459">
        <f>VLOOKUP(Sanidade!E45,Dados!$A$3:$N$10,13)</f>
        <v>0</v>
      </c>
      <c r="BB160" s="460">
        <f>IF(AND(Sanidade!$Y45=Sanidade!$X45,Sanidade!$X45=BB$1),Sanidade!$W45,IF(AND(Sanidade!$Y45&gt;=Sanidade!$X45,AND(Sanidade!$X45&lt;=BB$1,Sanidade!$Y45&gt;=BB$1)),Sanidade!$W45/(Sanidade!$Y45-Sanidade!$X45+1),0))</f>
        <v>0</v>
      </c>
      <c r="BC160" s="460">
        <f>IF(AND(Sanidade!$Y45=Sanidade!$X45,Sanidade!$X45=BC$1),Sanidade!$W45,IF(AND(Sanidade!$Y45&gt;=Sanidade!$X45,AND(Sanidade!$X45&lt;=BC$1,Sanidade!$Y45&gt;=BC$1)),Sanidade!$W45/(Sanidade!$Y45-Sanidade!$X45+1),0))</f>
        <v>0</v>
      </c>
      <c r="BD160" s="460">
        <f>IF(AND(Sanidade!$Y45=Sanidade!$X45,Sanidade!$X45=BD$1),Sanidade!$W45,IF(AND(Sanidade!$Y45&gt;=Sanidade!$X45,AND(Sanidade!$X45&lt;=BD$1,Sanidade!$Y45&gt;=BD$1)),Sanidade!$W45/(Sanidade!$Y45-Sanidade!$X45+1),0))</f>
        <v>0</v>
      </c>
      <c r="BE160" s="460">
        <f>IF(AND(Sanidade!$Y45=Sanidade!$X45,Sanidade!$X45=BE$1),Sanidade!$W45,IF(AND(Sanidade!$Y45&gt;=Sanidade!$X45,AND(Sanidade!$X45&lt;=BE$1,Sanidade!$Y45&gt;=BE$1)),Sanidade!$W45/(Sanidade!$Y45-Sanidade!$X45+1),0))</f>
        <v>0</v>
      </c>
      <c r="BF160" s="460">
        <f>IF(AND(Sanidade!$Y45=Sanidade!$X45,Sanidade!$X45=BF$1),Sanidade!$W45,IF(AND(Sanidade!$Y45&gt;=Sanidade!$X45,AND(Sanidade!$X45&lt;=BF$1,Sanidade!$Y45&gt;=BF$1)),Sanidade!$W45/(Sanidade!$Y45-Sanidade!$X45+1),0))</f>
        <v>0</v>
      </c>
      <c r="BG160" s="460">
        <f>IF(AND(Sanidade!$Y45=Sanidade!$X45,Sanidade!$X45=BG$1),Sanidade!$W45,IF(AND(Sanidade!$Y45&gt;=Sanidade!$X45,AND(Sanidade!$X45&lt;=BG$1,Sanidade!$Y45&gt;=BG$1)),Sanidade!$W45/(Sanidade!$Y45-Sanidade!$X45+1),0))</f>
        <v>0</v>
      </c>
      <c r="BH160" s="460">
        <f>IF(AND(Sanidade!$Y45=Sanidade!$X45,Sanidade!$X45=BH$1),Sanidade!$W45,IF(AND(Sanidade!$Y45&gt;=Sanidade!$X45,AND(Sanidade!$X45&lt;=BH$1,Sanidade!$Y45&gt;=BH$1)),Sanidade!$W45/(Sanidade!$Y45-Sanidade!$X45+1),0))</f>
        <v>0</v>
      </c>
      <c r="BI160" s="460">
        <f>IF(AND(Sanidade!$Y45=Sanidade!$X45,Sanidade!$X45=BI$1),Sanidade!$W45,IF(AND(Sanidade!$Y45&gt;=Sanidade!$X45,AND(Sanidade!$X45&lt;=BI$1,Sanidade!$Y45&gt;=BI$1)),Sanidade!$W45/(Sanidade!$Y45-Sanidade!$X45+1),0))</f>
        <v>0</v>
      </c>
      <c r="BJ160" s="460">
        <f>IF(AND(Sanidade!$Y45=Sanidade!$X45,Sanidade!$X45=BJ$1),Sanidade!$W45,IF(AND(Sanidade!$Y45&gt;=Sanidade!$X45,AND(Sanidade!$X45&lt;=BJ$1,Sanidade!$Y45&gt;=BJ$1)),Sanidade!$W45/(Sanidade!$Y45-Sanidade!$X45+1),0))</f>
        <v>0</v>
      </c>
      <c r="BK160" s="460">
        <f>IF(AND(Sanidade!$Y45=Sanidade!$X45,Sanidade!$X45=BK$1),Sanidade!$W45,IF(AND(Sanidade!$Y45&gt;=Sanidade!$X45,AND(Sanidade!$X45&lt;=BK$1,Sanidade!$Y45&gt;=BK$1)),Sanidade!$W45/(Sanidade!$Y45-Sanidade!$X45+1),0))</f>
        <v>0</v>
      </c>
      <c r="BL160" s="460">
        <f>IF(AND(Sanidade!$Y45=Sanidade!$X45,Sanidade!$X45=BL$1),Sanidade!$W45,IF(AND(Sanidade!$Y45&gt;=Sanidade!$X45,AND(Sanidade!$X45&lt;=BL$1,Sanidade!$Y45&gt;=BL$1)),Sanidade!$W45/(Sanidade!$Y45-Sanidade!$X45+1),0))</f>
        <v>0</v>
      </c>
      <c r="BM160" s="460">
        <f>IF(AND(Sanidade!$Y45=Sanidade!$X45,Sanidade!$X45=BM$1),Sanidade!$W45,IF(AND(Sanidade!$Y45&gt;=Sanidade!$X45,AND(Sanidade!$X45&lt;=BM$1,Sanidade!$Y45&gt;=BM$1)),Sanidade!$W45/(Sanidade!$Y45-Sanidade!$X45+1),0))</f>
        <v>0</v>
      </c>
      <c r="BN160" s="460">
        <f>IF(AND(Sanidade!$Y45=Sanidade!$X45,Sanidade!$X45=BN$1),Sanidade!$W45,IF(AND(Sanidade!$Y45&gt;=Sanidade!$X45,AND(Sanidade!$X45&lt;=BN$1,Sanidade!$Y45&gt;=BN$1)),Sanidade!$W45/(Sanidade!$Y45-Sanidade!$X45+1),0))</f>
        <v>0</v>
      </c>
      <c r="BO160" s="460">
        <f>IF(AND(Sanidade!$Y45=Sanidade!$X45,Sanidade!$X45=BO$1),Sanidade!$W45,IF(AND(Sanidade!$Y45&gt;=Sanidade!$X45,AND(Sanidade!$X45&lt;=BO$1,Sanidade!$Y45&gt;=BO$1)),Sanidade!$W45/(Sanidade!$Y45-Sanidade!$X45+1),0))</f>
        <v>0</v>
      </c>
      <c r="BP160" s="460">
        <f>IF(AND(Sanidade!$Y45=Sanidade!$X45,Sanidade!$X45=BP$1),Sanidade!$W45,IF(AND(Sanidade!$Y45&gt;=Sanidade!$X45,AND(Sanidade!$X45&lt;=BP$1,Sanidade!$Y45&gt;=BP$1)),Sanidade!$W45/(Sanidade!$Y45-Sanidade!$X45+1),0))</f>
        <v>0</v>
      </c>
      <c r="BQ160" s="460">
        <f>IF(AND(Sanidade!$Y45=Sanidade!$X45,Sanidade!$X45=BQ$1),Sanidade!$W45,IF(AND(Sanidade!$Y45&gt;=Sanidade!$X45,AND(Sanidade!$X45&lt;=BQ$1,Sanidade!$Y45&gt;=BQ$1)),Sanidade!$W45/(Sanidade!$Y45-Sanidade!$X45+1),0))</f>
        <v>0</v>
      </c>
      <c r="BR160" s="460">
        <f>IF(AND(Sanidade!$Y45=Sanidade!$X45,Sanidade!$X45=BR$1),Sanidade!$W45,IF(AND(Sanidade!$Y45&gt;=Sanidade!$X45,AND(Sanidade!$X45&lt;=BR$1,Sanidade!$Y45&gt;=BR$1)),Sanidade!$W45/(Sanidade!$Y45-Sanidade!$X45+1),0))</f>
        <v>0</v>
      </c>
      <c r="BS160" s="460">
        <f>IF(AND(Sanidade!$Y45=Sanidade!$X45,Sanidade!$X45=BS$1),Sanidade!$W45,IF(AND(Sanidade!$Y45&gt;=Sanidade!$X45,AND(Sanidade!$X45&lt;=BS$1,Sanidade!$Y45&gt;=BS$1)),Sanidade!$W45/(Sanidade!$Y45-Sanidade!$X45+1),0))</f>
        <v>0</v>
      </c>
      <c r="BT160" s="461">
        <f>IF(AND(Sanidade!$Y45=Sanidade!$X45,Sanidade!$X45=BT$1),Sanidade!$W45,IF(AND(Sanidade!$Y45&gt;=Sanidade!$X45,AND(Sanidade!$X45&lt;=BT$1,Sanidade!$Y45&gt;=BT$1)),Sanidade!$W45/(Sanidade!$Y45-Sanidade!$X45+1),0))</f>
        <v>0</v>
      </c>
    </row>
    <row r="161" spans="2:72" x14ac:dyDescent="0.2">
      <c r="B161" s="499"/>
      <c r="C161" s="500"/>
      <c r="D161" s="497"/>
      <c r="E161" s="497"/>
      <c r="F161" s="497"/>
      <c r="G161" s="497"/>
      <c r="H161" s="497"/>
      <c r="BA161" s="459">
        <f>VLOOKUP(Sanidade!E46,Dados!$A$3:$N$10,13)</f>
        <v>0</v>
      </c>
      <c r="BB161" s="460">
        <f>IF(AND(Sanidade!$Y46=Sanidade!$X46,Sanidade!$X46=BB$1),Sanidade!$W46,IF(AND(Sanidade!$Y46&gt;=Sanidade!$X46,AND(Sanidade!$X46&lt;=BB$1,Sanidade!$Y46&gt;=BB$1)),Sanidade!$W46/(Sanidade!$Y46-Sanidade!$X46+1),0))</f>
        <v>0</v>
      </c>
      <c r="BC161" s="460">
        <f>IF(AND(Sanidade!$Y46=Sanidade!$X46,Sanidade!$X46=BC$1),Sanidade!$W46,IF(AND(Sanidade!$Y46&gt;=Sanidade!$X46,AND(Sanidade!$X46&lt;=BC$1,Sanidade!$Y46&gt;=BC$1)),Sanidade!$W46/(Sanidade!$Y46-Sanidade!$X46+1),0))</f>
        <v>0</v>
      </c>
      <c r="BD161" s="460">
        <f>IF(AND(Sanidade!$Y46=Sanidade!$X46,Sanidade!$X46=BD$1),Sanidade!$W46,IF(AND(Sanidade!$Y46&gt;=Sanidade!$X46,AND(Sanidade!$X46&lt;=BD$1,Sanidade!$Y46&gt;=BD$1)),Sanidade!$W46/(Sanidade!$Y46-Sanidade!$X46+1),0))</f>
        <v>0</v>
      </c>
      <c r="BE161" s="460">
        <f>IF(AND(Sanidade!$Y46=Sanidade!$X46,Sanidade!$X46=BE$1),Sanidade!$W46,IF(AND(Sanidade!$Y46&gt;=Sanidade!$X46,AND(Sanidade!$X46&lt;=BE$1,Sanidade!$Y46&gt;=BE$1)),Sanidade!$W46/(Sanidade!$Y46-Sanidade!$X46+1),0))</f>
        <v>0</v>
      </c>
      <c r="BF161" s="460">
        <f>IF(AND(Sanidade!$Y46=Sanidade!$X46,Sanidade!$X46=BF$1),Sanidade!$W46,IF(AND(Sanidade!$Y46&gt;=Sanidade!$X46,AND(Sanidade!$X46&lt;=BF$1,Sanidade!$Y46&gt;=BF$1)),Sanidade!$W46/(Sanidade!$Y46-Sanidade!$X46+1),0))</f>
        <v>0</v>
      </c>
      <c r="BG161" s="460">
        <f>IF(AND(Sanidade!$Y46=Sanidade!$X46,Sanidade!$X46=BG$1),Sanidade!$W46,IF(AND(Sanidade!$Y46&gt;=Sanidade!$X46,AND(Sanidade!$X46&lt;=BG$1,Sanidade!$Y46&gt;=BG$1)),Sanidade!$W46/(Sanidade!$Y46-Sanidade!$X46+1),0))</f>
        <v>0</v>
      </c>
      <c r="BH161" s="460">
        <f>IF(AND(Sanidade!$Y46=Sanidade!$X46,Sanidade!$X46=BH$1),Sanidade!$W46,IF(AND(Sanidade!$Y46&gt;=Sanidade!$X46,AND(Sanidade!$X46&lt;=BH$1,Sanidade!$Y46&gt;=BH$1)),Sanidade!$W46/(Sanidade!$Y46-Sanidade!$X46+1),0))</f>
        <v>0</v>
      </c>
      <c r="BI161" s="460">
        <f>IF(AND(Sanidade!$Y46=Sanidade!$X46,Sanidade!$X46=BI$1),Sanidade!$W46,IF(AND(Sanidade!$Y46&gt;=Sanidade!$X46,AND(Sanidade!$X46&lt;=BI$1,Sanidade!$Y46&gt;=BI$1)),Sanidade!$W46/(Sanidade!$Y46-Sanidade!$X46+1),0))</f>
        <v>0</v>
      </c>
      <c r="BJ161" s="460">
        <f>IF(AND(Sanidade!$Y46=Sanidade!$X46,Sanidade!$X46=BJ$1),Sanidade!$W46,IF(AND(Sanidade!$Y46&gt;=Sanidade!$X46,AND(Sanidade!$X46&lt;=BJ$1,Sanidade!$Y46&gt;=BJ$1)),Sanidade!$W46/(Sanidade!$Y46-Sanidade!$X46+1),0))</f>
        <v>0</v>
      </c>
      <c r="BK161" s="460">
        <f>IF(AND(Sanidade!$Y46=Sanidade!$X46,Sanidade!$X46=BK$1),Sanidade!$W46,IF(AND(Sanidade!$Y46&gt;=Sanidade!$X46,AND(Sanidade!$X46&lt;=BK$1,Sanidade!$Y46&gt;=BK$1)),Sanidade!$W46/(Sanidade!$Y46-Sanidade!$X46+1),0))</f>
        <v>0</v>
      </c>
      <c r="BL161" s="460">
        <f>IF(AND(Sanidade!$Y46=Sanidade!$X46,Sanidade!$X46=BL$1),Sanidade!$W46,IF(AND(Sanidade!$Y46&gt;=Sanidade!$X46,AND(Sanidade!$X46&lt;=BL$1,Sanidade!$Y46&gt;=BL$1)),Sanidade!$W46/(Sanidade!$Y46-Sanidade!$X46+1),0))</f>
        <v>0</v>
      </c>
      <c r="BM161" s="460">
        <f>IF(AND(Sanidade!$Y46=Sanidade!$X46,Sanidade!$X46=BM$1),Sanidade!$W46,IF(AND(Sanidade!$Y46&gt;=Sanidade!$X46,AND(Sanidade!$X46&lt;=BM$1,Sanidade!$Y46&gt;=BM$1)),Sanidade!$W46/(Sanidade!$Y46-Sanidade!$X46+1),0))</f>
        <v>0</v>
      </c>
      <c r="BN161" s="460">
        <f>IF(AND(Sanidade!$Y46=Sanidade!$X46,Sanidade!$X46=BN$1),Sanidade!$W46,IF(AND(Sanidade!$Y46&gt;=Sanidade!$X46,AND(Sanidade!$X46&lt;=BN$1,Sanidade!$Y46&gt;=BN$1)),Sanidade!$W46/(Sanidade!$Y46-Sanidade!$X46+1),0))</f>
        <v>0</v>
      </c>
      <c r="BO161" s="460">
        <f>IF(AND(Sanidade!$Y46=Sanidade!$X46,Sanidade!$X46=BO$1),Sanidade!$W46,IF(AND(Sanidade!$Y46&gt;=Sanidade!$X46,AND(Sanidade!$X46&lt;=BO$1,Sanidade!$Y46&gt;=BO$1)),Sanidade!$W46/(Sanidade!$Y46-Sanidade!$X46+1),0))</f>
        <v>0</v>
      </c>
      <c r="BP161" s="460">
        <f>IF(AND(Sanidade!$Y46=Sanidade!$X46,Sanidade!$X46=BP$1),Sanidade!$W46,IF(AND(Sanidade!$Y46&gt;=Sanidade!$X46,AND(Sanidade!$X46&lt;=BP$1,Sanidade!$Y46&gt;=BP$1)),Sanidade!$W46/(Sanidade!$Y46-Sanidade!$X46+1),0))</f>
        <v>0</v>
      </c>
      <c r="BQ161" s="460">
        <f>IF(AND(Sanidade!$Y46=Sanidade!$X46,Sanidade!$X46=BQ$1),Sanidade!$W46,IF(AND(Sanidade!$Y46&gt;=Sanidade!$X46,AND(Sanidade!$X46&lt;=BQ$1,Sanidade!$Y46&gt;=BQ$1)),Sanidade!$W46/(Sanidade!$Y46-Sanidade!$X46+1),0))</f>
        <v>0</v>
      </c>
      <c r="BR161" s="460">
        <f>IF(AND(Sanidade!$Y46=Sanidade!$X46,Sanidade!$X46=BR$1),Sanidade!$W46,IF(AND(Sanidade!$Y46&gt;=Sanidade!$X46,AND(Sanidade!$X46&lt;=BR$1,Sanidade!$Y46&gt;=BR$1)),Sanidade!$W46/(Sanidade!$Y46-Sanidade!$X46+1),0))</f>
        <v>0</v>
      </c>
      <c r="BS161" s="460">
        <f>IF(AND(Sanidade!$Y46=Sanidade!$X46,Sanidade!$X46=BS$1),Sanidade!$W46,IF(AND(Sanidade!$Y46&gt;=Sanidade!$X46,AND(Sanidade!$X46&lt;=BS$1,Sanidade!$Y46&gt;=BS$1)),Sanidade!$W46/(Sanidade!$Y46-Sanidade!$X46+1),0))</f>
        <v>0</v>
      </c>
      <c r="BT161" s="461">
        <f>IF(AND(Sanidade!$Y46=Sanidade!$X46,Sanidade!$X46=BT$1),Sanidade!$W46,IF(AND(Sanidade!$Y46&gt;=Sanidade!$X46,AND(Sanidade!$X46&lt;=BT$1,Sanidade!$Y46&gt;=BT$1)),Sanidade!$W46/(Sanidade!$Y46-Sanidade!$X46+1),0))</f>
        <v>0</v>
      </c>
    </row>
    <row r="162" spans="2:72" x14ac:dyDescent="0.2">
      <c r="B162" s="499"/>
      <c r="C162" s="500"/>
      <c r="D162" s="497"/>
      <c r="E162" s="497"/>
      <c r="F162" s="497"/>
      <c r="G162" s="497"/>
      <c r="H162" s="497"/>
      <c r="BA162" s="459">
        <f>VLOOKUP(Sanidade!E47,Dados!$A$3:$N$10,13)</f>
        <v>0</v>
      </c>
      <c r="BB162" s="460">
        <f>IF(AND(Sanidade!$Y47=Sanidade!$X47,Sanidade!$X47=BB$1),Sanidade!$W47,IF(AND(Sanidade!$Y47&gt;=Sanidade!$X47,AND(Sanidade!$X47&lt;=BB$1,Sanidade!$Y47&gt;=BB$1)),Sanidade!$W47/(Sanidade!$Y47-Sanidade!$X47+1),0))</f>
        <v>0</v>
      </c>
      <c r="BC162" s="460">
        <f>IF(AND(Sanidade!$Y47=Sanidade!$X47,Sanidade!$X47=BC$1),Sanidade!$W47,IF(AND(Sanidade!$Y47&gt;=Sanidade!$X47,AND(Sanidade!$X47&lt;=BC$1,Sanidade!$Y47&gt;=BC$1)),Sanidade!$W47/(Sanidade!$Y47-Sanidade!$X47+1),0))</f>
        <v>0</v>
      </c>
      <c r="BD162" s="460">
        <f>IF(AND(Sanidade!$Y47=Sanidade!$X47,Sanidade!$X47=BD$1),Sanidade!$W47,IF(AND(Sanidade!$Y47&gt;=Sanidade!$X47,AND(Sanidade!$X47&lt;=BD$1,Sanidade!$Y47&gt;=BD$1)),Sanidade!$W47/(Sanidade!$Y47-Sanidade!$X47+1),0))</f>
        <v>0</v>
      </c>
      <c r="BE162" s="460">
        <f>IF(AND(Sanidade!$Y47=Sanidade!$X47,Sanidade!$X47=BE$1),Sanidade!$W47,IF(AND(Sanidade!$Y47&gt;=Sanidade!$X47,AND(Sanidade!$X47&lt;=BE$1,Sanidade!$Y47&gt;=BE$1)),Sanidade!$W47/(Sanidade!$Y47-Sanidade!$X47+1),0))</f>
        <v>0</v>
      </c>
      <c r="BF162" s="460">
        <f>IF(AND(Sanidade!$Y47=Sanidade!$X47,Sanidade!$X47=BF$1),Sanidade!$W47,IF(AND(Sanidade!$Y47&gt;=Sanidade!$X47,AND(Sanidade!$X47&lt;=BF$1,Sanidade!$Y47&gt;=BF$1)),Sanidade!$W47/(Sanidade!$Y47-Sanidade!$X47+1),0))</f>
        <v>0</v>
      </c>
      <c r="BG162" s="460">
        <f>IF(AND(Sanidade!$Y47=Sanidade!$X47,Sanidade!$X47=BG$1),Sanidade!$W47,IF(AND(Sanidade!$Y47&gt;=Sanidade!$X47,AND(Sanidade!$X47&lt;=BG$1,Sanidade!$Y47&gt;=BG$1)),Sanidade!$W47/(Sanidade!$Y47-Sanidade!$X47+1),0))</f>
        <v>0</v>
      </c>
      <c r="BH162" s="460">
        <f>IF(AND(Sanidade!$Y47=Sanidade!$X47,Sanidade!$X47=BH$1),Sanidade!$W47,IF(AND(Sanidade!$Y47&gt;=Sanidade!$X47,AND(Sanidade!$X47&lt;=BH$1,Sanidade!$Y47&gt;=BH$1)),Sanidade!$W47/(Sanidade!$Y47-Sanidade!$X47+1),0))</f>
        <v>0</v>
      </c>
      <c r="BI162" s="460">
        <f>IF(AND(Sanidade!$Y47=Sanidade!$X47,Sanidade!$X47=BI$1),Sanidade!$W47,IF(AND(Sanidade!$Y47&gt;=Sanidade!$X47,AND(Sanidade!$X47&lt;=BI$1,Sanidade!$Y47&gt;=BI$1)),Sanidade!$W47/(Sanidade!$Y47-Sanidade!$X47+1),0))</f>
        <v>0</v>
      </c>
      <c r="BJ162" s="460">
        <f>IF(AND(Sanidade!$Y47=Sanidade!$X47,Sanidade!$X47=BJ$1),Sanidade!$W47,IF(AND(Sanidade!$Y47&gt;=Sanidade!$X47,AND(Sanidade!$X47&lt;=BJ$1,Sanidade!$Y47&gt;=BJ$1)),Sanidade!$W47/(Sanidade!$Y47-Sanidade!$X47+1),0))</f>
        <v>0</v>
      </c>
      <c r="BK162" s="460">
        <f>IF(AND(Sanidade!$Y47=Sanidade!$X47,Sanidade!$X47=BK$1),Sanidade!$W47,IF(AND(Sanidade!$Y47&gt;=Sanidade!$X47,AND(Sanidade!$X47&lt;=BK$1,Sanidade!$Y47&gt;=BK$1)),Sanidade!$W47/(Sanidade!$Y47-Sanidade!$X47+1),0))</f>
        <v>0</v>
      </c>
      <c r="BL162" s="460">
        <f>IF(AND(Sanidade!$Y47=Sanidade!$X47,Sanidade!$X47=BL$1),Sanidade!$W47,IF(AND(Sanidade!$Y47&gt;=Sanidade!$X47,AND(Sanidade!$X47&lt;=BL$1,Sanidade!$Y47&gt;=BL$1)),Sanidade!$W47/(Sanidade!$Y47-Sanidade!$X47+1),0))</f>
        <v>0</v>
      </c>
      <c r="BM162" s="460">
        <f>IF(AND(Sanidade!$Y47=Sanidade!$X47,Sanidade!$X47=BM$1),Sanidade!$W47,IF(AND(Sanidade!$Y47&gt;=Sanidade!$X47,AND(Sanidade!$X47&lt;=BM$1,Sanidade!$Y47&gt;=BM$1)),Sanidade!$W47/(Sanidade!$Y47-Sanidade!$X47+1),0))</f>
        <v>0</v>
      </c>
      <c r="BN162" s="460">
        <f>IF(AND(Sanidade!$Y47=Sanidade!$X47,Sanidade!$X47=BN$1),Sanidade!$W47,IF(AND(Sanidade!$Y47&gt;=Sanidade!$X47,AND(Sanidade!$X47&lt;=BN$1,Sanidade!$Y47&gt;=BN$1)),Sanidade!$W47/(Sanidade!$Y47-Sanidade!$X47+1),0))</f>
        <v>0</v>
      </c>
      <c r="BO162" s="460">
        <f>IF(AND(Sanidade!$Y47=Sanidade!$X47,Sanidade!$X47=BO$1),Sanidade!$W47,IF(AND(Sanidade!$Y47&gt;=Sanidade!$X47,AND(Sanidade!$X47&lt;=BO$1,Sanidade!$Y47&gt;=BO$1)),Sanidade!$W47/(Sanidade!$Y47-Sanidade!$X47+1),0))</f>
        <v>0</v>
      </c>
      <c r="BP162" s="460">
        <f>IF(AND(Sanidade!$Y47=Sanidade!$X47,Sanidade!$X47=BP$1),Sanidade!$W47,IF(AND(Sanidade!$Y47&gt;=Sanidade!$X47,AND(Sanidade!$X47&lt;=BP$1,Sanidade!$Y47&gt;=BP$1)),Sanidade!$W47/(Sanidade!$Y47-Sanidade!$X47+1),0))</f>
        <v>0</v>
      </c>
      <c r="BQ162" s="460">
        <f>IF(AND(Sanidade!$Y47=Sanidade!$X47,Sanidade!$X47=BQ$1),Sanidade!$W47,IF(AND(Sanidade!$Y47&gt;=Sanidade!$X47,AND(Sanidade!$X47&lt;=BQ$1,Sanidade!$Y47&gt;=BQ$1)),Sanidade!$W47/(Sanidade!$Y47-Sanidade!$X47+1),0))</f>
        <v>0</v>
      </c>
      <c r="BR162" s="460">
        <f>IF(AND(Sanidade!$Y47=Sanidade!$X47,Sanidade!$X47=BR$1),Sanidade!$W47,IF(AND(Sanidade!$Y47&gt;=Sanidade!$X47,AND(Sanidade!$X47&lt;=BR$1,Sanidade!$Y47&gt;=BR$1)),Sanidade!$W47/(Sanidade!$Y47-Sanidade!$X47+1),0))</f>
        <v>0</v>
      </c>
      <c r="BS162" s="460">
        <f>IF(AND(Sanidade!$Y47=Sanidade!$X47,Sanidade!$X47=BS$1),Sanidade!$W47,IF(AND(Sanidade!$Y47&gt;=Sanidade!$X47,AND(Sanidade!$X47&lt;=BS$1,Sanidade!$Y47&gt;=BS$1)),Sanidade!$W47/(Sanidade!$Y47-Sanidade!$X47+1),0))</f>
        <v>0</v>
      </c>
      <c r="BT162" s="461">
        <f>IF(AND(Sanidade!$Y47=Sanidade!$X47,Sanidade!$X47=BT$1),Sanidade!$W47,IF(AND(Sanidade!$Y47&gt;=Sanidade!$X47,AND(Sanidade!$X47&lt;=BT$1,Sanidade!$Y47&gt;=BT$1)),Sanidade!$W47/(Sanidade!$Y47-Sanidade!$X47+1),0))</f>
        <v>0</v>
      </c>
    </row>
    <row r="163" spans="2:72" x14ac:dyDescent="0.2">
      <c r="B163" s="499"/>
      <c r="C163" s="500"/>
      <c r="D163" s="497"/>
      <c r="E163" s="497"/>
      <c r="F163" s="497"/>
      <c r="G163" s="497"/>
      <c r="H163" s="497"/>
      <c r="BA163" s="459">
        <f>VLOOKUP(Sanidade!E52,Dados!$A$3:$N$10,13)</f>
        <v>0</v>
      </c>
      <c r="BB163" s="460">
        <f>IF(AND(Sanidade!$Y52=Sanidade!$X52,Sanidade!$X52=BB$1),Sanidade!$W52,IF(AND(Sanidade!$Y52&gt;=Sanidade!$X52,AND(Sanidade!$X52&lt;=BB$1,Sanidade!$Y52&gt;=BB$1)),Sanidade!$W52/(Sanidade!$Y52-Sanidade!$X52+1),0))</f>
        <v>0</v>
      </c>
      <c r="BC163" s="460">
        <f>IF(AND(Sanidade!$Y52=Sanidade!$X52,Sanidade!$X52=BC$1),Sanidade!$W52,IF(AND(Sanidade!$Y52&gt;=Sanidade!$X52,AND(Sanidade!$X52&lt;=BC$1,Sanidade!$Y52&gt;=BC$1)),Sanidade!$W52/(Sanidade!$Y52-Sanidade!$X52+1),0))</f>
        <v>0</v>
      </c>
      <c r="BD163" s="460">
        <f>IF(AND(Sanidade!$Y52=Sanidade!$X52,Sanidade!$X52=BD$1),Sanidade!$W52,IF(AND(Sanidade!$Y52&gt;=Sanidade!$X52,AND(Sanidade!$X52&lt;=BD$1,Sanidade!$Y52&gt;=BD$1)),Sanidade!$W52/(Sanidade!$Y52-Sanidade!$X52+1),0))</f>
        <v>0</v>
      </c>
      <c r="BE163" s="460">
        <f>IF(AND(Sanidade!$Y52=Sanidade!$X52,Sanidade!$X52=BE$1),Sanidade!$W52,IF(AND(Sanidade!$Y52&gt;=Sanidade!$X52,AND(Sanidade!$X52&lt;=BE$1,Sanidade!$Y52&gt;=BE$1)),Sanidade!$W52/(Sanidade!$Y52-Sanidade!$X52+1),0))</f>
        <v>0</v>
      </c>
      <c r="BF163" s="460">
        <f>IF(AND(Sanidade!$Y52=Sanidade!$X52,Sanidade!$X52=BF$1),Sanidade!$W52,IF(AND(Sanidade!$Y52&gt;=Sanidade!$X52,AND(Sanidade!$X52&lt;=BF$1,Sanidade!$Y52&gt;=BF$1)),Sanidade!$W52/(Sanidade!$Y52-Sanidade!$X52+1),0))</f>
        <v>0</v>
      </c>
      <c r="BG163" s="460">
        <f>IF(AND(Sanidade!$Y52=Sanidade!$X52,Sanidade!$X52=BG$1),Sanidade!$W52,IF(AND(Sanidade!$Y52&gt;=Sanidade!$X52,AND(Sanidade!$X52&lt;=BG$1,Sanidade!$Y52&gt;=BG$1)),Sanidade!$W52/(Sanidade!$Y52-Sanidade!$X52+1),0))</f>
        <v>0</v>
      </c>
      <c r="BH163" s="460">
        <f>IF(AND(Sanidade!$Y52=Sanidade!$X52,Sanidade!$X52=BH$1),Sanidade!$W52,IF(AND(Sanidade!$Y52&gt;=Sanidade!$X52,AND(Sanidade!$X52&lt;=BH$1,Sanidade!$Y52&gt;=BH$1)),Sanidade!$W52/(Sanidade!$Y52-Sanidade!$X52+1),0))</f>
        <v>0</v>
      </c>
      <c r="BI163" s="460">
        <f>IF(AND(Sanidade!$Y52=Sanidade!$X52,Sanidade!$X52=BI$1),Sanidade!$W52,IF(AND(Sanidade!$Y52&gt;=Sanidade!$X52,AND(Sanidade!$X52&lt;=BI$1,Sanidade!$Y52&gt;=BI$1)),Sanidade!$W52/(Sanidade!$Y52-Sanidade!$X52+1),0))</f>
        <v>0</v>
      </c>
      <c r="BJ163" s="460">
        <f>IF(AND(Sanidade!$Y52=Sanidade!$X52,Sanidade!$X52=BJ$1),Sanidade!$W52,IF(AND(Sanidade!$Y52&gt;=Sanidade!$X52,AND(Sanidade!$X52&lt;=BJ$1,Sanidade!$Y52&gt;=BJ$1)),Sanidade!$W52/(Sanidade!$Y52-Sanidade!$X52+1),0))</f>
        <v>0</v>
      </c>
      <c r="BK163" s="460">
        <f>IF(AND(Sanidade!$Y52=Sanidade!$X52,Sanidade!$X52=BK$1),Sanidade!$W52,IF(AND(Sanidade!$Y52&gt;=Sanidade!$X52,AND(Sanidade!$X52&lt;=BK$1,Sanidade!$Y52&gt;=BK$1)),Sanidade!$W52/(Sanidade!$Y52-Sanidade!$X52+1),0))</f>
        <v>0</v>
      </c>
      <c r="BL163" s="460">
        <f>IF(AND(Sanidade!$Y52=Sanidade!$X52,Sanidade!$X52=BL$1),Sanidade!$W52,IF(AND(Sanidade!$Y52&gt;=Sanidade!$X52,AND(Sanidade!$X52&lt;=BL$1,Sanidade!$Y52&gt;=BL$1)),Sanidade!$W52/(Sanidade!$Y52-Sanidade!$X52+1),0))</f>
        <v>0</v>
      </c>
      <c r="BM163" s="460">
        <f>IF(AND(Sanidade!$Y52=Sanidade!$X52,Sanidade!$X52=BM$1),Sanidade!$W52,IF(AND(Sanidade!$Y52&gt;=Sanidade!$X52,AND(Sanidade!$X52&lt;=BM$1,Sanidade!$Y52&gt;=BM$1)),Sanidade!$W52/(Sanidade!$Y52-Sanidade!$X52+1),0))</f>
        <v>0</v>
      </c>
      <c r="BN163" s="460">
        <f>IF(AND(Sanidade!$Y52=Sanidade!$X52,Sanidade!$X52=BN$1),Sanidade!$W52,IF(AND(Sanidade!$Y52&gt;=Sanidade!$X52,AND(Sanidade!$X52&lt;=BN$1,Sanidade!$Y52&gt;=BN$1)),Sanidade!$W52/(Sanidade!$Y52-Sanidade!$X52+1),0))</f>
        <v>0</v>
      </c>
      <c r="BO163" s="460">
        <f>IF(AND(Sanidade!$Y52=Sanidade!$X52,Sanidade!$X52=BO$1),Sanidade!$W52,IF(AND(Sanidade!$Y52&gt;=Sanidade!$X52,AND(Sanidade!$X52&lt;=BO$1,Sanidade!$Y52&gt;=BO$1)),Sanidade!$W52/(Sanidade!$Y52-Sanidade!$X52+1),0))</f>
        <v>0</v>
      </c>
      <c r="BP163" s="460">
        <f>IF(AND(Sanidade!$Y52=Sanidade!$X52,Sanidade!$X52=BP$1),Sanidade!$W52,IF(AND(Sanidade!$Y52&gt;=Sanidade!$X52,AND(Sanidade!$X52&lt;=BP$1,Sanidade!$Y52&gt;=BP$1)),Sanidade!$W52/(Sanidade!$Y52-Sanidade!$X52+1),0))</f>
        <v>0</v>
      </c>
      <c r="BQ163" s="460">
        <f>IF(AND(Sanidade!$Y52=Sanidade!$X52,Sanidade!$X52=BQ$1),Sanidade!$W52,IF(AND(Sanidade!$Y52&gt;=Sanidade!$X52,AND(Sanidade!$X52&lt;=BQ$1,Sanidade!$Y52&gt;=BQ$1)),Sanidade!$W52/(Sanidade!$Y52-Sanidade!$X52+1),0))</f>
        <v>0</v>
      </c>
      <c r="BR163" s="460">
        <f>IF(AND(Sanidade!$Y52=Sanidade!$X52,Sanidade!$X52=BR$1),Sanidade!$W52,IF(AND(Sanidade!$Y52&gt;=Sanidade!$X52,AND(Sanidade!$X52&lt;=BR$1,Sanidade!$Y52&gt;=BR$1)),Sanidade!$W52/(Sanidade!$Y52-Sanidade!$X52+1),0))</f>
        <v>0</v>
      </c>
      <c r="BS163" s="460">
        <f>IF(AND(Sanidade!$Y52=Sanidade!$X52,Sanidade!$X52=BS$1),Sanidade!$W52,IF(AND(Sanidade!$Y52&gt;=Sanidade!$X52,AND(Sanidade!$X52&lt;=BS$1,Sanidade!$Y52&gt;=BS$1)),Sanidade!$W52/(Sanidade!$Y52-Sanidade!$X52+1),0))</f>
        <v>0</v>
      </c>
      <c r="BT163" s="461">
        <f>IF(AND(Sanidade!$Y52=Sanidade!$X52,Sanidade!$X52=BT$1),Sanidade!$W52,IF(AND(Sanidade!$Y52&gt;=Sanidade!$X52,AND(Sanidade!$X52&lt;=BT$1,Sanidade!$Y52&gt;=BT$1)),Sanidade!$W52/(Sanidade!$Y52-Sanidade!$X52+1),0))</f>
        <v>0</v>
      </c>
    </row>
    <row r="164" spans="2:72" x14ac:dyDescent="0.2">
      <c r="B164" s="499"/>
      <c r="C164" s="500"/>
      <c r="D164" s="497"/>
      <c r="E164" s="497"/>
      <c r="F164" s="497"/>
      <c r="G164" s="497"/>
      <c r="H164" s="497"/>
      <c r="BA164" s="459">
        <f>VLOOKUP(Sanidade!E53,Dados!$A$3:$N$10,13)</f>
        <v>0</v>
      </c>
      <c r="BB164" s="460">
        <f>IF(AND(Sanidade!$Y53=Sanidade!$X53,Sanidade!$X53=BB$1),Sanidade!$W53,IF(AND(Sanidade!$Y53&gt;=Sanidade!$X53,AND(Sanidade!$X53&lt;=BB$1,Sanidade!$Y53&gt;=BB$1)),Sanidade!$W53/(Sanidade!$Y53-Sanidade!$X53+1),0))</f>
        <v>0</v>
      </c>
      <c r="BC164" s="460">
        <f>IF(AND(Sanidade!$Y53=Sanidade!$X53,Sanidade!$X53=BC$1),Sanidade!$W53,IF(AND(Sanidade!$Y53&gt;=Sanidade!$X53,AND(Sanidade!$X53&lt;=BC$1,Sanidade!$Y53&gt;=BC$1)),Sanidade!$W53/(Sanidade!$Y53-Sanidade!$X53+1),0))</f>
        <v>0</v>
      </c>
      <c r="BD164" s="460">
        <f>IF(AND(Sanidade!$Y53=Sanidade!$X53,Sanidade!$X53=BD$1),Sanidade!$W53,IF(AND(Sanidade!$Y53&gt;=Sanidade!$X53,AND(Sanidade!$X53&lt;=BD$1,Sanidade!$Y53&gt;=BD$1)),Sanidade!$W53/(Sanidade!$Y53-Sanidade!$X53+1),0))</f>
        <v>0</v>
      </c>
      <c r="BE164" s="460">
        <f>IF(AND(Sanidade!$Y53=Sanidade!$X53,Sanidade!$X53=BE$1),Sanidade!$W53,IF(AND(Sanidade!$Y53&gt;=Sanidade!$X53,AND(Sanidade!$X53&lt;=BE$1,Sanidade!$Y53&gt;=BE$1)),Sanidade!$W53/(Sanidade!$Y53-Sanidade!$X53+1),0))</f>
        <v>0</v>
      </c>
      <c r="BF164" s="460">
        <f>IF(AND(Sanidade!$Y53=Sanidade!$X53,Sanidade!$X53=BF$1),Sanidade!$W53,IF(AND(Sanidade!$Y53&gt;=Sanidade!$X53,AND(Sanidade!$X53&lt;=BF$1,Sanidade!$Y53&gt;=BF$1)),Sanidade!$W53/(Sanidade!$Y53-Sanidade!$X53+1),0))</f>
        <v>0</v>
      </c>
      <c r="BG164" s="460">
        <f>IF(AND(Sanidade!$Y53=Sanidade!$X53,Sanidade!$X53=BG$1),Sanidade!$W53,IF(AND(Sanidade!$Y53&gt;=Sanidade!$X53,AND(Sanidade!$X53&lt;=BG$1,Sanidade!$Y53&gt;=BG$1)),Sanidade!$W53/(Sanidade!$Y53-Sanidade!$X53+1),0))</f>
        <v>0</v>
      </c>
      <c r="BH164" s="460">
        <f>IF(AND(Sanidade!$Y53=Sanidade!$X53,Sanidade!$X53=BH$1),Sanidade!$W53,IF(AND(Sanidade!$Y53&gt;=Sanidade!$X53,AND(Sanidade!$X53&lt;=BH$1,Sanidade!$Y53&gt;=BH$1)),Sanidade!$W53/(Sanidade!$Y53-Sanidade!$X53+1),0))</f>
        <v>0</v>
      </c>
      <c r="BI164" s="460">
        <f>IF(AND(Sanidade!$Y53=Sanidade!$X53,Sanidade!$X53=BI$1),Sanidade!$W53,IF(AND(Sanidade!$Y53&gt;=Sanidade!$X53,AND(Sanidade!$X53&lt;=BI$1,Sanidade!$Y53&gt;=BI$1)),Sanidade!$W53/(Sanidade!$Y53-Sanidade!$X53+1),0))</f>
        <v>0</v>
      </c>
      <c r="BJ164" s="460">
        <f>IF(AND(Sanidade!$Y53=Sanidade!$X53,Sanidade!$X53=BJ$1),Sanidade!$W53,IF(AND(Sanidade!$Y53&gt;=Sanidade!$X53,AND(Sanidade!$X53&lt;=BJ$1,Sanidade!$Y53&gt;=BJ$1)),Sanidade!$W53/(Sanidade!$Y53-Sanidade!$X53+1),0))</f>
        <v>0</v>
      </c>
      <c r="BK164" s="460">
        <f>IF(AND(Sanidade!$Y53=Sanidade!$X53,Sanidade!$X53=BK$1),Sanidade!$W53,IF(AND(Sanidade!$Y53&gt;=Sanidade!$X53,AND(Sanidade!$X53&lt;=BK$1,Sanidade!$Y53&gt;=BK$1)),Sanidade!$W53/(Sanidade!$Y53-Sanidade!$X53+1),0))</f>
        <v>0</v>
      </c>
      <c r="BL164" s="460">
        <f>IF(AND(Sanidade!$Y53=Sanidade!$X53,Sanidade!$X53=BL$1),Sanidade!$W53,IF(AND(Sanidade!$Y53&gt;=Sanidade!$X53,AND(Sanidade!$X53&lt;=BL$1,Sanidade!$Y53&gt;=BL$1)),Sanidade!$W53/(Sanidade!$Y53-Sanidade!$X53+1),0))</f>
        <v>0</v>
      </c>
      <c r="BM164" s="460">
        <f>IF(AND(Sanidade!$Y53=Sanidade!$X53,Sanidade!$X53=BM$1),Sanidade!$W53,IF(AND(Sanidade!$Y53&gt;=Sanidade!$X53,AND(Sanidade!$X53&lt;=BM$1,Sanidade!$Y53&gt;=BM$1)),Sanidade!$W53/(Sanidade!$Y53-Sanidade!$X53+1),0))</f>
        <v>0</v>
      </c>
      <c r="BN164" s="460">
        <f>IF(AND(Sanidade!$Y53=Sanidade!$X53,Sanidade!$X53=BN$1),Sanidade!$W53,IF(AND(Sanidade!$Y53&gt;=Sanidade!$X53,AND(Sanidade!$X53&lt;=BN$1,Sanidade!$Y53&gt;=BN$1)),Sanidade!$W53/(Sanidade!$Y53-Sanidade!$X53+1),0))</f>
        <v>0</v>
      </c>
      <c r="BO164" s="460">
        <f>IF(AND(Sanidade!$Y53=Sanidade!$X53,Sanidade!$X53=BO$1),Sanidade!$W53,IF(AND(Sanidade!$Y53&gt;=Sanidade!$X53,AND(Sanidade!$X53&lt;=BO$1,Sanidade!$Y53&gt;=BO$1)),Sanidade!$W53/(Sanidade!$Y53-Sanidade!$X53+1),0))</f>
        <v>0</v>
      </c>
      <c r="BP164" s="460">
        <f>IF(AND(Sanidade!$Y53=Sanidade!$X53,Sanidade!$X53=BP$1),Sanidade!$W53,IF(AND(Sanidade!$Y53&gt;=Sanidade!$X53,AND(Sanidade!$X53&lt;=BP$1,Sanidade!$Y53&gt;=BP$1)),Sanidade!$W53/(Sanidade!$Y53-Sanidade!$X53+1),0))</f>
        <v>0</v>
      </c>
      <c r="BQ164" s="460">
        <f>IF(AND(Sanidade!$Y53=Sanidade!$X53,Sanidade!$X53=BQ$1),Sanidade!$W53,IF(AND(Sanidade!$Y53&gt;=Sanidade!$X53,AND(Sanidade!$X53&lt;=BQ$1,Sanidade!$Y53&gt;=BQ$1)),Sanidade!$W53/(Sanidade!$Y53-Sanidade!$X53+1),0))</f>
        <v>0</v>
      </c>
      <c r="BR164" s="460">
        <f>IF(AND(Sanidade!$Y53=Sanidade!$X53,Sanidade!$X53=BR$1),Sanidade!$W53,IF(AND(Sanidade!$Y53&gt;=Sanidade!$X53,AND(Sanidade!$X53&lt;=BR$1,Sanidade!$Y53&gt;=BR$1)),Sanidade!$W53/(Sanidade!$Y53-Sanidade!$X53+1),0))</f>
        <v>0</v>
      </c>
      <c r="BS164" s="460">
        <f>IF(AND(Sanidade!$Y53=Sanidade!$X53,Sanidade!$X53=BS$1),Sanidade!$W53,IF(AND(Sanidade!$Y53&gt;=Sanidade!$X53,AND(Sanidade!$X53&lt;=BS$1,Sanidade!$Y53&gt;=BS$1)),Sanidade!$W53/(Sanidade!$Y53-Sanidade!$X53+1),0))</f>
        <v>0</v>
      </c>
      <c r="BT164" s="461">
        <f>IF(AND(Sanidade!$Y53=Sanidade!$X53,Sanidade!$X53=BT$1),Sanidade!$W53,IF(AND(Sanidade!$Y53&gt;=Sanidade!$X53,AND(Sanidade!$X53&lt;=BT$1,Sanidade!$Y53&gt;=BT$1)),Sanidade!$W53/(Sanidade!$Y53-Sanidade!$X53+1),0))</f>
        <v>0</v>
      </c>
    </row>
    <row r="165" spans="2:72" x14ac:dyDescent="0.2">
      <c r="B165" s="499"/>
      <c r="C165" s="500"/>
      <c r="D165" s="497"/>
      <c r="E165" s="497"/>
      <c r="F165" s="497"/>
      <c r="G165" s="497"/>
      <c r="H165" s="497"/>
      <c r="BA165" s="459">
        <f>VLOOKUP(Sanidade!E54,Dados!$A$3:$N$10,13)</f>
        <v>0</v>
      </c>
      <c r="BB165" s="460">
        <f>IF(AND(Sanidade!$Y54=Sanidade!$X54,Sanidade!$X54=BB$1),Sanidade!$W54,IF(AND(Sanidade!$Y54&gt;=Sanidade!$X54,AND(Sanidade!$X54&lt;=BB$1,Sanidade!$Y54&gt;=BB$1)),Sanidade!$W54/(Sanidade!$Y54-Sanidade!$X54+1),0))</f>
        <v>0</v>
      </c>
      <c r="BC165" s="460">
        <f>IF(AND(Sanidade!$Y54=Sanidade!$X54,Sanidade!$X54=BC$1),Sanidade!$W54,IF(AND(Sanidade!$Y54&gt;=Sanidade!$X54,AND(Sanidade!$X54&lt;=BC$1,Sanidade!$Y54&gt;=BC$1)),Sanidade!$W54/(Sanidade!$Y54-Sanidade!$X54+1),0))</f>
        <v>0</v>
      </c>
      <c r="BD165" s="460">
        <f>IF(AND(Sanidade!$Y54=Sanidade!$X54,Sanidade!$X54=BD$1),Sanidade!$W54,IF(AND(Sanidade!$Y54&gt;=Sanidade!$X54,AND(Sanidade!$X54&lt;=BD$1,Sanidade!$Y54&gt;=BD$1)),Sanidade!$W54/(Sanidade!$Y54-Sanidade!$X54+1),0))</f>
        <v>0</v>
      </c>
      <c r="BE165" s="460">
        <f>IF(AND(Sanidade!$Y54=Sanidade!$X54,Sanidade!$X54=BE$1),Sanidade!$W54,IF(AND(Sanidade!$Y54&gt;=Sanidade!$X54,AND(Sanidade!$X54&lt;=BE$1,Sanidade!$Y54&gt;=BE$1)),Sanidade!$W54/(Sanidade!$Y54-Sanidade!$X54+1),0))</f>
        <v>0</v>
      </c>
      <c r="BF165" s="460">
        <f>IF(AND(Sanidade!$Y54=Sanidade!$X54,Sanidade!$X54=BF$1),Sanidade!$W54,IF(AND(Sanidade!$Y54&gt;=Sanidade!$X54,AND(Sanidade!$X54&lt;=BF$1,Sanidade!$Y54&gt;=BF$1)),Sanidade!$W54/(Sanidade!$Y54-Sanidade!$X54+1),0))</f>
        <v>0</v>
      </c>
      <c r="BG165" s="460">
        <f>IF(AND(Sanidade!$Y54=Sanidade!$X54,Sanidade!$X54=BG$1),Sanidade!$W54,IF(AND(Sanidade!$Y54&gt;=Sanidade!$X54,AND(Sanidade!$X54&lt;=BG$1,Sanidade!$Y54&gt;=BG$1)),Sanidade!$W54/(Sanidade!$Y54-Sanidade!$X54+1),0))</f>
        <v>0</v>
      </c>
      <c r="BH165" s="460">
        <f>IF(AND(Sanidade!$Y54=Sanidade!$X54,Sanidade!$X54=BH$1),Sanidade!$W54,IF(AND(Sanidade!$Y54&gt;=Sanidade!$X54,AND(Sanidade!$X54&lt;=BH$1,Sanidade!$Y54&gt;=BH$1)),Sanidade!$W54/(Sanidade!$Y54-Sanidade!$X54+1),0))</f>
        <v>0</v>
      </c>
      <c r="BI165" s="460">
        <f>IF(AND(Sanidade!$Y54=Sanidade!$X54,Sanidade!$X54=BI$1),Sanidade!$W54,IF(AND(Sanidade!$Y54&gt;=Sanidade!$X54,AND(Sanidade!$X54&lt;=BI$1,Sanidade!$Y54&gt;=BI$1)),Sanidade!$W54/(Sanidade!$Y54-Sanidade!$X54+1),0))</f>
        <v>0</v>
      </c>
      <c r="BJ165" s="460">
        <f>IF(AND(Sanidade!$Y54=Sanidade!$X54,Sanidade!$X54=BJ$1),Sanidade!$W54,IF(AND(Sanidade!$Y54&gt;=Sanidade!$X54,AND(Sanidade!$X54&lt;=BJ$1,Sanidade!$Y54&gt;=BJ$1)),Sanidade!$W54/(Sanidade!$Y54-Sanidade!$X54+1),0))</f>
        <v>0</v>
      </c>
      <c r="BK165" s="460">
        <f>IF(AND(Sanidade!$Y54=Sanidade!$X54,Sanidade!$X54=BK$1),Sanidade!$W54,IF(AND(Sanidade!$Y54&gt;=Sanidade!$X54,AND(Sanidade!$X54&lt;=BK$1,Sanidade!$Y54&gt;=BK$1)),Sanidade!$W54/(Sanidade!$Y54-Sanidade!$X54+1),0))</f>
        <v>0</v>
      </c>
      <c r="BL165" s="460">
        <f>IF(AND(Sanidade!$Y54=Sanidade!$X54,Sanidade!$X54=BL$1),Sanidade!$W54,IF(AND(Sanidade!$Y54&gt;=Sanidade!$X54,AND(Sanidade!$X54&lt;=BL$1,Sanidade!$Y54&gt;=BL$1)),Sanidade!$W54/(Sanidade!$Y54-Sanidade!$X54+1),0))</f>
        <v>0</v>
      </c>
      <c r="BM165" s="460">
        <f>IF(AND(Sanidade!$Y54=Sanidade!$X54,Sanidade!$X54=BM$1),Sanidade!$W54,IF(AND(Sanidade!$Y54&gt;=Sanidade!$X54,AND(Sanidade!$X54&lt;=BM$1,Sanidade!$Y54&gt;=BM$1)),Sanidade!$W54/(Sanidade!$Y54-Sanidade!$X54+1),0))</f>
        <v>0</v>
      </c>
      <c r="BN165" s="460">
        <f>IF(AND(Sanidade!$Y54=Sanidade!$X54,Sanidade!$X54=BN$1),Sanidade!$W54,IF(AND(Sanidade!$Y54&gt;=Sanidade!$X54,AND(Sanidade!$X54&lt;=BN$1,Sanidade!$Y54&gt;=BN$1)),Sanidade!$W54/(Sanidade!$Y54-Sanidade!$X54+1),0))</f>
        <v>0</v>
      </c>
      <c r="BO165" s="460">
        <f>IF(AND(Sanidade!$Y54=Sanidade!$X54,Sanidade!$X54=BO$1),Sanidade!$W54,IF(AND(Sanidade!$Y54&gt;=Sanidade!$X54,AND(Sanidade!$X54&lt;=BO$1,Sanidade!$Y54&gt;=BO$1)),Sanidade!$W54/(Sanidade!$Y54-Sanidade!$X54+1),0))</f>
        <v>0</v>
      </c>
      <c r="BP165" s="460">
        <f>IF(AND(Sanidade!$Y54=Sanidade!$X54,Sanidade!$X54=BP$1),Sanidade!$W54,IF(AND(Sanidade!$Y54&gt;=Sanidade!$X54,AND(Sanidade!$X54&lt;=BP$1,Sanidade!$Y54&gt;=BP$1)),Sanidade!$W54/(Sanidade!$Y54-Sanidade!$X54+1),0))</f>
        <v>0</v>
      </c>
      <c r="BQ165" s="460">
        <f>IF(AND(Sanidade!$Y54=Sanidade!$X54,Sanidade!$X54=BQ$1),Sanidade!$W54,IF(AND(Sanidade!$Y54&gt;=Sanidade!$X54,AND(Sanidade!$X54&lt;=BQ$1,Sanidade!$Y54&gt;=BQ$1)),Sanidade!$W54/(Sanidade!$Y54-Sanidade!$X54+1),0))</f>
        <v>0</v>
      </c>
      <c r="BR165" s="460">
        <f>IF(AND(Sanidade!$Y54=Sanidade!$X54,Sanidade!$X54=BR$1),Sanidade!$W54,IF(AND(Sanidade!$Y54&gt;=Sanidade!$X54,AND(Sanidade!$X54&lt;=BR$1,Sanidade!$Y54&gt;=BR$1)),Sanidade!$W54/(Sanidade!$Y54-Sanidade!$X54+1),0))</f>
        <v>0</v>
      </c>
      <c r="BS165" s="460">
        <f>IF(AND(Sanidade!$Y54=Sanidade!$X54,Sanidade!$X54=BS$1),Sanidade!$W54,IF(AND(Sanidade!$Y54&gt;=Sanidade!$X54,AND(Sanidade!$X54&lt;=BS$1,Sanidade!$Y54&gt;=BS$1)),Sanidade!$W54/(Sanidade!$Y54-Sanidade!$X54+1),0))</f>
        <v>0</v>
      </c>
      <c r="BT165" s="461">
        <f>IF(AND(Sanidade!$Y54=Sanidade!$X54,Sanidade!$X54=BT$1),Sanidade!$W54,IF(AND(Sanidade!$Y54&gt;=Sanidade!$X54,AND(Sanidade!$X54&lt;=BT$1,Sanidade!$Y54&gt;=BT$1)),Sanidade!$W54/(Sanidade!$Y54-Sanidade!$X54+1),0))</f>
        <v>0</v>
      </c>
    </row>
    <row r="166" spans="2:72" x14ac:dyDescent="0.2">
      <c r="B166" s="499"/>
      <c r="C166" s="500"/>
      <c r="D166" s="497"/>
      <c r="E166" s="497"/>
      <c r="F166" s="497"/>
      <c r="G166" s="497"/>
      <c r="H166" s="497"/>
      <c r="BA166" s="459">
        <f>VLOOKUP(Sanidade!E55,Dados!$A$3:$N$10,13)</f>
        <v>0</v>
      </c>
      <c r="BB166" s="460">
        <f>IF(AND(Sanidade!$Y55=Sanidade!$X55,Sanidade!$X55=BB$1),Sanidade!$W55,IF(AND(Sanidade!$Y55&gt;=Sanidade!$X55,AND(Sanidade!$X55&lt;=BB$1,Sanidade!$Y55&gt;=BB$1)),Sanidade!$W55/(Sanidade!$Y55-Sanidade!$X55+1),0))</f>
        <v>0</v>
      </c>
      <c r="BC166" s="460">
        <f>IF(AND(Sanidade!$Y55=Sanidade!$X55,Sanidade!$X55=BC$1),Sanidade!$W55,IF(AND(Sanidade!$Y55&gt;=Sanidade!$X55,AND(Sanidade!$X55&lt;=BC$1,Sanidade!$Y55&gt;=BC$1)),Sanidade!$W55/(Sanidade!$Y55-Sanidade!$X55+1),0))</f>
        <v>0</v>
      </c>
      <c r="BD166" s="460">
        <f>IF(AND(Sanidade!$Y55=Sanidade!$X55,Sanidade!$X55=BD$1),Sanidade!$W55,IF(AND(Sanidade!$Y55&gt;=Sanidade!$X55,AND(Sanidade!$X55&lt;=BD$1,Sanidade!$Y55&gt;=BD$1)),Sanidade!$W55/(Sanidade!$Y55-Sanidade!$X55+1),0))</f>
        <v>0</v>
      </c>
      <c r="BE166" s="460">
        <f>IF(AND(Sanidade!$Y55=Sanidade!$X55,Sanidade!$X55=BE$1),Sanidade!$W55,IF(AND(Sanidade!$Y55&gt;=Sanidade!$X55,AND(Sanidade!$X55&lt;=BE$1,Sanidade!$Y55&gt;=BE$1)),Sanidade!$W55/(Sanidade!$Y55-Sanidade!$X55+1),0))</f>
        <v>0</v>
      </c>
      <c r="BF166" s="460">
        <f>IF(AND(Sanidade!$Y55=Sanidade!$X55,Sanidade!$X55=BF$1),Sanidade!$W55,IF(AND(Sanidade!$Y55&gt;=Sanidade!$X55,AND(Sanidade!$X55&lt;=BF$1,Sanidade!$Y55&gt;=BF$1)),Sanidade!$W55/(Sanidade!$Y55-Sanidade!$X55+1),0))</f>
        <v>0</v>
      </c>
      <c r="BG166" s="460">
        <f>IF(AND(Sanidade!$Y55=Sanidade!$X55,Sanidade!$X55=BG$1),Sanidade!$W55,IF(AND(Sanidade!$Y55&gt;=Sanidade!$X55,AND(Sanidade!$X55&lt;=BG$1,Sanidade!$Y55&gt;=BG$1)),Sanidade!$W55/(Sanidade!$Y55-Sanidade!$X55+1),0))</f>
        <v>0</v>
      </c>
      <c r="BH166" s="460">
        <f>IF(AND(Sanidade!$Y55=Sanidade!$X55,Sanidade!$X55=BH$1),Sanidade!$W55,IF(AND(Sanidade!$Y55&gt;=Sanidade!$X55,AND(Sanidade!$X55&lt;=BH$1,Sanidade!$Y55&gt;=BH$1)),Sanidade!$W55/(Sanidade!$Y55-Sanidade!$X55+1),0))</f>
        <v>0</v>
      </c>
      <c r="BI166" s="460">
        <f>IF(AND(Sanidade!$Y55=Sanidade!$X55,Sanidade!$X55=BI$1),Sanidade!$W55,IF(AND(Sanidade!$Y55&gt;=Sanidade!$X55,AND(Sanidade!$X55&lt;=BI$1,Sanidade!$Y55&gt;=BI$1)),Sanidade!$W55/(Sanidade!$Y55-Sanidade!$X55+1),0))</f>
        <v>0</v>
      </c>
      <c r="BJ166" s="460">
        <f>IF(AND(Sanidade!$Y55=Sanidade!$X55,Sanidade!$X55=BJ$1),Sanidade!$W55,IF(AND(Sanidade!$Y55&gt;=Sanidade!$X55,AND(Sanidade!$X55&lt;=BJ$1,Sanidade!$Y55&gt;=BJ$1)),Sanidade!$W55/(Sanidade!$Y55-Sanidade!$X55+1),0))</f>
        <v>0</v>
      </c>
      <c r="BK166" s="460">
        <f>IF(AND(Sanidade!$Y55=Sanidade!$X55,Sanidade!$X55=BK$1),Sanidade!$W55,IF(AND(Sanidade!$Y55&gt;=Sanidade!$X55,AND(Sanidade!$X55&lt;=BK$1,Sanidade!$Y55&gt;=BK$1)),Sanidade!$W55/(Sanidade!$Y55-Sanidade!$X55+1),0))</f>
        <v>0</v>
      </c>
      <c r="BL166" s="460">
        <f>IF(AND(Sanidade!$Y55=Sanidade!$X55,Sanidade!$X55=BL$1),Sanidade!$W55,IF(AND(Sanidade!$Y55&gt;=Sanidade!$X55,AND(Sanidade!$X55&lt;=BL$1,Sanidade!$Y55&gt;=BL$1)),Sanidade!$W55/(Sanidade!$Y55-Sanidade!$X55+1),0))</f>
        <v>0</v>
      </c>
      <c r="BM166" s="460">
        <f>IF(AND(Sanidade!$Y55=Sanidade!$X55,Sanidade!$X55=BM$1),Sanidade!$W55,IF(AND(Sanidade!$Y55&gt;=Sanidade!$X55,AND(Sanidade!$X55&lt;=BM$1,Sanidade!$Y55&gt;=BM$1)),Sanidade!$W55/(Sanidade!$Y55-Sanidade!$X55+1),0))</f>
        <v>0</v>
      </c>
      <c r="BN166" s="460">
        <f>IF(AND(Sanidade!$Y55=Sanidade!$X55,Sanidade!$X55=BN$1),Sanidade!$W55,IF(AND(Sanidade!$Y55&gt;=Sanidade!$X55,AND(Sanidade!$X55&lt;=BN$1,Sanidade!$Y55&gt;=BN$1)),Sanidade!$W55/(Sanidade!$Y55-Sanidade!$X55+1),0))</f>
        <v>0</v>
      </c>
      <c r="BO166" s="460">
        <f>IF(AND(Sanidade!$Y55=Sanidade!$X55,Sanidade!$X55=BO$1),Sanidade!$W55,IF(AND(Sanidade!$Y55&gt;=Sanidade!$X55,AND(Sanidade!$X55&lt;=BO$1,Sanidade!$Y55&gt;=BO$1)),Sanidade!$W55/(Sanidade!$Y55-Sanidade!$X55+1),0))</f>
        <v>0</v>
      </c>
      <c r="BP166" s="460">
        <f>IF(AND(Sanidade!$Y55=Sanidade!$X55,Sanidade!$X55=BP$1),Sanidade!$W55,IF(AND(Sanidade!$Y55&gt;=Sanidade!$X55,AND(Sanidade!$X55&lt;=BP$1,Sanidade!$Y55&gt;=BP$1)),Sanidade!$W55/(Sanidade!$Y55-Sanidade!$X55+1),0))</f>
        <v>0</v>
      </c>
      <c r="BQ166" s="460">
        <f>IF(AND(Sanidade!$Y55=Sanidade!$X55,Sanidade!$X55=BQ$1),Sanidade!$W55,IF(AND(Sanidade!$Y55&gt;=Sanidade!$X55,AND(Sanidade!$X55&lt;=BQ$1,Sanidade!$Y55&gt;=BQ$1)),Sanidade!$W55/(Sanidade!$Y55-Sanidade!$X55+1),0))</f>
        <v>0</v>
      </c>
      <c r="BR166" s="460">
        <f>IF(AND(Sanidade!$Y55=Sanidade!$X55,Sanidade!$X55=BR$1),Sanidade!$W55,IF(AND(Sanidade!$Y55&gt;=Sanidade!$X55,AND(Sanidade!$X55&lt;=BR$1,Sanidade!$Y55&gt;=BR$1)),Sanidade!$W55/(Sanidade!$Y55-Sanidade!$X55+1),0))</f>
        <v>0</v>
      </c>
      <c r="BS166" s="460">
        <f>IF(AND(Sanidade!$Y55=Sanidade!$X55,Sanidade!$X55=BS$1),Sanidade!$W55,IF(AND(Sanidade!$Y55&gt;=Sanidade!$X55,AND(Sanidade!$X55&lt;=BS$1,Sanidade!$Y55&gt;=BS$1)),Sanidade!$W55/(Sanidade!$Y55-Sanidade!$X55+1),0))</f>
        <v>0</v>
      </c>
      <c r="BT166" s="461">
        <f>IF(AND(Sanidade!$Y55=Sanidade!$X55,Sanidade!$X55=BT$1),Sanidade!$W55,IF(AND(Sanidade!$Y55&gt;=Sanidade!$X55,AND(Sanidade!$X55&lt;=BT$1,Sanidade!$Y55&gt;=BT$1)),Sanidade!$W55/(Sanidade!$Y55-Sanidade!$X55+1),0))</f>
        <v>0</v>
      </c>
    </row>
    <row r="167" spans="2:72" x14ac:dyDescent="0.2">
      <c r="B167" s="499"/>
      <c r="C167" s="500"/>
      <c r="D167" s="497"/>
      <c r="E167" s="497"/>
      <c r="F167" s="497"/>
      <c r="G167" s="497"/>
      <c r="H167" s="497"/>
      <c r="BA167" s="459">
        <f>VLOOKUP(Sanidade!E56,Dados!$A$3:$N$10,13)</f>
        <v>0</v>
      </c>
      <c r="BB167" s="460">
        <f>IF(AND(Sanidade!$Y56=Sanidade!$X56,Sanidade!$X56=BB$1),Sanidade!$W56,IF(AND(Sanidade!$Y56&gt;=Sanidade!$X56,AND(Sanidade!$X56&lt;=BB$1,Sanidade!$Y56&gt;=BB$1)),Sanidade!$W56/(Sanidade!$Y56-Sanidade!$X56+1),0))</f>
        <v>0</v>
      </c>
      <c r="BC167" s="460">
        <f>IF(AND(Sanidade!$Y56=Sanidade!$X56,Sanidade!$X56=BC$1),Sanidade!$W56,IF(AND(Sanidade!$Y56&gt;=Sanidade!$X56,AND(Sanidade!$X56&lt;=BC$1,Sanidade!$Y56&gt;=BC$1)),Sanidade!$W56/(Sanidade!$Y56-Sanidade!$X56+1),0))</f>
        <v>0</v>
      </c>
      <c r="BD167" s="460">
        <f>IF(AND(Sanidade!$Y56=Sanidade!$X56,Sanidade!$X56=BD$1),Sanidade!$W56,IF(AND(Sanidade!$Y56&gt;=Sanidade!$X56,AND(Sanidade!$X56&lt;=BD$1,Sanidade!$Y56&gt;=BD$1)),Sanidade!$W56/(Sanidade!$Y56-Sanidade!$X56+1),0))</f>
        <v>0</v>
      </c>
      <c r="BE167" s="460">
        <f>IF(AND(Sanidade!$Y56=Sanidade!$X56,Sanidade!$X56=BE$1),Sanidade!$W56,IF(AND(Sanidade!$Y56&gt;=Sanidade!$X56,AND(Sanidade!$X56&lt;=BE$1,Sanidade!$Y56&gt;=BE$1)),Sanidade!$W56/(Sanidade!$Y56-Sanidade!$X56+1),0))</f>
        <v>0</v>
      </c>
      <c r="BF167" s="460">
        <f>IF(AND(Sanidade!$Y56=Sanidade!$X56,Sanidade!$X56=BF$1),Sanidade!$W56,IF(AND(Sanidade!$Y56&gt;=Sanidade!$X56,AND(Sanidade!$X56&lt;=BF$1,Sanidade!$Y56&gt;=BF$1)),Sanidade!$W56/(Sanidade!$Y56-Sanidade!$X56+1),0))</f>
        <v>0</v>
      </c>
      <c r="BG167" s="460">
        <f>IF(AND(Sanidade!$Y56=Sanidade!$X56,Sanidade!$X56=BG$1),Sanidade!$W56,IF(AND(Sanidade!$Y56&gt;=Sanidade!$X56,AND(Sanidade!$X56&lt;=BG$1,Sanidade!$Y56&gt;=BG$1)),Sanidade!$W56/(Sanidade!$Y56-Sanidade!$X56+1),0))</f>
        <v>0</v>
      </c>
      <c r="BH167" s="460">
        <f>IF(AND(Sanidade!$Y56=Sanidade!$X56,Sanidade!$X56=BH$1),Sanidade!$W56,IF(AND(Sanidade!$Y56&gt;=Sanidade!$X56,AND(Sanidade!$X56&lt;=BH$1,Sanidade!$Y56&gt;=BH$1)),Sanidade!$W56/(Sanidade!$Y56-Sanidade!$X56+1),0))</f>
        <v>0</v>
      </c>
      <c r="BI167" s="460">
        <f>IF(AND(Sanidade!$Y56=Sanidade!$X56,Sanidade!$X56=BI$1),Sanidade!$W56,IF(AND(Sanidade!$Y56&gt;=Sanidade!$X56,AND(Sanidade!$X56&lt;=BI$1,Sanidade!$Y56&gt;=BI$1)),Sanidade!$W56/(Sanidade!$Y56-Sanidade!$X56+1),0))</f>
        <v>0</v>
      </c>
      <c r="BJ167" s="460">
        <f>IF(AND(Sanidade!$Y56=Sanidade!$X56,Sanidade!$X56=BJ$1),Sanidade!$W56,IF(AND(Sanidade!$Y56&gt;=Sanidade!$X56,AND(Sanidade!$X56&lt;=BJ$1,Sanidade!$Y56&gt;=BJ$1)),Sanidade!$W56/(Sanidade!$Y56-Sanidade!$X56+1),0))</f>
        <v>0</v>
      </c>
      <c r="BK167" s="460">
        <f>IF(AND(Sanidade!$Y56=Sanidade!$X56,Sanidade!$X56=BK$1),Sanidade!$W56,IF(AND(Sanidade!$Y56&gt;=Sanidade!$X56,AND(Sanidade!$X56&lt;=BK$1,Sanidade!$Y56&gt;=BK$1)),Sanidade!$W56/(Sanidade!$Y56-Sanidade!$X56+1),0))</f>
        <v>0</v>
      </c>
      <c r="BL167" s="460">
        <f>IF(AND(Sanidade!$Y56=Sanidade!$X56,Sanidade!$X56=BL$1),Sanidade!$W56,IF(AND(Sanidade!$Y56&gt;=Sanidade!$X56,AND(Sanidade!$X56&lt;=BL$1,Sanidade!$Y56&gt;=BL$1)),Sanidade!$W56/(Sanidade!$Y56-Sanidade!$X56+1),0))</f>
        <v>0</v>
      </c>
      <c r="BM167" s="460">
        <f>IF(AND(Sanidade!$Y56=Sanidade!$X56,Sanidade!$X56=BM$1),Sanidade!$W56,IF(AND(Sanidade!$Y56&gt;=Sanidade!$X56,AND(Sanidade!$X56&lt;=BM$1,Sanidade!$Y56&gt;=BM$1)),Sanidade!$W56/(Sanidade!$Y56-Sanidade!$X56+1),0))</f>
        <v>0</v>
      </c>
      <c r="BN167" s="460">
        <f>IF(AND(Sanidade!$Y56=Sanidade!$X56,Sanidade!$X56=BN$1),Sanidade!$W56,IF(AND(Sanidade!$Y56&gt;=Sanidade!$X56,AND(Sanidade!$X56&lt;=BN$1,Sanidade!$Y56&gt;=BN$1)),Sanidade!$W56/(Sanidade!$Y56-Sanidade!$X56+1),0))</f>
        <v>0</v>
      </c>
      <c r="BO167" s="460">
        <f>IF(AND(Sanidade!$Y56=Sanidade!$X56,Sanidade!$X56=BO$1),Sanidade!$W56,IF(AND(Sanidade!$Y56&gt;=Sanidade!$X56,AND(Sanidade!$X56&lt;=BO$1,Sanidade!$Y56&gt;=BO$1)),Sanidade!$W56/(Sanidade!$Y56-Sanidade!$X56+1),0))</f>
        <v>0</v>
      </c>
      <c r="BP167" s="460">
        <f>IF(AND(Sanidade!$Y56=Sanidade!$X56,Sanidade!$X56=BP$1),Sanidade!$W56,IF(AND(Sanidade!$Y56&gt;=Sanidade!$X56,AND(Sanidade!$X56&lt;=BP$1,Sanidade!$Y56&gt;=BP$1)),Sanidade!$W56/(Sanidade!$Y56-Sanidade!$X56+1),0))</f>
        <v>0</v>
      </c>
      <c r="BQ167" s="460">
        <f>IF(AND(Sanidade!$Y56=Sanidade!$X56,Sanidade!$X56=BQ$1),Sanidade!$W56,IF(AND(Sanidade!$Y56&gt;=Sanidade!$X56,AND(Sanidade!$X56&lt;=BQ$1,Sanidade!$Y56&gt;=BQ$1)),Sanidade!$W56/(Sanidade!$Y56-Sanidade!$X56+1),0))</f>
        <v>0</v>
      </c>
      <c r="BR167" s="460">
        <f>IF(AND(Sanidade!$Y56=Sanidade!$X56,Sanidade!$X56=BR$1),Sanidade!$W56,IF(AND(Sanidade!$Y56&gt;=Sanidade!$X56,AND(Sanidade!$X56&lt;=BR$1,Sanidade!$Y56&gt;=BR$1)),Sanidade!$W56/(Sanidade!$Y56-Sanidade!$X56+1),0))</f>
        <v>0</v>
      </c>
      <c r="BS167" s="460">
        <f>IF(AND(Sanidade!$Y56=Sanidade!$X56,Sanidade!$X56=BS$1),Sanidade!$W56,IF(AND(Sanidade!$Y56&gt;=Sanidade!$X56,AND(Sanidade!$X56&lt;=BS$1,Sanidade!$Y56&gt;=BS$1)),Sanidade!$W56/(Sanidade!$Y56-Sanidade!$X56+1),0))</f>
        <v>0</v>
      </c>
      <c r="BT167" s="461">
        <f>IF(AND(Sanidade!$Y56=Sanidade!$X56,Sanidade!$X56=BT$1),Sanidade!$W56,IF(AND(Sanidade!$Y56&gt;=Sanidade!$X56,AND(Sanidade!$X56&lt;=BT$1,Sanidade!$Y56&gt;=BT$1)),Sanidade!$W56/(Sanidade!$Y56-Sanidade!$X56+1),0))</f>
        <v>0</v>
      </c>
    </row>
    <row r="168" spans="2:72" x14ac:dyDescent="0.2">
      <c r="B168" s="499"/>
      <c r="C168" s="500"/>
      <c r="D168" s="497"/>
      <c r="E168" s="497"/>
      <c r="F168" s="497"/>
      <c r="G168" s="497"/>
      <c r="H168" s="497"/>
      <c r="BA168" s="459">
        <f>VLOOKUP(Sanidade!E61,Dados!$A$3:$N$10,13)</f>
        <v>0</v>
      </c>
      <c r="BB168" s="477">
        <f>IF(AND(Sanidade!$Y61=Sanidade!$X61,Sanidade!$X61=BB$1),Sanidade!$W61,IF(AND(Sanidade!$Y61&gt;=Sanidade!$X61,AND(Sanidade!$X61&lt;=BB$1,Sanidade!$Y61&gt;=BB$1)),Sanidade!$W61/(Sanidade!$Y61-Sanidade!$X61+1),0))</f>
        <v>0</v>
      </c>
      <c r="BC168" s="477">
        <f>IF(AND(Sanidade!$Y61=Sanidade!$X61,Sanidade!$X61=BC$1),Sanidade!$W61,IF(AND(Sanidade!$Y61&gt;=Sanidade!$X61,AND(Sanidade!$X61&lt;=BC$1,Sanidade!$Y61&gt;=BC$1)),Sanidade!$W61/(Sanidade!$Y61-Sanidade!$X61+1),0))</f>
        <v>0</v>
      </c>
      <c r="BD168" s="477">
        <f>IF(AND(Sanidade!$Y61=Sanidade!$X61,Sanidade!$X61=BD$1),Sanidade!$W61,IF(AND(Sanidade!$Y61&gt;=Sanidade!$X61,AND(Sanidade!$X61&lt;=BD$1,Sanidade!$Y61&gt;=BD$1)),Sanidade!$W61/(Sanidade!$Y61-Sanidade!$X61+1),0))</f>
        <v>0</v>
      </c>
      <c r="BE168" s="477">
        <f>IF(AND(Sanidade!$Y61=Sanidade!$X61,Sanidade!$X61=BE$1),Sanidade!$W61,IF(AND(Sanidade!$Y61&gt;=Sanidade!$X61,AND(Sanidade!$X61&lt;=BE$1,Sanidade!$Y61&gt;=BE$1)),Sanidade!$W61/(Sanidade!$Y61-Sanidade!$X61+1),0))</f>
        <v>0</v>
      </c>
      <c r="BF168" s="477">
        <f>IF(AND(Sanidade!$Y61=Sanidade!$X61,Sanidade!$X61=BF$1),Sanidade!$W61,IF(AND(Sanidade!$Y61&gt;=Sanidade!$X61,AND(Sanidade!$X61&lt;=BF$1,Sanidade!$Y61&gt;=BF$1)),Sanidade!$W61/(Sanidade!$Y61-Sanidade!$X61+1),0))</f>
        <v>0</v>
      </c>
      <c r="BG168" s="477">
        <f>IF(AND(Sanidade!$Y61=Sanidade!$X61,Sanidade!$X61=BG$1),Sanidade!$W61,IF(AND(Sanidade!$Y61&gt;=Sanidade!$X61,AND(Sanidade!$X61&lt;=BG$1,Sanidade!$Y61&gt;=BG$1)),Sanidade!$W61/(Sanidade!$Y61-Sanidade!$X61+1),0))</f>
        <v>0</v>
      </c>
      <c r="BH168" s="460">
        <f>IF(AND(Sanidade!$Y61=Sanidade!$X61,Sanidade!$X61=BH$1),Sanidade!$W61,IF(AND(Sanidade!$Y61&gt;=Sanidade!$X61,AND(Sanidade!$X61&lt;=BH$1,Sanidade!$Y61&gt;=BH$1)),Sanidade!$W61/(Sanidade!$Y61-Sanidade!$X61+1),0))</f>
        <v>0</v>
      </c>
      <c r="BI168" s="460">
        <f>IF(AND(Sanidade!$Y61=Sanidade!$X61,Sanidade!$X61=BI$1),Sanidade!$W61,IF(AND(Sanidade!$Y61&gt;=Sanidade!$X61,AND(Sanidade!$X61&lt;=BI$1,Sanidade!$Y61&gt;=BI$1)),Sanidade!$W61/(Sanidade!$Y61-Sanidade!$X61+1),0))</f>
        <v>0</v>
      </c>
      <c r="BJ168" s="460">
        <f>IF(AND(Sanidade!$Y61=Sanidade!$X61,Sanidade!$X61=BJ$1),Sanidade!$W61,IF(AND(Sanidade!$Y61&gt;=Sanidade!$X61,AND(Sanidade!$X61&lt;=BJ$1,Sanidade!$Y61&gt;=BJ$1)),Sanidade!$W61/(Sanidade!$Y61-Sanidade!$X61+1),0))</f>
        <v>0</v>
      </c>
      <c r="BK168" s="460">
        <f>IF(AND(Sanidade!$Y61=Sanidade!$X61,Sanidade!$X61=BK$1),Sanidade!$W61,IF(AND(Sanidade!$Y61&gt;=Sanidade!$X61,AND(Sanidade!$X61&lt;=BK$1,Sanidade!$Y61&gt;=BK$1)),Sanidade!$W61/(Sanidade!$Y61-Sanidade!$X61+1),0))</f>
        <v>0</v>
      </c>
      <c r="BL168" s="460">
        <f>IF(AND(Sanidade!$Y61=Sanidade!$X61,Sanidade!$X61=BL$1),Sanidade!$W61,IF(AND(Sanidade!$Y61&gt;=Sanidade!$X61,AND(Sanidade!$X61&lt;=BL$1,Sanidade!$Y61&gt;=BL$1)),Sanidade!$W61/(Sanidade!$Y61-Sanidade!$X61+1),0))</f>
        <v>0</v>
      </c>
      <c r="BM168" s="460">
        <f>IF(AND(Sanidade!$Y61=Sanidade!$X61,Sanidade!$X61=BM$1),Sanidade!$W61,IF(AND(Sanidade!$Y61&gt;=Sanidade!$X61,AND(Sanidade!$X61&lt;=BM$1,Sanidade!$Y61&gt;=BM$1)),Sanidade!$W61/(Sanidade!$Y61-Sanidade!$X61+1),0))</f>
        <v>0</v>
      </c>
      <c r="BN168" s="460">
        <f>IF(AND(Sanidade!$Y61=Sanidade!$X61,Sanidade!$X61=BN$1),Sanidade!$W61,IF(AND(Sanidade!$Y61&gt;=Sanidade!$X61,AND(Sanidade!$X61&lt;=BN$1,Sanidade!$Y61&gt;=BN$1)),Sanidade!$W61/(Sanidade!$Y61-Sanidade!$X61+1),0))</f>
        <v>0</v>
      </c>
      <c r="BO168" s="460">
        <f>IF(AND(Sanidade!$Y61=Sanidade!$X61,Sanidade!$X61=BO$1),Sanidade!$W61,IF(AND(Sanidade!$Y61&gt;=Sanidade!$X61,AND(Sanidade!$X61&lt;=BO$1,Sanidade!$Y61&gt;=BO$1)),Sanidade!$W61/(Sanidade!$Y61-Sanidade!$X61+1),0))</f>
        <v>0</v>
      </c>
      <c r="BP168" s="460">
        <f>IF(AND(Sanidade!$Y61=Sanidade!$X61,Sanidade!$X61=BP$1),Sanidade!$W61,IF(AND(Sanidade!$Y61&gt;=Sanidade!$X61,AND(Sanidade!$X61&lt;=BP$1,Sanidade!$Y61&gt;=BP$1)),Sanidade!$W61/(Sanidade!$Y61-Sanidade!$X61+1),0))</f>
        <v>0</v>
      </c>
      <c r="BQ168" s="460">
        <f>IF(AND(Sanidade!$Y61=Sanidade!$X61,Sanidade!$X61=BQ$1),Sanidade!$W61,IF(AND(Sanidade!$Y61&gt;=Sanidade!$X61,AND(Sanidade!$X61&lt;=BQ$1,Sanidade!$Y61&gt;=BQ$1)),Sanidade!$W61/(Sanidade!$Y61-Sanidade!$X61+1),0))</f>
        <v>0</v>
      </c>
      <c r="BR168" s="460">
        <f>IF(AND(Sanidade!$Y61=Sanidade!$X61,Sanidade!$X61=BR$1),Sanidade!$W61,IF(AND(Sanidade!$Y61&gt;=Sanidade!$X61,AND(Sanidade!$X61&lt;=BR$1,Sanidade!$Y61&gt;=BR$1)),Sanidade!$W61/(Sanidade!$Y61-Sanidade!$X61+1),0))</f>
        <v>0</v>
      </c>
      <c r="BS168" s="460">
        <f>IF(AND(Sanidade!$Y61=Sanidade!$X61,Sanidade!$X61=BS$1),Sanidade!$W61,IF(AND(Sanidade!$Y61&gt;=Sanidade!$X61,AND(Sanidade!$X61&lt;=BS$1,Sanidade!$Y61&gt;=BS$1)),Sanidade!$W61/(Sanidade!$Y61-Sanidade!$X61+1),0))</f>
        <v>0</v>
      </c>
      <c r="BT168" s="460">
        <f>IF(AND(Sanidade!$Y61=Sanidade!$X61,Sanidade!$X61=BT$1),Sanidade!$W61,IF(AND(Sanidade!$Y61&gt;=Sanidade!$X61,AND(Sanidade!$X61&lt;=BT$1,Sanidade!$Y61&gt;=BT$1)),Sanidade!$W61/(Sanidade!$Y61-Sanidade!$X61+1),0))</f>
        <v>0</v>
      </c>
    </row>
    <row r="169" spans="2:72" x14ac:dyDescent="0.2">
      <c r="B169" s="499"/>
      <c r="C169" s="500"/>
      <c r="D169" s="497"/>
      <c r="E169" s="497"/>
      <c r="F169" s="497"/>
      <c r="G169" s="497"/>
      <c r="H169" s="497"/>
      <c r="BA169" s="459">
        <f>VLOOKUP(Sanidade!E62,Dados!$A$3:$N$10,13)</f>
        <v>0</v>
      </c>
      <c r="BB169" s="477">
        <f>IF(AND(Sanidade!$Y62=Sanidade!$X62,Sanidade!$X62=BB$1),Sanidade!$W62,IF(AND(Sanidade!$Y62&gt;=Sanidade!$X62,AND(Sanidade!$X62&lt;=BB$1,Sanidade!$Y62&gt;=BB$1)),Sanidade!$W62/(Sanidade!$Y62-Sanidade!$X62+1),0))</f>
        <v>0</v>
      </c>
      <c r="BC169" s="477">
        <f>IF(AND(Sanidade!$Y62=Sanidade!$X62,Sanidade!$X62=BC$1),Sanidade!$W62,IF(AND(Sanidade!$Y62&gt;=Sanidade!$X62,AND(Sanidade!$X62&lt;=BC$1,Sanidade!$Y62&gt;=BC$1)),Sanidade!$W62/(Sanidade!$Y62-Sanidade!$X62+1),0))</f>
        <v>0</v>
      </c>
      <c r="BD169" s="477">
        <f>IF(AND(Sanidade!$Y62=Sanidade!$X62,Sanidade!$X62=BD$1),Sanidade!$W62,IF(AND(Sanidade!$Y62&gt;=Sanidade!$X62,AND(Sanidade!$X62&lt;=BD$1,Sanidade!$Y62&gt;=BD$1)),Sanidade!$W62/(Sanidade!$Y62-Sanidade!$X62+1),0))</f>
        <v>0</v>
      </c>
      <c r="BE169" s="477">
        <f>IF(AND(Sanidade!$Y62=Sanidade!$X62,Sanidade!$X62=BE$1),Sanidade!$W62,IF(AND(Sanidade!$Y62&gt;=Sanidade!$X62,AND(Sanidade!$X62&lt;=BE$1,Sanidade!$Y62&gt;=BE$1)),Sanidade!$W62/(Sanidade!$Y62-Sanidade!$X62+1),0))</f>
        <v>0</v>
      </c>
      <c r="BF169" s="477">
        <f>IF(AND(Sanidade!$Y62=Sanidade!$X62,Sanidade!$X62=BF$1),Sanidade!$W62,IF(AND(Sanidade!$Y62&gt;=Sanidade!$X62,AND(Sanidade!$X62&lt;=BF$1,Sanidade!$Y62&gt;=BF$1)),Sanidade!$W62/(Sanidade!$Y62-Sanidade!$X62+1),0))</f>
        <v>0</v>
      </c>
      <c r="BG169" s="477">
        <f>IF(AND(Sanidade!$Y62=Sanidade!$X62,Sanidade!$X62=BG$1),Sanidade!$W62,IF(AND(Sanidade!$Y62&gt;=Sanidade!$X62,AND(Sanidade!$X62&lt;=BG$1,Sanidade!$Y62&gt;=BG$1)),Sanidade!$W62/(Sanidade!$Y62-Sanidade!$X62+1),0))</f>
        <v>0</v>
      </c>
      <c r="BH169" s="477">
        <f>IF(AND(Sanidade!$Y62=Sanidade!$X62,Sanidade!$X62=BH$1),Sanidade!$W62,IF(AND(Sanidade!$Y62&gt;=Sanidade!$X62,AND(Sanidade!$X62&lt;=BH$1,Sanidade!$Y62&gt;=BH$1)),Sanidade!$W62/(Sanidade!$Y62-Sanidade!$X62+1),0))</f>
        <v>0</v>
      </c>
      <c r="BI169" s="477">
        <f>IF(AND(Sanidade!$Y62=Sanidade!$X62,Sanidade!$X62=BI$1),Sanidade!$W62,IF(AND(Sanidade!$Y62&gt;=Sanidade!$X62,AND(Sanidade!$X62&lt;=BI$1,Sanidade!$Y62&gt;=BI$1)),Sanidade!$W62/(Sanidade!$Y62-Sanidade!$X62+1),0))</f>
        <v>0</v>
      </c>
      <c r="BJ169" s="477">
        <f>IF(AND(Sanidade!$Y62=Sanidade!$X62,Sanidade!$X62=BJ$1),Sanidade!$W62,IF(AND(Sanidade!$Y62&gt;=Sanidade!$X62,AND(Sanidade!$X62&lt;=BJ$1,Sanidade!$Y62&gt;=BJ$1)),Sanidade!$W62/(Sanidade!$Y62-Sanidade!$X62+1),0))</f>
        <v>0</v>
      </c>
      <c r="BK169" s="477">
        <f>IF(AND(Sanidade!$Y62=Sanidade!$X62,Sanidade!$X62=BK$1),Sanidade!$W62,IF(AND(Sanidade!$Y62&gt;=Sanidade!$X62,AND(Sanidade!$X62&lt;=BK$1,Sanidade!$Y62&gt;=BK$1)),Sanidade!$W62/(Sanidade!$Y62-Sanidade!$X62+1),0))</f>
        <v>0</v>
      </c>
      <c r="BL169" s="477">
        <f>IF(AND(Sanidade!$Y62=Sanidade!$X62,Sanidade!$X62=BL$1),Sanidade!$W62,IF(AND(Sanidade!$Y62&gt;=Sanidade!$X62,AND(Sanidade!$X62&lt;=BL$1,Sanidade!$Y62&gt;=BL$1)),Sanidade!$W62/(Sanidade!$Y62-Sanidade!$X62+1),0))</f>
        <v>0</v>
      </c>
      <c r="BM169" s="477">
        <f>IF(AND(Sanidade!$Y62=Sanidade!$X62,Sanidade!$X62=BM$1),Sanidade!$W62,IF(AND(Sanidade!$Y62&gt;=Sanidade!$X62,AND(Sanidade!$X62&lt;=BM$1,Sanidade!$Y62&gt;=BM$1)),Sanidade!$W62/(Sanidade!$Y62-Sanidade!$X62+1),0))</f>
        <v>0</v>
      </c>
      <c r="BN169" s="477">
        <f>IF(AND(Sanidade!$Y62=Sanidade!$X62,Sanidade!$X62=BN$1),Sanidade!$W62,IF(AND(Sanidade!$Y62&gt;=Sanidade!$X62,AND(Sanidade!$X62&lt;=BN$1,Sanidade!$Y62&gt;=BN$1)),Sanidade!$W62/(Sanidade!$Y62-Sanidade!$X62+1),0))</f>
        <v>0</v>
      </c>
      <c r="BO169" s="477">
        <f>IF(AND(Sanidade!$Y62=Sanidade!$X62,Sanidade!$X62=BO$1),Sanidade!$W62,IF(AND(Sanidade!$Y62&gt;=Sanidade!$X62,AND(Sanidade!$X62&lt;=BO$1,Sanidade!$Y62&gt;=BO$1)),Sanidade!$W62/(Sanidade!$Y62-Sanidade!$X62+1),0))</f>
        <v>0</v>
      </c>
      <c r="BP169" s="477">
        <f>IF(AND(Sanidade!$Y62=Sanidade!$X62,Sanidade!$X62=BP$1),Sanidade!$W62,IF(AND(Sanidade!$Y62&gt;=Sanidade!$X62,AND(Sanidade!$X62&lt;=BP$1,Sanidade!$Y62&gt;=BP$1)),Sanidade!$W62/(Sanidade!$Y62-Sanidade!$X62+1),0))</f>
        <v>0</v>
      </c>
      <c r="BQ169" s="477">
        <f>IF(AND(Sanidade!$Y62=Sanidade!$X62,Sanidade!$X62=BQ$1),Sanidade!$W62,IF(AND(Sanidade!$Y62&gt;=Sanidade!$X62,AND(Sanidade!$X62&lt;=BQ$1,Sanidade!$Y62&gt;=BQ$1)),Sanidade!$W62/(Sanidade!$Y62-Sanidade!$X62+1),0))</f>
        <v>0</v>
      </c>
      <c r="BR169" s="477">
        <f>IF(AND(Sanidade!$Y62=Sanidade!$X62,Sanidade!$X62=BR$1),Sanidade!$W62,IF(AND(Sanidade!$Y62&gt;=Sanidade!$X62,AND(Sanidade!$X62&lt;=BR$1,Sanidade!$Y62&gt;=BR$1)),Sanidade!$W62/(Sanidade!$Y62-Sanidade!$X62+1),0))</f>
        <v>0</v>
      </c>
      <c r="BS169" s="477">
        <f>IF(AND(Sanidade!$Y62=Sanidade!$X62,Sanidade!$X62=BS$1),Sanidade!$W62,IF(AND(Sanidade!$Y62&gt;=Sanidade!$X62,AND(Sanidade!$X62&lt;=BS$1,Sanidade!$Y62&gt;=BS$1)),Sanidade!$W62/(Sanidade!$Y62-Sanidade!$X62+1),0))</f>
        <v>0</v>
      </c>
      <c r="BT169" s="477">
        <f>IF(AND(Sanidade!$Y62=Sanidade!$X62,Sanidade!$X62=BT$1),Sanidade!$W62,IF(AND(Sanidade!$Y62&gt;=Sanidade!$X62,AND(Sanidade!$X62&lt;=BT$1,Sanidade!$Y62&gt;=BT$1)),Sanidade!$W62/(Sanidade!$Y62-Sanidade!$X62+1),0))</f>
        <v>0</v>
      </c>
    </row>
    <row r="170" spans="2:72" x14ac:dyDescent="0.2">
      <c r="B170" s="499"/>
      <c r="C170" s="500"/>
      <c r="D170" s="497"/>
      <c r="E170" s="497"/>
      <c r="F170" s="497"/>
      <c r="G170" s="497"/>
      <c r="H170" s="497"/>
      <c r="BA170" s="459">
        <f>VLOOKUP(Sanidade!E63,Dados!$A$3:$N$10,13)</f>
        <v>0</v>
      </c>
      <c r="BB170" s="477">
        <f>IF(AND(Sanidade!$Y63=Sanidade!$X63,Sanidade!$X63=BB$1),Sanidade!$W63,IF(AND(Sanidade!$Y63&gt;=Sanidade!$X63,AND(Sanidade!$X63&lt;=BB$1,Sanidade!$Y63&gt;=BB$1)),Sanidade!$W63/(Sanidade!$Y63-Sanidade!$X63+1),0))</f>
        <v>0</v>
      </c>
      <c r="BC170" s="477">
        <f>IF(AND(Sanidade!$Y63=Sanidade!$X63,Sanidade!$X63=BC$1),Sanidade!$W63,IF(AND(Sanidade!$Y63&gt;=Sanidade!$X63,AND(Sanidade!$X63&lt;=BC$1,Sanidade!$Y63&gt;=BC$1)),Sanidade!$W63/(Sanidade!$Y63-Sanidade!$X63+1),0))</f>
        <v>0</v>
      </c>
      <c r="BD170" s="477">
        <f>IF(AND(Sanidade!$Y63=Sanidade!$X63,Sanidade!$X63=BD$1),Sanidade!$W63,IF(AND(Sanidade!$Y63&gt;=Sanidade!$X63,AND(Sanidade!$X63&lt;=BD$1,Sanidade!$Y63&gt;=BD$1)),Sanidade!$W63/(Sanidade!$Y63-Sanidade!$X63+1),0))</f>
        <v>0</v>
      </c>
      <c r="BE170" s="477">
        <f>IF(AND(Sanidade!$Y63=Sanidade!$X63,Sanidade!$X63=BE$1),Sanidade!$W63,IF(AND(Sanidade!$Y63&gt;=Sanidade!$X63,AND(Sanidade!$X63&lt;=BE$1,Sanidade!$Y63&gt;=BE$1)),Sanidade!$W63/(Sanidade!$Y63-Sanidade!$X63+1),0))</f>
        <v>0</v>
      </c>
      <c r="BF170" s="477">
        <f>IF(AND(Sanidade!$Y63=Sanidade!$X63,Sanidade!$X63=BF$1),Sanidade!$W63,IF(AND(Sanidade!$Y63&gt;=Sanidade!$X63,AND(Sanidade!$X63&lt;=BF$1,Sanidade!$Y63&gt;=BF$1)),Sanidade!$W63/(Sanidade!$Y63-Sanidade!$X63+1),0))</f>
        <v>0</v>
      </c>
      <c r="BG170" s="477">
        <f>IF(AND(Sanidade!$Y63=Sanidade!$X63,Sanidade!$X63=BG$1),Sanidade!$W63,IF(AND(Sanidade!$Y63&gt;=Sanidade!$X63,AND(Sanidade!$X63&lt;=BG$1,Sanidade!$Y63&gt;=BG$1)),Sanidade!$W63/(Sanidade!$Y63-Sanidade!$X63+1),0))</f>
        <v>0</v>
      </c>
      <c r="BH170" s="477">
        <f>IF(AND(Sanidade!$Y63=Sanidade!$X63,Sanidade!$X63=BH$1),Sanidade!$W63,IF(AND(Sanidade!$Y63&gt;=Sanidade!$X63,AND(Sanidade!$X63&lt;=BH$1,Sanidade!$Y63&gt;=BH$1)),Sanidade!$W63/(Sanidade!$Y63-Sanidade!$X63+1),0))</f>
        <v>0</v>
      </c>
      <c r="BI170" s="477">
        <f>IF(AND(Sanidade!$Y63=Sanidade!$X63,Sanidade!$X63=BI$1),Sanidade!$W63,IF(AND(Sanidade!$Y63&gt;=Sanidade!$X63,AND(Sanidade!$X63&lt;=BI$1,Sanidade!$Y63&gt;=BI$1)),Sanidade!$W63/(Sanidade!$Y63-Sanidade!$X63+1),0))</f>
        <v>0</v>
      </c>
      <c r="BJ170" s="477">
        <f>IF(AND(Sanidade!$Y63=Sanidade!$X63,Sanidade!$X63=BJ$1),Sanidade!$W63,IF(AND(Sanidade!$Y63&gt;=Sanidade!$X63,AND(Sanidade!$X63&lt;=BJ$1,Sanidade!$Y63&gt;=BJ$1)),Sanidade!$W63/(Sanidade!$Y63-Sanidade!$X63+1),0))</f>
        <v>0</v>
      </c>
      <c r="BK170" s="477">
        <f>IF(AND(Sanidade!$Y63=Sanidade!$X63,Sanidade!$X63=BK$1),Sanidade!$W63,IF(AND(Sanidade!$Y63&gt;=Sanidade!$X63,AND(Sanidade!$X63&lt;=BK$1,Sanidade!$Y63&gt;=BK$1)),Sanidade!$W63/(Sanidade!$Y63-Sanidade!$X63+1),0))</f>
        <v>0</v>
      </c>
      <c r="BL170" s="477">
        <f>IF(AND(Sanidade!$Y63=Sanidade!$X63,Sanidade!$X63=BL$1),Sanidade!$W63,IF(AND(Sanidade!$Y63&gt;=Sanidade!$X63,AND(Sanidade!$X63&lt;=BL$1,Sanidade!$Y63&gt;=BL$1)),Sanidade!$W63/(Sanidade!$Y63-Sanidade!$X63+1),0))</f>
        <v>0</v>
      </c>
      <c r="BM170" s="477">
        <f>IF(AND(Sanidade!$Y63=Sanidade!$X63,Sanidade!$X63=BM$1),Sanidade!$W63,IF(AND(Sanidade!$Y63&gt;=Sanidade!$X63,AND(Sanidade!$X63&lt;=BM$1,Sanidade!$Y63&gt;=BM$1)),Sanidade!$W63/(Sanidade!$Y63-Sanidade!$X63+1),0))</f>
        <v>0</v>
      </c>
      <c r="BN170" s="477">
        <f>IF(AND(Sanidade!$Y63=Sanidade!$X63,Sanidade!$X63=BN$1),Sanidade!$W63,IF(AND(Sanidade!$Y63&gt;=Sanidade!$X63,AND(Sanidade!$X63&lt;=BN$1,Sanidade!$Y63&gt;=BN$1)),Sanidade!$W63/(Sanidade!$Y63-Sanidade!$X63+1),0))</f>
        <v>0</v>
      </c>
      <c r="BO170" s="477">
        <f>IF(AND(Sanidade!$Y63=Sanidade!$X63,Sanidade!$X63=BO$1),Sanidade!$W63,IF(AND(Sanidade!$Y63&gt;=Sanidade!$X63,AND(Sanidade!$X63&lt;=BO$1,Sanidade!$Y63&gt;=BO$1)),Sanidade!$W63/(Sanidade!$Y63-Sanidade!$X63+1),0))</f>
        <v>0</v>
      </c>
      <c r="BP170" s="477">
        <f>IF(AND(Sanidade!$Y63=Sanidade!$X63,Sanidade!$X63=BP$1),Sanidade!$W63,IF(AND(Sanidade!$Y63&gt;=Sanidade!$X63,AND(Sanidade!$X63&lt;=BP$1,Sanidade!$Y63&gt;=BP$1)),Sanidade!$W63/(Sanidade!$Y63-Sanidade!$X63+1),0))</f>
        <v>0</v>
      </c>
      <c r="BQ170" s="477">
        <f>IF(AND(Sanidade!$Y63=Sanidade!$X63,Sanidade!$X63=BQ$1),Sanidade!$W63,IF(AND(Sanidade!$Y63&gt;=Sanidade!$X63,AND(Sanidade!$X63&lt;=BQ$1,Sanidade!$Y63&gt;=BQ$1)),Sanidade!$W63/(Sanidade!$Y63-Sanidade!$X63+1),0))</f>
        <v>0</v>
      </c>
      <c r="BR170" s="477">
        <f>IF(AND(Sanidade!$Y63=Sanidade!$X63,Sanidade!$X63=BR$1),Sanidade!$W63,IF(AND(Sanidade!$Y63&gt;=Sanidade!$X63,AND(Sanidade!$X63&lt;=BR$1,Sanidade!$Y63&gt;=BR$1)),Sanidade!$W63/(Sanidade!$Y63-Sanidade!$X63+1),0))</f>
        <v>0</v>
      </c>
      <c r="BS170" s="477">
        <f>IF(AND(Sanidade!$Y63=Sanidade!$X63,Sanidade!$X63=BS$1),Sanidade!$W63,IF(AND(Sanidade!$Y63&gt;=Sanidade!$X63,AND(Sanidade!$X63&lt;=BS$1,Sanidade!$Y63&gt;=BS$1)),Sanidade!$W63/(Sanidade!$Y63-Sanidade!$X63+1),0))</f>
        <v>0</v>
      </c>
      <c r="BT170" s="477">
        <f>IF(AND(Sanidade!$Y63=Sanidade!$X63,Sanidade!$X63=BT$1),Sanidade!$W63,IF(AND(Sanidade!$Y63&gt;=Sanidade!$X63,AND(Sanidade!$X63&lt;=BT$1,Sanidade!$Y63&gt;=BT$1)),Sanidade!$W63/(Sanidade!$Y63-Sanidade!$X63+1),0))</f>
        <v>0</v>
      </c>
    </row>
    <row r="171" spans="2:72" x14ac:dyDescent="0.2">
      <c r="B171" s="499"/>
      <c r="C171" s="500"/>
      <c r="D171" s="497"/>
      <c r="E171" s="497"/>
      <c r="F171" s="497"/>
      <c r="G171" s="497"/>
      <c r="H171" s="497"/>
      <c r="BA171" s="459">
        <f>VLOOKUP(Sanidade!E64,Dados!$A$3:$N$10,13)</f>
        <v>0</v>
      </c>
      <c r="BB171" s="477">
        <f>IF(AND(Sanidade!$Y64=Sanidade!$X64,Sanidade!$X64=BB$1),Sanidade!$W64,IF(AND(Sanidade!$Y64&gt;=Sanidade!$X64,AND(Sanidade!$X64&lt;=BB$1,Sanidade!$Y64&gt;=BB$1)),Sanidade!$W64/(Sanidade!$Y64-Sanidade!$X64+1),0))</f>
        <v>0</v>
      </c>
      <c r="BC171" s="477">
        <f>IF(AND(Sanidade!$Y64=Sanidade!$X64,Sanidade!$X64=BC$1),Sanidade!$W64,IF(AND(Sanidade!$Y64&gt;=Sanidade!$X64,AND(Sanidade!$X64&lt;=BC$1,Sanidade!$Y64&gt;=BC$1)),Sanidade!$W64/(Sanidade!$Y64-Sanidade!$X64+1),0))</f>
        <v>0</v>
      </c>
      <c r="BD171" s="477">
        <f>IF(AND(Sanidade!$Y64=Sanidade!$X64,Sanidade!$X64=BD$1),Sanidade!$W64,IF(AND(Sanidade!$Y64&gt;=Sanidade!$X64,AND(Sanidade!$X64&lt;=BD$1,Sanidade!$Y64&gt;=BD$1)),Sanidade!$W64/(Sanidade!$Y64-Sanidade!$X64+1),0))</f>
        <v>0</v>
      </c>
      <c r="BE171" s="477">
        <f>IF(AND(Sanidade!$Y64=Sanidade!$X64,Sanidade!$X64=BE$1),Sanidade!$W64,IF(AND(Sanidade!$Y64&gt;=Sanidade!$X64,AND(Sanidade!$X64&lt;=BE$1,Sanidade!$Y64&gt;=BE$1)),Sanidade!$W64/(Sanidade!$Y64-Sanidade!$X64+1),0))</f>
        <v>0</v>
      </c>
      <c r="BF171" s="477">
        <f>IF(AND(Sanidade!$Y64=Sanidade!$X64,Sanidade!$X64=BF$1),Sanidade!$W64,IF(AND(Sanidade!$Y64&gt;=Sanidade!$X64,AND(Sanidade!$X64&lt;=BF$1,Sanidade!$Y64&gt;=BF$1)),Sanidade!$W64/(Sanidade!$Y64-Sanidade!$X64+1),0))</f>
        <v>0</v>
      </c>
      <c r="BG171" s="477">
        <f>IF(AND(Sanidade!$Y64=Sanidade!$X64,Sanidade!$X64=BG$1),Sanidade!$W64,IF(AND(Sanidade!$Y64&gt;=Sanidade!$X64,AND(Sanidade!$X64&lt;=BG$1,Sanidade!$Y64&gt;=BG$1)),Sanidade!$W64/(Sanidade!$Y64-Sanidade!$X64+1),0))</f>
        <v>0</v>
      </c>
      <c r="BH171" s="477">
        <f>IF(AND(Sanidade!$Y64=Sanidade!$X64,Sanidade!$X64=BH$1),Sanidade!$W64,IF(AND(Sanidade!$Y64&gt;=Sanidade!$X64,AND(Sanidade!$X64&lt;=BH$1,Sanidade!$Y64&gt;=BH$1)),Sanidade!$W64/(Sanidade!$Y64-Sanidade!$X64+1),0))</f>
        <v>0</v>
      </c>
      <c r="BI171" s="477">
        <f>IF(AND(Sanidade!$Y64=Sanidade!$X64,Sanidade!$X64=BI$1),Sanidade!$W64,IF(AND(Sanidade!$Y64&gt;=Sanidade!$X64,AND(Sanidade!$X64&lt;=BI$1,Sanidade!$Y64&gt;=BI$1)),Sanidade!$W64/(Sanidade!$Y64-Sanidade!$X64+1),0))</f>
        <v>0</v>
      </c>
      <c r="BJ171" s="477">
        <f>IF(AND(Sanidade!$Y64=Sanidade!$X64,Sanidade!$X64=BJ$1),Sanidade!$W64,IF(AND(Sanidade!$Y64&gt;=Sanidade!$X64,AND(Sanidade!$X64&lt;=BJ$1,Sanidade!$Y64&gt;=BJ$1)),Sanidade!$W64/(Sanidade!$Y64-Sanidade!$X64+1),0))</f>
        <v>0</v>
      </c>
      <c r="BK171" s="477">
        <f>IF(AND(Sanidade!$Y64=Sanidade!$X64,Sanidade!$X64=BK$1),Sanidade!$W64,IF(AND(Sanidade!$Y64&gt;=Sanidade!$X64,AND(Sanidade!$X64&lt;=BK$1,Sanidade!$Y64&gt;=BK$1)),Sanidade!$W64/(Sanidade!$Y64-Sanidade!$X64+1),0))</f>
        <v>0</v>
      </c>
      <c r="BL171" s="477">
        <f>IF(AND(Sanidade!$Y64=Sanidade!$X64,Sanidade!$X64=BL$1),Sanidade!$W64,IF(AND(Sanidade!$Y64&gt;=Sanidade!$X64,AND(Sanidade!$X64&lt;=BL$1,Sanidade!$Y64&gt;=BL$1)),Sanidade!$W64/(Sanidade!$Y64-Sanidade!$X64+1),0))</f>
        <v>0</v>
      </c>
      <c r="BM171" s="477">
        <f>IF(AND(Sanidade!$Y64=Sanidade!$X64,Sanidade!$X64=BM$1),Sanidade!$W64,IF(AND(Sanidade!$Y64&gt;=Sanidade!$X64,AND(Sanidade!$X64&lt;=BM$1,Sanidade!$Y64&gt;=BM$1)),Sanidade!$W64/(Sanidade!$Y64-Sanidade!$X64+1),0))</f>
        <v>0</v>
      </c>
      <c r="BN171" s="477">
        <f>IF(AND(Sanidade!$Y64=Sanidade!$X64,Sanidade!$X64=BN$1),Sanidade!$W64,IF(AND(Sanidade!$Y64&gt;=Sanidade!$X64,AND(Sanidade!$X64&lt;=BN$1,Sanidade!$Y64&gt;=BN$1)),Sanidade!$W64/(Sanidade!$Y64-Sanidade!$X64+1),0))</f>
        <v>0</v>
      </c>
      <c r="BO171" s="477">
        <f>IF(AND(Sanidade!$Y64=Sanidade!$X64,Sanidade!$X64=BO$1),Sanidade!$W64,IF(AND(Sanidade!$Y64&gt;=Sanidade!$X64,AND(Sanidade!$X64&lt;=BO$1,Sanidade!$Y64&gt;=BO$1)),Sanidade!$W64/(Sanidade!$Y64-Sanidade!$X64+1),0))</f>
        <v>0</v>
      </c>
      <c r="BP171" s="477">
        <f>IF(AND(Sanidade!$Y64=Sanidade!$X64,Sanidade!$X64=BP$1),Sanidade!$W64,IF(AND(Sanidade!$Y64&gt;=Sanidade!$X64,AND(Sanidade!$X64&lt;=BP$1,Sanidade!$Y64&gt;=BP$1)),Sanidade!$W64/(Sanidade!$Y64-Sanidade!$X64+1),0))</f>
        <v>0</v>
      </c>
      <c r="BQ171" s="477">
        <f>IF(AND(Sanidade!$Y64=Sanidade!$X64,Sanidade!$X64=BQ$1),Sanidade!$W64,IF(AND(Sanidade!$Y64&gt;=Sanidade!$X64,AND(Sanidade!$X64&lt;=BQ$1,Sanidade!$Y64&gt;=BQ$1)),Sanidade!$W64/(Sanidade!$Y64-Sanidade!$X64+1),0))</f>
        <v>0</v>
      </c>
      <c r="BR171" s="477">
        <f>IF(AND(Sanidade!$Y64=Sanidade!$X64,Sanidade!$X64=BR$1),Sanidade!$W64,IF(AND(Sanidade!$Y64&gt;=Sanidade!$X64,AND(Sanidade!$X64&lt;=BR$1,Sanidade!$Y64&gt;=BR$1)),Sanidade!$W64/(Sanidade!$Y64-Sanidade!$X64+1),0))</f>
        <v>0</v>
      </c>
      <c r="BS171" s="477">
        <f>IF(AND(Sanidade!$Y64=Sanidade!$X64,Sanidade!$X64=BS$1),Sanidade!$W64,IF(AND(Sanidade!$Y64&gt;=Sanidade!$X64,AND(Sanidade!$X64&lt;=BS$1,Sanidade!$Y64&gt;=BS$1)),Sanidade!$W64/(Sanidade!$Y64-Sanidade!$X64+1),0))</f>
        <v>0</v>
      </c>
      <c r="BT171" s="477">
        <f>IF(AND(Sanidade!$Y64=Sanidade!$X64,Sanidade!$X64=BT$1),Sanidade!$W64,IF(AND(Sanidade!$Y64&gt;=Sanidade!$X64,AND(Sanidade!$X64&lt;=BT$1,Sanidade!$Y64&gt;=BT$1)),Sanidade!$W64/(Sanidade!$Y64-Sanidade!$X64+1),0))</f>
        <v>0</v>
      </c>
    </row>
    <row r="172" spans="2:72" x14ac:dyDescent="0.2">
      <c r="B172" s="499"/>
      <c r="C172" s="500"/>
      <c r="D172" s="497"/>
      <c r="E172" s="497"/>
      <c r="F172" s="497"/>
      <c r="G172" s="497"/>
      <c r="H172" s="497"/>
      <c r="BA172" s="459">
        <f>VLOOKUP(Sanidade!E65,Dados!$A$3:$N$10,13)</f>
        <v>0</v>
      </c>
      <c r="BB172" s="477">
        <f>IF(AND(Sanidade!$Y65=Sanidade!$X65,Sanidade!$X65=BB$1),Sanidade!$W65,IF(AND(Sanidade!$Y65&gt;=Sanidade!$X65,AND(Sanidade!$X65&lt;=BB$1,Sanidade!$Y65&gt;=BB$1)),Sanidade!$W65/(Sanidade!$Y65-Sanidade!$X65+1),0))</f>
        <v>0</v>
      </c>
      <c r="BC172" s="477">
        <f>IF(AND(Sanidade!$Y65=Sanidade!$X65,Sanidade!$X65=BC$1),Sanidade!$W65,IF(AND(Sanidade!$Y65&gt;=Sanidade!$X65,AND(Sanidade!$X65&lt;=BC$1,Sanidade!$Y65&gt;=BC$1)),Sanidade!$W65/(Sanidade!$Y65-Sanidade!$X65+1),0))</f>
        <v>0</v>
      </c>
      <c r="BD172" s="477">
        <f>IF(AND(Sanidade!$Y65=Sanidade!$X65,Sanidade!$X65=BD$1),Sanidade!$W65,IF(AND(Sanidade!$Y65&gt;=Sanidade!$X65,AND(Sanidade!$X65&lt;=BD$1,Sanidade!$Y65&gt;=BD$1)),Sanidade!$W65/(Sanidade!$Y65-Sanidade!$X65+1),0))</f>
        <v>0</v>
      </c>
      <c r="BE172" s="477">
        <f>IF(AND(Sanidade!$Y65=Sanidade!$X65,Sanidade!$X65=BE$1),Sanidade!$W65,IF(AND(Sanidade!$Y65&gt;=Sanidade!$X65,AND(Sanidade!$X65&lt;=BE$1,Sanidade!$Y65&gt;=BE$1)),Sanidade!$W65/(Sanidade!$Y65-Sanidade!$X65+1),0))</f>
        <v>0</v>
      </c>
      <c r="BF172" s="477">
        <f>IF(AND(Sanidade!$Y65=Sanidade!$X65,Sanidade!$X65=BF$1),Sanidade!$W65,IF(AND(Sanidade!$Y65&gt;=Sanidade!$X65,AND(Sanidade!$X65&lt;=BF$1,Sanidade!$Y65&gt;=BF$1)),Sanidade!$W65/(Sanidade!$Y65-Sanidade!$X65+1),0))</f>
        <v>0</v>
      </c>
      <c r="BG172" s="477">
        <f>IF(AND(Sanidade!$Y65=Sanidade!$X65,Sanidade!$X65=BG$1),Sanidade!$W65,IF(AND(Sanidade!$Y65&gt;=Sanidade!$X65,AND(Sanidade!$X65&lt;=BG$1,Sanidade!$Y65&gt;=BG$1)),Sanidade!$W65/(Sanidade!$Y65-Sanidade!$X65+1),0))</f>
        <v>0</v>
      </c>
      <c r="BH172" s="477">
        <f>IF(AND(Sanidade!$Y65=Sanidade!$X65,Sanidade!$X65=BH$1),Sanidade!$W65,IF(AND(Sanidade!$Y65&gt;=Sanidade!$X65,AND(Sanidade!$X65&lt;=BH$1,Sanidade!$Y65&gt;=BH$1)),Sanidade!$W65/(Sanidade!$Y65-Sanidade!$X65+1),0))</f>
        <v>0</v>
      </c>
      <c r="BI172" s="477">
        <f>IF(AND(Sanidade!$Y65=Sanidade!$X65,Sanidade!$X65=BI$1),Sanidade!$W65,IF(AND(Sanidade!$Y65&gt;=Sanidade!$X65,AND(Sanidade!$X65&lt;=BI$1,Sanidade!$Y65&gt;=BI$1)),Sanidade!$W65/(Sanidade!$Y65-Sanidade!$X65+1),0))</f>
        <v>0</v>
      </c>
      <c r="BJ172" s="477">
        <f>IF(AND(Sanidade!$Y65=Sanidade!$X65,Sanidade!$X65=BJ$1),Sanidade!$W65,IF(AND(Sanidade!$Y65&gt;=Sanidade!$X65,AND(Sanidade!$X65&lt;=BJ$1,Sanidade!$Y65&gt;=BJ$1)),Sanidade!$W65/(Sanidade!$Y65-Sanidade!$X65+1),0))</f>
        <v>0</v>
      </c>
      <c r="BK172" s="477">
        <f>IF(AND(Sanidade!$Y65=Sanidade!$X65,Sanidade!$X65=BK$1),Sanidade!$W65,IF(AND(Sanidade!$Y65&gt;=Sanidade!$X65,AND(Sanidade!$X65&lt;=BK$1,Sanidade!$Y65&gt;=BK$1)),Sanidade!$W65/(Sanidade!$Y65-Sanidade!$X65+1),0))</f>
        <v>0</v>
      </c>
      <c r="BL172" s="477">
        <f>IF(AND(Sanidade!$Y65=Sanidade!$X65,Sanidade!$X65=BL$1),Sanidade!$W65,IF(AND(Sanidade!$Y65&gt;=Sanidade!$X65,AND(Sanidade!$X65&lt;=BL$1,Sanidade!$Y65&gt;=BL$1)),Sanidade!$W65/(Sanidade!$Y65-Sanidade!$X65+1),0))</f>
        <v>0</v>
      </c>
      <c r="BM172" s="477">
        <f>IF(AND(Sanidade!$Y65=Sanidade!$X65,Sanidade!$X65=BM$1),Sanidade!$W65,IF(AND(Sanidade!$Y65&gt;=Sanidade!$X65,AND(Sanidade!$X65&lt;=BM$1,Sanidade!$Y65&gt;=BM$1)),Sanidade!$W65/(Sanidade!$Y65-Sanidade!$X65+1),0))</f>
        <v>0</v>
      </c>
      <c r="BN172" s="477">
        <f>IF(AND(Sanidade!$Y65=Sanidade!$X65,Sanidade!$X65=BN$1),Sanidade!$W65,IF(AND(Sanidade!$Y65&gt;=Sanidade!$X65,AND(Sanidade!$X65&lt;=BN$1,Sanidade!$Y65&gt;=BN$1)),Sanidade!$W65/(Sanidade!$Y65-Sanidade!$X65+1),0))</f>
        <v>0</v>
      </c>
      <c r="BO172" s="477">
        <f>IF(AND(Sanidade!$Y65=Sanidade!$X65,Sanidade!$X65=BO$1),Sanidade!$W65,IF(AND(Sanidade!$Y65&gt;=Sanidade!$X65,AND(Sanidade!$X65&lt;=BO$1,Sanidade!$Y65&gt;=BO$1)),Sanidade!$W65/(Sanidade!$Y65-Sanidade!$X65+1),0))</f>
        <v>0</v>
      </c>
      <c r="BP172" s="477">
        <f>IF(AND(Sanidade!$Y65=Sanidade!$X65,Sanidade!$X65=BP$1),Sanidade!$W65,IF(AND(Sanidade!$Y65&gt;=Sanidade!$X65,AND(Sanidade!$X65&lt;=BP$1,Sanidade!$Y65&gt;=BP$1)),Sanidade!$W65/(Sanidade!$Y65-Sanidade!$X65+1),0))</f>
        <v>0</v>
      </c>
      <c r="BQ172" s="477">
        <f>IF(AND(Sanidade!$Y65=Sanidade!$X65,Sanidade!$X65=BQ$1),Sanidade!$W65,IF(AND(Sanidade!$Y65&gt;=Sanidade!$X65,AND(Sanidade!$X65&lt;=BQ$1,Sanidade!$Y65&gt;=BQ$1)),Sanidade!$W65/(Sanidade!$Y65-Sanidade!$X65+1),0))</f>
        <v>0</v>
      </c>
      <c r="BR172" s="477">
        <f>IF(AND(Sanidade!$Y65=Sanidade!$X65,Sanidade!$X65=BR$1),Sanidade!$W65,IF(AND(Sanidade!$Y65&gt;=Sanidade!$X65,AND(Sanidade!$X65&lt;=BR$1,Sanidade!$Y65&gt;=BR$1)),Sanidade!$W65/(Sanidade!$Y65-Sanidade!$X65+1),0))</f>
        <v>0</v>
      </c>
      <c r="BS172" s="477">
        <f>IF(AND(Sanidade!$Y65=Sanidade!$X65,Sanidade!$X65=BS$1),Sanidade!$W65,IF(AND(Sanidade!$Y65&gt;=Sanidade!$X65,AND(Sanidade!$X65&lt;=BS$1,Sanidade!$Y65&gt;=BS$1)),Sanidade!$W65/(Sanidade!$Y65-Sanidade!$X65+1),0))</f>
        <v>0</v>
      </c>
      <c r="BT172" s="477">
        <f>IF(AND(Sanidade!$Y65=Sanidade!$X65,Sanidade!$X65=BT$1),Sanidade!$W65,IF(AND(Sanidade!$Y65&gt;=Sanidade!$X65,AND(Sanidade!$X65&lt;=BT$1,Sanidade!$Y65&gt;=BT$1)),Sanidade!$W65/(Sanidade!$Y65-Sanidade!$X65+1),0))</f>
        <v>0</v>
      </c>
    </row>
    <row r="173" spans="2:72" x14ac:dyDescent="0.2">
      <c r="B173" s="499"/>
      <c r="C173" s="500"/>
      <c r="D173" s="497"/>
      <c r="E173" s="497"/>
      <c r="F173" s="497"/>
      <c r="G173" s="497"/>
      <c r="H173" s="497"/>
      <c r="BA173" s="459">
        <f>VLOOKUP(Sanidade!E70,Dados!$A$3:$N$10,13)</f>
        <v>0</v>
      </c>
      <c r="BB173" s="477">
        <f>IF(AND(Sanidade!$Y70=Sanidade!$X70,Sanidade!$X70=BB$1),Sanidade!$W70,IF(AND(Sanidade!$Y70&gt;=Sanidade!$X70,AND(Sanidade!$X70&lt;=BB$1,Sanidade!$Y70&gt;=BB$1)),Sanidade!$W70/(Sanidade!$Y70-Sanidade!$X70+1),0))</f>
        <v>0</v>
      </c>
      <c r="BC173" s="477">
        <f>IF(AND(Sanidade!$Y70=Sanidade!$X70,Sanidade!$X70=BC$1),Sanidade!$W70,IF(AND(Sanidade!$Y70&gt;=Sanidade!$X70,AND(Sanidade!$X70&lt;=BC$1,Sanidade!$Y70&gt;=BC$1)),Sanidade!$W70/(Sanidade!$Y70-Sanidade!$X70+1),0))</f>
        <v>0</v>
      </c>
      <c r="BD173" s="477">
        <f>IF(AND(Sanidade!$Y70=Sanidade!$X70,Sanidade!$X70=BD$1),Sanidade!$W70,IF(AND(Sanidade!$Y70&gt;=Sanidade!$X70,AND(Sanidade!$X70&lt;=BD$1,Sanidade!$Y70&gt;=BD$1)),Sanidade!$W70/(Sanidade!$Y70-Sanidade!$X70+1),0))</f>
        <v>0</v>
      </c>
      <c r="BE173" s="477">
        <f>IF(AND(Sanidade!$Y70=Sanidade!$X70,Sanidade!$X70=BE$1),Sanidade!$W70,IF(AND(Sanidade!$Y70&gt;=Sanidade!$X70,AND(Sanidade!$X70&lt;=BE$1,Sanidade!$Y70&gt;=BE$1)),Sanidade!$W70/(Sanidade!$Y70-Sanidade!$X70+1),0))</f>
        <v>0</v>
      </c>
      <c r="BF173" s="477">
        <f>IF(AND(Sanidade!$Y70=Sanidade!$X70,Sanidade!$X70=BF$1),Sanidade!$W70,IF(AND(Sanidade!$Y70&gt;=Sanidade!$X70,AND(Sanidade!$X70&lt;=BF$1,Sanidade!$Y70&gt;=BF$1)),Sanidade!$W70/(Sanidade!$Y70-Sanidade!$X70+1),0))</f>
        <v>0</v>
      </c>
      <c r="BG173" s="477">
        <f>IF(AND(Sanidade!$Y70=Sanidade!$X70,Sanidade!$X70=BG$1),Sanidade!$W70,IF(AND(Sanidade!$Y70&gt;=Sanidade!$X70,AND(Sanidade!$X70&lt;=BG$1,Sanidade!$Y70&gt;=BG$1)),Sanidade!$W70/(Sanidade!$Y70-Sanidade!$X70+1),0))</f>
        <v>0</v>
      </c>
      <c r="BH173" s="477">
        <f>IF(AND(Sanidade!$Y70=Sanidade!$X70,Sanidade!$X70=BH$1),Sanidade!$W70,IF(AND(Sanidade!$Y70&gt;=Sanidade!$X70,AND(Sanidade!$X70&lt;=BH$1,Sanidade!$Y70&gt;=BH$1)),Sanidade!$W70/(Sanidade!$Y70-Sanidade!$X70+1),0))</f>
        <v>0</v>
      </c>
      <c r="BI173" s="477">
        <f>IF(AND(Sanidade!$Y70=Sanidade!$X70,Sanidade!$X70=BI$1),Sanidade!$W70,IF(AND(Sanidade!$Y70&gt;=Sanidade!$X70,AND(Sanidade!$X70&lt;=BI$1,Sanidade!$Y70&gt;=BI$1)),Sanidade!$W70/(Sanidade!$Y70-Sanidade!$X70+1),0))</f>
        <v>0</v>
      </c>
      <c r="BJ173" s="477">
        <f>IF(AND(Sanidade!$Y70=Sanidade!$X70,Sanidade!$X70=BJ$1),Sanidade!$W70,IF(AND(Sanidade!$Y70&gt;=Sanidade!$X70,AND(Sanidade!$X70&lt;=BJ$1,Sanidade!$Y70&gt;=BJ$1)),Sanidade!$W70/(Sanidade!$Y70-Sanidade!$X70+1),0))</f>
        <v>0</v>
      </c>
      <c r="BK173" s="477">
        <f>IF(AND(Sanidade!$Y70=Sanidade!$X70,Sanidade!$X70=BK$1),Sanidade!$W70,IF(AND(Sanidade!$Y70&gt;=Sanidade!$X70,AND(Sanidade!$X70&lt;=BK$1,Sanidade!$Y70&gt;=BK$1)),Sanidade!$W70/(Sanidade!$Y70-Sanidade!$X70+1),0))</f>
        <v>0</v>
      </c>
      <c r="BL173" s="477">
        <f>IF(AND(Sanidade!$Y70=Sanidade!$X70,Sanidade!$X70=BL$1),Sanidade!$W70,IF(AND(Sanidade!$Y70&gt;=Sanidade!$X70,AND(Sanidade!$X70&lt;=BL$1,Sanidade!$Y70&gt;=BL$1)),Sanidade!$W70/(Sanidade!$Y70-Sanidade!$X70+1),0))</f>
        <v>0</v>
      </c>
      <c r="BM173" s="477">
        <f>IF(AND(Sanidade!$Y70=Sanidade!$X70,Sanidade!$X70=BM$1),Sanidade!$W70,IF(AND(Sanidade!$Y70&gt;=Sanidade!$X70,AND(Sanidade!$X70&lt;=BM$1,Sanidade!$Y70&gt;=BM$1)),Sanidade!$W70/(Sanidade!$Y70-Sanidade!$X70+1),0))</f>
        <v>0</v>
      </c>
      <c r="BN173" s="477">
        <f>IF(AND(Sanidade!$Y70=Sanidade!$X70,Sanidade!$X70=BN$1),Sanidade!$W70,IF(AND(Sanidade!$Y70&gt;=Sanidade!$X70,AND(Sanidade!$X70&lt;=BN$1,Sanidade!$Y70&gt;=BN$1)),Sanidade!$W70/(Sanidade!$Y70-Sanidade!$X70+1),0))</f>
        <v>0</v>
      </c>
      <c r="BO173" s="477">
        <f>IF(AND(Sanidade!$Y70=Sanidade!$X70,Sanidade!$X70=BO$1),Sanidade!$W70,IF(AND(Sanidade!$Y70&gt;=Sanidade!$X70,AND(Sanidade!$X70&lt;=BO$1,Sanidade!$Y70&gt;=BO$1)),Sanidade!$W70/(Sanidade!$Y70-Sanidade!$X70+1),0))</f>
        <v>0</v>
      </c>
      <c r="BP173" s="477">
        <f>IF(AND(Sanidade!$Y70=Sanidade!$X70,Sanidade!$X70=BP$1),Sanidade!$W70,IF(AND(Sanidade!$Y70&gt;=Sanidade!$X70,AND(Sanidade!$X70&lt;=BP$1,Sanidade!$Y70&gt;=BP$1)),Sanidade!$W70/(Sanidade!$Y70-Sanidade!$X70+1),0))</f>
        <v>0</v>
      </c>
      <c r="BQ173" s="477">
        <f>IF(AND(Sanidade!$Y70=Sanidade!$X70,Sanidade!$X70=BQ$1),Sanidade!$W70,IF(AND(Sanidade!$Y70&gt;=Sanidade!$X70,AND(Sanidade!$X70&lt;=BQ$1,Sanidade!$Y70&gt;=BQ$1)),Sanidade!$W70/(Sanidade!$Y70-Sanidade!$X70+1),0))</f>
        <v>0</v>
      </c>
      <c r="BR173" s="477">
        <f>IF(AND(Sanidade!$Y70=Sanidade!$X70,Sanidade!$X70=BR$1),Sanidade!$W70,IF(AND(Sanidade!$Y70&gt;=Sanidade!$X70,AND(Sanidade!$X70&lt;=BR$1,Sanidade!$Y70&gt;=BR$1)),Sanidade!$W70/(Sanidade!$Y70-Sanidade!$X70+1),0))</f>
        <v>0</v>
      </c>
      <c r="BS173" s="477">
        <f>IF(AND(Sanidade!$Y70=Sanidade!$X70,Sanidade!$X70=BS$1),Sanidade!$W70,IF(AND(Sanidade!$Y70&gt;=Sanidade!$X70,AND(Sanidade!$X70&lt;=BS$1,Sanidade!$Y70&gt;=BS$1)),Sanidade!$W70/(Sanidade!$Y70-Sanidade!$X70+1),0))</f>
        <v>0</v>
      </c>
      <c r="BT173" s="477">
        <f>IF(AND(Sanidade!$Y70=Sanidade!$X70,Sanidade!$X70=BT$1),Sanidade!$W70,IF(AND(Sanidade!$Y70&gt;=Sanidade!$X70,AND(Sanidade!$X70&lt;=BT$1,Sanidade!$Y70&gt;=BT$1)),Sanidade!$W70/(Sanidade!$Y70-Sanidade!$X70+1),0))</f>
        <v>0</v>
      </c>
    </row>
    <row r="174" spans="2:72" x14ac:dyDescent="0.2">
      <c r="B174" s="499"/>
      <c r="C174" s="500"/>
      <c r="D174" s="497"/>
      <c r="E174" s="497"/>
      <c r="F174" s="497"/>
      <c r="G174" s="497"/>
      <c r="H174" s="497"/>
      <c r="BA174" s="459">
        <f>VLOOKUP(Sanidade!E71,Dados!$A$3:$N$10,13)</f>
        <v>0</v>
      </c>
      <c r="BB174" s="477">
        <f>IF(AND(Sanidade!$Y71=Sanidade!$X71,Sanidade!$X71=BB$1),Sanidade!$W71,IF(AND(Sanidade!$Y71&gt;=Sanidade!$X71,AND(Sanidade!$X71&lt;=BB$1,Sanidade!$Y71&gt;=BB$1)),Sanidade!$W71/(Sanidade!$Y71-Sanidade!$X71+1),0))</f>
        <v>0</v>
      </c>
      <c r="BC174" s="477">
        <f>IF(AND(Sanidade!$Y71=Sanidade!$X71,Sanidade!$X71=BC$1),Sanidade!$W71,IF(AND(Sanidade!$Y71&gt;=Sanidade!$X71,AND(Sanidade!$X71&lt;=BC$1,Sanidade!$Y71&gt;=BC$1)),Sanidade!$W71/(Sanidade!$Y71-Sanidade!$X71+1),0))</f>
        <v>0</v>
      </c>
      <c r="BD174" s="477">
        <f>IF(AND(Sanidade!$Y71=Sanidade!$X71,Sanidade!$X71=BD$1),Sanidade!$W71,IF(AND(Sanidade!$Y71&gt;=Sanidade!$X71,AND(Sanidade!$X71&lt;=BD$1,Sanidade!$Y71&gt;=BD$1)),Sanidade!$W71/(Sanidade!$Y71-Sanidade!$X71+1),0))</f>
        <v>0</v>
      </c>
      <c r="BE174" s="477">
        <f>IF(AND(Sanidade!$Y71=Sanidade!$X71,Sanidade!$X71=BE$1),Sanidade!$W71,IF(AND(Sanidade!$Y71&gt;=Sanidade!$X71,AND(Sanidade!$X71&lt;=BE$1,Sanidade!$Y71&gt;=BE$1)),Sanidade!$W71/(Sanidade!$Y71-Sanidade!$X71+1),0))</f>
        <v>0</v>
      </c>
      <c r="BF174" s="477">
        <f>IF(AND(Sanidade!$Y71=Sanidade!$X71,Sanidade!$X71=BF$1),Sanidade!$W71,IF(AND(Sanidade!$Y71&gt;=Sanidade!$X71,AND(Sanidade!$X71&lt;=BF$1,Sanidade!$Y71&gt;=BF$1)),Sanidade!$W71/(Sanidade!$Y71-Sanidade!$X71+1),0))</f>
        <v>0</v>
      </c>
      <c r="BG174" s="477">
        <f>IF(AND(Sanidade!$Y71=Sanidade!$X71,Sanidade!$X71=BG$1),Sanidade!$W71,IF(AND(Sanidade!$Y71&gt;=Sanidade!$X71,AND(Sanidade!$X71&lt;=BG$1,Sanidade!$Y71&gt;=BG$1)),Sanidade!$W71/(Sanidade!$Y71-Sanidade!$X71+1),0))</f>
        <v>0</v>
      </c>
      <c r="BH174" s="477">
        <f>IF(AND(Sanidade!$Y71=Sanidade!$X71,Sanidade!$X71=BH$1),Sanidade!$W71,IF(AND(Sanidade!$Y71&gt;=Sanidade!$X71,AND(Sanidade!$X71&lt;=BH$1,Sanidade!$Y71&gt;=BH$1)),Sanidade!$W71/(Sanidade!$Y71-Sanidade!$X71+1),0))</f>
        <v>0</v>
      </c>
      <c r="BI174" s="477">
        <f>IF(AND(Sanidade!$Y71=Sanidade!$X71,Sanidade!$X71=BI$1),Sanidade!$W71,IF(AND(Sanidade!$Y71&gt;=Sanidade!$X71,AND(Sanidade!$X71&lt;=BI$1,Sanidade!$Y71&gt;=BI$1)),Sanidade!$W71/(Sanidade!$Y71-Sanidade!$X71+1),0))</f>
        <v>0</v>
      </c>
      <c r="BJ174" s="477">
        <f>IF(AND(Sanidade!$Y71=Sanidade!$X71,Sanidade!$X71=BJ$1),Sanidade!$W71,IF(AND(Sanidade!$Y71&gt;=Sanidade!$X71,AND(Sanidade!$X71&lt;=BJ$1,Sanidade!$Y71&gt;=BJ$1)),Sanidade!$W71/(Sanidade!$Y71-Sanidade!$X71+1),0))</f>
        <v>0</v>
      </c>
      <c r="BK174" s="477">
        <f>IF(AND(Sanidade!$Y71=Sanidade!$X71,Sanidade!$X71=BK$1),Sanidade!$W71,IF(AND(Sanidade!$Y71&gt;=Sanidade!$X71,AND(Sanidade!$X71&lt;=BK$1,Sanidade!$Y71&gt;=BK$1)),Sanidade!$W71/(Sanidade!$Y71-Sanidade!$X71+1),0))</f>
        <v>0</v>
      </c>
      <c r="BL174" s="477">
        <f>IF(AND(Sanidade!$Y71=Sanidade!$X71,Sanidade!$X71=BL$1),Sanidade!$W71,IF(AND(Sanidade!$Y71&gt;=Sanidade!$X71,AND(Sanidade!$X71&lt;=BL$1,Sanidade!$Y71&gt;=BL$1)),Sanidade!$W71/(Sanidade!$Y71-Sanidade!$X71+1),0))</f>
        <v>0</v>
      </c>
      <c r="BM174" s="477">
        <f>IF(AND(Sanidade!$Y71=Sanidade!$X71,Sanidade!$X71=BM$1),Sanidade!$W71,IF(AND(Sanidade!$Y71&gt;=Sanidade!$X71,AND(Sanidade!$X71&lt;=BM$1,Sanidade!$Y71&gt;=BM$1)),Sanidade!$W71/(Sanidade!$Y71-Sanidade!$X71+1),0))</f>
        <v>0</v>
      </c>
      <c r="BN174" s="477">
        <f>IF(AND(Sanidade!$Y71=Sanidade!$X71,Sanidade!$X71=BN$1),Sanidade!$W71,IF(AND(Sanidade!$Y71&gt;=Sanidade!$X71,AND(Sanidade!$X71&lt;=BN$1,Sanidade!$Y71&gt;=BN$1)),Sanidade!$W71/(Sanidade!$Y71-Sanidade!$X71+1),0))</f>
        <v>0</v>
      </c>
      <c r="BO174" s="477">
        <f>IF(AND(Sanidade!$Y71=Sanidade!$X71,Sanidade!$X71=BO$1),Sanidade!$W71,IF(AND(Sanidade!$Y71&gt;=Sanidade!$X71,AND(Sanidade!$X71&lt;=BO$1,Sanidade!$Y71&gt;=BO$1)),Sanidade!$W71/(Sanidade!$Y71-Sanidade!$X71+1),0))</f>
        <v>0</v>
      </c>
      <c r="BP174" s="477">
        <f>IF(AND(Sanidade!$Y71=Sanidade!$X71,Sanidade!$X71=BP$1),Sanidade!$W71,IF(AND(Sanidade!$Y71&gt;=Sanidade!$X71,AND(Sanidade!$X71&lt;=BP$1,Sanidade!$Y71&gt;=BP$1)),Sanidade!$W71/(Sanidade!$Y71-Sanidade!$X71+1),0))</f>
        <v>0</v>
      </c>
      <c r="BQ174" s="477">
        <f>IF(AND(Sanidade!$Y71=Sanidade!$X71,Sanidade!$X71=BQ$1),Sanidade!$W71,IF(AND(Sanidade!$Y71&gt;=Sanidade!$X71,AND(Sanidade!$X71&lt;=BQ$1,Sanidade!$Y71&gt;=BQ$1)),Sanidade!$W71/(Sanidade!$Y71-Sanidade!$X71+1),0))</f>
        <v>0</v>
      </c>
      <c r="BR174" s="477">
        <f>IF(AND(Sanidade!$Y71=Sanidade!$X71,Sanidade!$X71=BR$1),Sanidade!$W71,IF(AND(Sanidade!$Y71&gt;=Sanidade!$X71,AND(Sanidade!$X71&lt;=BR$1,Sanidade!$Y71&gt;=BR$1)),Sanidade!$W71/(Sanidade!$Y71-Sanidade!$X71+1),0))</f>
        <v>0</v>
      </c>
      <c r="BS174" s="477">
        <f>IF(AND(Sanidade!$Y71=Sanidade!$X71,Sanidade!$X71=BS$1),Sanidade!$W71,IF(AND(Sanidade!$Y71&gt;=Sanidade!$X71,AND(Sanidade!$X71&lt;=BS$1,Sanidade!$Y71&gt;=BS$1)),Sanidade!$W71/(Sanidade!$Y71-Sanidade!$X71+1),0))</f>
        <v>0</v>
      </c>
      <c r="BT174" s="477">
        <f>IF(AND(Sanidade!$Y71=Sanidade!$X71,Sanidade!$X71=BT$1),Sanidade!$W71,IF(AND(Sanidade!$Y71&gt;=Sanidade!$X71,AND(Sanidade!$X71&lt;=BT$1,Sanidade!$Y71&gt;=BT$1)),Sanidade!$W71/(Sanidade!$Y71-Sanidade!$X71+1),0))</f>
        <v>0</v>
      </c>
    </row>
    <row r="175" spans="2:72" x14ac:dyDescent="0.2">
      <c r="B175" s="499"/>
      <c r="C175" s="500"/>
      <c r="D175" s="497"/>
      <c r="E175" s="497"/>
      <c r="F175" s="497"/>
      <c r="G175" s="497"/>
      <c r="H175" s="497"/>
      <c r="BA175" s="459">
        <f>VLOOKUP(Sanidade!E72,Dados!$A$3:$N$10,13)</f>
        <v>0</v>
      </c>
      <c r="BB175" s="477">
        <f>IF(AND(Sanidade!$Y72=Sanidade!$X72,Sanidade!$X72=BB$1),Sanidade!$W72,IF(AND(Sanidade!$Y72&gt;=Sanidade!$X72,AND(Sanidade!$X72&lt;=BB$1,Sanidade!$Y72&gt;=BB$1)),Sanidade!$W72/(Sanidade!$Y72-Sanidade!$X72+1),0))</f>
        <v>0</v>
      </c>
      <c r="BC175" s="477">
        <f>IF(AND(Sanidade!$Y72=Sanidade!$X72,Sanidade!$X72=BC$1),Sanidade!$W72,IF(AND(Sanidade!$Y72&gt;=Sanidade!$X72,AND(Sanidade!$X72&lt;=BC$1,Sanidade!$Y72&gt;=BC$1)),Sanidade!$W72/(Sanidade!$Y72-Sanidade!$X72+1),0))</f>
        <v>0</v>
      </c>
      <c r="BD175" s="477">
        <f>IF(AND(Sanidade!$Y72=Sanidade!$X72,Sanidade!$X72=BD$1),Sanidade!$W72,IF(AND(Sanidade!$Y72&gt;=Sanidade!$X72,AND(Sanidade!$X72&lt;=BD$1,Sanidade!$Y72&gt;=BD$1)),Sanidade!$W72/(Sanidade!$Y72-Sanidade!$X72+1),0))</f>
        <v>0</v>
      </c>
      <c r="BE175" s="477">
        <f>IF(AND(Sanidade!$Y72=Sanidade!$X72,Sanidade!$X72=BE$1),Sanidade!$W72,IF(AND(Sanidade!$Y72&gt;=Sanidade!$X72,AND(Sanidade!$X72&lt;=BE$1,Sanidade!$Y72&gt;=BE$1)),Sanidade!$W72/(Sanidade!$Y72-Sanidade!$X72+1),0))</f>
        <v>0</v>
      </c>
      <c r="BF175" s="477">
        <f>IF(AND(Sanidade!$Y72=Sanidade!$X72,Sanidade!$X72=BF$1),Sanidade!$W72,IF(AND(Sanidade!$Y72&gt;=Sanidade!$X72,AND(Sanidade!$X72&lt;=BF$1,Sanidade!$Y72&gt;=BF$1)),Sanidade!$W72/(Sanidade!$Y72-Sanidade!$X72+1),0))</f>
        <v>0</v>
      </c>
      <c r="BG175" s="477">
        <f>IF(AND(Sanidade!$Y72=Sanidade!$X72,Sanidade!$X72=BG$1),Sanidade!$W72,IF(AND(Sanidade!$Y72&gt;=Sanidade!$X72,AND(Sanidade!$X72&lt;=BG$1,Sanidade!$Y72&gt;=BG$1)),Sanidade!$W72/(Sanidade!$Y72-Sanidade!$X72+1),0))</f>
        <v>0</v>
      </c>
      <c r="BH175" s="477">
        <f>IF(AND(Sanidade!$Y72=Sanidade!$X72,Sanidade!$X72=BH$1),Sanidade!$W72,IF(AND(Sanidade!$Y72&gt;=Sanidade!$X72,AND(Sanidade!$X72&lt;=BH$1,Sanidade!$Y72&gt;=BH$1)),Sanidade!$W72/(Sanidade!$Y72-Sanidade!$X72+1),0))</f>
        <v>0</v>
      </c>
      <c r="BI175" s="477">
        <f>IF(AND(Sanidade!$Y72=Sanidade!$X72,Sanidade!$X72=BI$1),Sanidade!$W72,IF(AND(Sanidade!$Y72&gt;=Sanidade!$X72,AND(Sanidade!$X72&lt;=BI$1,Sanidade!$Y72&gt;=BI$1)),Sanidade!$W72/(Sanidade!$Y72-Sanidade!$X72+1),0))</f>
        <v>0</v>
      </c>
      <c r="BJ175" s="477">
        <f>IF(AND(Sanidade!$Y72=Sanidade!$X72,Sanidade!$X72=BJ$1),Sanidade!$W72,IF(AND(Sanidade!$Y72&gt;=Sanidade!$X72,AND(Sanidade!$X72&lt;=BJ$1,Sanidade!$Y72&gt;=BJ$1)),Sanidade!$W72/(Sanidade!$Y72-Sanidade!$X72+1),0))</f>
        <v>0</v>
      </c>
      <c r="BK175" s="477">
        <f>IF(AND(Sanidade!$Y72=Sanidade!$X72,Sanidade!$X72=BK$1),Sanidade!$W72,IF(AND(Sanidade!$Y72&gt;=Sanidade!$X72,AND(Sanidade!$X72&lt;=BK$1,Sanidade!$Y72&gt;=BK$1)),Sanidade!$W72/(Sanidade!$Y72-Sanidade!$X72+1),0))</f>
        <v>0</v>
      </c>
      <c r="BL175" s="477">
        <f>IF(AND(Sanidade!$Y72=Sanidade!$X72,Sanidade!$X72=BL$1),Sanidade!$W72,IF(AND(Sanidade!$Y72&gt;=Sanidade!$X72,AND(Sanidade!$X72&lt;=BL$1,Sanidade!$Y72&gt;=BL$1)),Sanidade!$W72/(Sanidade!$Y72-Sanidade!$X72+1),0))</f>
        <v>0</v>
      </c>
      <c r="BM175" s="477">
        <f>IF(AND(Sanidade!$Y72=Sanidade!$X72,Sanidade!$X72=BM$1),Sanidade!$W72,IF(AND(Sanidade!$Y72&gt;=Sanidade!$X72,AND(Sanidade!$X72&lt;=BM$1,Sanidade!$Y72&gt;=BM$1)),Sanidade!$W72/(Sanidade!$Y72-Sanidade!$X72+1),0))</f>
        <v>0</v>
      </c>
      <c r="BN175" s="477">
        <f>IF(AND(Sanidade!$Y72=Sanidade!$X72,Sanidade!$X72=BN$1),Sanidade!$W72,IF(AND(Sanidade!$Y72&gt;=Sanidade!$X72,AND(Sanidade!$X72&lt;=BN$1,Sanidade!$Y72&gt;=BN$1)),Sanidade!$W72/(Sanidade!$Y72-Sanidade!$X72+1),0))</f>
        <v>0</v>
      </c>
      <c r="BO175" s="477">
        <f>IF(AND(Sanidade!$Y72=Sanidade!$X72,Sanidade!$X72=BO$1),Sanidade!$W72,IF(AND(Sanidade!$Y72&gt;=Sanidade!$X72,AND(Sanidade!$X72&lt;=BO$1,Sanidade!$Y72&gt;=BO$1)),Sanidade!$W72/(Sanidade!$Y72-Sanidade!$X72+1),0))</f>
        <v>0</v>
      </c>
      <c r="BP175" s="477">
        <f>IF(AND(Sanidade!$Y72=Sanidade!$X72,Sanidade!$X72=BP$1),Sanidade!$W72,IF(AND(Sanidade!$Y72&gt;=Sanidade!$X72,AND(Sanidade!$X72&lt;=BP$1,Sanidade!$Y72&gt;=BP$1)),Sanidade!$W72/(Sanidade!$Y72-Sanidade!$X72+1),0))</f>
        <v>0</v>
      </c>
      <c r="BQ175" s="477">
        <f>IF(AND(Sanidade!$Y72=Sanidade!$X72,Sanidade!$X72=BQ$1),Sanidade!$W72,IF(AND(Sanidade!$Y72&gt;=Sanidade!$X72,AND(Sanidade!$X72&lt;=BQ$1,Sanidade!$Y72&gt;=BQ$1)),Sanidade!$W72/(Sanidade!$Y72-Sanidade!$X72+1),0))</f>
        <v>0</v>
      </c>
      <c r="BR175" s="477">
        <f>IF(AND(Sanidade!$Y72=Sanidade!$X72,Sanidade!$X72=BR$1),Sanidade!$W72,IF(AND(Sanidade!$Y72&gt;=Sanidade!$X72,AND(Sanidade!$X72&lt;=BR$1,Sanidade!$Y72&gt;=BR$1)),Sanidade!$W72/(Sanidade!$Y72-Sanidade!$X72+1),0))</f>
        <v>0</v>
      </c>
      <c r="BS175" s="477">
        <f>IF(AND(Sanidade!$Y72=Sanidade!$X72,Sanidade!$X72=BS$1),Sanidade!$W72,IF(AND(Sanidade!$Y72&gt;=Sanidade!$X72,AND(Sanidade!$X72&lt;=BS$1,Sanidade!$Y72&gt;=BS$1)),Sanidade!$W72/(Sanidade!$Y72-Sanidade!$X72+1),0))</f>
        <v>0</v>
      </c>
      <c r="BT175" s="477">
        <f>IF(AND(Sanidade!$Y72=Sanidade!$X72,Sanidade!$X72=BT$1),Sanidade!$W72,IF(AND(Sanidade!$Y72&gt;=Sanidade!$X72,AND(Sanidade!$X72&lt;=BT$1,Sanidade!$Y72&gt;=BT$1)),Sanidade!$W72/(Sanidade!$Y72-Sanidade!$X72+1),0))</f>
        <v>0</v>
      </c>
    </row>
    <row r="176" spans="2:72" x14ac:dyDescent="0.2">
      <c r="B176" s="499"/>
      <c r="C176" s="500"/>
      <c r="D176" s="497"/>
      <c r="E176" s="497"/>
      <c r="F176" s="497"/>
      <c r="G176" s="497"/>
      <c r="H176" s="497"/>
      <c r="BA176" s="459">
        <f>VLOOKUP(Sanidade!E73,Dados!$A$3:$N$10,13)</f>
        <v>0</v>
      </c>
      <c r="BB176" s="477">
        <f>IF(AND(Sanidade!$Y73=Sanidade!$X73,Sanidade!$X73=BB$1),Sanidade!$W73,IF(AND(Sanidade!$Y73&gt;=Sanidade!$X73,AND(Sanidade!$X73&lt;=BB$1,Sanidade!$Y73&gt;=BB$1)),Sanidade!$W73/(Sanidade!$Y73-Sanidade!$X73+1),0))</f>
        <v>0</v>
      </c>
      <c r="BC176" s="477">
        <f>IF(AND(Sanidade!$Y73=Sanidade!$X73,Sanidade!$X73=BC$1),Sanidade!$W73,IF(AND(Sanidade!$Y73&gt;=Sanidade!$X73,AND(Sanidade!$X73&lt;=BC$1,Sanidade!$Y73&gt;=BC$1)),Sanidade!$W73/(Sanidade!$Y73-Sanidade!$X73+1),0))</f>
        <v>0</v>
      </c>
      <c r="BD176" s="477">
        <f>IF(AND(Sanidade!$Y73=Sanidade!$X73,Sanidade!$X73=BD$1),Sanidade!$W73,IF(AND(Sanidade!$Y73&gt;=Sanidade!$X73,AND(Sanidade!$X73&lt;=BD$1,Sanidade!$Y73&gt;=BD$1)),Sanidade!$W73/(Sanidade!$Y73-Sanidade!$X73+1),0))</f>
        <v>0</v>
      </c>
      <c r="BE176" s="477">
        <f>IF(AND(Sanidade!$Y73=Sanidade!$X73,Sanidade!$X73=BE$1),Sanidade!$W73,IF(AND(Sanidade!$Y73&gt;=Sanidade!$X73,AND(Sanidade!$X73&lt;=BE$1,Sanidade!$Y73&gt;=BE$1)),Sanidade!$W73/(Sanidade!$Y73-Sanidade!$X73+1),0))</f>
        <v>0</v>
      </c>
      <c r="BF176" s="477">
        <f>IF(AND(Sanidade!$Y73=Sanidade!$X73,Sanidade!$X73=BF$1),Sanidade!$W73,IF(AND(Sanidade!$Y73&gt;=Sanidade!$X73,AND(Sanidade!$X73&lt;=BF$1,Sanidade!$Y73&gt;=BF$1)),Sanidade!$W73/(Sanidade!$Y73-Sanidade!$X73+1),0))</f>
        <v>0</v>
      </c>
      <c r="BG176" s="477">
        <f>IF(AND(Sanidade!$Y73=Sanidade!$X73,Sanidade!$X73=BG$1),Sanidade!$W73,IF(AND(Sanidade!$Y73&gt;=Sanidade!$X73,AND(Sanidade!$X73&lt;=BG$1,Sanidade!$Y73&gt;=BG$1)),Sanidade!$W73/(Sanidade!$Y73-Sanidade!$X73+1),0))</f>
        <v>0</v>
      </c>
      <c r="BH176" s="477">
        <f>IF(AND(Sanidade!$Y73=Sanidade!$X73,Sanidade!$X73=BH$1),Sanidade!$W73,IF(AND(Sanidade!$Y73&gt;=Sanidade!$X73,AND(Sanidade!$X73&lt;=BH$1,Sanidade!$Y73&gt;=BH$1)),Sanidade!$W73/(Sanidade!$Y73-Sanidade!$X73+1),0))</f>
        <v>0</v>
      </c>
      <c r="BI176" s="477">
        <f>IF(AND(Sanidade!$Y73=Sanidade!$X73,Sanidade!$X73=BI$1),Sanidade!$W73,IF(AND(Sanidade!$Y73&gt;=Sanidade!$X73,AND(Sanidade!$X73&lt;=BI$1,Sanidade!$Y73&gt;=BI$1)),Sanidade!$W73/(Sanidade!$Y73-Sanidade!$X73+1),0))</f>
        <v>0</v>
      </c>
      <c r="BJ176" s="477">
        <f>IF(AND(Sanidade!$Y73=Sanidade!$X73,Sanidade!$X73=BJ$1),Sanidade!$W73,IF(AND(Sanidade!$Y73&gt;=Sanidade!$X73,AND(Sanidade!$X73&lt;=BJ$1,Sanidade!$Y73&gt;=BJ$1)),Sanidade!$W73/(Sanidade!$Y73-Sanidade!$X73+1),0))</f>
        <v>0</v>
      </c>
      <c r="BK176" s="477">
        <f>IF(AND(Sanidade!$Y73=Sanidade!$X73,Sanidade!$X73=BK$1),Sanidade!$W73,IF(AND(Sanidade!$Y73&gt;=Sanidade!$X73,AND(Sanidade!$X73&lt;=BK$1,Sanidade!$Y73&gt;=BK$1)),Sanidade!$W73/(Sanidade!$Y73-Sanidade!$X73+1),0))</f>
        <v>0</v>
      </c>
      <c r="BL176" s="477">
        <f>IF(AND(Sanidade!$Y73=Sanidade!$X73,Sanidade!$X73=BL$1),Sanidade!$W73,IF(AND(Sanidade!$Y73&gt;=Sanidade!$X73,AND(Sanidade!$X73&lt;=BL$1,Sanidade!$Y73&gt;=BL$1)),Sanidade!$W73/(Sanidade!$Y73-Sanidade!$X73+1),0))</f>
        <v>0</v>
      </c>
      <c r="BM176" s="477">
        <f>IF(AND(Sanidade!$Y73=Sanidade!$X73,Sanidade!$X73=BM$1),Sanidade!$W73,IF(AND(Sanidade!$Y73&gt;=Sanidade!$X73,AND(Sanidade!$X73&lt;=BM$1,Sanidade!$Y73&gt;=BM$1)),Sanidade!$W73/(Sanidade!$Y73-Sanidade!$X73+1),0))</f>
        <v>0</v>
      </c>
      <c r="BN176" s="477">
        <f>IF(AND(Sanidade!$Y73=Sanidade!$X73,Sanidade!$X73=BN$1),Sanidade!$W73,IF(AND(Sanidade!$Y73&gt;=Sanidade!$X73,AND(Sanidade!$X73&lt;=BN$1,Sanidade!$Y73&gt;=BN$1)),Sanidade!$W73/(Sanidade!$Y73-Sanidade!$X73+1),0))</f>
        <v>0</v>
      </c>
      <c r="BO176" s="477">
        <f>IF(AND(Sanidade!$Y73=Sanidade!$X73,Sanidade!$X73=BO$1),Sanidade!$W73,IF(AND(Sanidade!$Y73&gt;=Sanidade!$X73,AND(Sanidade!$X73&lt;=BO$1,Sanidade!$Y73&gt;=BO$1)),Sanidade!$W73/(Sanidade!$Y73-Sanidade!$X73+1),0))</f>
        <v>0</v>
      </c>
      <c r="BP176" s="477">
        <f>IF(AND(Sanidade!$Y73=Sanidade!$X73,Sanidade!$X73=BP$1),Sanidade!$W73,IF(AND(Sanidade!$Y73&gt;=Sanidade!$X73,AND(Sanidade!$X73&lt;=BP$1,Sanidade!$Y73&gt;=BP$1)),Sanidade!$W73/(Sanidade!$Y73-Sanidade!$X73+1),0))</f>
        <v>0</v>
      </c>
      <c r="BQ176" s="477">
        <f>IF(AND(Sanidade!$Y73=Sanidade!$X73,Sanidade!$X73=BQ$1),Sanidade!$W73,IF(AND(Sanidade!$Y73&gt;=Sanidade!$X73,AND(Sanidade!$X73&lt;=BQ$1,Sanidade!$Y73&gt;=BQ$1)),Sanidade!$W73/(Sanidade!$Y73-Sanidade!$X73+1),0))</f>
        <v>0</v>
      </c>
      <c r="BR176" s="477">
        <f>IF(AND(Sanidade!$Y73=Sanidade!$X73,Sanidade!$X73=BR$1),Sanidade!$W73,IF(AND(Sanidade!$Y73&gt;=Sanidade!$X73,AND(Sanidade!$X73&lt;=BR$1,Sanidade!$Y73&gt;=BR$1)),Sanidade!$W73/(Sanidade!$Y73-Sanidade!$X73+1),0))</f>
        <v>0</v>
      </c>
      <c r="BS176" s="477">
        <f>IF(AND(Sanidade!$Y73=Sanidade!$X73,Sanidade!$X73=BS$1),Sanidade!$W73,IF(AND(Sanidade!$Y73&gt;=Sanidade!$X73,AND(Sanidade!$X73&lt;=BS$1,Sanidade!$Y73&gt;=BS$1)),Sanidade!$W73/(Sanidade!$Y73-Sanidade!$X73+1),0))</f>
        <v>0</v>
      </c>
      <c r="BT176" s="477">
        <f>IF(AND(Sanidade!$Y73=Sanidade!$X73,Sanidade!$X73=BT$1),Sanidade!$W73,IF(AND(Sanidade!$Y73&gt;=Sanidade!$X73,AND(Sanidade!$X73&lt;=BT$1,Sanidade!$Y73&gt;=BT$1)),Sanidade!$W73/(Sanidade!$Y73-Sanidade!$X73+1),0))</f>
        <v>0</v>
      </c>
    </row>
    <row r="177" spans="2:72" x14ac:dyDescent="0.2">
      <c r="B177" s="499"/>
      <c r="C177" s="500"/>
      <c r="D177" s="497"/>
      <c r="E177" s="497"/>
      <c r="F177" s="497"/>
      <c r="G177" s="497"/>
      <c r="H177" s="497"/>
      <c r="BA177" s="459">
        <f>VLOOKUP(Sanidade!E74,Dados!$A$3:$N$10,13)</f>
        <v>0</v>
      </c>
      <c r="BB177" s="477">
        <f>IF(AND(Sanidade!$Y74=Sanidade!$X74,Sanidade!$X74=BB$1),Sanidade!$W74,IF(AND(Sanidade!$Y74&gt;=Sanidade!$X74,AND(Sanidade!$X74&lt;=BB$1,Sanidade!$Y74&gt;=BB$1)),Sanidade!$W74/(Sanidade!$Y74-Sanidade!$X74+1),0))</f>
        <v>0</v>
      </c>
      <c r="BC177" s="477">
        <f>IF(AND(Sanidade!$Y74=Sanidade!$X74,Sanidade!$X74=BC$1),Sanidade!$W74,IF(AND(Sanidade!$Y74&gt;=Sanidade!$X74,AND(Sanidade!$X74&lt;=BC$1,Sanidade!$Y74&gt;=BC$1)),Sanidade!$W74/(Sanidade!$Y74-Sanidade!$X74+1),0))</f>
        <v>0</v>
      </c>
      <c r="BD177" s="477">
        <f>IF(AND(Sanidade!$Y74=Sanidade!$X74,Sanidade!$X74=BD$1),Sanidade!$W74,IF(AND(Sanidade!$Y74&gt;=Sanidade!$X74,AND(Sanidade!$X74&lt;=BD$1,Sanidade!$Y74&gt;=BD$1)),Sanidade!$W74/(Sanidade!$Y74-Sanidade!$X74+1),0))</f>
        <v>0</v>
      </c>
      <c r="BE177" s="477">
        <f>IF(AND(Sanidade!$Y74=Sanidade!$X74,Sanidade!$X74=BE$1),Sanidade!$W74,IF(AND(Sanidade!$Y74&gt;=Sanidade!$X74,AND(Sanidade!$X74&lt;=BE$1,Sanidade!$Y74&gt;=BE$1)),Sanidade!$W74/(Sanidade!$Y74-Sanidade!$X74+1),0))</f>
        <v>0</v>
      </c>
      <c r="BF177" s="477">
        <f>IF(AND(Sanidade!$Y74=Sanidade!$X74,Sanidade!$X74=BF$1),Sanidade!$W74,IF(AND(Sanidade!$Y74&gt;=Sanidade!$X74,AND(Sanidade!$X74&lt;=BF$1,Sanidade!$Y74&gt;=BF$1)),Sanidade!$W74/(Sanidade!$Y74-Sanidade!$X74+1),0))</f>
        <v>0</v>
      </c>
      <c r="BG177" s="477">
        <f>IF(AND(Sanidade!$Y74=Sanidade!$X74,Sanidade!$X74=BG$1),Sanidade!$W74,IF(AND(Sanidade!$Y74&gt;=Sanidade!$X74,AND(Sanidade!$X74&lt;=BG$1,Sanidade!$Y74&gt;=BG$1)),Sanidade!$W74/(Sanidade!$Y74-Sanidade!$X74+1),0))</f>
        <v>0</v>
      </c>
      <c r="BH177" s="477">
        <f>IF(AND(Sanidade!$Y74=Sanidade!$X74,Sanidade!$X74=BH$1),Sanidade!$W74,IF(AND(Sanidade!$Y74&gt;=Sanidade!$X74,AND(Sanidade!$X74&lt;=BH$1,Sanidade!$Y74&gt;=BH$1)),Sanidade!$W74/(Sanidade!$Y74-Sanidade!$X74+1),0))</f>
        <v>0</v>
      </c>
      <c r="BI177" s="477">
        <f>IF(AND(Sanidade!$Y74=Sanidade!$X74,Sanidade!$X74=BI$1),Sanidade!$W74,IF(AND(Sanidade!$Y74&gt;=Sanidade!$X74,AND(Sanidade!$X74&lt;=BI$1,Sanidade!$Y74&gt;=BI$1)),Sanidade!$W74/(Sanidade!$Y74-Sanidade!$X74+1),0))</f>
        <v>0</v>
      </c>
      <c r="BJ177" s="477">
        <f>IF(AND(Sanidade!$Y74=Sanidade!$X74,Sanidade!$X74=BJ$1),Sanidade!$W74,IF(AND(Sanidade!$Y74&gt;=Sanidade!$X74,AND(Sanidade!$X74&lt;=BJ$1,Sanidade!$Y74&gt;=BJ$1)),Sanidade!$W74/(Sanidade!$Y74-Sanidade!$X74+1),0))</f>
        <v>0</v>
      </c>
      <c r="BK177" s="477">
        <f>IF(AND(Sanidade!$Y74=Sanidade!$X74,Sanidade!$X74=BK$1),Sanidade!$W74,IF(AND(Sanidade!$Y74&gt;=Sanidade!$X74,AND(Sanidade!$X74&lt;=BK$1,Sanidade!$Y74&gt;=BK$1)),Sanidade!$W74/(Sanidade!$Y74-Sanidade!$X74+1),0))</f>
        <v>0</v>
      </c>
      <c r="BL177" s="477">
        <f>IF(AND(Sanidade!$Y74=Sanidade!$X74,Sanidade!$X74=BL$1),Sanidade!$W74,IF(AND(Sanidade!$Y74&gt;=Sanidade!$X74,AND(Sanidade!$X74&lt;=BL$1,Sanidade!$Y74&gt;=BL$1)),Sanidade!$W74/(Sanidade!$Y74-Sanidade!$X74+1),0))</f>
        <v>0</v>
      </c>
      <c r="BM177" s="477">
        <f>IF(AND(Sanidade!$Y74=Sanidade!$X74,Sanidade!$X74=BM$1),Sanidade!$W74,IF(AND(Sanidade!$Y74&gt;=Sanidade!$X74,AND(Sanidade!$X74&lt;=BM$1,Sanidade!$Y74&gt;=BM$1)),Sanidade!$W74/(Sanidade!$Y74-Sanidade!$X74+1),0))</f>
        <v>0</v>
      </c>
      <c r="BN177" s="477">
        <f>IF(AND(Sanidade!$Y74=Sanidade!$X74,Sanidade!$X74=BN$1),Sanidade!$W74,IF(AND(Sanidade!$Y74&gt;=Sanidade!$X74,AND(Sanidade!$X74&lt;=BN$1,Sanidade!$Y74&gt;=BN$1)),Sanidade!$W74/(Sanidade!$Y74-Sanidade!$X74+1),0))</f>
        <v>0</v>
      </c>
      <c r="BO177" s="477">
        <f>IF(AND(Sanidade!$Y74=Sanidade!$X74,Sanidade!$X74=BO$1),Sanidade!$W74,IF(AND(Sanidade!$Y74&gt;=Sanidade!$X74,AND(Sanidade!$X74&lt;=BO$1,Sanidade!$Y74&gt;=BO$1)),Sanidade!$W74/(Sanidade!$Y74-Sanidade!$X74+1),0))</f>
        <v>0</v>
      </c>
      <c r="BP177" s="477">
        <f>IF(AND(Sanidade!$Y74=Sanidade!$X74,Sanidade!$X74=BP$1),Sanidade!$W74,IF(AND(Sanidade!$Y74&gt;=Sanidade!$X74,AND(Sanidade!$X74&lt;=BP$1,Sanidade!$Y74&gt;=BP$1)),Sanidade!$W74/(Sanidade!$Y74-Sanidade!$X74+1),0))</f>
        <v>0</v>
      </c>
      <c r="BQ177" s="477">
        <f>IF(AND(Sanidade!$Y74=Sanidade!$X74,Sanidade!$X74=BQ$1),Sanidade!$W74,IF(AND(Sanidade!$Y74&gt;=Sanidade!$X74,AND(Sanidade!$X74&lt;=BQ$1,Sanidade!$Y74&gt;=BQ$1)),Sanidade!$W74/(Sanidade!$Y74-Sanidade!$X74+1),0))</f>
        <v>0</v>
      </c>
      <c r="BR177" s="477">
        <f>IF(AND(Sanidade!$Y74=Sanidade!$X74,Sanidade!$X74=BR$1),Sanidade!$W74,IF(AND(Sanidade!$Y74&gt;=Sanidade!$X74,AND(Sanidade!$X74&lt;=BR$1,Sanidade!$Y74&gt;=BR$1)),Sanidade!$W74/(Sanidade!$Y74-Sanidade!$X74+1),0))</f>
        <v>0</v>
      </c>
      <c r="BS177" s="477">
        <f>IF(AND(Sanidade!$Y74=Sanidade!$X74,Sanidade!$X74=BS$1),Sanidade!$W74,IF(AND(Sanidade!$Y74&gt;=Sanidade!$X74,AND(Sanidade!$X74&lt;=BS$1,Sanidade!$Y74&gt;=BS$1)),Sanidade!$W74/(Sanidade!$Y74-Sanidade!$X74+1),0))</f>
        <v>0</v>
      </c>
      <c r="BT177" s="477">
        <f>IF(AND(Sanidade!$Y74=Sanidade!$X74,Sanidade!$X74=BT$1),Sanidade!$W74,IF(AND(Sanidade!$Y74&gt;=Sanidade!$X74,AND(Sanidade!$X74&lt;=BT$1,Sanidade!$Y74&gt;=BT$1)),Sanidade!$W74/(Sanidade!$Y74-Sanidade!$X74+1),0))</f>
        <v>0</v>
      </c>
    </row>
    <row r="178" spans="2:72" x14ac:dyDescent="0.2">
      <c r="B178" s="499"/>
      <c r="C178" s="500"/>
      <c r="D178" s="497"/>
      <c r="E178" s="497"/>
      <c r="F178" s="497"/>
      <c r="G178" s="497"/>
      <c r="H178" s="497"/>
      <c r="BA178" s="459">
        <f>VLOOKUP(Sanidade!E79,Dados!$A$3:$N$10,13)</f>
        <v>0</v>
      </c>
      <c r="BB178" s="477">
        <f>IF(AND(Sanidade!$Y79=Sanidade!$X79,Sanidade!$X79=BB$1),Sanidade!$W79,IF(AND(Sanidade!$Y79&gt;=Sanidade!$X79,AND(Sanidade!$X79&lt;=BB$1,Sanidade!$Y79&gt;=BB$1)),Sanidade!$W79/(Sanidade!$Y79-Sanidade!$X79+1),0))</f>
        <v>0</v>
      </c>
      <c r="BC178" s="477">
        <f>IF(AND(Sanidade!$Y79=Sanidade!$X79,Sanidade!$X79=BC$1),Sanidade!$W79,IF(AND(Sanidade!$Y79&gt;=Sanidade!$X79,AND(Sanidade!$X79&lt;=BC$1,Sanidade!$Y79&gt;=BC$1)),Sanidade!$W79/(Sanidade!$Y79-Sanidade!$X79+1),0))</f>
        <v>0</v>
      </c>
      <c r="BD178" s="477">
        <f>IF(AND(Sanidade!$Y79=Sanidade!$X79,Sanidade!$X79=BD$1),Sanidade!$W79,IF(AND(Sanidade!$Y79&gt;=Sanidade!$X79,AND(Sanidade!$X79&lt;=BD$1,Sanidade!$Y79&gt;=BD$1)),Sanidade!$W79/(Sanidade!$Y79-Sanidade!$X79+1),0))</f>
        <v>0</v>
      </c>
      <c r="BE178" s="477">
        <f>IF(AND(Sanidade!$Y79=Sanidade!$X79,Sanidade!$X79=BE$1),Sanidade!$W79,IF(AND(Sanidade!$Y79&gt;=Sanidade!$X79,AND(Sanidade!$X79&lt;=BE$1,Sanidade!$Y79&gt;=BE$1)),Sanidade!$W79/(Sanidade!$Y79-Sanidade!$X79+1),0))</f>
        <v>0</v>
      </c>
      <c r="BF178" s="477">
        <f>IF(AND(Sanidade!$Y79=Sanidade!$X79,Sanidade!$X79=BF$1),Sanidade!$W79,IF(AND(Sanidade!$Y79&gt;=Sanidade!$X79,AND(Sanidade!$X79&lt;=BF$1,Sanidade!$Y79&gt;=BF$1)),Sanidade!$W79/(Sanidade!$Y79-Sanidade!$X79+1),0))</f>
        <v>0</v>
      </c>
      <c r="BG178" s="477">
        <f>IF(AND(Sanidade!$Y79=Sanidade!$X79,Sanidade!$X79=BG$1),Sanidade!$W79,IF(AND(Sanidade!$Y79&gt;=Sanidade!$X79,AND(Sanidade!$X79&lt;=BG$1,Sanidade!$Y79&gt;=BG$1)),Sanidade!$W79/(Sanidade!$Y79-Sanidade!$X79+1),0))</f>
        <v>0</v>
      </c>
      <c r="BH178" s="477">
        <f>IF(AND(Sanidade!$Y79=Sanidade!$X79,Sanidade!$X79=BH$1),Sanidade!$W79,IF(AND(Sanidade!$Y79&gt;=Sanidade!$X79,AND(Sanidade!$X79&lt;=BH$1,Sanidade!$Y79&gt;=BH$1)),Sanidade!$W79/(Sanidade!$Y79-Sanidade!$X79+1),0))</f>
        <v>0</v>
      </c>
      <c r="BI178" s="477">
        <f>IF(AND(Sanidade!$Y79=Sanidade!$X79,Sanidade!$X79=BI$1),Sanidade!$W79,IF(AND(Sanidade!$Y79&gt;=Sanidade!$X79,AND(Sanidade!$X79&lt;=BI$1,Sanidade!$Y79&gt;=BI$1)),Sanidade!$W79/(Sanidade!$Y79-Sanidade!$X79+1),0))</f>
        <v>0</v>
      </c>
      <c r="BJ178" s="477">
        <f>IF(AND(Sanidade!$Y79=Sanidade!$X79,Sanidade!$X79=BJ$1),Sanidade!$W79,IF(AND(Sanidade!$Y79&gt;=Sanidade!$X79,AND(Sanidade!$X79&lt;=BJ$1,Sanidade!$Y79&gt;=BJ$1)),Sanidade!$W79/(Sanidade!$Y79-Sanidade!$X79+1),0))</f>
        <v>0</v>
      </c>
      <c r="BK178" s="477">
        <f>IF(AND(Sanidade!$Y79=Sanidade!$X79,Sanidade!$X79=BK$1),Sanidade!$W79,IF(AND(Sanidade!$Y79&gt;=Sanidade!$X79,AND(Sanidade!$X79&lt;=BK$1,Sanidade!$Y79&gt;=BK$1)),Sanidade!$W79/(Sanidade!$Y79-Sanidade!$X79+1),0))</f>
        <v>0</v>
      </c>
      <c r="BL178" s="477">
        <f>IF(AND(Sanidade!$Y79=Sanidade!$X79,Sanidade!$X79=BL$1),Sanidade!$W79,IF(AND(Sanidade!$Y79&gt;=Sanidade!$X79,AND(Sanidade!$X79&lt;=BL$1,Sanidade!$Y79&gt;=BL$1)),Sanidade!$W79/(Sanidade!$Y79-Sanidade!$X79+1),0))</f>
        <v>0</v>
      </c>
      <c r="BM178" s="477">
        <f>IF(AND(Sanidade!$Y79=Sanidade!$X79,Sanidade!$X79=BM$1),Sanidade!$W79,IF(AND(Sanidade!$Y79&gt;=Sanidade!$X79,AND(Sanidade!$X79&lt;=BM$1,Sanidade!$Y79&gt;=BM$1)),Sanidade!$W79/(Sanidade!$Y79-Sanidade!$X79+1),0))</f>
        <v>0</v>
      </c>
      <c r="BN178" s="477">
        <f>IF(AND(Sanidade!$Y79=Sanidade!$X79,Sanidade!$X79=BN$1),Sanidade!$W79,IF(AND(Sanidade!$Y79&gt;=Sanidade!$X79,AND(Sanidade!$X79&lt;=BN$1,Sanidade!$Y79&gt;=BN$1)),Sanidade!$W79/(Sanidade!$Y79-Sanidade!$X79+1),0))</f>
        <v>0</v>
      </c>
      <c r="BO178" s="477">
        <f>IF(AND(Sanidade!$Y79=Sanidade!$X79,Sanidade!$X79=BO$1),Sanidade!$W79,IF(AND(Sanidade!$Y79&gt;=Sanidade!$X79,AND(Sanidade!$X79&lt;=BO$1,Sanidade!$Y79&gt;=BO$1)),Sanidade!$W79/(Sanidade!$Y79-Sanidade!$X79+1),0))</f>
        <v>0</v>
      </c>
      <c r="BP178" s="477">
        <f>IF(AND(Sanidade!$Y79=Sanidade!$X79,Sanidade!$X79=BP$1),Sanidade!$W79,IF(AND(Sanidade!$Y79&gt;=Sanidade!$X79,AND(Sanidade!$X79&lt;=BP$1,Sanidade!$Y79&gt;=BP$1)),Sanidade!$W79/(Sanidade!$Y79-Sanidade!$X79+1),0))</f>
        <v>0</v>
      </c>
      <c r="BQ178" s="477">
        <f>IF(AND(Sanidade!$Y79=Sanidade!$X79,Sanidade!$X79=BQ$1),Sanidade!$W79,IF(AND(Sanidade!$Y79&gt;=Sanidade!$X79,AND(Sanidade!$X79&lt;=BQ$1,Sanidade!$Y79&gt;=BQ$1)),Sanidade!$W79/(Sanidade!$Y79-Sanidade!$X79+1),0))</f>
        <v>0</v>
      </c>
      <c r="BR178" s="477">
        <f>IF(AND(Sanidade!$Y79=Sanidade!$X79,Sanidade!$X79=BR$1),Sanidade!$W79,IF(AND(Sanidade!$Y79&gt;=Sanidade!$X79,AND(Sanidade!$X79&lt;=BR$1,Sanidade!$Y79&gt;=BR$1)),Sanidade!$W79/(Sanidade!$Y79-Sanidade!$X79+1),0))</f>
        <v>0</v>
      </c>
      <c r="BS178" s="477">
        <f>IF(AND(Sanidade!$Y79=Sanidade!$X79,Sanidade!$X79=BS$1),Sanidade!$W79,IF(AND(Sanidade!$Y79&gt;=Sanidade!$X79,AND(Sanidade!$X79&lt;=BS$1,Sanidade!$Y79&gt;=BS$1)),Sanidade!$W79/(Sanidade!$Y79-Sanidade!$X79+1),0))</f>
        <v>0</v>
      </c>
      <c r="BT178" s="477">
        <f>IF(AND(Sanidade!$Y79=Sanidade!$X79,Sanidade!$X79=BT$1),Sanidade!$W79,IF(AND(Sanidade!$Y79&gt;=Sanidade!$X79,AND(Sanidade!$X79&lt;=BT$1,Sanidade!$Y79&gt;=BT$1)),Sanidade!$W79/(Sanidade!$Y79-Sanidade!$X79+1),0))</f>
        <v>0</v>
      </c>
    </row>
    <row r="179" spans="2:72" x14ac:dyDescent="0.2">
      <c r="B179" s="499"/>
      <c r="C179" s="500"/>
      <c r="D179" s="497"/>
      <c r="E179" s="497"/>
      <c r="F179" s="497"/>
      <c r="G179" s="497"/>
      <c r="H179" s="497"/>
      <c r="BA179" s="459">
        <f>VLOOKUP(Sanidade!E80,Dados!$A$3:$N$10,13)</f>
        <v>0</v>
      </c>
      <c r="BB179" s="477">
        <f>IF(AND(Sanidade!$Y80=Sanidade!$X80,Sanidade!$X80=BB$1),Sanidade!$W80,IF(AND(Sanidade!$Y80&gt;=Sanidade!$X80,AND(Sanidade!$X80&lt;=BB$1,Sanidade!$Y80&gt;=BB$1)),Sanidade!$W80/(Sanidade!$Y80-Sanidade!$X80+1),0))</f>
        <v>0</v>
      </c>
      <c r="BC179" s="477">
        <f>IF(AND(Sanidade!$Y80=Sanidade!$X80,Sanidade!$X80=BC$1),Sanidade!$W80,IF(AND(Sanidade!$Y80&gt;=Sanidade!$X80,AND(Sanidade!$X80&lt;=BC$1,Sanidade!$Y80&gt;=BC$1)),Sanidade!$W80/(Sanidade!$Y80-Sanidade!$X80+1),0))</f>
        <v>0</v>
      </c>
      <c r="BD179" s="477">
        <f>IF(AND(Sanidade!$Y80=Sanidade!$X80,Sanidade!$X80=BD$1),Sanidade!$W80,IF(AND(Sanidade!$Y80&gt;=Sanidade!$X80,AND(Sanidade!$X80&lt;=BD$1,Sanidade!$Y80&gt;=BD$1)),Sanidade!$W80/(Sanidade!$Y80-Sanidade!$X80+1),0))</f>
        <v>0</v>
      </c>
      <c r="BE179" s="477">
        <f>IF(AND(Sanidade!$Y80=Sanidade!$X80,Sanidade!$X80=BE$1),Sanidade!$W80,IF(AND(Sanidade!$Y80&gt;=Sanidade!$X80,AND(Sanidade!$X80&lt;=BE$1,Sanidade!$Y80&gt;=BE$1)),Sanidade!$W80/(Sanidade!$Y80-Sanidade!$X80+1),0))</f>
        <v>0</v>
      </c>
      <c r="BF179" s="477">
        <f>IF(AND(Sanidade!$Y80=Sanidade!$X80,Sanidade!$X80=BF$1),Sanidade!$W80,IF(AND(Sanidade!$Y80&gt;=Sanidade!$X80,AND(Sanidade!$X80&lt;=BF$1,Sanidade!$Y80&gt;=BF$1)),Sanidade!$W80/(Sanidade!$Y80-Sanidade!$X80+1),0))</f>
        <v>0</v>
      </c>
      <c r="BG179" s="477">
        <f>IF(AND(Sanidade!$Y80=Sanidade!$X80,Sanidade!$X80=BG$1),Sanidade!$W80,IF(AND(Sanidade!$Y80&gt;=Sanidade!$X80,AND(Sanidade!$X80&lt;=BG$1,Sanidade!$Y80&gt;=BG$1)),Sanidade!$W80/(Sanidade!$Y80-Sanidade!$X80+1),0))</f>
        <v>0</v>
      </c>
      <c r="BH179" s="477">
        <f>IF(AND(Sanidade!$Y80=Sanidade!$X80,Sanidade!$X80=BH$1),Sanidade!$W80,IF(AND(Sanidade!$Y80&gt;=Sanidade!$X80,AND(Sanidade!$X80&lt;=BH$1,Sanidade!$Y80&gt;=BH$1)),Sanidade!$W80/(Sanidade!$Y80-Sanidade!$X80+1),0))</f>
        <v>0</v>
      </c>
      <c r="BI179" s="477">
        <f>IF(AND(Sanidade!$Y80=Sanidade!$X80,Sanidade!$X80=BI$1),Sanidade!$W80,IF(AND(Sanidade!$Y80&gt;=Sanidade!$X80,AND(Sanidade!$X80&lt;=BI$1,Sanidade!$Y80&gt;=BI$1)),Sanidade!$W80/(Sanidade!$Y80-Sanidade!$X80+1),0))</f>
        <v>0</v>
      </c>
      <c r="BJ179" s="477">
        <f>IF(AND(Sanidade!$Y80=Sanidade!$X80,Sanidade!$X80=BJ$1),Sanidade!$W80,IF(AND(Sanidade!$Y80&gt;=Sanidade!$X80,AND(Sanidade!$X80&lt;=BJ$1,Sanidade!$Y80&gt;=BJ$1)),Sanidade!$W80/(Sanidade!$Y80-Sanidade!$X80+1),0))</f>
        <v>0</v>
      </c>
      <c r="BK179" s="477">
        <f>IF(AND(Sanidade!$Y80=Sanidade!$X80,Sanidade!$X80=BK$1),Sanidade!$W80,IF(AND(Sanidade!$Y80&gt;=Sanidade!$X80,AND(Sanidade!$X80&lt;=BK$1,Sanidade!$Y80&gt;=BK$1)),Sanidade!$W80/(Sanidade!$Y80-Sanidade!$X80+1),0))</f>
        <v>0</v>
      </c>
      <c r="BL179" s="477">
        <f>IF(AND(Sanidade!$Y80=Sanidade!$X80,Sanidade!$X80=BL$1),Sanidade!$W80,IF(AND(Sanidade!$Y80&gt;=Sanidade!$X80,AND(Sanidade!$X80&lt;=BL$1,Sanidade!$Y80&gt;=BL$1)),Sanidade!$W80/(Sanidade!$Y80-Sanidade!$X80+1),0))</f>
        <v>0</v>
      </c>
      <c r="BM179" s="477">
        <f>IF(AND(Sanidade!$Y80=Sanidade!$X80,Sanidade!$X80=BM$1),Sanidade!$W80,IF(AND(Sanidade!$Y80&gt;=Sanidade!$X80,AND(Sanidade!$X80&lt;=BM$1,Sanidade!$Y80&gt;=BM$1)),Sanidade!$W80/(Sanidade!$Y80-Sanidade!$X80+1),0))</f>
        <v>0</v>
      </c>
      <c r="BN179" s="477">
        <f>IF(AND(Sanidade!$Y80=Sanidade!$X80,Sanidade!$X80=BN$1),Sanidade!$W80,IF(AND(Sanidade!$Y80&gt;=Sanidade!$X80,AND(Sanidade!$X80&lt;=BN$1,Sanidade!$Y80&gt;=BN$1)),Sanidade!$W80/(Sanidade!$Y80-Sanidade!$X80+1),0))</f>
        <v>0</v>
      </c>
      <c r="BO179" s="477">
        <f>IF(AND(Sanidade!$Y80=Sanidade!$X80,Sanidade!$X80=BO$1),Sanidade!$W80,IF(AND(Sanidade!$Y80&gt;=Sanidade!$X80,AND(Sanidade!$X80&lt;=BO$1,Sanidade!$Y80&gt;=BO$1)),Sanidade!$W80/(Sanidade!$Y80-Sanidade!$X80+1),0))</f>
        <v>0</v>
      </c>
      <c r="BP179" s="477">
        <f>IF(AND(Sanidade!$Y80=Sanidade!$X80,Sanidade!$X80=BP$1),Sanidade!$W80,IF(AND(Sanidade!$Y80&gt;=Sanidade!$X80,AND(Sanidade!$X80&lt;=BP$1,Sanidade!$Y80&gt;=BP$1)),Sanidade!$W80/(Sanidade!$Y80-Sanidade!$X80+1),0))</f>
        <v>0</v>
      </c>
      <c r="BQ179" s="477">
        <f>IF(AND(Sanidade!$Y80=Sanidade!$X80,Sanidade!$X80=BQ$1),Sanidade!$W80,IF(AND(Sanidade!$Y80&gt;=Sanidade!$X80,AND(Sanidade!$X80&lt;=BQ$1,Sanidade!$Y80&gt;=BQ$1)),Sanidade!$W80/(Sanidade!$Y80-Sanidade!$X80+1),0))</f>
        <v>0</v>
      </c>
      <c r="BR179" s="477">
        <f>IF(AND(Sanidade!$Y80=Sanidade!$X80,Sanidade!$X80=BR$1),Sanidade!$W80,IF(AND(Sanidade!$Y80&gt;=Sanidade!$X80,AND(Sanidade!$X80&lt;=BR$1,Sanidade!$Y80&gt;=BR$1)),Sanidade!$W80/(Sanidade!$Y80-Sanidade!$X80+1),0))</f>
        <v>0</v>
      </c>
      <c r="BS179" s="477">
        <f>IF(AND(Sanidade!$Y80=Sanidade!$X80,Sanidade!$X80=BS$1),Sanidade!$W80,IF(AND(Sanidade!$Y80&gt;=Sanidade!$X80,AND(Sanidade!$X80&lt;=BS$1,Sanidade!$Y80&gt;=BS$1)),Sanidade!$W80/(Sanidade!$Y80-Sanidade!$X80+1),0))</f>
        <v>0</v>
      </c>
      <c r="BT179" s="477">
        <f>IF(AND(Sanidade!$Y80=Sanidade!$X80,Sanidade!$X80=BT$1),Sanidade!$W80,IF(AND(Sanidade!$Y80&gt;=Sanidade!$X80,AND(Sanidade!$X80&lt;=BT$1,Sanidade!$Y80&gt;=BT$1)),Sanidade!$W80/(Sanidade!$Y80-Sanidade!$X80+1),0))</f>
        <v>0</v>
      </c>
    </row>
    <row r="180" spans="2:72" x14ac:dyDescent="0.2">
      <c r="B180" s="499"/>
      <c r="C180" s="500"/>
      <c r="D180" s="497"/>
      <c r="E180" s="497"/>
      <c r="F180" s="497"/>
      <c r="G180" s="497"/>
      <c r="H180" s="497"/>
      <c r="BA180" s="459">
        <f>VLOOKUP(Sanidade!E81,Dados!$A$3:$N$10,13)</f>
        <v>0</v>
      </c>
      <c r="BB180" s="477">
        <f>IF(AND(Sanidade!$Y81=Sanidade!$X81,Sanidade!$X81=BB$1),Sanidade!$W81,IF(AND(Sanidade!$Y81&gt;=Sanidade!$X81,AND(Sanidade!$X81&lt;=BB$1,Sanidade!$Y81&gt;=BB$1)),Sanidade!$W81/(Sanidade!$Y81-Sanidade!$X81+1),0))</f>
        <v>0</v>
      </c>
      <c r="BC180" s="477">
        <f>IF(AND(Sanidade!$Y81=Sanidade!$X81,Sanidade!$X81=BC$1),Sanidade!$W81,IF(AND(Sanidade!$Y81&gt;=Sanidade!$X81,AND(Sanidade!$X81&lt;=BC$1,Sanidade!$Y81&gt;=BC$1)),Sanidade!$W81/(Sanidade!$Y81-Sanidade!$X81+1),0))</f>
        <v>0</v>
      </c>
      <c r="BD180" s="477">
        <f>IF(AND(Sanidade!$Y81=Sanidade!$X81,Sanidade!$X81=BD$1),Sanidade!$W81,IF(AND(Sanidade!$Y81&gt;=Sanidade!$X81,AND(Sanidade!$X81&lt;=BD$1,Sanidade!$Y81&gt;=BD$1)),Sanidade!$W81/(Sanidade!$Y81-Sanidade!$X81+1),0))</f>
        <v>0</v>
      </c>
      <c r="BE180" s="477">
        <f>IF(AND(Sanidade!$Y81=Sanidade!$X81,Sanidade!$X81=BE$1),Sanidade!$W81,IF(AND(Sanidade!$Y81&gt;=Sanidade!$X81,AND(Sanidade!$X81&lt;=BE$1,Sanidade!$Y81&gt;=BE$1)),Sanidade!$W81/(Sanidade!$Y81-Sanidade!$X81+1),0))</f>
        <v>0</v>
      </c>
      <c r="BF180" s="477">
        <f>IF(AND(Sanidade!$Y81=Sanidade!$X81,Sanidade!$X81=BF$1),Sanidade!$W81,IF(AND(Sanidade!$Y81&gt;=Sanidade!$X81,AND(Sanidade!$X81&lt;=BF$1,Sanidade!$Y81&gt;=BF$1)),Sanidade!$W81/(Sanidade!$Y81-Sanidade!$X81+1),0))</f>
        <v>0</v>
      </c>
      <c r="BG180" s="477">
        <f>IF(AND(Sanidade!$Y81=Sanidade!$X81,Sanidade!$X81=BG$1),Sanidade!$W81,IF(AND(Sanidade!$Y81&gt;=Sanidade!$X81,AND(Sanidade!$X81&lt;=BG$1,Sanidade!$Y81&gt;=BG$1)),Sanidade!$W81/(Sanidade!$Y81-Sanidade!$X81+1),0))</f>
        <v>0</v>
      </c>
      <c r="BH180" s="477">
        <f>IF(AND(Sanidade!$Y81=Sanidade!$X81,Sanidade!$X81=BH$1),Sanidade!$W81,IF(AND(Sanidade!$Y81&gt;=Sanidade!$X81,AND(Sanidade!$X81&lt;=BH$1,Sanidade!$Y81&gt;=BH$1)),Sanidade!$W81/(Sanidade!$Y81-Sanidade!$X81+1),0))</f>
        <v>0</v>
      </c>
      <c r="BI180" s="477">
        <f>IF(AND(Sanidade!$Y81=Sanidade!$X81,Sanidade!$X81=BI$1),Sanidade!$W81,IF(AND(Sanidade!$Y81&gt;=Sanidade!$X81,AND(Sanidade!$X81&lt;=BI$1,Sanidade!$Y81&gt;=BI$1)),Sanidade!$W81/(Sanidade!$Y81-Sanidade!$X81+1),0))</f>
        <v>0</v>
      </c>
      <c r="BJ180" s="477">
        <f>IF(AND(Sanidade!$Y81=Sanidade!$X81,Sanidade!$X81=BJ$1),Sanidade!$W81,IF(AND(Sanidade!$Y81&gt;=Sanidade!$X81,AND(Sanidade!$X81&lt;=BJ$1,Sanidade!$Y81&gt;=BJ$1)),Sanidade!$W81/(Sanidade!$Y81-Sanidade!$X81+1),0))</f>
        <v>0</v>
      </c>
      <c r="BK180" s="477">
        <f>IF(AND(Sanidade!$Y81=Sanidade!$X81,Sanidade!$X81=BK$1),Sanidade!$W81,IF(AND(Sanidade!$Y81&gt;=Sanidade!$X81,AND(Sanidade!$X81&lt;=BK$1,Sanidade!$Y81&gt;=BK$1)),Sanidade!$W81/(Sanidade!$Y81-Sanidade!$X81+1),0))</f>
        <v>0</v>
      </c>
      <c r="BL180" s="477">
        <f>IF(AND(Sanidade!$Y81=Sanidade!$X81,Sanidade!$X81=BL$1),Sanidade!$W81,IF(AND(Sanidade!$Y81&gt;=Sanidade!$X81,AND(Sanidade!$X81&lt;=BL$1,Sanidade!$Y81&gt;=BL$1)),Sanidade!$W81/(Sanidade!$Y81-Sanidade!$X81+1),0))</f>
        <v>0</v>
      </c>
      <c r="BM180" s="477">
        <f>IF(AND(Sanidade!$Y81=Sanidade!$X81,Sanidade!$X81=BM$1),Sanidade!$W81,IF(AND(Sanidade!$Y81&gt;=Sanidade!$X81,AND(Sanidade!$X81&lt;=BM$1,Sanidade!$Y81&gt;=BM$1)),Sanidade!$W81/(Sanidade!$Y81-Sanidade!$X81+1),0))</f>
        <v>0</v>
      </c>
      <c r="BN180" s="477">
        <f>IF(AND(Sanidade!$Y81=Sanidade!$X81,Sanidade!$X81=BN$1),Sanidade!$W81,IF(AND(Sanidade!$Y81&gt;=Sanidade!$X81,AND(Sanidade!$X81&lt;=BN$1,Sanidade!$Y81&gt;=BN$1)),Sanidade!$W81/(Sanidade!$Y81-Sanidade!$X81+1),0))</f>
        <v>0</v>
      </c>
      <c r="BO180" s="477">
        <f>IF(AND(Sanidade!$Y81=Sanidade!$X81,Sanidade!$X81=BO$1),Sanidade!$W81,IF(AND(Sanidade!$Y81&gt;=Sanidade!$X81,AND(Sanidade!$X81&lt;=BO$1,Sanidade!$Y81&gt;=BO$1)),Sanidade!$W81/(Sanidade!$Y81-Sanidade!$X81+1),0))</f>
        <v>0</v>
      </c>
      <c r="BP180" s="477">
        <f>IF(AND(Sanidade!$Y81=Sanidade!$X81,Sanidade!$X81=BP$1),Sanidade!$W81,IF(AND(Sanidade!$Y81&gt;=Sanidade!$X81,AND(Sanidade!$X81&lt;=BP$1,Sanidade!$Y81&gt;=BP$1)),Sanidade!$W81/(Sanidade!$Y81-Sanidade!$X81+1),0))</f>
        <v>0</v>
      </c>
      <c r="BQ180" s="477">
        <f>IF(AND(Sanidade!$Y81=Sanidade!$X81,Sanidade!$X81=BQ$1),Sanidade!$W81,IF(AND(Sanidade!$Y81&gt;=Sanidade!$X81,AND(Sanidade!$X81&lt;=BQ$1,Sanidade!$Y81&gt;=BQ$1)),Sanidade!$W81/(Sanidade!$Y81-Sanidade!$X81+1),0))</f>
        <v>0</v>
      </c>
      <c r="BR180" s="477">
        <f>IF(AND(Sanidade!$Y81=Sanidade!$X81,Sanidade!$X81=BR$1),Sanidade!$W81,IF(AND(Sanidade!$Y81&gt;=Sanidade!$X81,AND(Sanidade!$X81&lt;=BR$1,Sanidade!$Y81&gt;=BR$1)),Sanidade!$W81/(Sanidade!$Y81-Sanidade!$X81+1),0))</f>
        <v>0</v>
      </c>
      <c r="BS180" s="477">
        <f>IF(AND(Sanidade!$Y81=Sanidade!$X81,Sanidade!$X81=BS$1),Sanidade!$W81,IF(AND(Sanidade!$Y81&gt;=Sanidade!$X81,AND(Sanidade!$X81&lt;=BS$1,Sanidade!$Y81&gt;=BS$1)),Sanidade!$W81/(Sanidade!$Y81-Sanidade!$X81+1),0))</f>
        <v>0</v>
      </c>
      <c r="BT180" s="477">
        <f>IF(AND(Sanidade!$Y81=Sanidade!$X81,Sanidade!$X81=BT$1),Sanidade!$W81,IF(AND(Sanidade!$Y81&gt;=Sanidade!$X81,AND(Sanidade!$X81&lt;=BT$1,Sanidade!$Y81&gt;=BT$1)),Sanidade!$W81/(Sanidade!$Y81-Sanidade!$X81+1),0))</f>
        <v>0</v>
      </c>
    </row>
    <row r="181" spans="2:72" x14ac:dyDescent="0.2">
      <c r="B181" s="499"/>
      <c r="C181" s="500"/>
      <c r="D181" s="497"/>
      <c r="E181" s="497"/>
      <c r="F181" s="497"/>
      <c r="G181" s="497"/>
      <c r="H181" s="497"/>
      <c r="BA181" s="459">
        <f>VLOOKUP(Sanidade!E82,Dados!$A$3:$N$10,13)</f>
        <v>0</v>
      </c>
      <c r="BB181" s="477">
        <f>IF(AND(Sanidade!$Y82=Sanidade!$X82,Sanidade!$X82=BB$1),Sanidade!$W82,IF(AND(Sanidade!$Y82&gt;=Sanidade!$X82,AND(Sanidade!$X82&lt;=BB$1,Sanidade!$Y82&gt;=BB$1)),Sanidade!$W82/(Sanidade!$Y82-Sanidade!$X82+1),0))</f>
        <v>0</v>
      </c>
      <c r="BC181" s="477">
        <f>IF(AND(Sanidade!$Y82=Sanidade!$X82,Sanidade!$X82=BC$1),Sanidade!$W82,IF(AND(Sanidade!$Y82&gt;=Sanidade!$X82,AND(Sanidade!$X82&lt;=BC$1,Sanidade!$Y82&gt;=BC$1)),Sanidade!$W82/(Sanidade!$Y82-Sanidade!$X82+1),0))</f>
        <v>0</v>
      </c>
      <c r="BD181" s="477">
        <f>IF(AND(Sanidade!$Y82=Sanidade!$X82,Sanidade!$X82=BD$1),Sanidade!$W82,IF(AND(Sanidade!$Y82&gt;=Sanidade!$X82,AND(Sanidade!$X82&lt;=BD$1,Sanidade!$Y82&gt;=BD$1)),Sanidade!$W82/(Sanidade!$Y82-Sanidade!$X82+1),0))</f>
        <v>0</v>
      </c>
      <c r="BE181" s="477">
        <f>IF(AND(Sanidade!$Y82=Sanidade!$X82,Sanidade!$X82=BE$1),Sanidade!$W82,IF(AND(Sanidade!$Y82&gt;=Sanidade!$X82,AND(Sanidade!$X82&lt;=BE$1,Sanidade!$Y82&gt;=BE$1)),Sanidade!$W82/(Sanidade!$Y82-Sanidade!$X82+1),0))</f>
        <v>0</v>
      </c>
      <c r="BF181" s="477">
        <f>IF(AND(Sanidade!$Y82=Sanidade!$X82,Sanidade!$X82=BF$1),Sanidade!$W82,IF(AND(Sanidade!$Y82&gt;=Sanidade!$X82,AND(Sanidade!$X82&lt;=BF$1,Sanidade!$Y82&gt;=BF$1)),Sanidade!$W82/(Sanidade!$Y82-Sanidade!$X82+1),0))</f>
        <v>0</v>
      </c>
      <c r="BG181" s="477">
        <f>IF(AND(Sanidade!$Y82=Sanidade!$X82,Sanidade!$X82=BG$1),Sanidade!$W82,IF(AND(Sanidade!$Y82&gt;=Sanidade!$X82,AND(Sanidade!$X82&lt;=BG$1,Sanidade!$Y82&gt;=BG$1)),Sanidade!$W82/(Sanidade!$Y82-Sanidade!$X82+1),0))</f>
        <v>0</v>
      </c>
      <c r="BH181" s="477">
        <f>IF(AND(Sanidade!$Y82=Sanidade!$X82,Sanidade!$X82=BH$1),Sanidade!$W82,IF(AND(Sanidade!$Y82&gt;=Sanidade!$X82,AND(Sanidade!$X82&lt;=BH$1,Sanidade!$Y82&gt;=BH$1)),Sanidade!$W82/(Sanidade!$Y82-Sanidade!$X82+1),0))</f>
        <v>0</v>
      </c>
      <c r="BI181" s="477">
        <f>IF(AND(Sanidade!$Y82=Sanidade!$X82,Sanidade!$X82=BI$1),Sanidade!$W82,IF(AND(Sanidade!$Y82&gt;=Sanidade!$X82,AND(Sanidade!$X82&lt;=BI$1,Sanidade!$Y82&gt;=BI$1)),Sanidade!$W82/(Sanidade!$Y82-Sanidade!$X82+1),0))</f>
        <v>0</v>
      </c>
      <c r="BJ181" s="477">
        <f>IF(AND(Sanidade!$Y82=Sanidade!$X82,Sanidade!$X82=BJ$1),Sanidade!$W82,IF(AND(Sanidade!$Y82&gt;=Sanidade!$X82,AND(Sanidade!$X82&lt;=BJ$1,Sanidade!$Y82&gt;=BJ$1)),Sanidade!$W82/(Sanidade!$Y82-Sanidade!$X82+1),0))</f>
        <v>0</v>
      </c>
      <c r="BK181" s="477">
        <f>IF(AND(Sanidade!$Y82=Sanidade!$X82,Sanidade!$X82=BK$1),Sanidade!$W82,IF(AND(Sanidade!$Y82&gt;=Sanidade!$X82,AND(Sanidade!$X82&lt;=BK$1,Sanidade!$Y82&gt;=BK$1)),Sanidade!$W82/(Sanidade!$Y82-Sanidade!$X82+1),0))</f>
        <v>0</v>
      </c>
      <c r="BL181" s="477">
        <f>IF(AND(Sanidade!$Y82=Sanidade!$X82,Sanidade!$X82=BL$1),Sanidade!$W82,IF(AND(Sanidade!$Y82&gt;=Sanidade!$X82,AND(Sanidade!$X82&lt;=BL$1,Sanidade!$Y82&gt;=BL$1)),Sanidade!$W82/(Sanidade!$Y82-Sanidade!$X82+1),0))</f>
        <v>0</v>
      </c>
      <c r="BM181" s="477">
        <f>IF(AND(Sanidade!$Y82=Sanidade!$X82,Sanidade!$X82=BM$1),Sanidade!$W82,IF(AND(Sanidade!$Y82&gt;=Sanidade!$X82,AND(Sanidade!$X82&lt;=BM$1,Sanidade!$Y82&gt;=BM$1)),Sanidade!$W82/(Sanidade!$Y82-Sanidade!$X82+1),0))</f>
        <v>0</v>
      </c>
      <c r="BN181" s="477">
        <f>IF(AND(Sanidade!$Y82=Sanidade!$X82,Sanidade!$X82=BN$1),Sanidade!$W82,IF(AND(Sanidade!$Y82&gt;=Sanidade!$X82,AND(Sanidade!$X82&lt;=BN$1,Sanidade!$Y82&gt;=BN$1)),Sanidade!$W82/(Sanidade!$Y82-Sanidade!$X82+1),0))</f>
        <v>0</v>
      </c>
      <c r="BO181" s="477">
        <f>IF(AND(Sanidade!$Y82=Sanidade!$X82,Sanidade!$X82=BO$1),Sanidade!$W82,IF(AND(Sanidade!$Y82&gt;=Sanidade!$X82,AND(Sanidade!$X82&lt;=BO$1,Sanidade!$Y82&gt;=BO$1)),Sanidade!$W82/(Sanidade!$Y82-Sanidade!$X82+1),0))</f>
        <v>0</v>
      </c>
      <c r="BP181" s="477">
        <f>IF(AND(Sanidade!$Y82=Sanidade!$X82,Sanidade!$X82=BP$1),Sanidade!$W82,IF(AND(Sanidade!$Y82&gt;=Sanidade!$X82,AND(Sanidade!$X82&lt;=BP$1,Sanidade!$Y82&gt;=BP$1)),Sanidade!$W82/(Sanidade!$Y82-Sanidade!$X82+1),0))</f>
        <v>0</v>
      </c>
      <c r="BQ181" s="477">
        <f>IF(AND(Sanidade!$Y82=Sanidade!$X82,Sanidade!$X82=BQ$1),Sanidade!$W82,IF(AND(Sanidade!$Y82&gt;=Sanidade!$X82,AND(Sanidade!$X82&lt;=BQ$1,Sanidade!$Y82&gt;=BQ$1)),Sanidade!$W82/(Sanidade!$Y82-Sanidade!$X82+1),0))</f>
        <v>0</v>
      </c>
      <c r="BR181" s="477">
        <f>IF(AND(Sanidade!$Y82=Sanidade!$X82,Sanidade!$X82=BR$1),Sanidade!$W82,IF(AND(Sanidade!$Y82&gt;=Sanidade!$X82,AND(Sanidade!$X82&lt;=BR$1,Sanidade!$Y82&gt;=BR$1)),Sanidade!$W82/(Sanidade!$Y82-Sanidade!$X82+1),0))</f>
        <v>0</v>
      </c>
      <c r="BS181" s="477">
        <f>IF(AND(Sanidade!$Y82=Sanidade!$X82,Sanidade!$X82=BS$1),Sanidade!$W82,IF(AND(Sanidade!$Y82&gt;=Sanidade!$X82,AND(Sanidade!$X82&lt;=BS$1,Sanidade!$Y82&gt;=BS$1)),Sanidade!$W82/(Sanidade!$Y82-Sanidade!$X82+1),0))</f>
        <v>0</v>
      </c>
      <c r="BT181" s="477">
        <f>IF(AND(Sanidade!$Y82=Sanidade!$X82,Sanidade!$X82=BT$1),Sanidade!$W82,IF(AND(Sanidade!$Y82&gt;=Sanidade!$X82,AND(Sanidade!$X82&lt;=BT$1,Sanidade!$Y82&gt;=BT$1)),Sanidade!$W82/(Sanidade!$Y82-Sanidade!$X82+1),0))</f>
        <v>0</v>
      </c>
    </row>
    <row r="182" spans="2:72" x14ac:dyDescent="0.2">
      <c r="B182" s="499"/>
      <c r="C182" s="500"/>
      <c r="D182" s="497"/>
      <c r="E182" s="497"/>
      <c r="F182" s="497"/>
      <c r="G182" s="497"/>
      <c r="H182" s="497"/>
      <c r="BA182" s="459">
        <f>VLOOKUP(Sanidade!E83,Dados!$A$3:$N$10,13)</f>
        <v>0</v>
      </c>
      <c r="BB182" s="477">
        <f>IF(AND(Sanidade!$Y83=Sanidade!$X83,Sanidade!$X83=BB$1),Sanidade!$W83,IF(AND(Sanidade!$Y83&gt;=Sanidade!$X83,AND(Sanidade!$X83&lt;=BB$1,Sanidade!$Y83&gt;=BB$1)),Sanidade!$W83/(Sanidade!$Y83-Sanidade!$X83+1),0))</f>
        <v>0</v>
      </c>
      <c r="BC182" s="477">
        <f>IF(AND(Sanidade!$Y83=Sanidade!$X83,Sanidade!$X83=BC$1),Sanidade!$W83,IF(AND(Sanidade!$Y83&gt;=Sanidade!$X83,AND(Sanidade!$X83&lt;=BC$1,Sanidade!$Y83&gt;=BC$1)),Sanidade!$W83/(Sanidade!$Y83-Sanidade!$X83+1),0))</f>
        <v>0</v>
      </c>
      <c r="BD182" s="477">
        <f>IF(AND(Sanidade!$Y83=Sanidade!$X83,Sanidade!$X83=BD$1),Sanidade!$W83,IF(AND(Sanidade!$Y83&gt;=Sanidade!$X83,AND(Sanidade!$X83&lt;=BD$1,Sanidade!$Y83&gt;=BD$1)),Sanidade!$W83/(Sanidade!$Y83-Sanidade!$X83+1),0))</f>
        <v>0</v>
      </c>
      <c r="BE182" s="477">
        <f>IF(AND(Sanidade!$Y83=Sanidade!$X83,Sanidade!$X83=BE$1),Sanidade!$W83,IF(AND(Sanidade!$Y83&gt;=Sanidade!$X83,AND(Sanidade!$X83&lt;=BE$1,Sanidade!$Y83&gt;=BE$1)),Sanidade!$W83/(Sanidade!$Y83-Sanidade!$X83+1),0))</f>
        <v>0</v>
      </c>
      <c r="BF182" s="477">
        <f>IF(AND(Sanidade!$Y83=Sanidade!$X83,Sanidade!$X83=BF$1),Sanidade!$W83,IF(AND(Sanidade!$Y83&gt;=Sanidade!$X83,AND(Sanidade!$X83&lt;=BF$1,Sanidade!$Y83&gt;=BF$1)),Sanidade!$W83/(Sanidade!$Y83-Sanidade!$X83+1),0))</f>
        <v>0</v>
      </c>
      <c r="BG182" s="477">
        <f>IF(AND(Sanidade!$Y83=Sanidade!$X83,Sanidade!$X83=BG$1),Sanidade!$W83,IF(AND(Sanidade!$Y83&gt;=Sanidade!$X83,AND(Sanidade!$X83&lt;=BG$1,Sanidade!$Y83&gt;=BG$1)),Sanidade!$W83/(Sanidade!$Y83-Sanidade!$X83+1),0))</f>
        <v>0</v>
      </c>
      <c r="BH182" s="477">
        <f>IF(AND(Sanidade!$Y83=Sanidade!$X83,Sanidade!$X83=BH$1),Sanidade!$W83,IF(AND(Sanidade!$Y83&gt;=Sanidade!$X83,AND(Sanidade!$X83&lt;=BH$1,Sanidade!$Y83&gt;=BH$1)),Sanidade!$W83/(Sanidade!$Y83-Sanidade!$X83+1),0))</f>
        <v>0</v>
      </c>
      <c r="BI182" s="477">
        <f>IF(AND(Sanidade!$Y83=Sanidade!$X83,Sanidade!$X83=BI$1),Sanidade!$W83,IF(AND(Sanidade!$Y83&gt;=Sanidade!$X83,AND(Sanidade!$X83&lt;=BI$1,Sanidade!$Y83&gt;=BI$1)),Sanidade!$W83/(Sanidade!$Y83-Sanidade!$X83+1),0))</f>
        <v>0</v>
      </c>
      <c r="BJ182" s="477">
        <f>IF(AND(Sanidade!$Y83=Sanidade!$X83,Sanidade!$X83=BJ$1),Sanidade!$W83,IF(AND(Sanidade!$Y83&gt;=Sanidade!$X83,AND(Sanidade!$X83&lt;=BJ$1,Sanidade!$Y83&gt;=BJ$1)),Sanidade!$W83/(Sanidade!$Y83-Sanidade!$X83+1),0))</f>
        <v>0</v>
      </c>
      <c r="BK182" s="477">
        <f>IF(AND(Sanidade!$Y83=Sanidade!$X83,Sanidade!$X83=BK$1),Sanidade!$W83,IF(AND(Sanidade!$Y83&gt;=Sanidade!$X83,AND(Sanidade!$X83&lt;=BK$1,Sanidade!$Y83&gt;=BK$1)),Sanidade!$W83/(Sanidade!$Y83-Sanidade!$X83+1),0))</f>
        <v>0</v>
      </c>
      <c r="BL182" s="477">
        <f>IF(AND(Sanidade!$Y83=Sanidade!$X83,Sanidade!$X83=BL$1),Sanidade!$W83,IF(AND(Sanidade!$Y83&gt;=Sanidade!$X83,AND(Sanidade!$X83&lt;=BL$1,Sanidade!$Y83&gt;=BL$1)),Sanidade!$W83/(Sanidade!$Y83-Sanidade!$X83+1),0))</f>
        <v>0</v>
      </c>
      <c r="BM182" s="477">
        <f>IF(AND(Sanidade!$Y83=Sanidade!$X83,Sanidade!$X83=BM$1),Sanidade!$W83,IF(AND(Sanidade!$Y83&gt;=Sanidade!$X83,AND(Sanidade!$X83&lt;=BM$1,Sanidade!$Y83&gt;=BM$1)),Sanidade!$W83/(Sanidade!$Y83-Sanidade!$X83+1),0))</f>
        <v>0</v>
      </c>
      <c r="BN182" s="477">
        <f>IF(AND(Sanidade!$Y83=Sanidade!$X83,Sanidade!$X83=BN$1),Sanidade!$W83,IF(AND(Sanidade!$Y83&gt;=Sanidade!$X83,AND(Sanidade!$X83&lt;=BN$1,Sanidade!$Y83&gt;=BN$1)),Sanidade!$W83/(Sanidade!$Y83-Sanidade!$X83+1),0))</f>
        <v>0</v>
      </c>
      <c r="BO182" s="477">
        <f>IF(AND(Sanidade!$Y83=Sanidade!$X83,Sanidade!$X83=BO$1),Sanidade!$W83,IF(AND(Sanidade!$Y83&gt;=Sanidade!$X83,AND(Sanidade!$X83&lt;=BO$1,Sanidade!$Y83&gt;=BO$1)),Sanidade!$W83/(Sanidade!$Y83-Sanidade!$X83+1),0))</f>
        <v>0</v>
      </c>
      <c r="BP182" s="477">
        <f>IF(AND(Sanidade!$Y83=Sanidade!$X83,Sanidade!$X83=BP$1),Sanidade!$W83,IF(AND(Sanidade!$Y83&gt;=Sanidade!$X83,AND(Sanidade!$X83&lt;=BP$1,Sanidade!$Y83&gt;=BP$1)),Sanidade!$W83/(Sanidade!$Y83-Sanidade!$X83+1),0))</f>
        <v>0</v>
      </c>
      <c r="BQ182" s="477">
        <f>IF(AND(Sanidade!$Y83=Sanidade!$X83,Sanidade!$X83=BQ$1),Sanidade!$W83,IF(AND(Sanidade!$Y83&gt;=Sanidade!$X83,AND(Sanidade!$X83&lt;=BQ$1,Sanidade!$Y83&gt;=BQ$1)),Sanidade!$W83/(Sanidade!$Y83-Sanidade!$X83+1),0))</f>
        <v>0</v>
      </c>
      <c r="BR182" s="477">
        <f>IF(AND(Sanidade!$Y83=Sanidade!$X83,Sanidade!$X83=BR$1),Sanidade!$W83,IF(AND(Sanidade!$Y83&gt;=Sanidade!$X83,AND(Sanidade!$X83&lt;=BR$1,Sanidade!$Y83&gt;=BR$1)),Sanidade!$W83/(Sanidade!$Y83-Sanidade!$X83+1),0))</f>
        <v>0</v>
      </c>
      <c r="BS182" s="477">
        <f>IF(AND(Sanidade!$Y83=Sanidade!$X83,Sanidade!$X83=BS$1),Sanidade!$W83,IF(AND(Sanidade!$Y83&gt;=Sanidade!$X83,AND(Sanidade!$X83&lt;=BS$1,Sanidade!$Y83&gt;=BS$1)),Sanidade!$W83/(Sanidade!$Y83-Sanidade!$X83+1),0))</f>
        <v>0</v>
      </c>
      <c r="BT182" s="477">
        <f>IF(AND(Sanidade!$Y83=Sanidade!$X83,Sanidade!$X83=BT$1),Sanidade!$W83,IF(AND(Sanidade!$Y83&gt;=Sanidade!$X83,AND(Sanidade!$X83&lt;=BT$1,Sanidade!$Y83&gt;=BT$1)),Sanidade!$W83/(Sanidade!$Y83-Sanidade!$X83+1),0))</f>
        <v>0</v>
      </c>
    </row>
    <row r="183" spans="2:72" x14ac:dyDescent="0.2">
      <c r="B183" s="499"/>
      <c r="C183" s="500"/>
      <c r="D183" s="497"/>
      <c r="E183" s="497"/>
      <c r="F183" s="497"/>
      <c r="G183" s="497"/>
      <c r="H183" s="497"/>
      <c r="BA183" s="459">
        <f>VLOOKUP(Sanidade!E88,Dados!$A$3:$N$10,13)</f>
        <v>0</v>
      </c>
      <c r="BB183" s="477">
        <f>IF(AND(Sanidade!$Y88=Sanidade!$X88,Sanidade!$X88=BB$1),Sanidade!$W88,IF(AND(Sanidade!$Y88&gt;=Sanidade!$X88,AND(Sanidade!$X88&lt;=BB$1,Sanidade!$Y88&gt;=BB$1)),Sanidade!$W88/(Sanidade!$Y88-Sanidade!$X88+1),0))</f>
        <v>0</v>
      </c>
      <c r="BC183" s="477">
        <f>IF(AND(Sanidade!$Y88=Sanidade!$X88,Sanidade!$X88=BC$1),Sanidade!$W88,IF(AND(Sanidade!$Y88&gt;=Sanidade!$X88,AND(Sanidade!$X88&lt;=BC$1,Sanidade!$Y88&gt;=BC$1)),Sanidade!$W88/(Sanidade!$Y88-Sanidade!$X88+1),0))</f>
        <v>0</v>
      </c>
      <c r="BD183" s="477">
        <f>IF(AND(Sanidade!$Y88=Sanidade!$X88,Sanidade!$X88=BD$1),Sanidade!$W88,IF(AND(Sanidade!$Y88&gt;=Sanidade!$X88,AND(Sanidade!$X88&lt;=BD$1,Sanidade!$Y88&gt;=BD$1)),Sanidade!$W88/(Sanidade!$Y88-Sanidade!$X88+1),0))</f>
        <v>0</v>
      </c>
      <c r="BE183" s="477">
        <f>IF(AND(Sanidade!$Y88=Sanidade!$X88,Sanidade!$X88=BE$1),Sanidade!$W88,IF(AND(Sanidade!$Y88&gt;=Sanidade!$X88,AND(Sanidade!$X88&lt;=BE$1,Sanidade!$Y88&gt;=BE$1)),Sanidade!$W88/(Sanidade!$Y88-Sanidade!$X88+1),0))</f>
        <v>0</v>
      </c>
      <c r="BF183" s="477">
        <f>IF(AND(Sanidade!$Y88=Sanidade!$X88,Sanidade!$X88=BF$1),Sanidade!$W88,IF(AND(Sanidade!$Y88&gt;=Sanidade!$X88,AND(Sanidade!$X88&lt;=BF$1,Sanidade!$Y88&gt;=BF$1)),Sanidade!$W88/(Sanidade!$Y88-Sanidade!$X88+1),0))</f>
        <v>0</v>
      </c>
      <c r="BG183" s="477">
        <f>IF(AND(Sanidade!$Y88=Sanidade!$X88,Sanidade!$X88=BG$1),Sanidade!$W88,IF(AND(Sanidade!$Y88&gt;=Sanidade!$X88,AND(Sanidade!$X88&lt;=BG$1,Sanidade!$Y88&gt;=BG$1)),Sanidade!$W88/(Sanidade!$Y88-Sanidade!$X88+1),0))</f>
        <v>0</v>
      </c>
      <c r="BH183" s="477">
        <f>IF(AND(Sanidade!$Y88=Sanidade!$X88,Sanidade!$X88=BH$1),Sanidade!$W88,IF(AND(Sanidade!$Y88&gt;=Sanidade!$X88,AND(Sanidade!$X88&lt;=BH$1,Sanidade!$Y88&gt;=BH$1)),Sanidade!$W88/(Sanidade!$Y88-Sanidade!$X88+1),0))</f>
        <v>0</v>
      </c>
      <c r="BI183" s="477">
        <f>IF(AND(Sanidade!$Y88=Sanidade!$X88,Sanidade!$X88=BI$1),Sanidade!$W88,IF(AND(Sanidade!$Y88&gt;=Sanidade!$X88,AND(Sanidade!$X88&lt;=BI$1,Sanidade!$Y88&gt;=BI$1)),Sanidade!$W88/(Sanidade!$Y88-Sanidade!$X88+1),0))</f>
        <v>0</v>
      </c>
      <c r="BJ183" s="477">
        <f>IF(AND(Sanidade!$Y88=Sanidade!$X88,Sanidade!$X88=BJ$1),Sanidade!$W88,IF(AND(Sanidade!$Y88&gt;=Sanidade!$X88,AND(Sanidade!$X88&lt;=BJ$1,Sanidade!$Y88&gt;=BJ$1)),Sanidade!$W88/(Sanidade!$Y88-Sanidade!$X88+1),0))</f>
        <v>0</v>
      </c>
      <c r="BK183" s="477">
        <f>IF(AND(Sanidade!$Y88=Sanidade!$X88,Sanidade!$X88=BK$1),Sanidade!$W88,IF(AND(Sanidade!$Y88&gt;=Sanidade!$X88,AND(Sanidade!$X88&lt;=BK$1,Sanidade!$Y88&gt;=BK$1)),Sanidade!$W88/(Sanidade!$Y88-Sanidade!$X88+1),0))</f>
        <v>0</v>
      </c>
      <c r="BL183" s="477">
        <f>IF(AND(Sanidade!$Y88=Sanidade!$X88,Sanidade!$X88=BL$1),Sanidade!$W88,IF(AND(Sanidade!$Y88&gt;=Sanidade!$X88,AND(Sanidade!$X88&lt;=BL$1,Sanidade!$Y88&gt;=BL$1)),Sanidade!$W88/(Sanidade!$Y88-Sanidade!$X88+1),0))</f>
        <v>0</v>
      </c>
      <c r="BM183" s="477">
        <f>IF(AND(Sanidade!$Y88=Sanidade!$X88,Sanidade!$X88=BM$1),Sanidade!$W88,IF(AND(Sanidade!$Y88&gt;=Sanidade!$X88,AND(Sanidade!$X88&lt;=BM$1,Sanidade!$Y88&gt;=BM$1)),Sanidade!$W88/(Sanidade!$Y88-Sanidade!$X88+1),0))</f>
        <v>0</v>
      </c>
      <c r="BN183" s="477">
        <f>IF(AND(Sanidade!$Y88=Sanidade!$X88,Sanidade!$X88=BN$1),Sanidade!$W88,IF(AND(Sanidade!$Y88&gt;=Sanidade!$X88,AND(Sanidade!$X88&lt;=BN$1,Sanidade!$Y88&gt;=BN$1)),Sanidade!$W88/(Sanidade!$Y88-Sanidade!$X88+1),0))</f>
        <v>0</v>
      </c>
      <c r="BO183" s="477">
        <f>IF(AND(Sanidade!$Y88=Sanidade!$X88,Sanidade!$X88=BO$1),Sanidade!$W88,IF(AND(Sanidade!$Y88&gt;=Sanidade!$X88,AND(Sanidade!$X88&lt;=BO$1,Sanidade!$Y88&gt;=BO$1)),Sanidade!$W88/(Sanidade!$Y88-Sanidade!$X88+1),0))</f>
        <v>0</v>
      </c>
      <c r="BP183" s="477">
        <f>IF(AND(Sanidade!$Y88=Sanidade!$X88,Sanidade!$X88=BP$1),Sanidade!$W88,IF(AND(Sanidade!$Y88&gt;=Sanidade!$X88,AND(Sanidade!$X88&lt;=BP$1,Sanidade!$Y88&gt;=BP$1)),Sanidade!$W88/(Sanidade!$Y88-Sanidade!$X88+1),0))</f>
        <v>0</v>
      </c>
      <c r="BQ183" s="477">
        <f>IF(AND(Sanidade!$Y88=Sanidade!$X88,Sanidade!$X88=BQ$1),Sanidade!$W88,IF(AND(Sanidade!$Y88&gt;=Sanidade!$X88,AND(Sanidade!$X88&lt;=BQ$1,Sanidade!$Y88&gt;=BQ$1)),Sanidade!$W88/(Sanidade!$Y88-Sanidade!$X88+1),0))</f>
        <v>0</v>
      </c>
      <c r="BR183" s="477">
        <f>IF(AND(Sanidade!$Y88=Sanidade!$X88,Sanidade!$X88=BR$1),Sanidade!$W88,IF(AND(Sanidade!$Y88&gt;=Sanidade!$X88,AND(Sanidade!$X88&lt;=BR$1,Sanidade!$Y88&gt;=BR$1)),Sanidade!$W88/(Sanidade!$Y88-Sanidade!$X88+1),0))</f>
        <v>0</v>
      </c>
      <c r="BS183" s="477">
        <f>IF(AND(Sanidade!$Y88=Sanidade!$X88,Sanidade!$X88=BS$1),Sanidade!$W88,IF(AND(Sanidade!$Y88&gt;=Sanidade!$X88,AND(Sanidade!$X88&lt;=BS$1,Sanidade!$Y88&gt;=BS$1)),Sanidade!$W88/(Sanidade!$Y88-Sanidade!$X88+1),0))</f>
        <v>0</v>
      </c>
      <c r="BT183" s="477">
        <f>IF(AND(Sanidade!$Y88=Sanidade!$X88,Sanidade!$X88=BT$1),Sanidade!$W88,IF(AND(Sanidade!$Y88&gt;=Sanidade!$X88,AND(Sanidade!$X88&lt;=BT$1,Sanidade!$Y88&gt;=BT$1)),Sanidade!$W88/(Sanidade!$Y88-Sanidade!$X88+1),0))</f>
        <v>0</v>
      </c>
    </row>
    <row r="184" spans="2:72" x14ac:dyDescent="0.2">
      <c r="B184" s="499"/>
      <c r="C184" s="500"/>
      <c r="D184" s="497"/>
      <c r="E184" s="497"/>
      <c r="F184" s="497"/>
      <c r="G184" s="497"/>
      <c r="H184" s="497"/>
      <c r="BA184" s="459">
        <f>VLOOKUP(Sanidade!E89,Dados!$A$3:$N$10,13)</f>
        <v>0</v>
      </c>
      <c r="BB184" s="477">
        <f>IF(AND(Sanidade!$Y89=Sanidade!$X89,Sanidade!$X89=BB$1),Sanidade!$W89,IF(AND(Sanidade!$Y89&gt;=Sanidade!$X89,AND(Sanidade!$X89&lt;=BB$1,Sanidade!$Y89&gt;=BB$1)),Sanidade!$W89/(Sanidade!$Y89-Sanidade!$X89+1),0))</f>
        <v>0</v>
      </c>
      <c r="BC184" s="477">
        <f>IF(AND(Sanidade!$Y89=Sanidade!$X89,Sanidade!$X89=BC$1),Sanidade!$W89,IF(AND(Sanidade!$Y89&gt;=Sanidade!$X89,AND(Sanidade!$X89&lt;=BC$1,Sanidade!$Y89&gt;=BC$1)),Sanidade!$W89/(Sanidade!$Y89-Sanidade!$X89+1),0))</f>
        <v>0</v>
      </c>
      <c r="BD184" s="477">
        <f>IF(AND(Sanidade!$Y89=Sanidade!$X89,Sanidade!$X89=BD$1),Sanidade!$W89,IF(AND(Sanidade!$Y89&gt;=Sanidade!$X89,AND(Sanidade!$X89&lt;=BD$1,Sanidade!$Y89&gt;=BD$1)),Sanidade!$W89/(Sanidade!$Y89-Sanidade!$X89+1),0))</f>
        <v>0</v>
      </c>
      <c r="BE184" s="477">
        <f>IF(AND(Sanidade!$Y89=Sanidade!$X89,Sanidade!$X89=BE$1),Sanidade!$W89,IF(AND(Sanidade!$Y89&gt;=Sanidade!$X89,AND(Sanidade!$X89&lt;=BE$1,Sanidade!$Y89&gt;=BE$1)),Sanidade!$W89/(Sanidade!$Y89-Sanidade!$X89+1),0))</f>
        <v>0</v>
      </c>
      <c r="BF184" s="477">
        <f>IF(AND(Sanidade!$Y89=Sanidade!$X89,Sanidade!$X89=BF$1),Sanidade!$W89,IF(AND(Sanidade!$Y89&gt;=Sanidade!$X89,AND(Sanidade!$X89&lt;=BF$1,Sanidade!$Y89&gt;=BF$1)),Sanidade!$W89/(Sanidade!$Y89-Sanidade!$X89+1),0))</f>
        <v>0</v>
      </c>
      <c r="BG184" s="477">
        <f>IF(AND(Sanidade!$Y89=Sanidade!$X89,Sanidade!$X89=BG$1),Sanidade!$W89,IF(AND(Sanidade!$Y89&gt;=Sanidade!$X89,AND(Sanidade!$X89&lt;=BG$1,Sanidade!$Y89&gt;=BG$1)),Sanidade!$W89/(Sanidade!$Y89-Sanidade!$X89+1),0))</f>
        <v>0</v>
      </c>
      <c r="BH184" s="477">
        <f>IF(AND(Sanidade!$Y89=Sanidade!$X89,Sanidade!$X89=BH$1),Sanidade!$W89,IF(AND(Sanidade!$Y89&gt;=Sanidade!$X89,AND(Sanidade!$X89&lt;=BH$1,Sanidade!$Y89&gt;=BH$1)),Sanidade!$W89/(Sanidade!$Y89-Sanidade!$X89+1),0))</f>
        <v>0</v>
      </c>
      <c r="BI184" s="477">
        <f>IF(AND(Sanidade!$Y89=Sanidade!$X89,Sanidade!$X89=BI$1),Sanidade!$W89,IF(AND(Sanidade!$Y89&gt;=Sanidade!$X89,AND(Sanidade!$X89&lt;=BI$1,Sanidade!$Y89&gt;=BI$1)),Sanidade!$W89/(Sanidade!$Y89-Sanidade!$X89+1),0))</f>
        <v>0</v>
      </c>
      <c r="BJ184" s="477">
        <f>IF(AND(Sanidade!$Y89=Sanidade!$X89,Sanidade!$X89=BJ$1),Sanidade!$W89,IF(AND(Sanidade!$Y89&gt;=Sanidade!$X89,AND(Sanidade!$X89&lt;=BJ$1,Sanidade!$Y89&gt;=BJ$1)),Sanidade!$W89/(Sanidade!$Y89-Sanidade!$X89+1),0))</f>
        <v>0</v>
      </c>
      <c r="BK184" s="477">
        <f>IF(AND(Sanidade!$Y89=Sanidade!$X89,Sanidade!$X89=BK$1),Sanidade!$W89,IF(AND(Sanidade!$Y89&gt;=Sanidade!$X89,AND(Sanidade!$X89&lt;=BK$1,Sanidade!$Y89&gt;=BK$1)),Sanidade!$W89/(Sanidade!$Y89-Sanidade!$X89+1),0))</f>
        <v>0</v>
      </c>
      <c r="BL184" s="477">
        <f>IF(AND(Sanidade!$Y89=Sanidade!$X89,Sanidade!$X89=BL$1),Sanidade!$W89,IF(AND(Sanidade!$Y89&gt;=Sanidade!$X89,AND(Sanidade!$X89&lt;=BL$1,Sanidade!$Y89&gt;=BL$1)),Sanidade!$W89/(Sanidade!$Y89-Sanidade!$X89+1),0))</f>
        <v>0</v>
      </c>
      <c r="BM184" s="477">
        <f>IF(AND(Sanidade!$Y89=Sanidade!$X89,Sanidade!$X89=BM$1),Sanidade!$W89,IF(AND(Sanidade!$Y89&gt;=Sanidade!$X89,AND(Sanidade!$X89&lt;=BM$1,Sanidade!$Y89&gt;=BM$1)),Sanidade!$W89/(Sanidade!$Y89-Sanidade!$X89+1),0))</f>
        <v>0</v>
      </c>
      <c r="BN184" s="477">
        <f>IF(AND(Sanidade!$Y89=Sanidade!$X89,Sanidade!$X89=BN$1),Sanidade!$W89,IF(AND(Sanidade!$Y89&gt;=Sanidade!$X89,AND(Sanidade!$X89&lt;=BN$1,Sanidade!$Y89&gt;=BN$1)),Sanidade!$W89/(Sanidade!$Y89-Sanidade!$X89+1),0))</f>
        <v>0</v>
      </c>
      <c r="BO184" s="477">
        <f>IF(AND(Sanidade!$Y89=Sanidade!$X89,Sanidade!$X89=BO$1),Sanidade!$W89,IF(AND(Sanidade!$Y89&gt;=Sanidade!$X89,AND(Sanidade!$X89&lt;=BO$1,Sanidade!$Y89&gt;=BO$1)),Sanidade!$W89/(Sanidade!$Y89-Sanidade!$X89+1),0))</f>
        <v>0</v>
      </c>
      <c r="BP184" s="477">
        <f>IF(AND(Sanidade!$Y89=Sanidade!$X89,Sanidade!$X89=BP$1),Sanidade!$W89,IF(AND(Sanidade!$Y89&gt;=Sanidade!$X89,AND(Sanidade!$X89&lt;=BP$1,Sanidade!$Y89&gt;=BP$1)),Sanidade!$W89/(Sanidade!$Y89-Sanidade!$X89+1),0))</f>
        <v>0</v>
      </c>
      <c r="BQ184" s="477">
        <f>IF(AND(Sanidade!$Y89=Sanidade!$X89,Sanidade!$X89=BQ$1),Sanidade!$W89,IF(AND(Sanidade!$Y89&gt;=Sanidade!$X89,AND(Sanidade!$X89&lt;=BQ$1,Sanidade!$Y89&gt;=BQ$1)),Sanidade!$W89/(Sanidade!$Y89-Sanidade!$X89+1),0))</f>
        <v>0</v>
      </c>
      <c r="BR184" s="477">
        <f>IF(AND(Sanidade!$Y89=Sanidade!$X89,Sanidade!$X89=BR$1),Sanidade!$W89,IF(AND(Sanidade!$Y89&gt;=Sanidade!$X89,AND(Sanidade!$X89&lt;=BR$1,Sanidade!$Y89&gt;=BR$1)),Sanidade!$W89/(Sanidade!$Y89-Sanidade!$X89+1),0))</f>
        <v>0</v>
      </c>
      <c r="BS184" s="477">
        <f>IF(AND(Sanidade!$Y89=Sanidade!$X89,Sanidade!$X89=BS$1),Sanidade!$W89,IF(AND(Sanidade!$Y89&gt;=Sanidade!$X89,AND(Sanidade!$X89&lt;=BS$1,Sanidade!$Y89&gt;=BS$1)),Sanidade!$W89/(Sanidade!$Y89-Sanidade!$X89+1),0))</f>
        <v>0</v>
      </c>
      <c r="BT184" s="477">
        <f>IF(AND(Sanidade!$Y89=Sanidade!$X89,Sanidade!$X89=BT$1),Sanidade!$W89,IF(AND(Sanidade!$Y89&gt;=Sanidade!$X89,AND(Sanidade!$X89&lt;=BT$1,Sanidade!$Y89&gt;=BT$1)),Sanidade!$W89/(Sanidade!$Y89-Sanidade!$X89+1),0))</f>
        <v>0</v>
      </c>
    </row>
    <row r="185" spans="2:72" x14ac:dyDescent="0.2">
      <c r="B185" s="499"/>
      <c r="C185" s="500"/>
      <c r="D185" s="497"/>
      <c r="E185" s="497"/>
      <c r="F185" s="497"/>
      <c r="G185" s="497"/>
      <c r="H185" s="497"/>
      <c r="BA185" s="459">
        <f>VLOOKUP(Sanidade!E90,Dados!$A$3:$N$10,13)</f>
        <v>0</v>
      </c>
      <c r="BB185" s="477">
        <f>IF(AND(Sanidade!$Y90=Sanidade!$X90,Sanidade!$X90=BB$1),Sanidade!$W90,IF(AND(Sanidade!$Y90&gt;=Sanidade!$X90,AND(Sanidade!$X90&lt;=BB$1,Sanidade!$Y90&gt;=BB$1)),Sanidade!$W90/(Sanidade!$Y90-Sanidade!$X90+1),0))</f>
        <v>0</v>
      </c>
      <c r="BC185" s="477">
        <f>IF(AND(Sanidade!$Y90=Sanidade!$X90,Sanidade!$X90=BC$1),Sanidade!$W90,IF(AND(Sanidade!$Y90&gt;=Sanidade!$X90,AND(Sanidade!$X90&lt;=BC$1,Sanidade!$Y90&gt;=BC$1)),Sanidade!$W90/(Sanidade!$Y90-Sanidade!$X90+1),0))</f>
        <v>0</v>
      </c>
      <c r="BD185" s="477">
        <f>IF(AND(Sanidade!$Y90=Sanidade!$X90,Sanidade!$X90=BD$1),Sanidade!$W90,IF(AND(Sanidade!$Y90&gt;=Sanidade!$X90,AND(Sanidade!$X90&lt;=BD$1,Sanidade!$Y90&gt;=BD$1)),Sanidade!$W90/(Sanidade!$Y90-Sanidade!$X90+1),0))</f>
        <v>0</v>
      </c>
      <c r="BE185" s="477">
        <f>IF(AND(Sanidade!$Y90=Sanidade!$X90,Sanidade!$X90=BE$1),Sanidade!$W90,IF(AND(Sanidade!$Y90&gt;=Sanidade!$X90,AND(Sanidade!$X90&lt;=BE$1,Sanidade!$Y90&gt;=BE$1)),Sanidade!$W90/(Sanidade!$Y90-Sanidade!$X90+1),0))</f>
        <v>0</v>
      </c>
      <c r="BF185" s="477">
        <f>IF(AND(Sanidade!$Y90=Sanidade!$X90,Sanidade!$X90=BF$1),Sanidade!$W90,IF(AND(Sanidade!$Y90&gt;=Sanidade!$X90,AND(Sanidade!$X90&lt;=BF$1,Sanidade!$Y90&gt;=BF$1)),Sanidade!$W90/(Sanidade!$Y90-Sanidade!$X90+1),0))</f>
        <v>0</v>
      </c>
      <c r="BG185" s="477">
        <f>IF(AND(Sanidade!$Y90=Sanidade!$X90,Sanidade!$X90=BG$1),Sanidade!$W90,IF(AND(Sanidade!$Y90&gt;=Sanidade!$X90,AND(Sanidade!$X90&lt;=BG$1,Sanidade!$Y90&gt;=BG$1)),Sanidade!$W90/(Sanidade!$Y90-Sanidade!$X90+1),0))</f>
        <v>0</v>
      </c>
      <c r="BH185" s="477">
        <f>IF(AND(Sanidade!$Y90=Sanidade!$X90,Sanidade!$X90=BH$1),Sanidade!$W90,IF(AND(Sanidade!$Y90&gt;=Sanidade!$X90,AND(Sanidade!$X90&lt;=BH$1,Sanidade!$Y90&gt;=BH$1)),Sanidade!$W90/(Sanidade!$Y90-Sanidade!$X90+1),0))</f>
        <v>0</v>
      </c>
      <c r="BI185" s="477">
        <f>IF(AND(Sanidade!$Y90=Sanidade!$X90,Sanidade!$X90=BI$1),Sanidade!$W90,IF(AND(Sanidade!$Y90&gt;=Sanidade!$X90,AND(Sanidade!$X90&lt;=BI$1,Sanidade!$Y90&gt;=BI$1)),Sanidade!$W90/(Sanidade!$Y90-Sanidade!$X90+1),0))</f>
        <v>0</v>
      </c>
      <c r="BJ185" s="477">
        <f>IF(AND(Sanidade!$Y90=Sanidade!$X90,Sanidade!$X90=BJ$1),Sanidade!$W90,IF(AND(Sanidade!$Y90&gt;=Sanidade!$X90,AND(Sanidade!$X90&lt;=BJ$1,Sanidade!$Y90&gt;=BJ$1)),Sanidade!$W90/(Sanidade!$Y90-Sanidade!$X90+1),0))</f>
        <v>0</v>
      </c>
      <c r="BK185" s="477">
        <f>IF(AND(Sanidade!$Y90=Sanidade!$X90,Sanidade!$X90=BK$1),Sanidade!$W90,IF(AND(Sanidade!$Y90&gt;=Sanidade!$X90,AND(Sanidade!$X90&lt;=BK$1,Sanidade!$Y90&gt;=BK$1)),Sanidade!$W90/(Sanidade!$Y90-Sanidade!$X90+1),0))</f>
        <v>0</v>
      </c>
      <c r="BL185" s="477">
        <f>IF(AND(Sanidade!$Y90=Sanidade!$X90,Sanidade!$X90=BL$1),Sanidade!$W90,IF(AND(Sanidade!$Y90&gt;=Sanidade!$X90,AND(Sanidade!$X90&lt;=BL$1,Sanidade!$Y90&gt;=BL$1)),Sanidade!$W90/(Sanidade!$Y90-Sanidade!$X90+1),0))</f>
        <v>0</v>
      </c>
      <c r="BM185" s="477">
        <f>IF(AND(Sanidade!$Y90=Sanidade!$X90,Sanidade!$X90=BM$1),Sanidade!$W90,IF(AND(Sanidade!$Y90&gt;=Sanidade!$X90,AND(Sanidade!$X90&lt;=BM$1,Sanidade!$Y90&gt;=BM$1)),Sanidade!$W90/(Sanidade!$Y90-Sanidade!$X90+1),0))</f>
        <v>0</v>
      </c>
      <c r="BN185" s="477">
        <f>IF(AND(Sanidade!$Y90=Sanidade!$X90,Sanidade!$X90=BN$1),Sanidade!$W90,IF(AND(Sanidade!$Y90&gt;=Sanidade!$X90,AND(Sanidade!$X90&lt;=BN$1,Sanidade!$Y90&gt;=BN$1)),Sanidade!$W90/(Sanidade!$Y90-Sanidade!$X90+1),0))</f>
        <v>0</v>
      </c>
      <c r="BO185" s="477">
        <f>IF(AND(Sanidade!$Y90=Sanidade!$X90,Sanidade!$X90=BO$1),Sanidade!$W90,IF(AND(Sanidade!$Y90&gt;=Sanidade!$X90,AND(Sanidade!$X90&lt;=BO$1,Sanidade!$Y90&gt;=BO$1)),Sanidade!$W90/(Sanidade!$Y90-Sanidade!$X90+1),0))</f>
        <v>0</v>
      </c>
      <c r="BP185" s="477">
        <f>IF(AND(Sanidade!$Y90=Sanidade!$X90,Sanidade!$X90=BP$1),Sanidade!$W90,IF(AND(Sanidade!$Y90&gt;=Sanidade!$X90,AND(Sanidade!$X90&lt;=BP$1,Sanidade!$Y90&gt;=BP$1)),Sanidade!$W90/(Sanidade!$Y90-Sanidade!$X90+1),0))</f>
        <v>0</v>
      </c>
      <c r="BQ185" s="477">
        <f>IF(AND(Sanidade!$Y90=Sanidade!$X90,Sanidade!$X90=BQ$1),Sanidade!$W90,IF(AND(Sanidade!$Y90&gt;=Sanidade!$X90,AND(Sanidade!$X90&lt;=BQ$1,Sanidade!$Y90&gt;=BQ$1)),Sanidade!$W90/(Sanidade!$Y90-Sanidade!$X90+1),0))</f>
        <v>0</v>
      </c>
      <c r="BR185" s="477">
        <f>IF(AND(Sanidade!$Y90=Sanidade!$X90,Sanidade!$X90=BR$1),Sanidade!$W90,IF(AND(Sanidade!$Y90&gt;=Sanidade!$X90,AND(Sanidade!$X90&lt;=BR$1,Sanidade!$Y90&gt;=BR$1)),Sanidade!$W90/(Sanidade!$Y90-Sanidade!$X90+1),0))</f>
        <v>0</v>
      </c>
      <c r="BS185" s="477">
        <f>IF(AND(Sanidade!$Y90=Sanidade!$X90,Sanidade!$X90=BS$1),Sanidade!$W90,IF(AND(Sanidade!$Y90&gt;=Sanidade!$X90,AND(Sanidade!$X90&lt;=BS$1,Sanidade!$Y90&gt;=BS$1)),Sanidade!$W90/(Sanidade!$Y90-Sanidade!$X90+1),0))</f>
        <v>0</v>
      </c>
      <c r="BT185" s="477">
        <f>IF(AND(Sanidade!$Y90=Sanidade!$X90,Sanidade!$X90=BT$1),Sanidade!$W90,IF(AND(Sanidade!$Y90&gt;=Sanidade!$X90,AND(Sanidade!$X90&lt;=BT$1,Sanidade!$Y90&gt;=BT$1)),Sanidade!$W90/(Sanidade!$Y90-Sanidade!$X90+1),0))</f>
        <v>0</v>
      </c>
    </row>
    <row r="186" spans="2:72" x14ac:dyDescent="0.2">
      <c r="B186" s="499"/>
      <c r="C186" s="500"/>
      <c r="D186" s="497"/>
      <c r="E186" s="497"/>
      <c r="F186" s="497"/>
      <c r="G186" s="497"/>
      <c r="H186" s="497"/>
      <c r="BA186" s="459">
        <f>VLOOKUP(Sanidade!E91,Dados!$A$3:$N$10,13)</f>
        <v>0</v>
      </c>
      <c r="BB186" s="477">
        <f>IF(AND(Sanidade!$Y91=Sanidade!$X91,Sanidade!$X91=BB$1),Sanidade!$W91,IF(AND(Sanidade!$Y91&gt;=Sanidade!$X91,AND(Sanidade!$X91&lt;=BB$1,Sanidade!$Y91&gt;=BB$1)),Sanidade!$W91/(Sanidade!$Y91-Sanidade!$X91+1),0))</f>
        <v>0</v>
      </c>
      <c r="BC186" s="477">
        <f>IF(AND(Sanidade!$Y91=Sanidade!$X91,Sanidade!$X91=BC$1),Sanidade!$W91,IF(AND(Sanidade!$Y91&gt;=Sanidade!$X91,AND(Sanidade!$X91&lt;=BC$1,Sanidade!$Y91&gt;=BC$1)),Sanidade!$W91/(Sanidade!$Y91-Sanidade!$X91+1),0))</f>
        <v>0</v>
      </c>
      <c r="BD186" s="477">
        <f>IF(AND(Sanidade!$Y91=Sanidade!$X91,Sanidade!$X91=BD$1),Sanidade!$W91,IF(AND(Sanidade!$Y91&gt;=Sanidade!$X91,AND(Sanidade!$X91&lt;=BD$1,Sanidade!$Y91&gt;=BD$1)),Sanidade!$W91/(Sanidade!$Y91-Sanidade!$X91+1),0))</f>
        <v>0</v>
      </c>
      <c r="BE186" s="477">
        <f>IF(AND(Sanidade!$Y91=Sanidade!$X91,Sanidade!$X91=BE$1),Sanidade!$W91,IF(AND(Sanidade!$Y91&gt;=Sanidade!$X91,AND(Sanidade!$X91&lt;=BE$1,Sanidade!$Y91&gt;=BE$1)),Sanidade!$W91/(Sanidade!$Y91-Sanidade!$X91+1),0))</f>
        <v>0</v>
      </c>
      <c r="BF186" s="477">
        <f>IF(AND(Sanidade!$Y91=Sanidade!$X91,Sanidade!$X91=BF$1),Sanidade!$W91,IF(AND(Sanidade!$Y91&gt;=Sanidade!$X91,AND(Sanidade!$X91&lt;=BF$1,Sanidade!$Y91&gt;=BF$1)),Sanidade!$W91/(Sanidade!$Y91-Sanidade!$X91+1),0))</f>
        <v>0</v>
      </c>
      <c r="BG186" s="477">
        <f>IF(AND(Sanidade!$Y91=Sanidade!$X91,Sanidade!$X91=BG$1),Sanidade!$W91,IF(AND(Sanidade!$Y91&gt;=Sanidade!$X91,AND(Sanidade!$X91&lt;=BG$1,Sanidade!$Y91&gt;=BG$1)),Sanidade!$W91/(Sanidade!$Y91-Sanidade!$X91+1),0))</f>
        <v>0</v>
      </c>
      <c r="BH186" s="477">
        <f>IF(AND(Sanidade!$Y91=Sanidade!$X91,Sanidade!$X91=BH$1),Sanidade!$W91,IF(AND(Sanidade!$Y91&gt;=Sanidade!$X91,AND(Sanidade!$X91&lt;=BH$1,Sanidade!$Y91&gt;=BH$1)),Sanidade!$W91/(Sanidade!$Y91-Sanidade!$X91+1),0))</f>
        <v>0</v>
      </c>
      <c r="BI186" s="477">
        <f>IF(AND(Sanidade!$Y91=Sanidade!$X91,Sanidade!$X91=BI$1),Sanidade!$W91,IF(AND(Sanidade!$Y91&gt;=Sanidade!$X91,AND(Sanidade!$X91&lt;=BI$1,Sanidade!$Y91&gt;=BI$1)),Sanidade!$W91/(Sanidade!$Y91-Sanidade!$X91+1),0))</f>
        <v>0</v>
      </c>
      <c r="BJ186" s="477">
        <f>IF(AND(Sanidade!$Y91=Sanidade!$X91,Sanidade!$X91=BJ$1),Sanidade!$W91,IF(AND(Sanidade!$Y91&gt;=Sanidade!$X91,AND(Sanidade!$X91&lt;=BJ$1,Sanidade!$Y91&gt;=BJ$1)),Sanidade!$W91/(Sanidade!$Y91-Sanidade!$X91+1),0))</f>
        <v>0</v>
      </c>
      <c r="BK186" s="477">
        <f>IF(AND(Sanidade!$Y91=Sanidade!$X91,Sanidade!$X91=BK$1),Sanidade!$W91,IF(AND(Sanidade!$Y91&gt;=Sanidade!$X91,AND(Sanidade!$X91&lt;=BK$1,Sanidade!$Y91&gt;=BK$1)),Sanidade!$W91/(Sanidade!$Y91-Sanidade!$X91+1),0))</f>
        <v>0</v>
      </c>
      <c r="BL186" s="477">
        <f>IF(AND(Sanidade!$Y91=Sanidade!$X91,Sanidade!$X91=BL$1),Sanidade!$W91,IF(AND(Sanidade!$Y91&gt;=Sanidade!$X91,AND(Sanidade!$X91&lt;=BL$1,Sanidade!$Y91&gt;=BL$1)),Sanidade!$W91/(Sanidade!$Y91-Sanidade!$X91+1),0))</f>
        <v>0</v>
      </c>
      <c r="BM186" s="477">
        <f>IF(AND(Sanidade!$Y91=Sanidade!$X91,Sanidade!$X91=BM$1),Sanidade!$W91,IF(AND(Sanidade!$Y91&gt;=Sanidade!$X91,AND(Sanidade!$X91&lt;=BM$1,Sanidade!$Y91&gt;=BM$1)),Sanidade!$W91/(Sanidade!$Y91-Sanidade!$X91+1),0))</f>
        <v>0</v>
      </c>
      <c r="BN186" s="477">
        <f>IF(AND(Sanidade!$Y91=Sanidade!$X91,Sanidade!$X91=BN$1),Sanidade!$W91,IF(AND(Sanidade!$Y91&gt;=Sanidade!$X91,AND(Sanidade!$X91&lt;=BN$1,Sanidade!$Y91&gt;=BN$1)),Sanidade!$W91/(Sanidade!$Y91-Sanidade!$X91+1),0))</f>
        <v>0</v>
      </c>
      <c r="BO186" s="477">
        <f>IF(AND(Sanidade!$Y91=Sanidade!$X91,Sanidade!$X91=BO$1),Sanidade!$W91,IF(AND(Sanidade!$Y91&gt;=Sanidade!$X91,AND(Sanidade!$X91&lt;=BO$1,Sanidade!$Y91&gt;=BO$1)),Sanidade!$W91/(Sanidade!$Y91-Sanidade!$X91+1),0))</f>
        <v>0</v>
      </c>
      <c r="BP186" s="477">
        <f>IF(AND(Sanidade!$Y91=Sanidade!$X91,Sanidade!$X91=BP$1),Sanidade!$W91,IF(AND(Sanidade!$Y91&gt;=Sanidade!$X91,AND(Sanidade!$X91&lt;=BP$1,Sanidade!$Y91&gt;=BP$1)),Sanidade!$W91/(Sanidade!$Y91-Sanidade!$X91+1),0))</f>
        <v>0</v>
      </c>
      <c r="BQ186" s="477">
        <f>IF(AND(Sanidade!$Y91=Sanidade!$X91,Sanidade!$X91=BQ$1),Sanidade!$W91,IF(AND(Sanidade!$Y91&gt;=Sanidade!$X91,AND(Sanidade!$X91&lt;=BQ$1,Sanidade!$Y91&gt;=BQ$1)),Sanidade!$W91/(Sanidade!$Y91-Sanidade!$X91+1),0))</f>
        <v>0</v>
      </c>
      <c r="BR186" s="477">
        <f>IF(AND(Sanidade!$Y91=Sanidade!$X91,Sanidade!$X91=BR$1),Sanidade!$W91,IF(AND(Sanidade!$Y91&gt;=Sanidade!$X91,AND(Sanidade!$X91&lt;=BR$1,Sanidade!$Y91&gt;=BR$1)),Sanidade!$W91/(Sanidade!$Y91-Sanidade!$X91+1),0))</f>
        <v>0</v>
      </c>
      <c r="BS186" s="477">
        <f>IF(AND(Sanidade!$Y91=Sanidade!$X91,Sanidade!$X91=BS$1),Sanidade!$W91,IF(AND(Sanidade!$Y91&gt;=Sanidade!$X91,AND(Sanidade!$X91&lt;=BS$1,Sanidade!$Y91&gt;=BS$1)),Sanidade!$W91/(Sanidade!$Y91-Sanidade!$X91+1),0))</f>
        <v>0</v>
      </c>
      <c r="BT186" s="477">
        <f>IF(AND(Sanidade!$Y91=Sanidade!$X91,Sanidade!$X91=BT$1),Sanidade!$W91,IF(AND(Sanidade!$Y91&gt;=Sanidade!$X91,AND(Sanidade!$X91&lt;=BT$1,Sanidade!$Y91&gt;=BT$1)),Sanidade!$W91/(Sanidade!$Y91-Sanidade!$X91+1),0))</f>
        <v>0</v>
      </c>
    </row>
    <row r="187" spans="2:72" x14ac:dyDescent="0.2">
      <c r="B187" s="499"/>
      <c r="C187" s="500"/>
      <c r="D187" s="497"/>
      <c r="E187" s="497"/>
      <c r="F187" s="497"/>
      <c r="G187" s="497"/>
      <c r="H187" s="497"/>
      <c r="BA187" s="459">
        <f>VLOOKUP(Sanidade!E92,Dados!$A$3:$N$10,13)</f>
        <v>0</v>
      </c>
      <c r="BB187" s="477">
        <f>IF(AND(Sanidade!$Y92=Sanidade!$X92,Sanidade!$X92=BB$1),Sanidade!$W92,IF(AND(Sanidade!$Y92&gt;=Sanidade!$X92,AND(Sanidade!$X92&lt;=BB$1,Sanidade!$Y92&gt;=BB$1)),Sanidade!$W92/(Sanidade!$Y92-Sanidade!$X92+1),0))</f>
        <v>0</v>
      </c>
      <c r="BC187" s="477">
        <f>IF(AND(Sanidade!$Y92=Sanidade!$X92,Sanidade!$X92=BC$1),Sanidade!$W92,IF(AND(Sanidade!$Y92&gt;=Sanidade!$X92,AND(Sanidade!$X92&lt;=BC$1,Sanidade!$Y92&gt;=BC$1)),Sanidade!$W92/(Sanidade!$Y92-Sanidade!$X92+1),0))</f>
        <v>0</v>
      </c>
      <c r="BD187" s="477">
        <f>IF(AND(Sanidade!$Y92=Sanidade!$X92,Sanidade!$X92=BD$1),Sanidade!$W92,IF(AND(Sanidade!$Y92&gt;=Sanidade!$X92,AND(Sanidade!$X92&lt;=BD$1,Sanidade!$Y92&gt;=BD$1)),Sanidade!$W92/(Sanidade!$Y92-Sanidade!$X92+1),0))</f>
        <v>0</v>
      </c>
      <c r="BE187" s="477">
        <f>IF(AND(Sanidade!$Y92=Sanidade!$X92,Sanidade!$X92=BE$1),Sanidade!$W92,IF(AND(Sanidade!$Y92&gt;=Sanidade!$X92,AND(Sanidade!$X92&lt;=BE$1,Sanidade!$Y92&gt;=BE$1)),Sanidade!$W92/(Sanidade!$Y92-Sanidade!$X92+1),0))</f>
        <v>0</v>
      </c>
      <c r="BF187" s="477">
        <f>IF(AND(Sanidade!$Y92=Sanidade!$X92,Sanidade!$X92=BF$1),Sanidade!$W92,IF(AND(Sanidade!$Y92&gt;=Sanidade!$X92,AND(Sanidade!$X92&lt;=BF$1,Sanidade!$Y92&gt;=BF$1)),Sanidade!$W92/(Sanidade!$Y92-Sanidade!$X92+1),0))</f>
        <v>0</v>
      </c>
      <c r="BG187" s="477">
        <f>IF(AND(Sanidade!$Y92=Sanidade!$X92,Sanidade!$X92=BG$1),Sanidade!$W92,IF(AND(Sanidade!$Y92&gt;=Sanidade!$X92,AND(Sanidade!$X92&lt;=BG$1,Sanidade!$Y92&gt;=BG$1)),Sanidade!$W92/(Sanidade!$Y92-Sanidade!$X92+1),0))</f>
        <v>0</v>
      </c>
      <c r="BH187" s="477">
        <f>IF(AND(Sanidade!$Y92=Sanidade!$X92,Sanidade!$X92=BH$1),Sanidade!$W92,IF(AND(Sanidade!$Y92&gt;=Sanidade!$X92,AND(Sanidade!$X92&lt;=BH$1,Sanidade!$Y92&gt;=BH$1)),Sanidade!$W92/(Sanidade!$Y92-Sanidade!$X92+1),0))</f>
        <v>0</v>
      </c>
      <c r="BI187" s="477">
        <f>IF(AND(Sanidade!$Y92=Sanidade!$X92,Sanidade!$X92=BI$1),Sanidade!$W92,IF(AND(Sanidade!$Y92&gt;=Sanidade!$X92,AND(Sanidade!$X92&lt;=BI$1,Sanidade!$Y92&gt;=BI$1)),Sanidade!$W92/(Sanidade!$Y92-Sanidade!$X92+1),0))</f>
        <v>0</v>
      </c>
      <c r="BJ187" s="477">
        <f>IF(AND(Sanidade!$Y92=Sanidade!$X92,Sanidade!$X92=BJ$1),Sanidade!$W92,IF(AND(Sanidade!$Y92&gt;=Sanidade!$X92,AND(Sanidade!$X92&lt;=BJ$1,Sanidade!$Y92&gt;=BJ$1)),Sanidade!$W92/(Sanidade!$Y92-Sanidade!$X92+1),0))</f>
        <v>0</v>
      </c>
      <c r="BK187" s="477">
        <f>IF(AND(Sanidade!$Y92=Sanidade!$X92,Sanidade!$X92=BK$1),Sanidade!$W92,IF(AND(Sanidade!$Y92&gt;=Sanidade!$X92,AND(Sanidade!$X92&lt;=BK$1,Sanidade!$Y92&gt;=BK$1)),Sanidade!$W92/(Sanidade!$Y92-Sanidade!$X92+1),0))</f>
        <v>0</v>
      </c>
      <c r="BL187" s="477">
        <f>IF(AND(Sanidade!$Y92=Sanidade!$X92,Sanidade!$X92=BL$1),Sanidade!$W92,IF(AND(Sanidade!$Y92&gt;=Sanidade!$X92,AND(Sanidade!$X92&lt;=BL$1,Sanidade!$Y92&gt;=BL$1)),Sanidade!$W92/(Sanidade!$Y92-Sanidade!$X92+1),0))</f>
        <v>0</v>
      </c>
      <c r="BM187" s="477">
        <f>IF(AND(Sanidade!$Y92=Sanidade!$X92,Sanidade!$X92=BM$1),Sanidade!$W92,IF(AND(Sanidade!$Y92&gt;=Sanidade!$X92,AND(Sanidade!$X92&lt;=BM$1,Sanidade!$Y92&gt;=BM$1)),Sanidade!$W92/(Sanidade!$Y92-Sanidade!$X92+1),0))</f>
        <v>0</v>
      </c>
      <c r="BN187" s="477">
        <f>IF(AND(Sanidade!$Y92=Sanidade!$X92,Sanidade!$X92=BN$1),Sanidade!$W92,IF(AND(Sanidade!$Y92&gt;=Sanidade!$X92,AND(Sanidade!$X92&lt;=BN$1,Sanidade!$Y92&gt;=BN$1)),Sanidade!$W92/(Sanidade!$Y92-Sanidade!$X92+1),0))</f>
        <v>0</v>
      </c>
      <c r="BO187" s="477">
        <f>IF(AND(Sanidade!$Y92=Sanidade!$X92,Sanidade!$X92=BO$1),Sanidade!$W92,IF(AND(Sanidade!$Y92&gt;=Sanidade!$X92,AND(Sanidade!$X92&lt;=BO$1,Sanidade!$Y92&gt;=BO$1)),Sanidade!$W92/(Sanidade!$Y92-Sanidade!$X92+1),0))</f>
        <v>0</v>
      </c>
      <c r="BP187" s="477">
        <f>IF(AND(Sanidade!$Y92=Sanidade!$X92,Sanidade!$X92=BP$1),Sanidade!$W92,IF(AND(Sanidade!$Y92&gt;=Sanidade!$X92,AND(Sanidade!$X92&lt;=BP$1,Sanidade!$Y92&gt;=BP$1)),Sanidade!$W92/(Sanidade!$Y92-Sanidade!$X92+1),0))</f>
        <v>0</v>
      </c>
      <c r="BQ187" s="477">
        <f>IF(AND(Sanidade!$Y92=Sanidade!$X92,Sanidade!$X92=BQ$1),Sanidade!$W92,IF(AND(Sanidade!$Y92&gt;=Sanidade!$X92,AND(Sanidade!$X92&lt;=BQ$1,Sanidade!$Y92&gt;=BQ$1)),Sanidade!$W92/(Sanidade!$Y92-Sanidade!$X92+1),0))</f>
        <v>0</v>
      </c>
      <c r="BR187" s="477">
        <f>IF(AND(Sanidade!$Y92=Sanidade!$X92,Sanidade!$X92=BR$1),Sanidade!$W92,IF(AND(Sanidade!$Y92&gt;=Sanidade!$X92,AND(Sanidade!$X92&lt;=BR$1,Sanidade!$Y92&gt;=BR$1)),Sanidade!$W92/(Sanidade!$Y92-Sanidade!$X92+1),0))</f>
        <v>0</v>
      </c>
      <c r="BS187" s="477">
        <f>IF(AND(Sanidade!$Y92=Sanidade!$X92,Sanidade!$X92=BS$1),Sanidade!$W92,IF(AND(Sanidade!$Y92&gt;=Sanidade!$X92,AND(Sanidade!$X92&lt;=BS$1,Sanidade!$Y92&gt;=BS$1)),Sanidade!$W92/(Sanidade!$Y92-Sanidade!$X92+1),0))</f>
        <v>0</v>
      </c>
      <c r="BT187" s="477">
        <f>IF(AND(Sanidade!$Y92=Sanidade!$X92,Sanidade!$X92=BT$1),Sanidade!$W92,IF(AND(Sanidade!$Y92&gt;=Sanidade!$X92,AND(Sanidade!$X92&lt;=BT$1,Sanidade!$Y92&gt;=BT$1)),Sanidade!$W92/(Sanidade!$Y92-Sanidade!$X92+1),0))</f>
        <v>0</v>
      </c>
    </row>
    <row r="188" spans="2:72" x14ac:dyDescent="0.2">
      <c r="B188" s="499"/>
      <c r="C188" s="500"/>
      <c r="D188" s="497"/>
      <c r="E188" s="497"/>
      <c r="F188" s="497"/>
      <c r="G188" s="497"/>
      <c r="H188" s="497"/>
      <c r="BA188" s="459">
        <f>VLOOKUP(Sanidade!E97,Dados!$A$3:$N$10,13)</f>
        <v>0</v>
      </c>
      <c r="BB188" s="477">
        <f>IF(AND(Sanidade!$Y97=Sanidade!$X97,Sanidade!$X97=BB$1),Sanidade!$W97,IF(AND(Sanidade!$Y97&gt;=Sanidade!$X97,AND(Sanidade!$X97&lt;=BB$1,Sanidade!$Y97&gt;=BB$1)),Sanidade!$W97/(Sanidade!$Y97-Sanidade!$X97+1),0))</f>
        <v>0</v>
      </c>
      <c r="BC188" s="477">
        <f>IF(AND(Sanidade!$Y97=Sanidade!$X97,Sanidade!$X97=BC$1),Sanidade!$W97,IF(AND(Sanidade!$Y97&gt;=Sanidade!$X97,AND(Sanidade!$X97&lt;=BC$1,Sanidade!$Y97&gt;=BC$1)),Sanidade!$W97/(Sanidade!$Y97-Sanidade!$X97+1),0))</f>
        <v>0</v>
      </c>
      <c r="BD188" s="477">
        <f>IF(AND(Sanidade!$Y97=Sanidade!$X97,Sanidade!$X97=BD$1),Sanidade!$W97,IF(AND(Sanidade!$Y97&gt;=Sanidade!$X97,AND(Sanidade!$X97&lt;=BD$1,Sanidade!$Y97&gt;=BD$1)),Sanidade!$W97/(Sanidade!$Y97-Sanidade!$X97+1),0))</f>
        <v>0</v>
      </c>
      <c r="BE188" s="477">
        <f>IF(AND(Sanidade!$Y97=Sanidade!$X97,Sanidade!$X97=BE$1),Sanidade!$W97,IF(AND(Sanidade!$Y97&gt;=Sanidade!$X97,AND(Sanidade!$X97&lt;=BE$1,Sanidade!$Y97&gt;=BE$1)),Sanidade!$W97/(Sanidade!$Y97-Sanidade!$X97+1),0))</f>
        <v>0</v>
      </c>
      <c r="BF188" s="477">
        <f>IF(AND(Sanidade!$Y97=Sanidade!$X97,Sanidade!$X97=BF$1),Sanidade!$W97,IF(AND(Sanidade!$Y97&gt;=Sanidade!$X97,AND(Sanidade!$X97&lt;=BF$1,Sanidade!$Y97&gt;=BF$1)),Sanidade!$W97/(Sanidade!$Y97-Sanidade!$X97+1),0))</f>
        <v>0</v>
      </c>
      <c r="BG188" s="477">
        <f>IF(AND(Sanidade!$Y97=Sanidade!$X97,Sanidade!$X97=BG$1),Sanidade!$W97,IF(AND(Sanidade!$Y97&gt;=Sanidade!$X97,AND(Sanidade!$X97&lt;=BG$1,Sanidade!$Y97&gt;=BG$1)),Sanidade!$W97/(Sanidade!$Y97-Sanidade!$X97+1),0))</f>
        <v>0</v>
      </c>
      <c r="BH188" s="477">
        <f>IF(AND(Sanidade!$Y97=Sanidade!$X97,Sanidade!$X97=BH$1),Sanidade!$W97,IF(AND(Sanidade!$Y97&gt;=Sanidade!$X97,AND(Sanidade!$X97&lt;=BH$1,Sanidade!$Y97&gt;=BH$1)),Sanidade!$W97/(Sanidade!$Y97-Sanidade!$X97+1),0))</f>
        <v>0</v>
      </c>
      <c r="BI188" s="477">
        <f>IF(AND(Sanidade!$Y97=Sanidade!$X97,Sanidade!$X97=BI$1),Sanidade!$W97,IF(AND(Sanidade!$Y97&gt;=Sanidade!$X97,AND(Sanidade!$X97&lt;=BI$1,Sanidade!$Y97&gt;=BI$1)),Sanidade!$W97/(Sanidade!$Y97-Sanidade!$X97+1),0))</f>
        <v>0</v>
      </c>
      <c r="BJ188" s="477">
        <f>IF(AND(Sanidade!$Y97=Sanidade!$X97,Sanidade!$X97=BJ$1),Sanidade!$W97,IF(AND(Sanidade!$Y97&gt;=Sanidade!$X97,AND(Sanidade!$X97&lt;=BJ$1,Sanidade!$Y97&gt;=BJ$1)),Sanidade!$W97/(Sanidade!$Y97-Sanidade!$X97+1),0))</f>
        <v>0</v>
      </c>
      <c r="BK188" s="477">
        <f>IF(AND(Sanidade!$Y97=Sanidade!$X97,Sanidade!$X97=BK$1),Sanidade!$W97,IF(AND(Sanidade!$Y97&gt;=Sanidade!$X97,AND(Sanidade!$X97&lt;=BK$1,Sanidade!$Y97&gt;=BK$1)),Sanidade!$W97/(Sanidade!$Y97-Sanidade!$X97+1),0))</f>
        <v>0</v>
      </c>
      <c r="BL188" s="477">
        <f>IF(AND(Sanidade!$Y97=Sanidade!$X97,Sanidade!$X97=BL$1),Sanidade!$W97,IF(AND(Sanidade!$Y97&gt;=Sanidade!$X97,AND(Sanidade!$X97&lt;=BL$1,Sanidade!$Y97&gt;=BL$1)),Sanidade!$W97/(Sanidade!$Y97-Sanidade!$X97+1),0))</f>
        <v>0</v>
      </c>
      <c r="BM188" s="477">
        <f>IF(AND(Sanidade!$Y97=Sanidade!$X97,Sanidade!$X97=BM$1),Sanidade!$W97,IF(AND(Sanidade!$Y97&gt;=Sanidade!$X97,AND(Sanidade!$X97&lt;=BM$1,Sanidade!$Y97&gt;=BM$1)),Sanidade!$W97/(Sanidade!$Y97-Sanidade!$X97+1),0))</f>
        <v>0</v>
      </c>
      <c r="BN188" s="477">
        <f>IF(AND(Sanidade!$Y97=Sanidade!$X97,Sanidade!$X97=BN$1),Sanidade!$W97,IF(AND(Sanidade!$Y97&gt;=Sanidade!$X97,AND(Sanidade!$X97&lt;=BN$1,Sanidade!$Y97&gt;=BN$1)),Sanidade!$W97/(Sanidade!$Y97-Sanidade!$X97+1),0))</f>
        <v>0</v>
      </c>
      <c r="BO188" s="477">
        <f>IF(AND(Sanidade!$Y97=Sanidade!$X97,Sanidade!$X97=BO$1),Sanidade!$W97,IF(AND(Sanidade!$Y97&gt;=Sanidade!$X97,AND(Sanidade!$X97&lt;=BO$1,Sanidade!$Y97&gt;=BO$1)),Sanidade!$W97/(Sanidade!$Y97-Sanidade!$X97+1),0))</f>
        <v>0</v>
      </c>
      <c r="BP188" s="477">
        <f>IF(AND(Sanidade!$Y97=Sanidade!$X97,Sanidade!$X97=BP$1),Sanidade!$W97,IF(AND(Sanidade!$Y97&gt;=Sanidade!$X97,AND(Sanidade!$X97&lt;=BP$1,Sanidade!$Y97&gt;=BP$1)),Sanidade!$W97/(Sanidade!$Y97-Sanidade!$X97+1),0))</f>
        <v>0</v>
      </c>
      <c r="BQ188" s="477">
        <f>IF(AND(Sanidade!$Y97=Sanidade!$X97,Sanidade!$X97=BQ$1),Sanidade!$W97,IF(AND(Sanidade!$Y97&gt;=Sanidade!$X97,AND(Sanidade!$X97&lt;=BQ$1,Sanidade!$Y97&gt;=BQ$1)),Sanidade!$W97/(Sanidade!$Y97-Sanidade!$X97+1),0))</f>
        <v>0</v>
      </c>
      <c r="BR188" s="477">
        <f>IF(AND(Sanidade!$Y97=Sanidade!$X97,Sanidade!$X97=BR$1),Sanidade!$W97,IF(AND(Sanidade!$Y97&gt;=Sanidade!$X97,AND(Sanidade!$X97&lt;=BR$1,Sanidade!$Y97&gt;=BR$1)),Sanidade!$W97/(Sanidade!$Y97-Sanidade!$X97+1),0))</f>
        <v>0</v>
      </c>
      <c r="BS188" s="477">
        <f>IF(AND(Sanidade!$Y97=Sanidade!$X97,Sanidade!$X97=BS$1),Sanidade!$W97,IF(AND(Sanidade!$Y97&gt;=Sanidade!$X97,AND(Sanidade!$X97&lt;=BS$1,Sanidade!$Y97&gt;=BS$1)),Sanidade!$W97/(Sanidade!$Y97-Sanidade!$X97+1),0))</f>
        <v>0</v>
      </c>
      <c r="BT188" s="477">
        <f>IF(AND(Sanidade!$Y97=Sanidade!$X97,Sanidade!$X97=BT$1),Sanidade!$W97,IF(AND(Sanidade!$Y97&gt;=Sanidade!$X97,AND(Sanidade!$X97&lt;=BT$1,Sanidade!$Y97&gt;=BT$1)),Sanidade!$W97/(Sanidade!$Y97-Sanidade!$X97+1),0))</f>
        <v>0</v>
      </c>
    </row>
    <row r="189" spans="2:72" x14ac:dyDescent="0.2">
      <c r="B189" s="499"/>
      <c r="C189" s="500"/>
      <c r="D189" s="497"/>
      <c r="E189" s="497"/>
      <c r="F189" s="497"/>
      <c r="G189" s="497"/>
      <c r="H189" s="497"/>
      <c r="BA189" s="459">
        <f>VLOOKUP(Sanidade!E98,Dados!$A$3:$N$10,13)</f>
        <v>0</v>
      </c>
      <c r="BB189" s="477">
        <f>IF(AND(Sanidade!$Y98=Sanidade!$X98,Sanidade!$X98=BB$1),Sanidade!$W98,IF(AND(Sanidade!$Y98&gt;=Sanidade!$X98,AND(Sanidade!$X98&lt;=BB$1,Sanidade!$Y98&gt;=BB$1)),Sanidade!$W98/(Sanidade!$Y98-Sanidade!$X98+1),0))</f>
        <v>0</v>
      </c>
      <c r="BC189" s="477">
        <f>IF(AND(Sanidade!$Y98=Sanidade!$X98,Sanidade!$X98=BC$1),Sanidade!$W98,IF(AND(Sanidade!$Y98&gt;=Sanidade!$X98,AND(Sanidade!$X98&lt;=BC$1,Sanidade!$Y98&gt;=BC$1)),Sanidade!$W98/(Sanidade!$Y98-Sanidade!$X98+1),0))</f>
        <v>0</v>
      </c>
      <c r="BD189" s="477">
        <f>IF(AND(Sanidade!$Y98=Sanidade!$X98,Sanidade!$X98=BD$1),Sanidade!$W98,IF(AND(Sanidade!$Y98&gt;=Sanidade!$X98,AND(Sanidade!$X98&lt;=BD$1,Sanidade!$Y98&gt;=BD$1)),Sanidade!$W98/(Sanidade!$Y98-Sanidade!$X98+1),0))</f>
        <v>0</v>
      </c>
      <c r="BE189" s="477">
        <f>IF(AND(Sanidade!$Y98=Sanidade!$X98,Sanidade!$X98=BE$1),Sanidade!$W98,IF(AND(Sanidade!$Y98&gt;=Sanidade!$X98,AND(Sanidade!$X98&lt;=BE$1,Sanidade!$Y98&gt;=BE$1)),Sanidade!$W98/(Sanidade!$Y98-Sanidade!$X98+1),0))</f>
        <v>0</v>
      </c>
      <c r="BF189" s="477">
        <f>IF(AND(Sanidade!$Y98=Sanidade!$X98,Sanidade!$X98=BF$1),Sanidade!$W98,IF(AND(Sanidade!$Y98&gt;=Sanidade!$X98,AND(Sanidade!$X98&lt;=BF$1,Sanidade!$Y98&gt;=BF$1)),Sanidade!$W98/(Sanidade!$Y98-Sanidade!$X98+1),0))</f>
        <v>0</v>
      </c>
      <c r="BG189" s="477">
        <f>IF(AND(Sanidade!$Y98=Sanidade!$X98,Sanidade!$X98=BG$1),Sanidade!$W98,IF(AND(Sanidade!$Y98&gt;=Sanidade!$X98,AND(Sanidade!$X98&lt;=BG$1,Sanidade!$Y98&gt;=BG$1)),Sanidade!$W98/(Sanidade!$Y98-Sanidade!$X98+1),0))</f>
        <v>0</v>
      </c>
      <c r="BH189" s="477">
        <f>IF(AND(Sanidade!$Y98=Sanidade!$X98,Sanidade!$X98=BH$1),Sanidade!$W98,IF(AND(Sanidade!$Y98&gt;=Sanidade!$X98,AND(Sanidade!$X98&lt;=BH$1,Sanidade!$Y98&gt;=BH$1)),Sanidade!$W98/(Sanidade!$Y98-Sanidade!$X98+1),0))</f>
        <v>0</v>
      </c>
      <c r="BI189" s="477">
        <f>IF(AND(Sanidade!$Y98=Sanidade!$X98,Sanidade!$X98=BI$1),Sanidade!$W98,IF(AND(Sanidade!$Y98&gt;=Sanidade!$X98,AND(Sanidade!$X98&lt;=BI$1,Sanidade!$Y98&gt;=BI$1)),Sanidade!$W98/(Sanidade!$Y98-Sanidade!$X98+1),0))</f>
        <v>0</v>
      </c>
      <c r="BJ189" s="477">
        <f>IF(AND(Sanidade!$Y98=Sanidade!$X98,Sanidade!$X98=BJ$1),Sanidade!$W98,IF(AND(Sanidade!$Y98&gt;=Sanidade!$X98,AND(Sanidade!$X98&lt;=BJ$1,Sanidade!$Y98&gt;=BJ$1)),Sanidade!$W98/(Sanidade!$Y98-Sanidade!$X98+1),0))</f>
        <v>0</v>
      </c>
      <c r="BK189" s="477">
        <f>IF(AND(Sanidade!$Y98=Sanidade!$X98,Sanidade!$X98=BK$1),Sanidade!$W98,IF(AND(Sanidade!$Y98&gt;=Sanidade!$X98,AND(Sanidade!$X98&lt;=BK$1,Sanidade!$Y98&gt;=BK$1)),Sanidade!$W98/(Sanidade!$Y98-Sanidade!$X98+1),0))</f>
        <v>0</v>
      </c>
      <c r="BL189" s="477">
        <f>IF(AND(Sanidade!$Y98=Sanidade!$X98,Sanidade!$X98=BL$1),Sanidade!$W98,IF(AND(Sanidade!$Y98&gt;=Sanidade!$X98,AND(Sanidade!$X98&lt;=BL$1,Sanidade!$Y98&gt;=BL$1)),Sanidade!$W98/(Sanidade!$Y98-Sanidade!$X98+1),0))</f>
        <v>0</v>
      </c>
      <c r="BM189" s="477">
        <f>IF(AND(Sanidade!$Y98=Sanidade!$X98,Sanidade!$X98=BM$1),Sanidade!$W98,IF(AND(Sanidade!$Y98&gt;=Sanidade!$X98,AND(Sanidade!$X98&lt;=BM$1,Sanidade!$Y98&gt;=BM$1)),Sanidade!$W98/(Sanidade!$Y98-Sanidade!$X98+1),0))</f>
        <v>0</v>
      </c>
      <c r="BN189" s="477">
        <f>IF(AND(Sanidade!$Y98=Sanidade!$X98,Sanidade!$X98=BN$1),Sanidade!$W98,IF(AND(Sanidade!$Y98&gt;=Sanidade!$X98,AND(Sanidade!$X98&lt;=BN$1,Sanidade!$Y98&gt;=BN$1)),Sanidade!$W98/(Sanidade!$Y98-Sanidade!$X98+1),0))</f>
        <v>0</v>
      </c>
      <c r="BO189" s="477">
        <f>IF(AND(Sanidade!$Y98=Sanidade!$X98,Sanidade!$X98=BO$1),Sanidade!$W98,IF(AND(Sanidade!$Y98&gt;=Sanidade!$X98,AND(Sanidade!$X98&lt;=BO$1,Sanidade!$Y98&gt;=BO$1)),Sanidade!$W98/(Sanidade!$Y98-Sanidade!$X98+1),0))</f>
        <v>0</v>
      </c>
      <c r="BP189" s="477">
        <f>IF(AND(Sanidade!$Y98=Sanidade!$X98,Sanidade!$X98=BP$1),Sanidade!$W98,IF(AND(Sanidade!$Y98&gt;=Sanidade!$X98,AND(Sanidade!$X98&lt;=BP$1,Sanidade!$Y98&gt;=BP$1)),Sanidade!$W98/(Sanidade!$Y98-Sanidade!$X98+1),0))</f>
        <v>0</v>
      </c>
      <c r="BQ189" s="477">
        <f>IF(AND(Sanidade!$Y98=Sanidade!$X98,Sanidade!$X98=BQ$1),Sanidade!$W98,IF(AND(Sanidade!$Y98&gt;=Sanidade!$X98,AND(Sanidade!$X98&lt;=BQ$1,Sanidade!$Y98&gt;=BQ$1)),Sanidade!$W98/(Sanidade!$Y98-Sanidade!$X98+1),0))</f>
        <v>0</v>
      </c>
      <c r="BR189" s="477">
        <f>IF(AND(Sanidade!$Y98=Sanidade!$X98,Sanidade!$X98=BR$1),Sanidade!$W98,IF(AND(Sanidade!$Y98&gt;=Sanidade!$X98,AND(Sanidade!$X98&lt;=BR$1,Sanidade!$Y98&gt;=BR$1)),Sanidade!$W98/(Sanidade!$Y98-Sanidade!$X98+1),0))</f>
        <v>0</v>
      </c>
      <c r="BS189" s="477">
        <f>IF(AND(Sanidade!$Y98=Sanidade!$X98,Sanidade!$X98=BS$1),Sanidade!$W98,IF(AND(Sanidade!$Y98&gt;=Sanidade!$X98,AND(Sanidade!$X98&lt;=BS$1,Sanidade!$Y98&gt;=BS$1)),Sanidade!$W98/(Sanidade!$Y98-Sanidade!$X98+1),0))</f>
        <v>0</v>
      </c>
      <c r="BT189" s="477">
        <f>IF(AND(Sanidade!$Y98=Sanidade!$X98,Sanidade!$X98=BT$1),Sanidade!$W98,IF(AND(Sanidade!$Y98&gt;=Sanidade!$X98,AND(Sanidade!$X98&lt;=BT$1,Sanidade!$Y98&gt;=BT$1)),Sanidade!$W98/(Sanidade!$Y98-Sanidade!$X98+1),0))</f>
        <v>0</v>
      </c>
    </row>
    <row r="190" spans="2:72" x14ac:dyDescent="0.2">
      <c r="B190" s="499"/>
      <c r="C190" s="500"/>
      <c r="D190" s="497"/>
      <c r="E190" s="497"/>
      <c r="F190" s="497"/>
      <c r="G190" s="497"/>
      <c r="H190" s="497"/>
      <c r="BA190" s="459">
        <f>VLOOKUP(Sanidade!E99,Dados!$A$3:$N$10,13)</f>
        <v>0</v>
      </c>
      <c r="BB190" s="477">
        <f>IF(AND(Sanidade!$Y99=Sanidade!$X99,Sanidade!$X99=BB$1),Sanidade!$W99,IF(AND(Sanidade!$Y99&gt;=Sanidade!$X99,AND(Sanidade!$X99&lt;=BB$1,Sanidade!$Y99&gt;=BB$1)),Sanidade!$W99/(Sanidade!$Y99-Sanidade!$X99+1),0))</f>
        <v>0</v>
      </c>
      <c r="BC190" s="477">
        <f>IF(AND(Sanidade!$Y99=Sanidade!$X99,Sanidade!$X99=BC$1),Sanidade!$W99,IF(AND(Sanidade!$Y99&gt;=Sanidade!$X99,AND(Sanidade!$X99&lt;=BC$1,Sanidade!$Y99&gt;=BC$1)),Sanidade!$W99/(Sanidade!$Y99-Sanidade!$X99+1),0))</f>
        <v>0</v>
      </c>
      <c r="BD190" s="477">
        <f>IF(AND(Sanidade!$Y99=Sanidade!$X99,Sanidade!$X99=BD$1),Sanidade!$W99,IF(AND(Sanidade!$Y99&gt;=Sanidade!$X99,AND(Sanidade!$X99&lt;=BD$1,Sanidade!$Y99&gt;=BD$1)),Sanidade!$W99/(Sanidade!$Y99-Sanidade!$X99+1),0))</f>
        <v>0</v>
      </c>
      <c r="BE190" s="477">
        <f>IF(AND(Sanidade!$Y99=Sanidade!$X99,Sanidade!$X99=BE$1),Sanidade!$W99,IF(AND(Sanidade!$Y99&gt;=Sanidade!$X99,AND(Sanidade!$X99&lt;=BE$1,Sanidade!$Y99&gt;=BE$1)),Sanidade!$W99/(Sanidade!$Y99-Sanidade!$X99+1),0))</f>
        <v>0</v>
      </c>
      <c r="BF190" s="477">
        <f>IF(AND(Sanidade!$Y99=Sanidade!$X99,Sanidade!$X99=BF$1),Sanidade!$W99,IF(AND(Sanidade!$Y99&gt;=Sanidade!$X99,AND(Sanidade!$X99&lt;=BF$1,Sanidade!$Y99&gt;=BF$1)),Sanidade!$W99/(Sanidade!$Y99-Sanidade!$X99+1),0))</f>
        <v>0</v>
      </c>
      <c r="BG190" s="477">
        <f>IF(AND(Sanidade!$Y99=Sanidade!$X99,Sanidade!$X99=BG$1),Sanidade!$W99,IF(AND(Sanidade!$Y99&gt;=Sanidade!$X99,AND(Sanidade!$X99&lt;=BG$1,Sanidade!$Y99&gt;=BG$1)),Sanidade!$W99/(Sanidade!$Y99-Sanidade!$X99+1),0))</f>
        <v>0</v>
      </c>
      <c r="BH190" s="477">
        <f>IF(AND(Sanidade!$Y99=Sanidade!$X99,Sanidade!$X99=BH$1),Sanidade!$W99,IF(AND(Sanidade!$Y99&gt;=Sanidade!$X99,AND(Sanidade!$X99&lt;=BH$1,Sanidade!$Y99&gt;=BH$1)),Sanidade!$W99/(Sanidade!$Y99-Sanidade!$X99+1),0))</f>
        <v>0</v>
      </c>
      <c r="BI190" s="477">
        <f>IF(AND(Sanidade!$Y99=Sanidade!$X99,Sanidade!$X99=BI$1),Sanidade!$W99,IF(AND(Sanidade!$Y99&gt;=Sanidade!$X99,AND(Sanidade!$X99&lt;=BI$1,Sanidade!$Y99&gt;=BI$1)),Sanidade!$W99/(Sanidade!$Y99-Sanidade!$X99+1),0))</f>
        <v>0</v>
      </c>
      <c r="BJ190" s="477">
        <f>IF(AND(Sanidade!$Y99=Sanidade!$X99,Sanidade!$X99=BJ$1),Sanidade!$W99,IF(AND(Sanidade!$Y99&gt;=Sanidade!$X99,AND(Sanidade!$X99&lt;=BJ$1,Sanidade!$Y99&gt;=BJ$1)),Sanidade!$W99/(Sanidade!$Y99-Sanidade!$X99+1),0))</f>
        <v>0</v>
      </c>
      <c r="BK190" s="477">
        <f>IF(AND(Sanidade!$Y99=Sanidade!$X99,Sanidade!$X99=BK$1),Sanidade!$W99,IF(AND(Sanidade!$Y99&gt;=Sanidade!$X99,AND(Sanidade!$X99&lt;=BK$1,Sanidade!$Y99&gt;=BK$1)),Sanidade!$W99/(Sanidade!$Y99-Sanidade!$X99+1),0))</f>
        <v>0</v>
      </c>
      <c r="BL190" s="477">
        <f>IF(AND(Sanidade!$Y99=Sanidade!$X99,Sanidade!$X99=BL$1),Sanidade!$W99,IF(AND(Sanidade!$Y99&gt;=Sanidade!$X99,AND(Sanidade!$X99&lt;=BL$1,Sanidade!$Y99&gt;=BL$1)),Sanidade!$W99/(Sanidade!$Y99-Sanidade!$X99+1),0))</f>
        <v>0</v>
      </c>
      <c r="BM190" s="477">
        <f>IF(AND(Sanidade!$Y99=Sanidade!$X99,Sanidade!$X99=BM$1),Sanidade!$W99,IF(AND(Sanidade!$Y99&gt;=Sanidade!$X99,AND(Sanidade!$X99&lt;=BM$1,Sanidade!$Y99&gt;=BM$1)),Sanidade!$W99/(Sanidade!$Y99-Sanidade!$X99+1),0))</f>
        <v>0</v>
      </c>
      <c r="BN190" s="477">
        <f>IF(AND(Sanidade!$Y99=Sanidade!$X99,Sanidade!$X99=BN$1),Sanidade!$W99,IF(AND(Sanidade!$Y99&gt;=Sanidade!$X99,AND(Sanidade!$X99&lt;=BN$1,Sanidade!$Y99&gt;=BN$1)),Sanidade!$W99/(Sanidade!$Y99-Sanidade!$X99+1),0))</f>
        <v>0</v>
      </c>
      <c r="BO190" s="477">
        <f>IF(AND(Sanidade!$Y99=Sanidade!$X99,Sanidade!$X99=BO$1),Sanidade!$W99,IF(AND(Sanidade!$Y99&gt;=Sanidade!$X99,AND(Sanidade!$X99&lt;=BO$1,Sanidade!$Y99&gt;=BO$1)),Sanidade!$W99/(Sanidade!$Y99-Sanidade!$X99+1),0))</f>
        <v>0</v>
      </c>
      <c r="BP190" s="477">
        <f>IF(AND(Sanidade!$Y99=Sanidade!$X99,Sanidade!$X99=BP$1),Sanidade!$W99,IF(AND(Sanidade!$Y99&gt;=Sanidade!$X99,AND(Sanidade!$X99&lt;=BP$1,Sanidade!$Y99&gt;=BP$1)),Sanidade!$W99/(Sanidade!$Y99-Sanidade!$X99+1),0))</f>
        <v>0</v>
      </c>
      <c r="BQ190" s="477">
        <f>IF(AND(Sanidade!$Y99=Sanidade!$X99,Sanidade!$X99=BQ$1),Sanidade!$W99,IF(AND(Sanidade!$Y99&gt;=Sanidade!$X99,AND(Sanidade!$X99&lt;=BQ$1,Sanidade!$Y99&gt;=BQ$1)),Sanidade!$W99/(Sanidade!$Y99-Sanidade!$X99+1),0))</f>
        <v>0</v>
      </c>
      <c r="BR190" s="477">
        <f>IF(AND(Sanidade!$Y99=Sanidade!$X99,Sanidade!$X99=BR$1),Sanidade!$W99,IF(AND(Sanidade!$Y99&gt;=Sanidade!$X99,AND(Sanidade!$X99&lt;=BR$1,Sanidade!$Y99&gt;=BR$1)),Sanidade!$W99/(Sanidade!$Y99-Sanidade!$X99+1),0))</f>
        <v>0</v>
      </c>
      <c r="BS190" s="477">
        <f>IF(AND(Sanidade!$Y99=Sanidade!$X99,Sanidade!$X99=BS$1),Sanidade!$W99,IF(AND(Sanidade!$Y99&gt;=Sanidade!$X99,AND(Sanidade!$X99&lt;=BS$1,Sanidade!$Y99&gt;=BS$1)),Sanidade!$W99/(Sanidade!$Y99-Sanidade!$X99+1),0))</f>
        <v>0</v>
      </c>
      <c r="BT190" s="477">
        <f>IF(AND(Sanidade!$Y99=Sanidade!$X99,Sanidade!$X99=BT$1),Sanidade!$W99,IF(AND(Sanidade!$Y99&gt;=Sanidade!$X99,AND(Sanidade!$X99&lt;=BT$1,Sanidade!$Y99&gt;=BT$1)),Sanidade!$W99/(Sanidade!$Y99-Sanidade!$X99+1),0))</f>
        <v>0</v>
      </c>
    </row>
    <row r="191" spans="2:72" x14ac:dyDescent="0.2">
      <c r="B191" s="499"/>
      <c r="C191" s="500"/>
      <c r="D191" s="497"/>
      <c r="E191" s="497"/>
      <c r="F191" s="497"/>
      <c r="G191" s="497"/>
      <c r="H191" s="497"/>
      <c r="BA191" s="459">
        <f>VLOOKUP(Sanidade!E100,Dados!$A$3:$N$10,13)</f>
        <v>0</v>
      </c>
      <c r="BB191" s="477">
        <f>IF(AND(Sanidade!$Y100=Sanidade!$X100,Sanidade!$X100=BB$1),Sanidade!$W100,IF(AND(Sanidade!$Y100&gt;=Sanidade!$X100,AND(Sanidade!$X100&lt;=BB$1,Sanidade!$Y100&gt;=BB$1)),Sanidade!$W100/(Sanidade!$Y100-Sanidade!$X100+1),0))</f>
        <v>0</v>
      </c>
      <c r="BC191" s="477">
        <f>IF(AND(Sanidade!$Y100=Sanidade!$X100,Sanidade!$X100=BC$1),Sanidade!$W100,IF(AND(Sanidade!$Y100&gt;=Sanidade!$X100,AND(Sanidade!$X100&lt;=BC$1,Sanidade!$Y100&gt;=BC$1)),Sanidade!$W100/(Sanidade!$Y100-Sanidade!$X100+1),0))</f>
        <v>0</v>
      </c>
      <c r="BD191" s="477">
        <f>IF(AND(Sanidade!$Y100=Sanidade!$X100,Sanidade!$X100=BD$1),Sanidade!$W100,IF(AND(Sanidade!$Y100&gt;=Sanidade!$X100,AND(Sanidade!$X100&lt;=BD$1,Sanidade!$Y100&gt;=BD$1)),Sanidade!$W100/(Sanidade!$Y100-Sanidade!$X100+1),0))</f>
        <v>0</v>
      </c>
      <c r="BE191" s="477">
        <f>IF(AND(Sanidade!$Y100=Sanidade!$X100,Sanidade!$X100=BE$1),Sanidade!$W100,IF(AND(Sanidade!$Y100&gt;=Sanidade!$X100,AND(Sanidade!$X100&lt;=BE$1,Sanidade!$Y100&gt;=BE$1)),Sanidade!$W100/(Sanidade!$Y100-Sanidade!$X100+1),0))</f>
        <v>0</v>
      </c>
      <c r="BF191" s="477">
        <f>IF(AND(Sanidade!$Y100=Sanidade!$X100,Sanidade!$X100=BF$1),Sanidade!$W100,IF(AND(Sanidade!$Y100&gt;=Sanidade!$X100,AND(Sanidade!$X100&lt;=BF$1,Sanidade!$Y100&gt;=BF$1)),Sanidade!$W100/(Sanidade!$Y100-Sanidade!$X100+1),0))</f>
        <v>0</v>
      </c>
      <c r="BG191" s="477">
        <f>IF(AND(Sanidade!$Y100=Sanidade!$X100,Sanidade!$X100=BG$1),Sanidade!$W100,IF(AND(Sanidade!$Y100&gt;=Sanidade!$X100,AND(Sanidade!$X100&lt;=BG$1,Sanidade!$Y100&gt;=BG$1)),Sanidade!$W100/(Sanidade!$Y100-Sanidade!$X100+1),0))</f>
        <v>0</v>
      </c>
      <c r="BH191" s="477">
        <f>IF(AND(Sanidade!$Y100=Sanidade!$X100,Sanidade!$X100=BH$1),Sanidade!$W100,IF(AND(Sanidade!$Y100&gt;=Sanidade!$X100,AND(Sanidade!$X100&lt;=BH$1,Sanidade!$Y100&gt;=BH$1)),Sanidade!$W100/(Sanidade!$Y100-Sanidade!$X100+1),0))</f>
        <v>0</v>
      </c>
      <c r="BI191" s="477">
        <f>IF(AND(Sanidade!$Y100=Sanidade!$X100,Sanidade!$X100=BI$1),Sanidade!$W100,IF(AND(Sanidade!$Y100&gt;=Sanidade!$X100,AND(Sanidade!$X100&lt;=BI$1,Sanidade!$Y100&gt;=BI$1)),Sanidade!$W100/(Sanidade!$Y100-Sanidade!$X100+1),0))</f>
        <v>0</v>
      </c>
      <c r="BJ191" s="477">
        <f>IF(AND(Sanidade!$Y100=Sanidade!$X100,Sanidade!$X100=BJ$1),Sanidade!$W100,IF(AND(Sanidade!$Y100&gt;=Sanidade!$X100,AND(Sanidade!$X100&lt;=BJ$1,Sanidade!$Y100&gt;=BJ$1)),Sanidade!$W100/(Sanidade!$Y100-Sanidade!$X100+1),0))</f>
        <v>0</v>
      </c>
      <c r="BK191" s="477">
        <f>IF(AND(Sanidade!$Y100=Sanidade!$X100,Sanidade!$X100=BK$1),Sanidade!$W100,IF(AND(Sanidade!$Y100&gt;=Sanidade!$X100,AND(Sanidade!$X100&lt;=BK$1,Sanidade!$Y100&gt;=BK$1)),Sanidade!$W100/(Sanidade!$Y100-Sanidade!$X100+1),0))</f>
        <v>0</v>
      </c>
      <c r="BL191" s="477">
        <f>IF(AND(Sanidade!$Y100=Sanidade!$X100,Sanidade!$X100=BL$1),Sanidade!$W100,IF(AND(Sanidade!$Y100&gt;=Sanidade!$X100,AND(Sanidade!$X100&lt;=BL$1,Sanidade!$Y100&gt;=BL$1)),Sanidade!$W100/(Sanidade!$Y100-Sanidade!$X100+1),0))</f>
        <v>0</v>
      </c>
      <c r="BM191" s="477">
        <f>IF(AND(Sanidade!$Y100=Sanidade!$X100,Sanidade!$X100=BM$1),Sanidade!$W100,IF(AND(Sanidade!$Y100&gt;=Sanidade!$X100,AND(Sanidade!$X100&lt;=BM$1,Sanidade!$Y100&gt;=BM$1)),Sanidade!$W100/(Sanidade!$Y100-Sanidade!$X100+1),0))</f>
        <v>0</v>
      </c>
      <c r="BN191" s="477">
        <f>IF(AND(Sanidade!$Y100=Sanidade!$X100,Sanidade!$X100=BN$1),Sanidade!$W100,IF(AND(Sanidade!$Y100&gt;=Sanidade!$X100,AND(Sanidade!$X100&lt;=BN$1,Sanidade!$Y100&gt;=BN$1)),Sanidade!$W100/(Sanidade!$Y100-Sanidade!$X100+1),0))</f>
        <v>0</v>
      </c>
      <c r="BO191" s="477">
        <f>IF(AND(Sanidade!$Y100=Sanidade!$X100,Sanidade!$X100=BO$1),Sanidade!$W100,IF(AND(Sanidade!$Y100&gt;=Sanidade!$X100,AND(Sanidade!$X100&lt;=BO$1,Sanidade!$Y100&gt;=BO$1)),Sanidade!$W100/(Sanidade!$Y100-Sanidade!$X100+1),0))</f>
        <v>0</v>
      </c>
      <c r="BP191" s="477">
        <f>IF(AND(Sanidade!$Y100=Sanidade!$X100,Sanidade!$X100=BP$1),Sanidade!$W100,IF(AND(Sanidade!$Y100&gt;=Sanidade!$X100,AND(Sanidade!$X100&lt;=BP$1,Sanidade!$Y100&gt;=BP$1)),Sanidade!$W100/(Sanidade!$Y100-Sanidade!$X100+1),0))</f>
        <v>0</v>
      </c>
      <c r="BQ191" s="477">
        <f>IF(AND(Sanidade!$Y100=Sanidade!$X100,Sanidade!$X100=BQ$1),Sanidade!$W100,IF(AND(Sanidade!$Y100&gt;=Sanidade!$X100,AND(Sanidade!$X100&lt;=BQ$1,Sanidade!$Y100&gt;=BQ$1)),Sanidade!$W100/(Sanidade!$Y100-Sanidade!$X100+1),0))</f>
        <v>0</v>
      </c>
      <c r="BR191" s="477">
        <f>IF(AND(Sanidade!$Y100=Sanidade!$X100,Sanidade!$X100=BR$1),Sanidade!$W100,IF(AND(Sanidade!$Y100&gt;=Sanidade!$X100,AND(Sanidade!$X100&lt;=BR$1,Sanidade!$Y100&gt;=BR$1)),Sanidade!$W100/(Sanidade!$Y100-Sanidade!$X100+1),0))</f>
        <v>0</v>
      </c>
      <c r="BS191" s="477">
        <f>IF(AND(Sanidade!$Y100=Sanidade!$X100,Sanidade!$X100=BS$1),Sanidade!$W100,IF(AND(Sanidade!$Y100&gt;=Sanidade!$X100,AND(Sanidade!$X100&lt;=BS$1,Sanidade!$Y100&gt;=BS$1)),Sanidade!$W100/(Sanidade!$Y100-Sanidade!$X100+1),0))</f>
        <v>0</v>
      </c>
      <c r="BT191" s="477">
        <f>IF(AND(Sanidade!$Y100=Sanidade!$X100,Sanidade!$X100=BT$1),Sanidade!$W100,IF(AND(Sanidade!$Y100&gt;=Sanidade!$X100,AND(Sanidade!$X100&lt;=BT$1,Sanidade!$Y100&gt;=BT$1)),Sanidade!$W100/(Sanidade!$Y100-Sanidade!$X100+1),0))</f>
        <v>0</v>
      </c>
    </row>
    <row r="192" spans="2:72" x14ac:dyDescent="0.2">
      <c r="B192" s="499"/>
      <c r="C192" s="500"/>
      <c r="D192" s="497"/>
      <c r="E192" s="497"/>
      <c r="F192" s="497"/>
      <c r="G192" s="497"/>
      <c r="H192" s="497"/>
      <c r="BA192" s="459">
        <f>VLOOKUP(Sanidade!E101,Dados!$A$3:$N$10,13)</f>
        <v>0</v>
      </c>
      <c r="BB192" s="477">
        <f>IF(AND(Sanidade!$Y101=Sanidade!$X101,Sanidade!$X101=BB$1),Sanidade!$W101,IF(AND(Sanidade!$Y101&gt;=Sanidade!$X101,AND(Sanidade!$X101&lt;=BB$1,Sanidade!$Y101&gt;=BB$1)),Sanidade!$W101/(Sanidade!$Y101-Sanidade!$X101+1),0))</f>
        <v>0</v>
      </c>
      <c r="BC192" s="477">
        <f>IF(AND(Sanidade!$Y101=Sanidade!$X101,Sanidade!$X101=BC$1),Sanidade!$W101,IF(AND(Sanidade!$Y101&gt;=Sanidade!$X101,AND(Sanidade!$X101&lt;=BC$1,Sanidade!$Y101&gt;=BC$1)),Sanidade!$W101/(Sanidade!$Y101-Sanidade!$X101+1),0))</f>
        <v>0</v>
      </c>
      <c r="BD192" s="477">
        <f>IF(AND(Sanidade!$Y101=Sanidade!$X101,Sanidade!$X101=BD$1),Sanidade!$W101,IF(AND(Sanidade!$Y101&gt;=Sanidade!$X101,AND(Sanidade!$X101&lt;=BD$1,Sanidade!$Y101&gt;=BD$1)),Sanidade!$W101/(Sanidade!$Y101-Sanidade!$X101+1),0))</f>
        <v>0</v>
      </c>
      <c r="BE192" s="477">
        <f>IF(AND(Sanidade!$Y101=Sanidade!$X101,Sanidade!$X101=BE$1),Sanidade!$W101,IF(AND(Sanidade!$Y101&gt;=Sanidade!$X101,AND(Sanidade!$X101&lt;=BE$1,Sanidade!$Y101&gt;=BE$1)),Sanidade!$W101/(Sanidade!$Y101-Sanidade!$X101+1),0))</f>
        <v>0</v>
      </c>
      <c r="BF192" s="477">
        <f>IF(AND(Sanidade!$Y101=Sanidade!$X101,Sanidade!$X101=BF$1),Sanidade!$W101,IF(AND(Sanidade!$Y101&gt;=Sanidade!$X101,AND(Sanidade!$X101&lt;=BF$1,Sanidade!$Y101&gt;=BF$1)),Sanidade!$W101/(Sanidade!$Y101-Sanidade!$X101+1),0))</f>
        <v>0</v>
      </c>
      <c r="BG192" s="477">
        <f>IF(AND(Sanidade!$Y101=Sanidade!$X101,Sanidade!$X101=BG$1),Sanidade!$W101,IF(AND(Sanidade!$Y101&gt;=Sanidade!$X101,AND(Sanidade!$X101&lt;=BG$1,Sanidade!$Y101&gt;=BG$1)),Sanidade!$W101/(Sanidade!$Y101-Sanidade!$X101+1),0))</f>
        <v>0</v>
      </c>
      <c r="BH192" s="477">
        <f>IF(AND(Sanidade!$Y101=Sanidade!$X101,Sanidade!$X101=BH$1),Sanidade!$W101,IF(AND(Sanidade!$Y101&gt;=Sanidade!$X101,AND(Sanidade!$X101&lt;=BH$1,Sanidade!$Y101&gt;=BH$1)),Sanidade!$W101/(Sanidade!$Y101-Sanidade!$X101+1),0))</f>
        <v>0</v>
      </c>
      <c r="BI192" s="477">
        <f>IF(AND(Sanidade!$Y101=Sanidade!$X101,Sanidade!$X101=BI$1),Sanidade!$W101,IF(AND(Sanidade!$Y101&gt;=Sanidade!$X101,AND(Sanidade!$X101&lt;=BI$1,Sanidade!$Y101&gt;=BI$1)),Sanidade!$W101/(Sanidade!$Y101-Sanidade!$X101+1),0))</f>
        <v>0</v>
      </c>
      <c r="BJ192" s="477">
        <f>IF(AND(Sanidade!$Y101=Sanidade!$X101,Sanidade!$X101=BJ$1),Sanidade!$W101,IF(AND(Sanidade!$Y101&gt;=Sanidade!$X101,AND(Sanidade!$X101&lt;=BJ$1,Sanidade!$Y101&gt;=BJ$1)),Sanidade!$W101/(Sanidade!$Y101-Sanidade!$X101+1),0))</f>
        <v>0</v>
      </c>
      <c r="BK192" s="477">
        <f>IF(AND(Sanidade!$Y101=Sanidade!$X101,Sanidade!$X101=BK$1),Sanidade!$W101,IF(AND(Sanidade!$Y101&gt;=Sanidade!$X101,AND(Sanidade!$X101&lt;=BK$1,Sanidade!$Y101&gt;=BK$1)),Sanidade!$W101/(Sanidade!$Y101-Sanidade!$X101+1),0))</f>
        <v>0</v>
      </c>
      <c r="BL192" s="477">
        <f>IF(AND(Sanidade!$Y101=Sanidade!$X101,Sanidade!$X101=BL$1),Sanidade!$W101,IF(AND(Sanidade!$Y101&gt;=Sanidade!$X101,AND(Sanidade!$X101&lt;=BL$1,Sanidade!$Y101&gt;=BL$1)),Sanidade!$W101/(Sanidade!$Y101-Sanidade!$X101+1),0))</f>
        <v>0</v>
      </c>
      <c r="BM192" s="477">
        <f>IF(AND(Sanidade!$Y101=Sanidade!$X101,Sanidade!$X101=BM$1),Sanidade!$W101,IF(AND(Sanidade!$Y101&gt;=Sanidade!$X101,AND(Sanidade!$X101&lt;=BM$1,Sanidade!$Y101&gt;=BM$1)),Sanidade!$W101/(Sanidade!$Y101-Sanidade!$X101+1),0))</f>
        <v>0</v>
      </c>
      <c r="BN192" s="477">
        <f>IF(AND(Sanidade!$Y101=Sanidade!$X101,Sanidade!$X101=BN$1),Sanidade!$W101,IF(AND(Sanidade!$Y101&gt;=Sanidade!$X101,AND(Sanidade!$X101&lt;=BN$1,Sanidade!$Y101&gt;=BN$1)),Sanidade!$W101/(Sanidade!$Y101-Sanidade!$X101+1),0))</f>
        <v>0</v>
      </c>
      <c r="BO192" s="477">
        <f>IF(AND(Sanidade!$Y101=Sanidade!$X101,Sanidade!$X101=BO$1),Sanidade!$W101,IF(AND(Sanidade!$Y101&gt;=Sanidade!$X101,AND(Sanidade!$X101&lt;=BO$1,Sanidade!$Y101&gt;=BO$1)),Sanidade!$W101/(Sanidade!$Y101-Sanidade!$X101+1),0))</f>
        <v>0</v>
      </c>
      <c r="BP192" s="477">
        <f>IF(AND(Sanidade!$Y101=Sanidade!$X101,Sanidade!$X101=BP$1),Sanidade!$W101,IF(AND(Sanidade!$Y101&gt;=Sanidade!$X101,AND(Sanidade!$X101&lt;=BP$1,Sanidade!$Y101&gt;=BP$1)),Sanidade!$W101/(Sanidade!$Y101-Sanidade!$X101+1),0))</f>
        <v>0</v>
      </c>
      <c r="BQ192" s="477">
        <f>IF(AND(Sanidade!$Y101=Sanidade!$X101,Sanidade!$X101=BQ$1),Sanidade!$W101,IF(AND(Sanidade!$Y101&gt;=Sanidade!$X101,AND(Sanidade!$X101&lt;=BQ$1,Sanidade!$Y101&gt;=BQ$1)),Sanidade!$W101/(Sanidade!$Y101-Sanidade!$X101+1),0))</f>
        <v>0</v>
      </c>
      <c r="BR192" s="477">
        <f>IF(AND(Sanidade!$Y101=Sanidade!$X101,Sanidade!$X101=BR$1),Sanidade!$W101,IF(AND(Sanidade!$Y101&gt;=Sanidade!$X101,AND(Sanidade!$X101&lt;=BR$1,Sanidade!$Y101&gt;=BR$1)),Sanidade!$W101/(Sanidade!$Y101-Sanidade!$X101+1),0))</f>
        <v>0</v>
      </c>
      <c r="BS192" s="477">
        <f>IF(AND(Sanidade!$Y101=Sanidade!$X101,Sanidade!$X101=BS$1),Sanidade!$W101,IF(AND(Sanidade!$Y101&gt;=Sanidade!$X101,AND(Sanidade!$X101&lt;=BS$1,Sanidade!$Y101&gt;=BS$1)),Sanidade!$W101/(Sanidade!$Y101-Sanidade!$X101+1),0))</f>
        <v>0</v>
      </c>
      <c r="BT192" s="477">
        <f>IF(AND(Sanidade!$Y101=Sanidade!$X101,Sanidade!$X101=BT$1),Sanidade!$W101,IF(AND(Sanidade!$Y101&gt;=Sanidade!$X101,AND(Sanidade!$X101&lt;=BT$1,Sanidade!$Y101&gt;=BT$1)),Sanidade!$W101/(Sanidade!$Y101-Sanidade!$X101+1),0))</f>
        <v>0</v>
      </c>
    </row>
    <row r="193" spans="2:72" x14ac:dyDescent="0.2">
      <c r="B193" s="499"/>
      <c r="C193" s="500"/>
      <c r="D193" s="497"/>
      <c r="E193" s="497"/>
      <c r="F193" s="497"/>
      <c r="G193" s="497"/>
      <c r="H193" s="497"/>
      <c r="BA193" s="459">
        <f>VLOOKUP(Sanidade!E106,Dados!$A$3:$N$10,13)</f>
        <v>0</v>
      </c>
      <c r="BB193" s="477">
        <f>IF(AND(Sanidade!$Y106=Sanidade!$X106,Sanidade!$X106=BB$1),Sanidade!$W106,IF(AND(Sanidade!$Y106&gt;=Sanidade!$X106,AND(Sanidade!$X106&lt;=BB$1,Sanidade!$Y106&gt;=BB$1)),Sanidade!$W106/(Sanidade!$Y106-Sanidade!$X106+1),0))</f>
        <v>0</v>
      </c>
      <c r="BC193" s="477">
        <f>IF(AND(Sanidade!$Y106=Sanidade!$X106,Sanidade!$X106=BC$1),Sanidade!$W106,IF(AND(Sanidade!$Y106&gt;=Sanidade!$X106,AND(Sanidade!$X106&lt;=BC$1,Sanidade!$Y106&gt;=BC$1)),Sanidade!$W106/(Sanidade!$Y106-Sanidade!$X106+1),0))</f>
        <v>0</v>
      </c>
      <c r="BD193" s="477">
        <f>IF(AND(Sanidade!$Y106=Sanidade!$X106,Sanidade!$X106=BD$1),Sanidade!$W106,IF(AND(Sanidade!$Y106&gt;=Sanidade!$X106,AND(Sanidade!$X106&lt;=BD$1,Sanidade!$Y106&gt;=BD$1)),Sanidade!$W106/(Sanidade!$Y106-Sanidade!$X106+1),0))</f>
        <v>0</v>
      </c>
      <c r="BE193" s="477">
        <f>IF(AND(Sanidade!$Y106=Sanidade!$X106,Sanidade!$X106=BE$1),Sanidade!$W106,IF(AND(Sanidade!$Y106&gt;=Sanidade!$X106,AND(Sanidade!$X106&lt;=BE$1,Sanidade!$Y106&gt;=BE$1)),Sanidade!$W106/(Sanidade!$Y106-Sanidade!$X106+1),0))</f>
        <v>0</v>
      </c>
      <c r="BF193" s="477">
        <f>IF(AND(Sanidade!$Y106=Sanidade!$X106,Sanidade!$X106=BF$1),Sanidade!$W106,IF(AND(Sanidade!$Y106&gt;=Sanidade!$X106,AND(Sanidade!$X106&lt;=BF$1,Sanidade!$Y106&gt;=BF$1)),Sanidade!$W106/(Sanidade!$Y106-Sanidade!$X106+1),0))</f>
        <v>0</v>
      </c>
      <c r="BG193" s="477">
        <f>IF(AND(Sanidade!$Y106=Sanidade!$X106,Sanidade!$X106=BG$1),Sanidade!$W106,IF(AND(Sanidade!$Y106&gt;=Sanidade!$X106,AND(Sanidade!$X106&lt;=BG$1,Sanidade!$Y106&gt;=BG$1)),Sanidade!$W106/(Sanidade!$Y106-Sanidade!$X106+1),0))</f>
        <v>0</v>
      </c>
      <c r="BH193" s="477">
        <f>IF(AND(Sanidade!$Y106=Sanidade!$X106,Sanidade!$X106=BH$1),Sanidade!$W106,IF(AND(Sanidade!$Y106&gt;=Sanidade!$X106,AND(Sanidade!$X106&lt;=BH$1,Sanidade!$Y106&gt;=BH$1)),Sanidade!$W106/(Sanidade!$Y106-Sanidade!$X106+1),0))</f>
        <v>0</v>
      </c>
      <c r="BI193" s="477">
        <f>IF(AND(Sanidade!$Y106=Sanidade!$X106,Sanidade!$X106=BI$1),Sanidade!$W106,IF(AND(Sanidade!$Y106&gt;=Sanidade!$X106,AND(Sanidade!$X106&lt;=BI$1,Sanidade!$Y106&gt;=BI$1)),Sanidade!$W106/(Sanidade!$Y106-Sanidade!$X106+1),0))</f>
        <v>0</v>
      </c>
      <c r="BJ193" s="477">
        <f>IF(AND(Sanidade!$Y106=Sanidade!$X106,Sanidade!$X106=BJ$1),Sanidade!$W106,IF(AND(Sanidade!$Y106&gt;=Sanidade!$X106,AND(Sanidade!$X106&lt;=BJ$1,Sanidade!$Y106&gt;=BJ$1)),Sanidade!$W106/(Sanidade!$Y106-Sanidade!$X106+1),0))</f>
        <v>0</v>
      </c>
      <c r="BK193" s="477">
        <f>IF(AND(Sanidade!$Y106=Sanidade!$X106,Sanidade!$X106=BK$1),Sanidade!$W106,IF(AND(Sanidade!$Y106&gt;=Sanidade!$X106,AND(Sanidade!$X106&lt;=BK$1,Sanidade!$Y106&gt;=BK$1)),Sanidade!$W106/(Sanidade!$Y106-Sanidade!$X106+1),0))</f>
        <v>0</v>
      </c>
      <c r="BL193" s="477">
        <f>IF(AND(Sanidade!$Y106=Sanidade!$X106,Sanidade!$X106=BL$1),Sanidade!$W106,IF(AND(Sanidade!$Y106&gt;=Sanidade!$X106,AND(Sanidade!$X106&lt;=BL$1,Sanidade!$Y106&gt;=BL$1)),Sanidade!$W106/(Sanidade!$Y106-Sanidade!$X106+1),0))</f>
        <v>0</v>
      </c>
      <c r="BM193" s="477">
        <f>IF(AND(Sanidade!$Y106=Sanidade!$X106,Sanidade!$X106=BM$1),Sanidade!$W106,IF(AND(Sanidade!$Y106&gt;=Sanidade!$X106,AND(Sanidade!$X106&lt;=BM$1,Sanidade!$Y106&gt;=BM$1)),Sanidade!$W106/(Sanidade!$Y106-Sanidade!$X106+1),0))</f>
        <v>0</v>
      </c>
      <c r="BN193" s="477">
        <f>IF(AND(Sanidade!$Y106=Sanidade!$X106,Sanidade!$X106=BN$1),Sanidade!$W106,IF(AND(Sanidade!$Y106&gt;=Sanidade!$X106,AND(Sanidade!$X106&lt;=BN$1,Sanidade!$Y106&gt;=BN$1)),Sanidade!$W106/(Sanidade!$Y106-Sanidade!$X106+1),0))</f>
        <v>0</v>
      </c>
      <c r="BO193" s="477">
        <f>IF(AND(Sanidade!$Y106=Sanidade!$X106,Sanidade!$X106=BO$1),Sanidade!$W106,IF(AND(Sanidade!$Y106&gt;=Sanidade!$X106,AND(Sanidade!$X106&lt;=BO$1,Sanidade!$Y106&gt;=BO$1)),Sanidade!$W106/(Sanidade!$Y106-Sanidade!$X106+1),0))</f>
        <v>0</v>
      </c>
      <c r="BP193" s="477">
        <f>IF(AND(Sanidade!$Y106=Sanidade!$X106,Sanidade!$X106=BP$1),Sanidade!$W106,IF(AND(Sanidade!$Y106&gt;=Sanidade!$X106,AND(Sanidade!$X106&lt;=BP$1,Sanidade!$Y106&gt;=BP$1)),Sanidade!$W106/(Sanidade!$Y106-Sanidade!$X106+1),0))</f>
        <v>0</v>
      </c>
      <c r="BQ193" s="477">
        <f>IF(AND(Sanidade!$Y106=Sanidade!$X106,Sanidade!$X106=BQ$1),Sanidade!$W106,IF(AND(Sanidade!$Y106&gt;=Sanidade!$X106,AND(Sanidade!$X106&lt;=BQ$1,Sanidade!$Y106&gt;=BQ$1)),Sanidade!$W106/(Sanidade!$Y106-Sanidade!$X106+1),0))</f>
        <v>0</v>
      </c>
      <c r="BR193" s="477">
        <f>IF(AND(Sanidade!$Y106=Sanidade!$X106,Sanidade!$X106=BR$1),Sanidade!$W106,IF(AND(Sanidade!$Y106&gt;=Sanidade!$X106,AND(Sanidade!$X106&lt;=BR$1,Sanidade!$Y106&gt;=BR$1)),Sanidade!$W106/(Sanidade!$Y106-Sanidade!$X106+1),0))</f>
        <v>0</v>
      </c>
      <c r="BS193" s="477">
        <f>IF(AND(Sanidade!$Y106=Sanidade!$X106,Sanidade!$X106=BS$1),Sanidade!$W106,IF(AND(Sanidade!$Y106&gt;=Sanidade!$X106,AND(Sanidade!$X106&lt;=BS$1,Sanidade!$Y106&gt;=BS$1)),Sanidade!$W106/(Sanidade!$Y106-Sanidade!$X106+1),0))</f>
        <v>0</v>
      </c>
      <c r="BT193" s="477">
        <f>IF(AND(Sanidade!$Y106=Sanidade!$X106,Sanidade!$X106=BT$1),Sanidade!$W106,IF(AND(Sanidade!$Y106&gt;=Sanidade!$X106,AND(Sanidade!$X106&lt;=BT$1,Sanidade!$Y106&gt;=BT$1)),Sanidade!$W106/(Sanidade!$Y106-Sanidade!$X106+1),0))</f>
        <v>0</v>
      </c>
    </row>
    <row r="194" spans="2:72" x14ac:dyDescent="0.2">
      <c r="B194" s="499"/>
      <c r="C194" s="500"/>
      <c r="D194" s="497"/>
      <c r="E194" s="497"/>
      <c r="F194" s="497"/>
      <c r="G194" s="497"/>
      <c r="H194" s="497"/>
      <c r="BA194" s="459">
        <f>VLOOKUP(Sanidade!E107,Dados!$A$3:$N$10,13)</f>
        <v>0</v>
      </c>
      <c r="BB194" s="477">
        <f>IF(AND(Sanidade!$Y107=Sanidade!$X107,Sanidade!$X107=BB$1),Sanidade!$W107,IF(AND(Sanidade!$Y107&gt;=Sanidade!$X107,AND(Sanidade!$X107&lt;=BB$1,Sanidade!$Y107&gt;=BB$1)),Sanidade!$W107/(Sanidade!$Y107-Sanidade!$X107+1),0))</f>
        <v>0</v>
      </c>
      <c r="BC194" s="477">
        <f>IF(AND(Sanidade!$Y107=Sanidade!$X107,Sanidade!$X107=BC$1),Sanidade!$W107,IF(AND(Sanidade!$Y107&gt;=Sanidade!$X107,AND(Sanidade!$X107&lt;=BC$1,Sanidade!$Y107&gt;=BC$1)),Sanidade!$W107/(Sanidade!$Y107-Sanidade!$X107+1),0))</f>
        <v>0</v>
      </c>
      <c r="BD194" s="477">
        <f>IF(AND(Sanidade!$Y107=Sanidade!$X107,Sanidade!$X107=BD$1),Sanidade!$W107,IF(AND(Sanidade!$Y107&gt;=Sanidade!$X107,AND(Sanidade!$X107&lt;=BD$1,Sanidade!$Y107&gt;=BD$1)),Sanidade!$W107/(Sanidade!$Y107-Sanidade!$X107+1),0))</f>
        <v>0</v>
      </c>
      <c r="BE194" s="477">
        <f>IF(AND(Sanidade!$Y107=Sanidade!$X107,Sanidade!$X107=BE$1),Sanidade!$W107,IF(AND(Sanidade!$Y107&gt;=Sanidade!$X107,AND(Sanidade!$X107&lt;=BE$1,Sanidade!$Y107&gt;=BE$1)),Sanidade!$W107/(Sanidade!$Y107-Sanidade!$X107+1),0))</f>
        <v>0</v>
      </c>
      <c r="BF194" s="477">
        <f>IF(AND(Sanidade!$Y107=Sanidade!$X107,Sanidade!$X107=BF$1),Sanidade!$W107,IF(AND(Sanidade!$Y107&gt;=Sanidade!$X107,AND(Sanidade!$X107&lt;=BF$1,Sanidade!$Y107&gt;=BF$1)),Sanidade!$W107/(Sanidade!$Y107-Sanidade!$X107+1),0))</f>
        <v>0</v>
      </c>
      <c r="BG194" s="477">
        <f>IF(AND(Sanidade!$Y107=Sanidade!$X107,Sanidade!$X107=BG$1),Sanidade!$W107,IF(AND(Sanidade!$Y107&gt;=Sanidade!$X107,AND(Sanidade!$X107&lt;=BG$1,Sanidade!$Y107&gt;=BG$1)),Sanidade!$W107/(Sanidade!$Y107-Sanidade!$X107+1),0))</f>
        <v>0</v>
      </c>
      <c r="BH194" s="477">
        <f>IF(AND(Sanidade!$Y107=Sanidade!$X107,Sanidade!$X107=BH$1),Sanidade!$W107,IF(AND(Sanidade!$Y107&gt;=Sanidade!$X107,AND(Sanidade!$X107&lt;=BH$1,Sanidade!$Y107&gt;=BH$1)),Sanidade!$W107/(Sanidade!$Y107-Sanidade!$X107+1),0))</f>
        <v>0</v>
      </c>
      <c r="BI194" s="477">
        <f>IF(AND(Sanidade!$Y107=Sanidade!$X107,Sanidade!$X107=BI$1),Sanidade!$W107,IF(AND(Sanidade!$Y107&gt;=Sanidade!$X107,AND(Sanidade!$X107&lt;=BI$1,Sanidade!$Y107&gt;=BI$1)),Sanidade!$W107/(Sanidade!$Y107-Sanidade!$X107+1),0))</f>
        <v>0</v>
      </c>
      <c r="BJ194" s="477">
        <f>IF(AND(Sanidade!$Y107=Sanidade!$X107,Sanidade!$X107=BJ$1),Sanidade!$W107,IF(AND(Sanidade!$Y107&gt;=Sanidade!$X107,AND(Sanidade!$X107&lt;=BJ$1,Sanidade!$Y107&gt;=BJ$1)),Sanidade!$W107/(Sanidade!$Y107-Sanidade!$X107+1),0))</f>
        <v>0</v>
      </c>
      <c r="BK194" s="477">
        <f>IF(AND(Sanidade!$Y107=Sanidade!$X107,Sanidade!$X107=BK$1),Sanidade!$W107,IF(AND(Sanidade!$Y107&gt;=Sanidade!$X107,AND(Sanidade!$X107&lt;=BK$1,Sanidade!$Y107&gt;=BK$1)),Sanidade!$W107/(Sanidade!$Y107-Sanidade!$X107+1),0))</f>
        <v>0</v>
      </c>
      <c r="BL194" s="477">
        <f>IF(AND(Sanidade!$Y107=Sanidade!$X107,Sanidade!$X107=BL$1),Sanidade!$W107,IF(AND(Sanidade!$Y107&gt;=Sanidade!$X107,AND(Sanidade!$X107&lt;=BL$1,Sanidade!$Y107&gt;=BL$1)),Sanidade!$W107/(Sanidade!$Y107-Sanidade!$X107+1),0))</f>
        <v>0</v>
      </c>
      <c r="BM194" s="477">
        <f>IF(AND(Sanidade!$Y107=Sanidade!$X107,Sanidade!$X107=BM$1),Sanidade!$W107,IF(AND(Sanidade!$Y107&gt;=Sanidade!$X107,AND(Sanidade!$X107&lt;=BM$1,Sanidade!$Y107&gt;=BM$1)),Sanidade!$W107/(Sanidade!$Y107-Sanidade!$X107+1),0))</f>
        <v>0</v>
      </c>
      <c r="BN194" s="477">
        <f>IF(AND(Sanidade!$Y107=Sanidade!$X107,Sanidade!$X107=BN$1),Sanidade!$W107,IF(AND(Sanidade!$Y107&gt;=Sanidade!$X107,AND(Sanidade!$X107&lt;=BN$1,Sanidade!$Y107&gt;=BN$1)),Sanidade!$W107/(Sanidade!$Y107-Sanidade!$X107+1),0))</f>
        <v>0</v>
      </c>
      <c r="BO194" s="477">
        <f>IF(AND(Sanidade!$Y107=Sanidade!$X107,Sanidade!$X107=BO$1),Sanidade!$W107,IF(AND(Sanidade!$Y107&gt;=Sanidade!$X107,AND(Sanidade!$X107&lt;=BO$1,Sanidade!$Y107&gt;=BO$1)),Sanidade!$W107/(Sanidade!$Y107-Sanidade!$X107+1),0))</f>
        <v>0</v>
      </c>
      <c r="BP194" s="477">
        <f>IF(AND(Sanidade!$Y107=Sanidade!$X107,Sanidade!$X107=BP$1),Sanidade!$W107,IF(AND(Sanidade!$Y107&gt;=Sanidade!$X107,AND(Sanidade!$X107&lt;=BP$1,Sanidade!$Y107&gt;=BP$1)),Sanidade!$W107/(Sanidade!$Y107-Sanidade!$X107+1),0))</f>
        <v>0</v>
      </c>
      <c r="BQ194" s="477">
        <f>IF(AND(Sanidade!$Y107=Sanidade!$X107,Sanidade!$X107=BQ$1),Sanidade!$W107,IF(AND(Sanidade!$Y107&gt;=Sanidade!$X107,AND(Sanidade!$X107&lt;=BQ$1,Sanidade!$Y107&gt;=BQ$1)),Sanidade!$W107/(Sanidade!$Y107-Sanidade!$X107+1),0))</f>
        <v>0</v>
      </c>
      <c r="BR194" s="477">
        <f>IF(AND(Sanidade!$Y107=Sanidade!$X107,Sanidade!$X107=BR$1),Sanidade!$W107,IF(AND(Sanidade!$Y107&gt;=Sanidade!$X107,AND(Sanidade!$X107&lt;=BR$1,Sanidade!$Y107&gt;=BR$1)),Sanidade!$W107/(Sanidade!$Y107-Sanidade!$X107+1),0))</f>
        <v>0</v>
      </c>
      <c r="BS194" s="477">
        <f>IF(AND(Sanidade!$Y107=Sanidade!$X107,Sanidade!$X107=BS$1),Sanidade!$W107,IF(AND(Sanidade!$Y107&gt;=Sanidade!$X107,AND(Sanidade!$X107&lt;=BS$1,Sanidade!$Y107&gt;=BS$1)),Sanidade!$W107/(Sanidade!$Y107-Sanidade!$X107+1),0))</f>
        <v>0</v>
      </c>
      <c r="BT194" s="477">
        <f>IF(AND(Sanidade!$Y107=Sanidade!$X107,Sanidade!$X107=BT$1),Sanidade!$W107,IF(AND(Sanidade!$Y107&gt;=Sanidade!$X107,AND(Sanidade!$X107&lt;=BT$1,Sanidade!$Y107&gt;=BT$1)),Sanidade!$W107/(Sanidade!$Y107-Sanidade!$X107+1),0))</f>
        <v>0</v>
      </c>
    </row>
    <row r="195" spans="2:72" x14ac:dyDescent="0.2">
      <c r="B195" s="499"/>
      <c r="C195" s="500"/>
      <c r="D195" s="497"/>
      <c r="E195" s="497"/>
      <c r="F195" s="497"/>
      <c r="G195" s="497"/>
      <c r="H195" s="497"/>
      <c r="BA195" s="459">
        <f>VLOOKUP(Sanidade!E108,Dados!$A$3:$N$10,13)</f>
        <v>0</v>
      </c>
      <c r="BB195" s="477">
        <f>IF(AND(Sanidade!$Y108=Sanidade!$X108,Sanidade!$X108=BB$1),Sanidade!$W108,IF(AND(Sanidade!$Y108&gt;=Sanidade!$X108,AND(Sanidade!$X108&lt;=BB$1,Sanidade!$Y108&gt;=BB$1)),Sanidade!$W108/(Sanidade!$Y108-Sanidade!$X108+1),0))</f>
        <v>0</v>
      </c>
      <c r="BC195" s="477">
        <f>IF(AND(Sanidade!$Y108=Sanidade!$X108,Sanidade!$X108=BC$1),Sanidade!$W108,IF(AND(Sanidade!$Y108&gt;=Sanidade!$X108,AND(Sanidade!$X108&lt;=BC$1,Sanidade!$Y108&gt;=BC$1)),Sanidade!$W108/(Sanidade!$Y108-Sanidade!$X108+1),0))</f>
        <v>0</v>
      </c>
      <c r="BD195" s="477">
        <f>IF(AND(Sanidade!$Y108=Sanidade!$X108,Sanidade!$X108=BD$1),Sanidade!$W108,IF(AND(Sanidade!$Y108&gt;=Sanidade!$X108,AND(Sanidade!$X108&lt;=BD$1,Sanidade!$Y108&gt;=BD$1)),Sanidade!$W108/(Sanidade!$Y108-Sanidade!$X108+1),0))</f>
        <v>0</v>
      </c>
      <c r="BE195" s="477">
        <f>IF(AND(Sanidade!$Y108=Sanidade!$X108,Sanidade!$X108=BE$1),Sanidade!$W108,IF(AND(Sanidade!$Y108&gt;=Sanidade!$X108,AND(Sanidade!$X108&lt;=BE$1,Sanidade!$Y108&gt;=BE$1)),Sanidade!$W108/(Sanidade!$Y108-Sanidade!$X108+1),0))</f>
        <v>0</v>
      </c>
      <c r="BF195" s="477">
        <f>IF(AND(Sanidade!$Y108=Sanidade!$X108,Sanidade!$X108=BF$1),Sanidade!$W108,IF(AND(Sanidade!$Y108&gt;=Sanidade!$X108,AND(Sanidade!$X108&lt;=BF$1,Sanidade!$Y108&gt;=BF$1)),Sanidade!$W108/(Sanidade!$Y108-Sanidade!$X108+1),0))</f>
        <v>0</v>
      </c>
      <c r="BG195" s="477">
        <f>IF(AND(Sanidade!$Y108=Sanidade!$X108,Sanidade!$X108=BG$1),Sanidade!$W108,IF(AND(Sanidade!$Y108&gt;=Sanidade!$X108,AND(Sanidade!$X108&lt;=BG$1,Sanidade!$Y108&gt;=BG$1)),Sanidade!$W108/(Sanidade!$Y108-Sanidade!$X108+1),0))</f>
        <v>0</v>
      </c>
      <c r="BH195" s="477">
        <f>IF(AND(Sanidade!$Y108=Sanidade!$X108,Sanidade!$X108=BH$1),Sanidade!$W108,IF(AND(Sanidade!$Y108&gt;=Sanidade!$X108,AND(Sanidade!$X108&lt;=BH$1,Sanidade!$Y108&gt;=BH$1)),Sanidade!$W108/(Sanidade!$Y108-Sanidade!$X108+1),0))</f>
        <v>0</v>
      </c>
      <c r="BI195" s="477">
        <f>IF(AND(Sanidade!$Y108=Sanidade!$X108,Sanidade!$X108=BI$1),Sanidade!$W108,IF(AND(Sanidade!$Y108&gt;=Sanidade!$X108,AND(Sanidade!$X108&lt;=BI$1,Sanidade!$Y108&gt;=BI$1)),Sanidade!$W108/(Sanidade!$Y108-Sanidade!$X108+1),0))</f>
        <v>0</v>
      </c>
      <c r="BJ195" s="477">
        <f>IF(AND(Sanidade!$Y108=Sanidade!$X108,Sanidade!$X108=BJ$1),Sanidade!$W108,IF(AND(Sanidade!$Y108&gt;=Sanidade!$X108,AND(Sanidade!$X108&lt;=BJ$1,Sanidade!$Y108&gt;=BJ$1)),Sanidade!$W108/(Sanidade!$Y108-Sanidade!$X108+1),0))</f>
        <v>0</v>
      </c>
      <c r="BK195" s="477">
        <f>IF(AND(Sanidade!$Y108=Sanidade!$X108,Sanidade!$X108=BK$1),Sanidade!$W108,IF(AND(Sanidade!$Y108&gt;=Sanidade!$X108,AND(Sanidade!$X108&lt;=BK$1,Sanidade!$Y108&gt;=BK$1)),Sanidade!$W108/(Sanidade!$Y108-Sanidade!$X108+1),0))</f>
        <v>0</v>
      </c>
      <c r="BL195" s="477">
        <f>IF(AND(Sanidade!$Y108=Sanidade!$X108,Sanidade!$X108=BL$1),Sanidade!$W108,IF(AND(Sanidade!$Y108&gt;=Sanidade!$X108,AND(Sanidade!$X108&lt;=BL$1,Sanidade!$Y108&gt;=BL$1)),Sanidade!$W108/(Sanidade!$Y108-Sanidade!$X108+1),0))</f>
        <v>0</v>
      </c>
      <c r="BM195" s="477">
        <f>IF(AND(Sanidade!$Y108=Sanidade!$X108,Sanidade!$X108=BM$1),Sanidade!$W108,IF(AND(Sanidade!$Y108&gt;=Sanidade!$X108,AND(Sanidade!$X108&lt;=BM$1,Sanidade!$Y108&gt;=BM$1)),Sanidade!$W108/(Sanidade!$Y108-Sanidade!$X108+1),0))</f>
        <v>0</v>
      </c>
      <c r="BN195" s="477">
        <f>IF(AND(Sanidade!$Y108=Sanidade!$X108,Sanidade!$X108=BN$1),Sanidade!$W108,IF(AND(Sanidade!$Y108&gt;=Sanidade!$X108,AND(Sanidade!$X108&lt;=BN$1,Sanidade!$Y108&gt;=BN$1)),Sanidade!$W108/(Sanidade!$Y108-Sanidade!$X108+1),0))</f>
        <v>0</v>
      </c>
      <c r="BO195" s="477">
        <f>IF(AND(Sanidade!$Y108=Sanidade!$X108,Sanidade!$X108=BO$1),Sanidade!$W108,IF(AND(Sanidade!$Y108&gt;=Sanidade!$X108,AND(Sanidade!$X108&lt;=BO$1,Sanidade!$Y108&gt;=BO$1)),Sanidade!$W108/(Sanidade!$Y108-Sanidade!$X108+1),0))</f>
        <v>0</v>
      </c>
      <c r="BP195" s="477">
        <f>IF(AND(Sanidade!$Y108=Sanidade!$X108,Sanidade!$X108=BP$1),Sanidade!$W108,IF(AND(Sanidade!$Y108&gt;=Sanidade!$X108,AND(Sanidade!$X108&lt;=BP$1,Sanidade!$Y108&gt;=BP$1)),Sanidade!$W108/(Sanidade!$Y108-Sanidade!$X108+1),0))</f>
        <v>0</v>
      </c>
      <c r="BQ195" s="477">
        <f>IF(AND(Sanidade!$Y108=Sanidade!$X108,Sanidade!$X108=BQ$1),Sanidade!$W108,IF(AND(Sanidade!$Y108&gt;=Sanidade!$X108,AND(Sanidade!$X108&lt;=BQ$1,Sanidade!$Y108&gt;=BQ$1)),Sanidade!$W108/(Sanidade!$Y108-Sanidade!$X108+1),0))</f>
        <v>0</v>
      </c>
      <c r="BR195" s="477">
        <f>IF(AND(Sanidade!$Y108=Sanidade!$X108,Sanidade!$X108=BR$1),Sanidade!$W108,IF(AND(Sanidade!$Y108&gt;=Sanidade!$X108,AND(Sanidade!$X108&lt;=BR$1,Sanidade!$Y108&gt;=BR$1)),Sanidade!$W108/(Sanidade!$Y108-Sanidade!$X108+1),0))</f>
        <v>0</v>
      </c>
      <c r="BS195" s="477">
        <f>IF(AND(Sanidade!$Y108=Sanidade!$X108,Sanidade!$X108=BS$1),Sanidade!$W108,IF(AND(Sanidade!$Y108&gt;=Sanidade!$X108,AND(Sanidade!$X108&lt;=BS$1,Sanidade!$Y108&gt;=BS$1)),Sanidade!$W108/(Sanidade!$Y108-Sanidade!$X108+1),0))</f>
        <v>0</v>
      </c>
      <c r="BT195" s="477">
        <f>IF(AND(Sanidade!$Y108=Sanidade!$X108,Sanidade!$X108=BT$1),Sanidade!$W108,IF(AND(Sanidade!$Y108&gt;=Sanidade!$X108,AND(Sanidade!$X108&lt;=BT$1,Sanidade!$Y108&gt;=BT$1)),Sanidade!$W108/(Sanidade!$Y108-Sanidade!$X108+1),0))</f>
        <v>0</v>
      </c>
    </row>
    <row r="196" spans="2:72" x14ac:dyDescent="0.2">
      <c r="B196" s="499"/>
      <c r="C196" s="500"/>
      <c r="D196" s="497"/>
      <c r="E196" s="497"/>
      <c r="F196" s="497"/>
      <c r="G196" s="497"/>
      <c r="H196" s="497"/>
      <c r="BA196" s="459">
        <f>VLOOKUP(Sanidade!E109,Dados!$A$3:$N$10,13)</f>
        <v>0</v>
      </c>
      <c r="BB196" s="477">
        <f>IF(AND(Sanidade!$Y109=Sanidade!$X109,Sanidade!$X109=BB$1),Sanidade!$W109,IF(AND(Sanidade!$Y109&gt;=Sanidade!$X109,AND(Sanidade!$X109&lt;=BB$1,Sanidade!$Y109&gt;=BB$1)),Sanidade!$W109/(Sanidade!$Y109-Sanidade!$X109+1),0))</f>
        <v>0</v>
      </c>
      <c r="BC196" s="477">
        <f>IF(AND(Sanidade!$Y109=Sanidade!$X109,Sanidade!$X109=BC$1),Sanidade!$W109,IF(AND(Sanidade!$Y109&gt;=Sanidade!$X109,AND(Sanidade!$X109&lt;=BC$1,Sanidade!$Y109&gt;=BC$1)),Sanidade!$W109/(Sanidade!$Y109-Sanidade!$X109+1),0))</f>
        <v>0</v>
      </c>
      <c r="BD196" s="477">
        <f>IF(AND(Sanidade!$Y109=Sanidade!$X109,Sanidade!$X109=BD$1),Sanidade!$W109,IF(AND(Sanidade!$Y109&gt;=Sanidade!$X109,AND(Sanidade!$X109&lt;=BD$1,Sanidade!$Y109&gt;=BD$1)),Sanidade!$W109/(Sanidade!$Y109-Sanidade!$X109+1),0))</f>
        <v>0</v>
      </c>
      <c r="BE196" s="477">
        <f>IF(AND(Sanidade!$Y109=Sanidade!$X109,Sanidade!$X109=BE$1),Sanidade!$W109,IF(AND(Sanidade!$Y109&gt;=Sanidade!$X109,AND(Sanidade!$X109&lt;=BE$1,Sanidade!$Y109&gt;=BE$1)),Sanidade!$W109/(Sanidade!$Y109-Sanidade!$X109+1),0))</f>
        <v>0</v>
      </c>
      <c r="BF196" s="477">
        <f>IF(AND(Sanidade!$Y109=Sanidade!$X109,Sanidade!$X109=BF$1),Sanidade!$W109,IF(AND(Sanidade!$Y109&gt;=Sanidade!$X109,AND(Sanidade!$X109&lt;=BF$1,Sanidade!$Y109&gt;=BF$1)),Sanidade!$W109/(Sanidade!$Y109-Sanidade!$X109+1),0))</f>
        <v>0</v>
      </c>
      <c r="BG196" s="477">
        <f>IF(AND(Sanidade!$Y109=Sanidade!$X109,Sanidade!$X109=BG$1),Sanidade!$W109,IF(AND(Sanidade!$Y109&gt;=Sanidade!$X109,AND(Sanidade!$X109&lt;=BG$1,Sanidade!$Y109&gt;=BG$1)),Sanidade!$W109/(Sanidade!$Y109-Sanidade!$X109+1),0))</f>
        <v>0</v>
      </c>
      <c r="BH196" s="477">
        <f>IF(AND(Sanidade!$Y109=Sanidade!$X109,Sanidade!$X109=BH$1),Sanidade!$W109,IF(AND(Sanidade!$Y109&gt;=Sanidade!$X109,AND(Sanidade!$X109&lt;=BH$1,Sanidade!$Y109&gt;=BH$1)),Sanidade!$W109/(Sanidade!$Y109-Sanidade!$X109+1),0))</f>
        <v>0</v>
      </c>
      <c r="BI196" s="477">
        <f>IF(AND(Sanidade!$Y109=Sanidade!$X109,Sanidade!$X109=BI$1),Sanidade!$W109,IF(AND(Sanidade!$Y109&gt;=Sanidade!$X109,AND(Sanidade!$X109&lt;=BI$1,Sanidade!$Y109&gt;=BI$1)),Sanidade!$W109/(Sanidade!$Y109-Sanidade!$X109+1),0))</f>
        <v>0</v>
      </c>
      <c r="BJ196" s="477">
        <f>IF(AND(Sanidade!$Y109=Sanidade!$X109,Sanidade!$X109=BJ$1),Sanidade!$W109,IF(AND(Sanidade!$Y109&gt;=Sanidade!$X109,AND(Sanidade!$X109&lt;=BJ$1,Sanidade!$Y109&gt;=BJ$1)),Sanidade!$W109/(Sanidade!$Y109-Sanidade!$X109+1),0))</f>
        <v>0</v>
      </c>
      <c r="BK196" s="477">
        <f>IF(AND(Sanidade!$Y109=Sanidade!$X109,Sanidade!$X109=BK$1),Sanidade!$W109,IF(AND(Sanidade!$Y109&gt;=Sanidade!$X109,AND(Sanidade!$X109&lt;=BK$1,Sanidade!$Y109&gt;=BK$1)),Sanidade!$W109/(Sanidade!$Y109-Sanidade!$X109+1),0))</f>
        <v>0</v>
      </c>
      <c r="BL196" s="477">
        <f>IF(AND(Sanidade!$Y109=Sanidade!$X109,Sanidade!$X109=BL$1),Sanidade!$W109,IF(AND(Sanidade!$Y109&gt;=Sanidade!$X109,AND(Sanidade!$X109&lt;=BL$1,Sanidade!$Y109&gt;=BL$1)),Sanidade!$W109/(Sanidade!$Y109-Sanidade!$X109+1),0))</f>
        <v>0</v>
      </c>
      <c r="BM196" s="477">
        <f>IF(AND(Sanidade!$Y109=Sanidade!$X109,Sanidade!$X109=BM$1),Sanidade!$W109,IF(AND(Sanidade!$Y109&gt;=Sanidade!$X109,AND(Sanidade!$X109&lt;=BM$1,Sanidade!$Y109&gt;=BM$1)),Sanidade!$W109/(Sanidade!$Y109-Sanidade!$X109+1),0))</f>
        <v>0</v>
      </c>
      <c r="BN196" s="477">
        <f>IF(AND(Sanidade!$Y109=Sanidade!$X109,Sanidade!$X109=BN$1),Sanidade!$W109,IF(AND(Sanidade!$Y109&gt;=Sanidade!$X109,AND(Sanidade!$X109&lt;=BN$1,Sanidade!$Y109&gt;=BN$1)),Sanidade!$W109/(Sanidade!$Y109-Sanidade!$X109+1),0))</f>
        <v>0</v>
      </c>
      <c r="BO196" s="477">
        <f>IF(AND(Sanidade!$Y109=Sanidade!$X109,Sanidade!$X109=BO$1),Sanidade!$W109,IF(AND(Sanidade!$Y109&gt;=Sanidade!$X109,AND(Sanidade!$X109&lt;=BO$1,Sanidade!$Y109&gt;=BO$1)),Sanidade!$W109/(Sanidade!$Y109-Sanidade!$X109+1),0))</f>
        <v>0</v>
      </c>
      <c r="BP196" s="477">
        <f>IF(AND(Sanidade!$Y109=Sanidade!$X109,Sanidade!$X109=BP$1),Sanidade!$W109,IF(AND(Sanidade!$Y109&gt;=Sanidade!$X109,AND(Sanidade!$X109&lt;=BP$1,Sanidade!$Y109&gt;=BP$1)),Sanidade!$W109/(Sanidade!$Y109-Sanidade!$X109+1),0))</f>
        <v>0</v>
      </c>
      <c r="BQ196" s="477">
        <f>IF(AND(Sanidade!$Y109=Sanidade!$X109,Sanidade!$X109=BQ$1),Sanidade!$W109,IF(AND(Sanidade!$Y109&gt;=Sanidade!$X109,AND(Sanidade!$X109&lt;=BQ$1,Sanidade!$Y109&gt;=BQ$1)),Sanidade!$W109/(Sanidade!$Y109-Sanidade!$X109+1),0))</f>
        <v>0</v>
      </c>
      <c r="BR196" s="477">
        <f>IF(AND(Sanidade!$Y109=Sanidade!$X109,Sanidade!$X109=BR$1),Sanidade!$W109,IF(AND(Sanidade!$Y109&gt;=Sanidade!$X109,AND(Sanidade!$X109&lt;=BR$1,Sanidade!$Y109&gt;=BR$1)),Sanidade!$W109/(Sanidade!$Y109-Sanidade!$X109+1),0))</f>
        <v>0</v>
      </c>
      <c r="BS196" s="477">
        <f>IF(AND(Sanidade!$Y109=Sanidade!$X109,Sanidade!$X109=BS$1),Sanidade!$W109,IF(AND(Sanidade!$Y109&gt;=Sanidade!$X109,AND(Sanidade!$X109&lt;=BS$1,Sanidade!$Y109&gt;=BS$1)),Sanidade!$W109/(Sanidade!$Y109-Sanidade!$X109+1),0))</f>
        <v>0</v>
      </c>
      <c r="BT196" s="477">
        <f>IF(AND(Sanidade!$Y109=Sanidade!$X109,Sanidade!$X109=BT$1),Sanidade!$W109,IF(AND(Sanidade!$Y109&gt;=Sanidade!$X109,AND(Sanidade!$X109&lt;=BT$1,Sanidade!$Y109&gt;=BT$1)),Sanidade!$W109/(Sanidade!$Y109-Sanidade!$X109+1),0))</f>
        <v>0</v>
      </c>
    </row>
    <row r="197" spans="2:72" x14ac:dyDescent="0.2">
      <c r="B197" s="499"/>
      <c r="C197" s="500"/>
      <c r="D197" s="497"/>
      <c r="E197" s="497"/>
      <c r="F197" s="497"/>
      <c r="G197" s="497"/>
      <c r="H197" s="497"/>
      <c r="BA197" s="459">
        <f>VLOOKUP(Sanidade!E110,Dados!$A$3:$N$10,13)</f>
        <v>0</v>
      </c>
      <c r="BB197" s="477">
        <f>IF(AND(Sanidade!$Y110=Sanidade!$X110,Sanidade!$X110=BB$1),Sanidade!$W110,IF(AND(Sanidade!$Y110&gt;=Sanidade!$X110,AND(Sanidade!$X110&lt;=BB$1,Sanidade!$Y110&gt;=BB$1)),Sanidade!$W110/(Sanidade!$Y110-Sanidade!$X110+1),0))</f>
        <v>0</v>
      </c>
      <c r="BC197" s="477">
        <f>IF(AND(Sanidade!$Y110=Sanidade!$X110,Sanidade!$X110=BC$1),Sanidade!$W110,IF(AND(Sanidade!$Y110&gt;=Sanidade!$X110,AND(Sanidade!$X110&lt;=BC$1,Sanidade!$Y110&gt;=BC$1)),Sanidade!$W110/(Sanidade!$Y110-Sanidade!$X110+1),0))</f>
        <v>0</v>
      </c>
      <c r="BD197" s="477">
        <f>IF(AND(Sanidade!$Y110=Sanidade!$X110,Sanidade!$X110=BD$1),Sanidade!$W110,IF(AND(Sanidade!$Y110&gt;=Sanidade!$X110,AND(Sanidade!$X110&lt;=BD$1,Sanidade!$Y110&gt;=BD$1)),Sanidade!$W110/(Sanidade!$Y110-Sanidade!$X110+1),0))</f>
        <v>0</v>
      </c>
      <c r="BE197" s="477">
        <f>IF(AND(Sanidade!$Y110=Sanidade!$X110,Sanidade!$X110=BE$1),Sanidade!$W110,IF(AND(Sanidade!$Y110&gt;=Sanidade!$X110,AND(Sanidade!$X110&lt;=BE$1,Sanidade!$Y110&gt;=BE$1)),Sanidade!$W110/(Sanidade!$Y110-Sanidade!$X110+1),0))</f>
        <v>0</v>
      </c>
      <c r="BF197" s="477">
        <f>IF(AND(Sanidade!$Y110=Sanidade!$X110,Sanidade!$X110=BF$1),Sanidade!$W110,IF(AND(Sanidade!$Y110&gt;=Sanidade!$X110,AND(Sanidade!$X110&lt;=BF$1,Sanidade!$Y110&gt;=BF$1)),Sanidade!$W110/(Sanidade!$Y110-Sanidade!$X110+1),0))</f>
        <v>0</v>
      </c>
      <c r="BG197" s="477">
        <f>IF(AND(Sanidade!$Y110=Sanidade!$X110,Sanidade!$X110=BG$1),Sanidade!$W110,IF(AND(Sanidade!$Y110&gt;=Sanidade!$X110,AND(Sanidade!$X110&lt;=BG$1,Sanidade!$Y110&gt;=BG$1)),Sanidade!$W110/(Sanidade!$Y110-Sanidade!$X110+1),0))</f>
        <v>0</v>
      </c>
      <c r="BH197" s="477">
        <f>IF(AND(Sanidade!$Y110=Sanidade!$X110,Sanidade!$X110=BH$1),Sanidade!$W110,IF(AND(Sanidade!$Y110&gt;=Sanidade!$X110,AND(Sanidade!$X110&lt;=BH$1,Sanidade!$Y110&gt;=BH$1)),Sanidade!$W110/(Sanidade!$Y110-Sanidade!$X110+1),0))</f>
        <v>0</v>
      </c>
      <c r="BI197" s="477">
        <f>IF(AND(Sanidade!$Y110=Sanidade!$X110,Sanidade!$X110=BI$1),Sanidade!$W110,IF(AND(Sanidade!$Y110&gt;=Sanidade!$X110,AND(Sanidade!$X110&lt;=BI$1,Sanidade!$Y110&gt;=BI$1)),Sanidade!$W110/(Sanidade!$Y110-Sanidade!$X110+1),0))</f>
        <v>0</v>
      </c>
      <c r="BJ197" s="477">
        <f>IF(AND(Sanidade!$Y110=Sanidade!$X110,Sanidade!$X110=BJ$1),Sanidade!$W110,IF(AND(Sanidade!$Y110&gt;=Sanidade!$X110,AND(Sanidade!$X110&lt;=BJ$1,Sanidade!$Y110&gt;=BJ$1)),Sanidade!$W110/(Sanidade!$Y110-Sanidade!$X110+1),0))</f>
        <v>0</v>
      </c>
      <c r="BK197" s="477">
        <f>IF(AND(Sanidade!$Y110=Sanidade!$X110,Sanidade!$X110=BK$1),Sanidade!$W110,IF(AND(Sanidade!$Y110&gt;=Sanidade!$X110,AND(Sanidade!$X110&lt;=BK$1,Sanidade!$Y110&gt;=BK$1)),Sanidade!$W110/(Sanidade!$Y110-Sanidade!$X110+1),0))</f>
        <v>0</v>
      </c>
      <c r="BL197" s="477">
        <f>IF(AND(Sanidade!$Y110=Sanidade!$X110,Sanidade!$X110=BL$1),Sanidade!$W110,IF(AND(Sanidade!$Y110&gt;=Sanidade!$X110,AND(Sanidade!$X110&lt;=BL$1,Sanidade!$Y110&gt;=BL$1)),Sanidade!$W110/(Sanidade!$Y110-Sanidade!$X110+1),0))</f>
        <v>0</v>
      </c>
      <c r="BM197" s="477">
        <f>IF(AND(Sanidade!$Y110=Sanidade!$X110,Sanidade!$X110=BM$1),Sanidade!$W110,IF(AND(Sanidade!$Y110&gt;=Sanidade!$X110,AND(Sanidade!$X110&lt;=BM$1,Sanidade!$Y110&gt;=BM$1)),Sanidade!$W110/(Sanidade!$Y110-Sanidade!$X110+1),0))</f>
        <v>0</v>
      </c>
      <c r="BN197" s="477">
        <f>IF(AND(Sanidade!$Y110=Sanidade!$X110,Sanidade!$X110=BN$1),Sanidade!$W110,IF(AND(Sanidade!$Y110&gt;=Sanidade!$X110,AND(Sanidade!$X110&lt;=BN$1,Sanidade!$Y110&gt;=BN$1)),Sanidade!$W110/(Sanidade!$Y110-Sanidade!$X110+1),0))</f>
        <v>0</v>
      </c>
      <c r="BO197" s="477">
        <f>IF(AND(Sanidade!$Y110=Sanidade!$X110,Sanidade!$X110=BO$1),Sanidade!$W110,IF(AND(Sanidade!$Y110&gt;=Sanidade!$X110,AND(Sanidade!$X110&lt;=BO$1,Sanidade!$Y110&gt;=BO$1)),Sanidade!$W110/(Sanidade!$Y110-Sanidade!$X110+1),0))</f>
        <v>0</v>
      </c>
      <c r="BP197" s="477">
        <f>IF(AND(Sanidade!$Y110=Sanidade!$X110,Sanidade!$X110=BP$1),Sanidade!$W110,IF(AND(Sanidade!$Y110&gt;=Sanidade!$X110,AND(Sanidade!$X110&lt;=BP$1,Sanidade!$Y110&gt;=BP$1)),Sanidade!$W110/(Sanidade!$Y110-Sanidade!$X110+1),0))</f>
        <v>0</v>
      </c>
      <c r="BQ197" s="477">
        <f>IF(AND(Sanidade!$Y110=Sanidade!$X110,Sanidade!$X110=BQ$1),Sanidade!$W110,IF(AND(Sanidade!$Y110&gt;=Sanidade!$X110,AND(Sanidade!$X110&lt;=BQ$1,Sanidade!$Y110&gt;=BQ$1)),Sanidade!$W110/(Sanidade!$Y110-Sanidade!$X110+1),0))</f>
        <v>0</v>
      </c>
      <c r="BR197" s="477">
        <f>IF(AND(Sanidade!$Y110=Sanidade!$X110,Sanidade!$X110=BR$1),Sanidade!$W110,IF(AND(Sanidade!$Y110&gt;=Sanidade!$X110,AND(Sanidade!$X110&lt;=BR$1,Sanidade!$Y110&gt;=BR$1)),Sanidade!$W110/(Sanidade!$Y110-Sanidade!$X110+1),0))</f>
        <v>0</v>
      </c>
      <c r="BS197" s="477">
        <f>IF(AND(Sanidade!$Y110=Sanidade!$X110,Sanidade!$X110=BS$1),Sanidade!$W110,IF(AND(Sanidade!$Y110&gt;=Sanidade!$X110,AND(Sanidade!$X110&lt;=BS$1,Sanidade!$Y110&gt;=BS$1)),Sanidade!$W110/(Sanidade!$Y110-Sanidade!$X110+1),0))</f>
        <v>0</v>
      </c>
      <c r="BT197" s="477">
        <f>IF(AND(Sanidade!$Y110=Sanidade!$X110,Sanidade!$X110=BT$1),Sanidade!$W110,IF(AND(Sanidade!$Y110&gt;=Sanidade!$X110,AND(Sanidade!$X110&lt;=BT$1,Sanidade!$Y110&gt;=BT$1)),Sanidade!$W110/(Sanidade!$Y110-Sanidade!$X110+1),0))</f>
        <v>0</v>
      </c>
    </row>
    <row r="198" spans="2:72" ht="13.5" thickBot="1" x14ac:dyDescent="0.25">
      <c r="B198" s="499"/>
      <c r="C198" s="500"/>
      <c r="D198" s="497"/>
      <c r="E198" s="497"/>
      <c r="F198" s="497"/>
      <c r="G198" s="497"/>
      <c r="H198" s="497"/>
      <c r="BA198" s="473" t="s">
        <v>2</v>
      </c>
      <c r="BB198" s="466">
        <f>SUM(BB138:BB197)</f>
        <v>29929.271818998521</v>
      </c>
      <c r="BC198" s="466">
        <f t="shared" ref="BC198:BT198" si="30">SUM(BC138:BC197)</f>
        <v>0</v>
      </c>
      <c r="BD198" s="466">
        <f t="shared" si="30"/>
        <v>0</v>
      </c>
      <c r="BE198" s="466">
        <f t="shared" si="30"/>
        <v>0</v>
      </c>
      <c r="BF198" s="466">
        <f t="shared" si="30"/>
        <v>0</v>
      </c>
      <c r="BG198" s="466">
        <f t="shared" si="30"/>
        <v>0</v>
      </c>
      <c r="BH198" s="466">
        <f t="shared" si="30"/>
        <v>0</v>
      </c>
      <c r="BI198" s="466">
        <f t="shared" si="30"/>
        <v>0</v>
      </c>
      <c r="BJ198" s="466">
        <f t="shared" si="30"/>
        <v>0</v>
      </c>
      <c r="BK198" s="466">
        <f t="shared" si="30"/>
        <v>0</v>
      </c>
      <c r="BL198" s="466">
        <f t="shared" si="30"/>
        <v>0</v>
      </c>
      <c r="BM198" s="466">
        <f t="shared" si="30"/>
        <v>0</v>
      </c>
      <c r="BN198" s="466">
        <f t="shared" si="30"/>
        <v>0</v>
      </c>
      <c r="BO198" s="466">
        <f t="shared" si="30"/>
        <v>0</v>
      </c>
      <c r="BP198" s="466">
        <f t="shared" si="30"/>
        <v>0</v>
      </c>
      <c r="BQ198" s="466">
        <f t="shared" si="30"/>
        <v>0</v>
      </c>
      <c r="BR198" s="466">
        <f t="shared" si="30"/>
        <v>0</v>
      </c>
      <c r="BS198" s="466">
        <f t="shared" si="30"/>
        <v>0</v>
      </c>
      <c r="BT198" s="466">
        <f t="shared" si="30"/>
        <v>0</v>
      </c>
    </row>
    <row r="199" spans="2:72" ht="13.5" thickBot="1" x14ac:dyDescent="0.25">
      <c r="B199" s="499"/>
      <c r="C199" s="500"/>
      <c r="D199" s="497"/>
      <c r="E199" s="497"/>
      <c r="F199" s="497"/>
      <c r="G199" s="497"/>
      <c r="H199" s="497"/>
      <c r="BA199" s="472" t="s">
        <v>300</v>
      </c>
    </row>
    <row r="200" spans="2:72" x14ac:dyDescent="0.2">
      <c r="B200" s="499"/>
      <c r="C200" s="500"/>
      <c r="D200" s="497"/>
      <c r="E200" s="497"/>
      <c r="F200" s="497"/>
      <c r="G200" s="497"/>
      <c r="H200" s="497"/>
      <c r="BA200" s="454" t="str">
        <f>VLOOKUP(Geral!$D8,Dados!$A$14:$X$81,23)</f>
        <v>Telefone</v>
      </c>
      <c r="BB200" s="455">
        <f>IF(AND(Geral!$K8 =Geral!$J8,Geral!$J8=BB$1),Geral!$I8,IF(AND(Geral!$K8 &gt;=Geral!$J8,AND(Geral!$J8&lt;=BB$1,Geral!$K8 &gt;=BB$1)),Geral!$I8 /(Geral!$K8 -Geral!$J8+1),0))</f>
        <v>600</v>
      </c>
      <c r="BC200" s="455">
        <f>IF(AND(Geral!$K8 =Geral!$J8,Geral!$J8=BC$1),Geral!$I8,IF(AND(Geral!$K8 &gt;=Geral!$J8,AND(Geral!$J8&lt;=BC$1,Geral!$K8 &gt;=BC$1)),Geral!$I8 /(Geral!$K8 -Geral!$J8+1),0))</f>
        <v>0</v>
      </c>
      <c r="BD200" s="455">
        <f>IF(AND(Geral!$K8 =Geral!$J8,Geral!$J8=BD$1),Geral!$I8,IF(AND(Geral!$K8 &gt;=Geral!$J8,AND(Geral!$J8&lt;=BD$1,Geral!$K8 &gt;=BD$1)),Geral!$I8 /(Geral!$K8 -Geral!$J8+1),0))</f>
        <v>0</v>
      </c>
      <c r="BE200" s="455">
        <f>IF(AND(Geral!$K8 =Geral!$J8,Geral!$J8=BE$1),Geral!$I8,IF(AND(Geral!$K8 &gt;=Geral!$J8,AND(Geral!$J8&lt;=BE$1,Geral!$K8 &gt;=BE$1)),Geral!$I8 /(Geral!$K8 -Geral!$J8+1),0))</f>
        <v>0</v>
      </c>
      <c r="BF200" s="455">
        <f>IF(AND(Geral!$K8 =Geral!$J8,Geral!$J8=BF$1),Geral!$I8,IF(AND(Geral!$K8 &gt;=Geral!$J8,AND(Geral!$J8&lt;=BF$1,Geral!$K8 &gt;=BF$1)),Geral!$I8 /(Geral!$K8 -Geral!$J8+1),0))</f>
        <v>0</v>
      </c>
      <c r="BG200" s="455">
        <f>IF(AND(Geral!$K8 =Geral!$J8,Geral!$J8=BG$1),Geral!$I8,IF(AND(Geral!$K8 &gt;=Geral!$J8,AND(Geral!$J8&lt;=BG$1,Geral!$K8 &gt;=BG$1)),Geral!$I8 /(Geral!$K8 -Geral!$J8+1),0))</f>
        <v>0</v>
      </c>
      <c r="BH200" s="455">
        <f>IF(AND(Geral!$K8 =Geral!$J8,Geral!$J8=BH$1),Geral!$I8,IF(AND(Geral!$K8 &gt;=Geral!$J8,AND(Geral!$J8&lt;=BH$1,Geral!$K8 &gt;=BH$1)),Geral!$I8 /(Geral!$K8 -Geral!$J8+1),0))</f>
        <v>0</v>
      </c>
      <c r="BI200" s="455">
        <f>IF(AND(Geral!$K8 =Geral!$J8,Geral!$J8=BI$1),Geral!$I8,IF(AND(Geral!$K8 &gt;=Geral!$J8,AND(Geral!$J8&lt;=BI$1,Geral!$K8 &gt;=BI$1)),Geral!$I8 /(Geral!$K8 -Geral!$J8+1),0))</f>
        <v>0</v>
      </c>
      <c r="BJ200" s="455">
        <f>IF(AND(Geral!$K8 =Geral!$J8,Geral!$J8=BJ$1),Geral!$I8,IF(AND(Geral!$K8 &gt;=Geral!$J8,AND(Geral!$J8&lt;=BJ$1,Geral!$K8 &gt;=BJ$1)),Geral!$I8 /(Geral!$K8 -Geral!$J8+1),0))</f>
        <v>0</v>
      </c>
      <c r="BK200" s="455">
        <f>IF(AND(Geral!$K8 =Geral!$J8,Geral!$J8=BK$1),Geral!$I8,IF(AND(Geral!$K8 &gt;=Geral!$J8,AND(Geral!$J8&lt;=BK$1,Geral!$K8 &gt;=BK$1)),Geral!$I8 /(Geral!$K8 -Geral!$J8+1),0))</f>
        <v>0</v>
      </c>
      <c r="BL200" s="455">
        <f>IF(AND(Geral!$K8 =Geral!$J8,Geral!$J8=BL$1),Geral!$I8,IF(AND(Geral!$K8 &gt;=Geral!$J8,AND(Geral!$J8&lt;=BL$1,Geral!$K8 &gt;=BL$1)),Geral!$I8 /(Geral!$K8 -Geral!$J8+1),0))</f>
        <v>0</v>
      </c>
      <c r="BM200" s="455">
        <f>IF(AND(Geral!$K8 =Geral!$J8,Geral!$J8=BM$1),Geral!$I8,IF(AND(Geral!$K8 &gt;=Geral!$J8,AND(Geral!$J8&lt;=BM$1,Geral!$K8 &gt;=BM$1)),Geral!$I8 /(Geral!$K8 -Geral!$J8+1),0))</f>
        <v>0</v>
      </c>
      <c r="BN200" s="455">
        <f>IF(AND(Geral!$K8 =Geral!$J8,Geral!$J8=BN$1),Geral!$I8,IF(AND(Geral!$K8 &gt;=Geral!$J8,AND(Geral!$J8&lt;=BN$1,Geral!$K8 &gt;=BN$1)),Geral!$I8 /(Geral!$K8 -Geral!$J8+1),0))</f>
        <v>0</v>
      </c>
      <c r="BO200" s="455">
        <f>IF(AND(Geral!$K8 =Geral!$J8,Geral!$J8=BO$1),Geral!$I8,IF(AND(Geral!$K8 &gt;=Geral!$J8,AND(Geral!$J8&lt;=BO$1,Geral!$K8 &gt;=BO$1)),Geral!$I8 /(Geral!$K8 -Geral!$J8+1),0))</f>
        <v>0</v>
      </c>
      <c r="BP200" s="455">
        <f>IF(AND(Geral!$K8 =Geral!$J8,Geral!$J8=BP$1),Geral!$I8,IF(AND(Geral!$K8 &gt;=Geral!$J8,AND(Geral!$J8&lt;=BP$1,Geral!$K8 &gt;=BP$1)),Geral!$I8 /(Geral!$K8 -Geral!$J8+1),0))</f>
        <v>0</v>
      </c>
      <c r="BQ200" s="455">
        <f>IF(AND(Geral!$K8 =Geral!$J8,Geral!$J8=BQ$1),Geral!$I8,IF(AND(Geral!$K8 &gt;=Geral!$J8,AND(Geral!$J8&lt;=BQ$1,Geral!$K8 &gt;=BQ$1)),Geral!$I8 /(Geral!$K8 -Geral!$J8+1),0))</f>
        <v>0</v>
      </c>
      <c r="BR200" s="455">
        <f>IF(AND(Geral!$K8 =Geral!$J8,Geral!$J8=BR$1),Geral!$I8,IF(AND(Geral!$K8 &gt;=Geral!$J8,AND(Geral!$J8&lt;=BR$1,Geral!$K8 &gt;=BR$1)),Geral!$I8 /(Geral!$K8 -Geral!$J8+1),0))</f>
        <v>0</v>
      </c>
      <c r="BS200" s="455">
        <f>IF(AND(Geral!$K8 =Geral!$J8,Geral!$J8=BS$1),Geral!$I8,IF(AND(Geral!$K8 &gt;=Geral!$J8,AND(Geral!$J8&lt;=BS$1,Geral!$K8 &gt;=BS$1)),Geral!$I8 /(Geral!$K8 -Geral!$J8+1),0))</f>
        <v>0</v>
      </c>
      <c r="BT200" s="456">
        <f>IF(AND(Geral!$K8 =Geral!$J8,Geral!$J8=BT$1),Geral!$I8,IF(AND(Geral!$K8 &gt;=Geral!$J8,AND(Geral!$J8&lt;=BT$1,Geral!$K8 &gt;=BT$1)),Geral!$I8 /(Geral!$K8 -Geral!$J8+1),0))</f>
        <v>0</v>
      </c>
    </row>
    <row r="201" spans="2:72" x14ac:dyDescent="0.2">
      <c r="B201" s="499"/>
      <c r="C201" s="500"/>
      <c r="D201" s="497"/>
      <c r="E201" s="497"/>
      <c r="F201" s="497"/>
      <c r="G201" s="497"/>
      <c r="H201" s="497"/>
      <c r="BA201" s="459" t="str">
        <f>VLOOKUP(Geral!$D9,Dados!$A$14:$X$81,23)</f>
        <v>Contabilidade</v>
      </c>
      <c r="BB201" s="460">
        <f>IF(AND(Geral!$K9 =Geral!$J9,Geral!$J9=BB$1),Geral!$I9,IF(AND(Geral!$K9 &gt;=Geral!$J9,AND(Geral!$J9&lt;=BB$1,Geral!$K9 &gt;=BB$1)),Geral!$I9 /(Geral!$K9 -Geral!$J9+1),0))</f>
        <v>362</v>
      </c>
      <c r="BC201" s="460">
        <f>IF(AND(Geral!$K9 =Geral!$J9,Geral!$J9=BC$1),Geral!$I9,IF(AND(Geral!$K9 &gt;=Geral!$J9,AND(Geral!$J9&lt;=BC$1,Geral!$K9 &gt;=BC$1)),Geral!$I9 /(Geral!$K9 -Geral!$J9+1),0))</f>
        <v>0</v>
      </c>
      <c r="BD201" s="460">
        <f>IF(AND(Geral!$K9 =Geral!$J9,Geral!$J9=BD$1),Geral!$I9,IF(AND(Geral!$K9 &gt;=Geral!$J9,AND(Geral!$J9&lt;=BD$1,Geral!$K9 &gt;=BD$1)),Geral!$I9 /(Geral!$K9 -Geral!$J9+1),0))</f>
        <v>0</v>
      </c>
      <c r="BE201" s="460">
        <f>IF(AND(Geral!$K9 =Geral!$J9,Geral!$J9=BE$1),Geral!$I9,IF(AND(Geral!$K9 &gt;=Geral!$J9,AND(Geral!$J9&lt;=BE$1,Geral!$K9 &gt;=BE$1)),Geral!$I9 /(Geral!$K9 -Geral!$J9+1),0))</f>
        <v>0</v>
      </c>
      <c r="BF201" s="460">
        <f>IF(AND(Geral!$K9 =Geral!$J9,Geral!$J9=BF$1),Geral!$I9,IF(AND(Geral!$K9 &gt;=Geral!$J9,AND(Geral!$J9&lt;=BF$1,Geral!$K9 &gt;=BF$1)),Geral!$I9 /(Geral!$K9 -Geral!$J9+1),0))</f>
        <v>0</v>
      </c>
      <c r="BG201" s="460">
        <f>IF(AND(Geral!$K9 =Geral!$J9,Geral!$J9=BG$1),Geral!$I9,IF(AND(Geral!$K9 &gt;=Geral!$J9,AND(Geral!$J9&lt;=BG$1,Geral!$K9 &gt;=BG$1)),Geral!$I9 /(Geral!$K9 -Geral!$J9+1),0))</f>
        <v>0</v>
      </c>
      <c r="BH201" s="460">
        <f>IF(AND(Geral!$K9 =Geral!$J9,Geral!$J9=BH$1),Geral!$I9,IF(AND(Geral!$K9 &gt;=Geral!$J9,AND(Geral!$J9&lt;=BH$1,Geral!$K9 &gt;=BH$1)),Geral!$I9 /(Geral!$K9 -Geral!$J9+1),0))</f>
        <v>0</v>
      </c>
      <c r="BI201" s="460">
        <f>IF(AND(Geral!$K9 =Geral!$J9,Geral!$J9=BI$1),Geral!$I9,IF(AND(Geral!$K9 &gt;=Geral!$J9,AND(Geral!$J9&lt;=BI$1,Geral!$K9 &gt;=BI$1)),Geral!$I9 /(Geral!$K9 -Geral!$J9+1),0))</f>
        <v>0</v>
      </c>
      <c r="BJ201" s="460">
        <f>IF(AND(Geral!$K9 =Geral!$J9,Geral!$J9=BJ$1),Geral!$I9,IF(AND(Geral!$K9 &gt;=Geral!$J9,AND(Geral!$J9&lt;=BJ$1,Geral!$K9 &gt;=BJ$1)),Geral!$I9 /(Geral!$K9 -Geral!$J9+1),0))</f>
        <v>0</v>
      </c>
      <c r="BK201" s="460">
        <f>IF(AND(Geral!$K9 =Geral!$J9,Geral!$J9=BK$1),Geral!$I9,IF(AND(Geral!$K9 &gt;=Geral!$J9,AND(Geral!$J9&lt;=BK$1,Geral!$K9 &gt;=BK$1)),Geral!$I9 /(Geral!$K9 -Geral!$J9+1),0))</f>
        <v>0</v>
      </c>
      <c r="BL201" s="460">
        <f>IF(AND(Geral!$K9 =Geral!$J9,Geral!$J9=BL$1),Geral!$I9,IF(AND(Geral!$K9 &gt;=Geral!$J9,AND(Geral!$J9&lt;=BL$1,Geral!$K9 &gt;=BL$1)),Geral!$I9 /(Geral!$K9 -Geral!$J9+1),0))</f>
        <v>0</v>
      </c>
      <c r="BM201" s="460">
        <f>IF(AND(Geral!$K9 =Geral!$J9,Geral!$J9=BM$1),Geral!$I9,IF(AND(Geral!$K9 &gt;=Geral!$J9,AND(Geral!$J9&lt;=BM$1,Geral!$K9 &gt;=BM$1)),Geral!$I9 /(Geral!$K9 -Geral!$J9+1),0))</f>
        <v>0</v>
      </c>
      <c r="BN201" s="460">
        <f>IF(AND(Geral!$K9 =Geral!$J9,Geral!$J9=BN$1),Geral!$I9,IF(AND(Geral!$K9 &gt;=Geral!$J9,AND(Geral!$J9&lt;=BN$1,Geral!$K9 &gt;=BN$1)),Geral!$I9 /(Geral!$K9 -Geral!$J9+1),0))</f>
        <v>0</v>
      </c>
      <c r="BO201" s="460">
        <f>IF(AND(Geral!$K9 =Geral!$J9,Geral!$J9=BO$1),Geral!$I9,IF(AND(Geral!$K9 &gt;=Geral!$J9,AND(Geral!$J9&lt;=BO$1,Geral!$K9 &gt;=BO$1)),Geral!$I9 /(Geral!$K9 -Geral!$J9+1),0))</f>
        <v>0</v>
      </c>
      <c r="BP201" s="460">
        <f>IF(AND(Geral!$K9 =Geral!$J9,Geral!$J9=BP$1),Geral!$I9,IF(AND(Geral!$K9 &gt;=Geral!$J9,AND(Geral!$J9&lt;=BP$1,Geral!$K9 &gt;=BP$1)),Geral!$I9 /(Geral!$K9 -Geral!$J9+1),0))</f>
        <v>0</v>
      </c>
      <c r="BQ201" s="460">
        <f>IF(AND(Geral!$K9 =Geral!$J9,Geral!$J9=BQ$1),Geral!$I9,IF(AND(Geral!$K9 &gt;=Geral!$J9,AND(Geral!$J9&lt;=BQ$1,Geral!$K9 &gt;=BQ$1)),Geral!$I9 /(Geral!$K9 -Geral!$J9+1),0))</f>
        <v>0</v>
      </c>
      <c r="BR201" s="460">
        <f>IF(AND(Geral!$K9 =Geral!$J9,Geral!$J9=BR$1),Geral!$I9,IF(AND(Geral!$K9 &gt;=Geral!$J9,AND(Geral!$J9&lt;=BR$1,Geral!$K9 &gt;=BR$1)),Geral!$I9 /(Geral!$K9 -Geral!$J9+1),0))</f>
        <v>0</v>
      </c>
      <c r="BS201" s="460">
        <f>IF(AND(Geral!$K9 =Geral!$J9,Geral!$J9=BS$1),Geral!$I9,IF(AND(Geral!$K9 &gt;=Geral!$J9,AND(Geral!$J9&lt;=BS$1,Geral!$K9 &gt;=BS$1)),Geral!$I9 /(Geral!$K9 -Geral!$J9+1),0))</f>
        <v>0</v>
      </c>
      <c r="BT201" s="461">
        <f>IF(AND(Geral!$K9 =Geral!$J9,Geral!$J9=BT$1),Geral!$I9,IF(AND(Geral!$K9 &gt;=Geral!$J9,AND(Geral!$J9&lt;=BT$1,Geral!$K9 &gt;=BT$1)),Geral!$I9 /(Geral!$K9 -Geral!$J9+1),0))</f>
        <v>0</v>
      </c>
    </row>
    <row r="202" spans="2:72" x14ac:dyDescent="0.2">
      <c r="B202" s="499"/>
      <c r="C202" s="500"/>
      <c r="D202" s="497"/>
      <c r="E202" s="497"/>
      <c r="F202" s="497"/>
      <c r="G202" s="497"/>
      <c r="H202" s="497"/>
      <c r="BA202" s="459">
        <f>VLOOKUP(Geral!$D10,Dados!$A$14:$X$81,23)</f>
        <v>0</v>
      </c>
      <c r="BB202" s="460">
        <f>IF(AND(Geral!$K10 =Geral!$J10,Geral!$J10=BB$1),Geral!$I10,IF(AND(Geral!$K10 &gt;=Geral!$J10,AND(Geral!$J10&lt;=BB$1,Geral!$K10 &gt;=BB$1)),Geral!$I10 /(Geral!$K10 -Geral!$J10+1),0))</f>
        <v>0</v>
      </c>
      <c r="BC202" s="460">
        <f>IF(AND(Geral!$K10 =Geral!$J10,Geral!$J10=BC$1),Geral!$I10,IF(AND(Geral!$K10 &gt;=Geral!$J10,AND(Geral!$J10&lt;=BC$1,Geral!$K10 &gt;=BC$1)),Geral!$I10 /(Geral!$K10 -Geral!$J10+1),0))</f>
        <v>0</v>
      </c>
      <c r="BD202" s="460">
        <f>IF(AND(Geral!$K10 =Geral!$J10,Geral!$J10=BD$1),Geral!$I10,IF(AND(Geral!$K10 &gt;=Geral!$J10,AND(Geral!$J10&lt;=BD$1,Geral!$K10 &gt;=BD$1)),Geral!$I10 /(Geral!$K10 -Geral!$J10+1),0))</f>
        <v>0</v>
      </c>
      <c r="BE202" s="460">
        <f>IF(AND(Geral!$K10 =Geral!$J10,Geral!$J10=BE$1),Geral!$I10,IF(AND(Geral!$K10 &gt;=Geral!$J10,AND(Geral!$J10&lt;=BE$1,Geral!$K10 &gt;=BE$1)),Geral!$I10 /(Geral!$K10 -Geral!$J10+1),0))</f>
        <v>0</v>
      </c>
      <c r="BF202" s="460">
        <f>IF(AND(Geral!$K10 =Geral!$J10,Geral!$J10=BF$1),Geral!$I10,IF(AND(Geral!$K10 &gt;=Geral!$J10,AND(Geral!$J10&lt;=BF$1,Geral!$K10 &gt;=BF$1)),Geral!$I10 /(Geral!$K10 -Geral!$J10+1),0))</f>
        <v>0</v>
      </c>
      <c r="BG202" s="460">
        <f>IF(AND(Geral!$K10 =Geral!$J10,Geral!$J10=BG$1),Geral!$I10,IF(AND(Geral!$K10 &gt;=Geral!$J10,AND(Geral!$J10&lt;=BG$1,Geral!$K10 &gt;=BG$1)),Geral!$I10 /(Geral!$K10 -Geral!$J10+1),0))</f>
        <v>0</v>
      </c>
      <c r="BH202" s="460">
        <f>IF(AND(Geral!$K10 =Geral!$J10,Geral!$J10=BH$1),Geral!$I10,IF(AND(Geral!$K10 &gt;=Geral!$J10,AND(Geral!$J10&lt;=BH$1,Geral!$K10 &gt;=BH$1)),Geral!$I10 /(Geral!$K10 -Geral!$J10+1),0))</f>
        <v>0</v>
      </c>
      <c r="BI202" s="460">
        <f>IF(AND(Geral!$K10 =Geral!$J10,Geral!$J10=BI$1),Geral!$I10,IF(AND(Geral!$K10 &gt;=Geral!$J10,AND(Geral!$J10&lt;=BI$1,Geral!$K10 &gt;=BI$1)),Geral!$I10 /(Geral!$K10 -Geral!$J10+1),0))</f>
        <v>0</v>
      </c>
      <c r="BJ202" s="460">
        <f>IF(AND(Geral!$K10 =Geral!$J10,Geral!$J10=BJ$1),Geral!$I10,IF(AND(Geral!$K10 &gt;=Geral!$J10,AND(Geral!$J10&lt;=BJ$1,Geral!$K10 &gt;=BJ$1)),Geral!$I10 /(Geral!$K10 -Geral!$J10+1),0))</f>
        <v>0</v>
      </c>
      <c r="BK202" s="460">
        <f>IF(AND(Geral!$K10 =Geral!$J10,Geral!$J10=BK$1),Geral!$I10,IF(AND(Geral!$K10 &gt;=Geral!$J10,AND(Geral!$J10&lt;=BK$1,Geral!$K10 &gt;=BK$1)),Geral!$I10 /(Geral!$K10 -Geral!$J10+1),0))</f>
        <v>0</v>
      </c>
      <c r="BL202" s="460">
        <f>IF(AND(Geral!$K10 =Geral!$J10,Geral!$J10=BL$1),Geral!$I10,IF(AND(Geral!$K10 &gt;=Geral!$J10,AND(Geral!$J10&lt;=BL$1,Geral!$K10 &gt;=BL$1)),Geral!$I10 /(Geral!$K10 -Geral!$J10+1),0))</f>
        <v>0</v>
      </c>
      <c r="BM202" s="460">
        <f>IF(AND(Geral!$K10 =Geral!$J10,Geral!$J10=BM$1),Geral!$I10,IF(AND(Geral!$K10 &gt;=Geral!$J10,AND(Geral!$J10&lt;=BM$1,Geral!$K10 &gt;=BM$1)),Geral!$I10 /(Geral!$K10 -Geral!$J10+1),0))</f>
        <v>0</v>
      </c>
      <c r="BN202" s="460">
        <f>IF(AND(Geral!$K10 =Geral!$J10,Geral!$J10=BN$1),Geral!$I10,IF(AND(Geral!$K10 &gt;=Geral!$J10,AND(Geral!$J10&lt;=BN$1,Geral!$K10 &gt;=BN$1)),Geral!$I10 /(Geral!$K10 -Geral!$J10+1),0))</f>
        <v>0</v>
      </c>
      <c r="BO202" s="460">
        <f>IF(AND(Geral!$K10 =Geral!$J10,Geral!$J10=BO$1),Geral!$I10,IF(AND(Geral!$K10 &gt;=Geral!$J10,AND(Geral!$J10&lt;=BO$1,Geral!$K10 &gt;=BO$1)),Geral!$I10 /(Geral!$K10 -Geral!$J10+1),0))</f>
        <v>0</v>
      </c>
      <c r="BP202" s="460">
        <f>IF(AND(Geral!$K10 =Geral!$J10,Geral!$J10=BP$1),Geral!$I10,IF(AND(Geral!$K10 &gt;=Geral!$J10,AND(Geral!$J10&lt;=BP$1,Geral!$K10 &gt;=BP$1)),Geral!$I10 /(Geral!$K10 -Geral!$J10+1),0))</f>
        <v>0</v>
      </c>
      <c r="BQ202" s="460">
        <f>IF(AND(Geral!$K10 =Geral!$J10,Geral!$J10=BQ$1),Geral!$I10,IF(AND(Geral!$K10 &gt;=Geral!$J10,AND(Geral!$J10&lt;=BQ$1,Geral!$K10 &gt;=BQ$1)),Geral!$I10 /(Geral!$K10 -Geral!$J10+1),0))</f>
        <v>0</v>
      </c>
      <c r="BR202" s="460">
        <f>IF(AND(Geral!$K10 =Geral!$J10,Geral!$J10=BR$1),Geral!$I10,IF(AND(Geral!$K10 &gt;=Geral!$J10,AND(Geral!$J10&lt;=BR$1,Geral!$K10 &gt;=BR$1)),Geral!$I10 /(Geral!$K10 -Geral!$J10+1),0))</f>
        <v>0</v>
      </c>
      <c r="BS202" s="460">
        <f>IF(AND(Geral!$K10 =Geral!$J10,Geral!$J10=BS$1),Geral!$I10,IF(AND(Geral!$K10 &gt;=Geral!$J10,AND(Geral!$J10&lt;=BS$1,Geral!$K10 &gt;=BS$1)),Geral!$I10 /(Geral!$K10 -Geral!$J10+1),0))</f>
        <v>0</v>
      </c>
      <c r="BT202" s="461">
        <f>IF(AND(Geral!$K10 =Geral!$J10,Geral!$J10=BT$1),Geral!$I10,IF(AND(Geral!$K10 &gt;=Geral!$J10,AND(Geral!$J10&lt;=BT$1,Geral!$K10 &gt;=BT$1)),Geral!$I10 /(Geral!$K10 -Geral!$J10+1),0))</f>
        <v>0</v>
      </c>
    </row>
    <row r="203" spans="2:72" x14ac:dyDescent="0.2">
      <c r="B203" s="499"/>
      <c r="C203" s="500"/>
      <c r="D203" s="497"/>
      <c r="E203" s="497"/>
      <c r="F203" s="497"/>
      <c r="G203" s="497"/>
      <c r="H203" s="497"/>
      <c r="BA203" s="459">
        <f>VLOOKUP(Geral!$D11,Dados!$A$14:$X$81,23)</f>
        <v>0</v>
      </c>
      <c r="BB203" s="460">
        <f>IF(AND(Geral!$K11 =Geral!$J11,Geral!$J11=BB$1),Geral!$I11,IF(AND(Geral!$K11 &gt;=Geral!$J11,AND(Geral!$J11&lt;=BB$1,Geral!$K11 &gt;=BB$1)),Geral!$I11 /(Geral!$K11 -Geral!$J11+1),0))</f>
        <v>0</v>
      </c>
      <c r="BC203" s="460">
        <f>IF(AND(Geral!$K11 =Geral!$J11,Geral!$J11=BC$1),Geral!$I11,IF(AND(Geral!$K11 &gt;=Geral!$J11,AND(Geral!$J11&lt;=BC$1,Geral!$K11 &gt;=BC$1)),Geral!$I11 /(Geral!$K11 -Geral!$J11+1),0))</f>
        <v>0</v>
      </c>
      <c r="BD203" s="460">
        <f>IF(AND(Geral!$K11 =Geral!$J11,Geral!$J11=BD$1),Geral!$I11,IF(AND(Geral!$K11 &gt;=Geral!$J11,AND(Geral!$J11&lt;=BD$1,Geral!$K11 &gt;=BD$1)),Geral!$I11 /(Geral!$K11 -Geral!$J11+1),0))</f>
        <v>0</v>
      </c>
      <c r="BE203" s="460">
        <f>IF(AND(Geral!$K11 =Geral!$J11,Geral!$J11=BE$1),Geral!$I11,IF(AND(Geral!$K11 &gt;=Geral!$J11,AND(Geral!$J11&lt;=BE$1,Geral!$K11 &gt;=BE$1)),Geral!$I11 /(Geral!$K11 -Geral!$J11+1),0))</f>
        <v>0</v>
      </c>
      <c r="BF203" s="460">
        <f>IF(AND(Geral!$K11 =Geral!$J11,Geral!$J11=BF$1),Geral!$I11,IF(AND(Geral!$K11 &gt;=Geral!$J11,AND(Geral!$J11&lt;=BF$1,Geral!$K11 &gt;=BF$1)),Geral!$I11 /(Geral!$K11 -Geral!$J11+1),0))</f>
        <v>0</v>
      </c>
      <c r="BG203" s="460">
        <f>IF(AND(Geral!$K11 =Geral!$J11,Geral!$J11=BG$1),Geral!$I11,IF(AND(Geral!$K11 &gt;=Geral!$J11,AND(Geral!$J11&lt;=BG$1,Geral!$K11 &gt;=BG$1)),Geral!$I11 /(Geral!$K11 -Geral!$J11+1),0))</f>
        <v>0</v>
      </c>
      <c r="BH203" s="460">
        <f>IF(AND(Geral!$K11 =Geral!$J11,Geral!$J11=BH$1),Geral!$I11,IF(AND(Geral!$K11 &gt;=Geral!$J11,AND(Geral!$J11&lt;=BH$1,Geral!$K11 &gt;=BH$1)),Geral!$I11 /(Geral!$K11 -Geral!$J11+1),0))</f>
        <v>0</v>
      </c>
      <c r="BI203" s="460">
        <f>IF(AND(Geral!$K11 =Geral!$J11,Geral!$J11=BI$1),Geral!$I11,IF(AND(Geral!$K11 &gt;=Geral!$J11,AND(Geral!$J11&lt;=BI$1,Geral!$K11 &gt;=BI$1)),Geral!$I11 /(Geral!$K11 -Geral!$J11+1),0))</f>
        <v>0</v>
      </c>
      <c r="BJ203" s="460">
        <f>IF(AND(Geral!$K11 =Geral!$J11,Geral!$J11=BJ$1),Geral!$I11,IF(AND(Geral!$K11 &gt;=Geral!$J11,AND(Geral!$J11&lt;=BJ$1,Geral!$K11 &gt;=BJ$1)),Geral!$I11 /(Geral!$K11 -Geral!$J11+1),0))</f>
        <v>0</v>
      </c>
      <c r="BK203" s="460">
        <f>IF(AND(Geral!$K11 =Geral!$J11,Geral!$J11=BK$1),Geral!$I11,IF(AND(Geral!$K11 &gt;=Geral!$J11,AND(Geral!$J11&lt;=BK$1,Geral!$K11 &gt;=BK$1)),Geral!$I11 /(Geral!$K11 -Geral!$J11+1),0))</f>
        <v>0</v>
      </c>
      <c r="BL203" s="460">
        <f>IF(AND(Geral!$K11 =Geral!$J11,Geral!$J11=BL$1),Geral!$I11,IF(AND(Geral!$K11 &gt;=Geral!$J11,AND(Geral!$J11&lt;=BL$1,Geral!$K11 &gt;=BL$1)),Geral!$I11 /(Geral!$K11 -Geral!$J11+1),0))</f>
        <v>0</v>
      </c>
      <c r="BM203" s="460">
        <f>IF(AND(Geral!$K11 =Geral!$J11,Geral!$J11=BM$1),Geral!$I11,IF(AND(Geral!$K11 &gt;=Geral!$J11,AND(Geral!$J11&lt;=BM$1,Geral!$K11 &gt;=BM$1)),Geral!$I11 /(Geral!$K11 -Geral!$J11+1),0))</f>
        <v>0</v>
      </c>
      <c r="BN203" s="460">
        <f>IF(AND(Geral!$K11 =Geral!$J11,Geral!$J11=BN$1),Geral!$I11,IF(AND(Geral!$K11 &gt;=Geral!$J11,AND(Geral!$J11&lt;=BN$1,Geral!$K11 &gt;=BN$1)),Geral!$I11 /(Geral!$K11 -Geral!$J11+1),0))</f>
        <v>0</v>
      </c>
      <c r="BO203" s="460">
        <f>IF(AND(Geral!$K11 =Geral!$J11,Geral!$J11=BO$1),Geral!$I11,IF(AND(Geral!$K11 &gt;=Geral!$J11,AND(Geral!$J11&lt;=BO$1,Geral!$K11 &gt;=BO$1)),Geral!$I11 /(Geral!$K11 -Geral!$J11+1),0))</f>
        <v>0</v>
      </c>
      <c r="BP203" s="460">
        <f>IF(AND(Geral!$K11 =Geral!$J11,Geral!$J11=BP$1),Geral!$I11,IF(AND(Geral!$K11 &gt;=Geral!$J11,AND(Geral!$J11&lt;=BP$1,Geral!$K11 &gt;=BP$1)),Geral!$I11 /(Geral!$K11 -Geral!$J11+1),0))</f>
        <v>0</v>
      </c>
      <c r="BQ203" s="460">
        <f>IF(AND(Geral!$K11 =Geral!$J11,Geral!$J11=BQ$1),Geral!$I11,IF(AND(Geral!$K11 &gt;=Geral!$J11,AND(Geral!$J11&lt;=BQ$1,Geral!$K11 &gt;=BQ$1)),Geral!$I11 /(Geral!$K11 -Geral!$J11+1),0))</f>
        <v>0</v>
      </c>
      <c r="BR203" s="460">
        <f>IF(AND(Geral!$K11 =Geral!$J11,Geral!$J11=BR$1),Geral!$I11,IF(AND(Geral!$K11 &gt;=Geral!$J11,AND(Geral!$J11&lt;=BR$1,Geral!$K11 &gt;=BR$1)),Geral!$I11 /(Geral!$K11 -Geral!$J11+1),0))</f>
        <v>0</v>
      </c>
      <c r="BS203" s="460">
        <f>IF(AND(Geral!$K11 =Geral!$J11,Geral!$J11=BS$1),Geral!$I11,IF(AND(Geral!$K11 &gt;=Geral!$J11,AND(Geral!$J11&lt;=BS$1,Geral!$K11 &gt;=BS$1)),Geral!$I11 /(Geral!$K11 -Geral!$J11+1),0))</f>
        <v>0</v>
      </c>
      <c r="BT203" s="461">
        <f>IF(AND(Geral!$K11 =Geral!$J11,Geral!$J11=BT$1),Geral!$I11,IF(AND(Geral!$K11 &gt;=Geral!$J11,AND(Geral!$J11&lt;=BT$1,Geral!$K11 &gt;=BT$1)),Geral!$I11 /(Geral!$K11 -Geral!$J11+1),0))</f>
        <v>0</v>
      </c>
    </row>
    <row r="204" spans="2:72" x14ac:dyDescent="0.2">
      <c r="B204" s="499"/>
      <c r="C204" s="500"/>
      <c r="D204" s="497"/>
      <c r="E204" s="497"/>
      <c r="F204" s="497"/>
      <c r="G204" s="497"/>
      <c r="H204" s="497"/>
      <c r="BA204" s="459">
        <f>VLOOKUP(Geral!$D12,Dados!$A$14:$X$81,23)</f>
        <v>0</v>
      </c>
      <c r="BB204" s="460">
        <f>IF(AND(Geral!$K12 =Geral!$J12,Geral!$J12=BB$1),Geral!$I12,IF(AND(Geral!$K12 &gt;=Geral!$J12,AND(Geral!$J12&lt;=BB$1,Geral!$K12 &gt;=BB$1)),Geral!$I12 /(Geral!$K12 -Geral!$J12+1),0))</f>
        <v>0</v>
      </c>
      <c r="BC204" s="460">
        <f>IF(AND(Geral!$K12 =Geral!$J12,Geral!$J12=BC$1),Geral!$I12,IF(AND(Geral!$K12 &gt;=Geral!$J12,AND(Geral!$J12&lt;=BC$1,Geral!$K12 &gt;=BC$1)),Geral!$I12 /(Geral!$K12 -Geral!$J12+1),0))</f>
        <v>0</v>
      </c>
      <c r="BD204" s="460">
        <f>IF(AND(Geral!$K12 =Geral!$J12,Geral!$J12=BD$1),Geral!$I12,IF(AND(Geral!$K12 &gt;=Geral!$J12,AND(Geral!$J12&lt;=BD$1,Geral!$K12 &gt;=BD$1)),Geral!$I12 /(Geral!$K12 -Geral!$J12+1),0))</f>
        <v>0</v>
      </c>
      <c r="BE204" s="460">
        <f>IF(AND(Geral!$K12 =Geral!$J12,Geral!$J12=BE$1),Geral!$I12,IF(AND(Geral!$K12 &gt;=Geral!$J12,AND(Geral!$J12&lt;=BE$1,Geral!$K12 &gt;=BE$1)),Geral!$I12 /(Geral!$K12 -Geral!$J12+1),0))</f>
        <v>0</v>
      </c>
      <c r="BF204" s="460">
        <f>IF(AND(Geral!$K12 =Geral!$J12,Geral!$J12=BF$1),Geral!$I12,IF(AND(Geral!$K12 &gt;=Geral!$J12,AND(Geral!$J12&lt;=BF$1,Geral!$K12 &gt;=BF$1)),Geral!$I12 /(Geral!$K12 -Geral!$J12+1),0))</f>
        <v>0</v>
      </c>
      <c r="BG204" s="460">
        <f>IF(AND(Geral!$K12 =Geral!$J12,Geral!$J12=BG$1),Geral!$I12,IF(AND(Geral!$K12 &gt;=Geral!$J12,AND(Geral!$J12&lt;=BG$1,Geral!$K12 &gt;=BG$1)),Geral!$I12 /(Geral!$K12 -Geral!$J12+1),0))</f>
        <v>0</v>
      </c>
      <c r="BH204" s="460">
        <f>IF(AND(Geral!$K12 =Geral!$J12,Geral!$J12=BH$1),Geral!$I12,IF(AND(Geral!$K12 &gt;=Geral!$J12,AND(Geral!$J12&lt;=BH$1,Geral!$K12 &gt;=BH$1)),Geral!$I12 /(Geral!$K12 -Geral!$J12+1),0))</f>
        <v>0</v>
      </c>
      <c r="BI204" s="460">
        <f>IF(AND(Geral!$K12 =Geral!$J12,Geral!$J12=BI$1),Geral!$I12,IF(AND(Geral!$K12 &gt;=Geral!$J12,AND(Geral!$J12&lt;=BI$1,Geral!$K12 &gt;=BI$1)),Geral!$I12 /(Geral!$K12 -Geral!$J12+1),0))</f>
        <v>0</v>
      </c>
      <c r="BJ204" s="460">
        <f>IF(AND(Geral!$K12 =Geral!$J12,Geral!$J12=BJ$1),Geral!$I12,IF(AND(Geral!$K12 &gt;=Geral!$J12,AND(Geral!$J12&lt;=BJ$1,Geral!$K12 &gt;=BJ$1)),Geral!$I12 /(Geral!$K12 -Geral!$J12+1),0))</f>
        <v>0</v>
      </c>
      <c r="BK204" s="460">
        <f>IF(AND(Geral!$K12 =Geral!$J12,Geral!$J12=BK$1),Geral!$I12,IF(AND(Geral!$K12 &gt;=Geral!$J12,AND(Geral!$J12&lt;=BK$1,Geral!$K12 &gt;=BK$1)),Geral!$I12 /(Geral!$K12 -Geral!$J12+1),0))</f>
        <v>0</v>
      </c>
      <c r="BL204" s="460">
        <f>IF(AND(Geral!$K12 =Geral!$J12,Geral!$J12=BL$1),Geral!$I12,IF(AND(Geral!$K12 &gt;=Geral!$J12,AND(Geral!$J12&lt;=BL$1,Geral!$K12 &gt;=BL$1)),Geral!$I12 /(Geral!$K12 -Geral!$J12+1),0))</f>
        <v>0</v>
      </c>
      <c r="BM204" s="460">
        <f>IF(AND(Geral!$K12 =Geral!$J12,Geral!$J12=BM$1),Geral!$I12,IF(AND(Geral!$K12 &gt;=Geral!$J12,AND(Geral!$J12&lt;=BM$1,Geral!$K12 &gt;=BM$1)),Geral!$I12 /(Geral!$K12 -Geral!$J12+1),0))</f>
        <v>0</v>
      </c>
      <c r="BN204" s="460">
        <f>IF(AND(Geral!$K12 =Geral!$J12,Geral!$J12=BN$1),Geral!$I12,IF(AND(Geral!$K12 &gt;=Geral!$J12,AND(Geral!$J12&lt;=BN$1,Geral!$K12 &gt;=BN$1)),Geral!$I12 /(Geral!$K12 -Geral!$J12+1),0))</f>
        <v>0</v>
      </c>
      <c r="BO204" s="460">
        <f>IF(AND(Geral!$K12 =Geral!$J12,Geral!$J12=BO$1),Geral!$I12,IF(AND(Geral!$K12 &gt;=Geral!$J12,AND(Geral!$J12&lt;=BO$1,Geral!$K12 &gt;=BO$1)),Geral!$I12 /(Geral!$K12 -Geral!$J12+1),0))</f>
        <v>0</v>
      </c>
      <c r="BP204" s="460">
        <f>IF(AND(Geral!$K12 =Geral!$J12,Geral!$J12=BP$1),Geral!$I12,IF(AND(Geral!$K12 &gt;=Geral!$J12,AND(Geral!$J12&lt;=BP$1,Geral!$K12 &gt;=BP$1)),Geral!$I12 /(Geral!$K12 -Geral!$J12+1),0))</f>
        <v>0</v>
      </c>
      <c r="BQ204" s="460">
        <f>IF(AND(Geral!$K12 =Geral!$J12,Geral!$J12=BQ$1),Geral!$I12,IF(AND(Geral!$K12 &gt;=Geral!$J12,AND(Geral!$J12&lt;=BQ$1,Geral!$K12 &gt;=BQ$1)),Geral!$I12 /(Geral!$K12 -Geral!$J12+1),0))</f>
        <v>0</v>
      </c>
      <c r="BR204" s="460">
        <f>IF(AND(Geral!$K12 =Geral!$J12,Geral!$J12=BR$1),Geral!$I12,IF(AND(Geral!$K12 &gt;=Geral!$J12,AND(Geral!$J12&lt;=BR$1,Geral!$K12 &gt;=BR$1)),Geral!$I12 /(Geral!$K12 -Geral!$J12+1),0))</f>
        <v>0</v>
      </c>
      <c r="BS204" s="460">
        <f>IF(AND(Geral!$K12 =Geral!$J12,Geral!$J12=BS$1),Geral!$I12,IF(AND(Geral!$K12 &gt;=Geral!$J12,AND(Geral!$J12&lt;=BS$1,Geral!$K12 &gt;=BS$1)),Geral!$I12 /(Geral!$K12 -Geral!$J12+1),0))</f>
        <v>0</v>
      </c>
      <c r="BT204" s="461">
        <f>IF(AND(Geral!$K12 =Geral!$J12,Geral!$J12=BT$1),Geral!$I12,IF(AND(Geral!$K12 &gt;=Geral!$J12,AND(Geral!$J12&lt;=BT$1,Geral!$K12 &gt;=BT$1)),Geral!$I12 /(Geral!$K12 -Geral!$J12+1),0))</f>
        <v>0</v>
      </c>
    </row>
    <row r="205" spans="2:72" x14ac:dyDescent="0.2">
      <c r="B205" s="499"/>
      <c r="C205" s="500"/>
      <c r="D205" s="497"/>
      <c r="E205" s="497"/>
      <c r="F205" s="497"/>
      <c r="G205" s="497"/>
      <c r="H205" s="497"/>
      <c r="BA205" s="459">
        <f>VLOOKUP(Geral!$D13,Dados!$A$14:$X$81,23)</f>
        <v>0</v>
      </c>
      <c r="BB205" s="460">
        <f>IF(AND(Geral!$K13 =Geral!$J13,Geral!$J13=BB$1),Geral!$I13,IF(AND(Geral!$K13 &gt;=Geral!$J13,AND(Geral!$J13&lt;=BB$1,Geral!$K13 &gt;=BB$1)),Geral!$I13 /(Geral!$K13 -Geral!$J13+1),0))</f>
        <v>0</v>
      </c>
      <c r="BC205" s="460">
        <f>IF(AND(Geral!$K13 =Geral!$J13,Geral!$J13=BC$1),Geral!$I13,IF(AND(Geral!$K13 &gt;=Geral!$J13,AND(Geral!$J13&lt;=BC$1,Geral!$K13 &gt;=BC$1)),Geral!$I13 /(Geral!$K13 -Geral!$J13+1),0))</f>
        <v>0</v>
      </c>
      <c r="BD205" s="460">
        <f>IF(AND(Geral!$K13 =Geral!$J13,Geral!$J13=BD$1),Geral!$I13,IF(AND(Geral!$K13 &gt;=Geral!$J13,AND(Geral!$J13&lt;=BD$1,Geral!$K13 &gt;=BD$1)),Geral!$I13 /(Geral!$K13 -Geral!$J13+1),0))</f>
        <v>0</v>
      </c>
      <c r="BE205" s="460">
        <f>IF(AND(Geral!$K13 =Geral!$J13,Geral!$J13=BE$1),Geral!$I13,IF(AND(Geral!$K13 &gt;=Geral!$J13,AND(Geral!$J13&lt;=BE$1,Geral!$K13 &gt;=BE$1)),Geral!$I13 /(Geral!$K13 -Geral!$J13+1),0))</f>
        <v>0</v>
      </c>
      <c r="BF205" s="460">
        <f>IF(AND(Geral!$K13 =Geral!$J13,Geral!$J13=BF$1),Geral!$I13,IF(AND(Geral!$K13 &gt;=Geral!$J13,AND(Geral!$J13&lt;=BF$1,Geral!$K13 &gt;=BF$1)),Geral!$I13 /(Geral!$K13 -Geral!$J13+1),0))</f>
        <v>0</v>
      </c>
      <c r="BG205" s="460">
        <f>IF(AND(Geral!$K13 =Geral!$J13,Geral!$J13=BG$1),Geral!$I13,IF(AND(Geral!$K13 &gt;=Geral!$J13,AND(Geral!$J13&lt;=BG$1,Geral!$K13 &gt;=BG$1)),Geral!$I13 /(Geral!$K13 -Geral!$J13+1),0))</f>
        <v>0</v>
      </c>
      <c r="BH205" s="460">
        <f>IF(AND(Geral!$K13 =Geral!$J13,Geral!$J13=BH$1),Geral!$I13,IF(AND(Geral!$K13 &gt;=Geral!$J13,AND(Geral!$J13&lt;=BH$1,Geral!$K13 &gt;=BH$1)),Geral!$I13 /(Geral!$K13 -Geral!$J13+1),0))</f>
        <v>0</v>
      </c>
      <c r="BI205" s="460">
        <f>IF(AND(Geral!$K13 =Geral!$J13,Geral!$J13=BI$1),Geral!$I13,IF(AND(Geral!$K13 &gt;=Geral!$J13,AND(Geral!$J13&lt;=BI$1,Geral!$K13 &gt;=BI$1)),Geral!$I13 /(Geral!$K13 -Geral!$J13+1),0))</f>
        <v>0</v>
      </c>
      <c r="BJ205" s="460">
        <f>IF(AND(Geral!$K13 =Geral!$J13,Geral!$J13=BJ$1),Geral!$I13,IF(AND(Geral!$K13 &gt;=Geral!$J13,AND(Geral!$J13&lt;=BJ$1,Geral!$K13 &gt;=BJ$1)),Geral!$I13 /(Geral!$K13 -Geral!$J13+1),0))</f>
        <v>0</v>
      </c>
      <c r="BK205" s="460">
        <f>IF(AND(Geral!$K13 =Geral!$J13,Geral!$J13=BK$1),Geral!$I13,IF(AND(Geral!$K13 &gt;=Geral!$J13,AND(Geral!$J13&lt;=BK$1,Geral!$K13 &gt;=BK$1)),Geral!$I13 /(Geral!$K13 -Geral!$J13+1),0))</f>
        <v>0</v>
      </c>
      <c r="BL205" s="460">
        <f>IF(AND(Geral!$K13 =Geral!$J13,Geral!$J13=BL$1),Geral!$I13,IF(AND(Geral!$K13 &gt;=Geral!$J13,AND(Geral!$J13&lt;=BL$1,Geral!$K13 &gt;=BL$1)),Geral!$I13 /(Geral!$K13 -Geral!$J13+1),0))</f>
        <v>0</v>
      </c>
      <c r="BM205" s="460">
        <f>IF(AND(Geral!$K13 =Geral!$J13,Geral!$J13=BM$1),Geral!$I13,IF(AND(Geral!$K13 &gt;=Geral!$J13,AND(Geral!$J13&lt;=BM$1,Geral!$K13 &gt;=BM$1)),Geral!$I13 /(Geral!$K13 -Geral!$J13+1),0))</f>
        <v>0</v>
      </c>
      <c r="BN205" s="460">
        <f>IF(AND(Geral!$K13 =Geral!$J13,Geral!$J13=BN$1),Geral!$I13,IF(AND(Geral!$K13 &gt;=Geral!$J13,AND(Geral!$J13&lt;=BN$1,Geral!$K13 &gt;=BN$1)),Geral!$I13 /(Geral!$K13 -Geral!$J13+1),0))</f>
        <v>0</v>
      </c>
      <c r="BO205" s="460">
        <f>IF(AND(Geral!$K13 =Geral!$J13,Geral!$J13=BO$1),Geral!$I13,IF(AND(Geral!$K13 &gt;=Geral!$J13,AND(Geral!$J13&lt;=BO$1,Geral!$K13 &gt;=BO$1)),Geral!$I13 /(Geral!$K13 -Geral!$J13+1),0))</f>
        <v>0</v>
      </c>
      <c r="BP205" s="460">
        <f>IF(AND(Geral!$K13 =Geral!$J13,Geral!$J13=BP$1),Geral!$I13,IF(AND(Geral!$K13 &gt;=Geral!$J13,AND(Geral!$J13&lt;=BP$1,Geral!$K13 &gt;=BP$1)),Geral!$I13 /(Geral!$K13 -Geral!$J13+1),0))</f>
        <v>0</v>
      </c>
      <c r="BQ205" s="460">
        <f>IF(AND(Geral!$K13 =Geral!$J13,Geral!$J13=BQ$1),Geral!$I13,IF(AND(Geral!$K13 &gt;=Geral!$J13,AND(Geral!$J13&lt;=BQ$1,Geral!$K13 &gt;=BQ$1)),Geral!$I13 /(Geral!$K13 -Geral!$J13+1),0))</f>
        <v>0</v>
      </c>
      <c r="BR205" s="460">
        <f>IF(AND(Geral!$K13 =Geral!$J13,Geral!$J13=BR$1),Geral!$I13,IF(AND(Geral!$K13 &gt;=Geral!$J13,AND(Geral!$J13&lt;=BR$1,Geral!$K13 &gt;=BR$1)),Geral!$I13 /(Geral!$K13 -Geral!$J13+1),0))</f>
        <v>0</v>
      </c>
      <c r="BS205" s="460">
        <f>IF(AND(Geral!$K13 =Geral!$J13,Geral!$J13=BS$1),Geral!$I13,IF(AND(Geral!$K13 &gt;=Geral!$J13,AND(Geral!$J13&lt;=BS$1,Geral!$K13 &gt;=BS$1)),Geral!$I13 /(Geral!$K13 -Geral!$J13+1),0))</f>
        <v>0</v>
      </c>
      <c r="BT205" s="461">
        <f>IF(AND(Geral!$K13 =Geral!$J13,Geral!$J13=BT$1),Geral!$I13,IF(AND(Geral!$K13 &gt;=Geral!$J13,AND(Geral!$J13&lt;=BT$1,Geral!$K13 &gt;=BT$1)),Geral!$I13 /(Geral!$K13 -Geral!$J13+1),0))</f>
        <v>0</v>
      </c>
    </row>
    <row r="206" spans="2:72" x14ac:dyDescent="0.2">
      <c r="B206" s="499"/>
      <c r="C206" s="500"/>
      <c r="D206" s="497"/>
      <c r="E206" s="497"/>
      <c r="F206" s="497"/>
      <c r="G206" s="497"/>
      <c r="H206" s="497"/>
      <c r="BA206" s="459" t="str">
        <f>VLOOKUP(Geral!$D18,Dados!$A$14:$X$81,23)</f>
        <v>Telefone</v>
      </c>
      <c r="BB206" s="460">
        <f>IF(AND(Geral!$K18 =Geral!$J18,Geral!$J18=BB$1),Geral!$I18,IF(AND(Geral!$K18 &gt;=Geral!$J18,AND(Geral!$J18&lt;=BB$1,Geral!$K18 &gt;=BB$1)),Geral!$I18 /(Geral!$K18 -Geral!$J18+1),0))</f>
        <v>1200</v>
      </c>
      <c r="BC206" s="460">
        <f>IF(AND(Geral!$K18 =Geral!$J18,Geral!$J18=BC$1),Geral!$I18,IF(AND(Geral!$K18 &gt;=Geral!$J18,AND(Geral!$J18&lt;=BC$1,Geral!$K18 &gt;=BC$1)),Geral!$I18 /(Geral!$K18 -Geral!$J18+1),0))</f>
        <v>0</v>
      </c>
      <c r="BD206" s="460">
        <f>IF(AND(Geral!$K18 =Geral!$J18,Geral!$J18=BD$1),Geral!$I18,IF(AND(Geral!$K18 &gt;=Geral!$J18,AND(Geral!$J18&lt;=BD$1,Geral!$K18 &gt;=BD$1)),Geral!$I18 /(Geral!$K18 -Geral!$J18+1),0))</f>
        <v>0</v>
      </c>
      <c r="BE206" s="460">
        <f>IF(AND(Geral!$K18 =Geral!$J18,Geral!$J18=BE$1),Geral!$I18,IF(AND(Geral!$K18 &gt;=Geral!$J18,AND(Geral!$J18&lt;=BE$1,Geral!$K18 &gt;=BE$1)),Geral!$I18 /(Geral!$K18 -Geral!$J18+1),0))</f>
        <v>0</v>
      </c>
      <c r="BF206" s="460">
        <f>IF(AND(Geral!$K18 =Geral!$J18,Geral!$J18=BF$1),Geral!$I18,IF(AND(Geral!$K18 &gt;=Geral!$J18,AND(Geral!$J18&lt;=BF$1,Geral!$K18 &gt;=BF$1)),Geral!$I18 /(Geral!$K18 -Geral!$J18+1),0))</f>
        <v>0</v>
      </c>
      <c r="BG206" s="460">
        <f>IF(AND(Geral!$K18 =Geral!$J18,Geral!$J18=BG$1),Geral!$I18,IF(AND(Geral!$K18 &gt;=Geral!$J18,AND(Geral!$J18&lt;=BG$1,Geral!$K18 &gt;=BG$1)),Geral!$I18 /(Geral!$K18 -Geral!$J18+1),0))</f>
        <v>0</v>
      </c>
      <c r="BH206" s="460">
        <f>IF(AND(Geral!$K18 =Geral!$J18,Geral!$J18=BH$1),Geral!$I18,IF(AND(Geral!$K18 &gt;=Geral!$J18,AND(Geral!$J18&lt;=BH$1,Geral!$K18 &gt;=BH$1)),Geral!$I18 /(Geral!$K18 -Geral!$J18+1),0))</f>
        <v>0</v>
      </c>
      <c r="BI206" s="460">
        <f>IF(AND(Geral!$K18 =Geral!$J18,Geral!$J18=BI$1),Geral!$I18,IF(AND(Geral!$K18 &gt;=Geral!$J18,AND(Geral!$J18&lt;=BI$1,Geral!$K18 &gt;=BI$1)),Geral!$I18 /(Geral!$K18 -Geral!$J18+1),0))</f>
        <v>0</v>
      </c>
      <c r="BJ206" s="460">
        <f>IF(AND(Geral!$K18 =Geral!$J18,Geral!$J18=BJ$1),Geral!$I18,IF(AND(Geral!$K18 &gt;=Geral!$J18,AND(Geral!$J18&lt;=BJ$1,Geral!$K18 &gt;=BJ$1)),Geral!$I18 /(Geral!$K18 -Geral!$J18+1),0))</f>
        <v>0</v>
      </c>
      <c r="BK206" s="460">
        <f>IF(AND(Geral!$K18 =Geral!$J18,Geral!$J18=BK$1),Geral!$I18,IF(AND(Geral!$K18 &gt;=Geral!$J18,AND(Geral!$J18&lt;=BK$1,Geral!$K18 &gt;=BK$1)),Geral!$I18 /(Geral!$K18 -Geral!$J18+1),0))</f>
        <v>0</v>
      </c>
      <c r="BL206" s="460">
        <f>IF(AND(Geral!$K18 =Geral!$J18,Geral!$J18=BL$1),Geral!$I18,IF(AND(Geral!$K18 &gt;=Geral!$J18,AND(Geral!$J18&lt;=BL$1,Geral!$K18 &gt;=BL$1)),Geral!$I18 /(Geral!$K18 -Geral!$J18+1),0))</f>
        <v>0</v>
      </c>
      <c r="BM206" s="460">
        <f>IF(AND(Geral!$K18 =Geral!$J18,Geral!$J18=BM$1),Geral!$I18,IF(AND(Geral!$K18 &gt;=Geral!$J18,AND(Geral!$J18&lt;=BM$1,Geral!$K18 &gt;=BM$1)),Geral!$I18 /(Geral!$K18 -Geral!$J18+1),0))</f>
        <v>0</v>
      </c>
      <c r="BN206" s="460">
        <f>IF(AND(Geral!$K18 =Geral!$J18,Geral!$J18=BN$1),Geral!$I18,IF(AND(Geral!$K18 &gt;=Geral!$J18,AND(Geral!$J18&lt;=BN$1,Geral!$K18 &gt;=BN$1)),Geral!$I18 /(Geral!$K18 -Geral!$J18+1),0))</f>
        <v>0</v>
      </c>
      <c r="BO206" s="460">
        <f>IF(AND(Geral!$K18 =Geral!$J18,Geral!$J18=BO$1),Geral!$I18,IF(AND(Geral!$K18 &gt;=Geral!$J18,AND(Geral!$J18&lt;=BO$1,Geral!$K18 &gt;=BO$1)),Geral!$I18 /(Geral!$K18 -Geral!$J18+1),0))</f>
        <v>0</v>
      </c>
      <c r="BP206" s="460">
        <f>IF(AND(Geral!$K18 =Geral!$J18,Geral!$J18=BP$1),Geral!$I18,IF(AND(Geral!$K18 &gt;=Geral!$J18,AND(Geral!$J18&lt;=BP$1,Geral!$K18 &gt;=BP$1)),Geral!$I18 /(Geral!$K18 -Geral!$J18+1),0))</f>
        <v>0</v>
      </c>
      <c r="BQ206" s="460">
        <f>IF(AND(Geral!$K18 =Geral!$J18,Geral!$J18=BQ$1),Geral!$I18,IF(AND(Geral!$K18 &gt;=Geral!$J18,AND(Geral!$J18&lt;=BQ$1,Geral!$K18 &gt;=BQ$1)),Geral!$I18 /(Geral!$K18 -Geral!$J18+1),0))</f>
        <v>0</v>
      </c>
      <c r="BR206" s="460">
        <f>IF(AND(Geral!$K18 =Geral!$J18,Geral!$J18=BR$1),Geral!$I18,IF(AND(Geral!$K18 &gt;=Geral!$J18,AND(Geral!$J18&lt;=BR$1,Geral!$K18 &gt;=BR$1)),Geral!$I18 /(Geral!$K18 -Geral!$J18+1),0))</f>
        <v>0</v>
      </c>
      <c r="BS206" s="460">
        <f>IF(AND(Geral!$K18 =Geral!$J18,Geral!$J18=BS$1),Geral!$I18,IF(AND(Geral!$K18 &gt;=Geral!$J18,AND(Geral!$J18&lt;=BS$1,Geral!$K18 &gt;=BS$1)),Geral!$I18 /(Geral!$K18 -Geral!$J18+1),0))</f>
        <v>0</v>
      </c>
      <c r="BT206" s="461">
        <f>IF(AND(Geral!$K18 =Geral!$J18,Geral!$J18=BT$1),Geral!$I18,IF(AND(Geral!$K18 &gt;=Geral!$J18,AND(Geral!$J18&lt;=BT$1,Geral!$K18 &gt;=BT$1)),Geral!$I18 /(Geral!$K18 -Geral!$J18+1),0))</f>
        <v>0</v>
      </c>
    </row>
    <row r="207" spans="2:72" x14ac:dyDescent="0.2">
      <c r="B207" s="499"/>
      <c r="C207" s="500"/>
      <c r="D207" s="497"/>
      <c r="E207" s="497"/>
      <c r="F207" s="497"/>
      <c r="G207" s="497"/>
      <c r="H207" s="497"/>
      <c r="BA207" s="459" t="str">
        <f>VLOOKUP(Geral!$D19,Dados!$A$14:$Y$81,25)</f>
        <v>Gasolina</v>
      </c>
      <c r="BB207" s="460">
        <f>IF(AND(Geral!$K19 =Geral!$J19,Geral!$J19=BB$1),Geral!$I19,IF(AND(Geral!$K19 &gt;=Geral!$J19,AND(Geral!$J19&lt;=BB$1,Geral!$K19 &gt;=BB$1)),Geral!$I19 /(Geral!$K19 -Geral!$J19+1),0))</f>
        <v>396</v>
      </c>
      <c r="BC207" s="460">
        <f>IF(AND(Geral!$K19 =Geral!$J19,Geral!$J19=BC$1),Geral!$I19,IF(AND(Geral!$K19 &gt;=Geral!$J19,AND(Geral!$J19&lt;=BC$1,Geral!$K19 &gt;=BC$1)),Geral!$I19 /(Geral!$K19 -Geral!$J19+1),0))</f>
        <v>0</v>
      </c>
      <c r="BD207" s="460">
        <f>IF(AND(Geral!$K19 =Geral!$J19,Geral!$J19=BD$1),Geral!$I19,IF(AND(Geral!$K19 &gt;=Geral!$J19,AND(Geral!$J19&lt;=BD$1,Geral!$K19 &gt;=BD$1)),Geral!$I19 /(Geral!$K19 -Geral!$J19+1),0))</f>
        <v>0</v>
      </c>
      <c r="BE207" s="460">
        <f>IF(AND(Geral!$K19 =Geral!$J19,Geral!$J19=BE$1),Geral!$I19,IF(AND(Geral!$K19 &gt;=Geral!$J19,AND(Geral!$J19&lt;=BE$1,Geral!$K19 &gt;=BE$1)),Geral!$I19 /(Geral!$K19 -Geral!$J19+1),0))</f>
        <v>0</v>
      </c>
      <c r="BF207" s="460">
        <f>IF(AND(Geral!$K19 =Geral!$J19,Geral!$J19=BF$1),Geral!$I19,IF(AND(Geral!$K19 &gt;=Geral!$J19,AND(Geral!$J19&lt;=BF$1,Geral!$K19 &gt;=BF$1)),Geral!$I19 /(Geral!$K19 -Geral!$J19+1),0))</f>
        <v>0</v>
      </c>
      <c r="BG207" s="460">
        <f>IF(AND(Geral!$K19 =Geral!$J19,Geral!$J19=BG$1),Geral!$I19,IF(AND(Geral!$K19 &gt;=Geral!$J19,AND(Geral!$J19&lt;=BG$1,Geral!$K19 &gt;=BG$1)),Geral!$I19 /(Geral!$K19 -Geral!$J19+1),0))</f>
        <v>0</v>
      </c>
      <c r="BH207" s="460">
        <f>IF(AND(Geral!$K19 =Geral!$J19,Geral!$J19=BH$1),Geral!$I19,IF(AND(Geral!$K19 &gt;=Geral!$J19,AND(Geral!$J19&lt;=BH$1,Geral!$K19 &gt;=BH$1)),Geral!$I19 /(Geral!$K19 -Geral!$J19+1),0))</f>
        <v>0</v>
      </c>
      <c r="BI207" s="460">
        <f>IF(AND(Geral!$K19 =Geral!$J19,Geral!$J19=BI$1),Geral!$I19,IF(AND(Geral!$K19 &gt;=Geral!$J19,AND(Geral!$J19&lt;=BI$1,Geral!$K19 &gt;=BI$1)),Geral!$I19 /(Geral!$K19 -Geral!$J19+1),0))</f>
        <v>0</v>
      </c>
      <c r="BJ207" s="460">
        <f>IF(AND(Geral!$K19 =Geral!$J19,Geral!$J19=BJ$1),Geral!$I19,IF(AND(Geral!$K19 &gt;=Geral!$J19,AND(Geral!$J19&lt;=BJ$1,Geral!$K19 &gt;=BJ$1)),Geral!$I19 /(Geral!$K19 -Geral!$J19+1),0))</f>
        <v>0</v>
      </c>
      <c r="BK207" s="460">
        <f>IF(AND(Geral!$K19 =Geral!$J19,Geral!$J19=BK$1),Geral!$I19,IF(AND(Geral!$K19 &gt;=Geral!$J19,AND(Geral!$J19&lt;=BK$1,Geral!$K19 &gt;=BK$1)),Geral!$I19 /(Geral!$K19 -Geral!$J19+1),0))</f>
        <v>0</v>
      </c>
      <c r="BL207" s="460">
        <f>IF(AND(Geral!$K19 =Geral!$J19,Geral!$J19=BL$1),Geral!$I19,IF(AND(Geral!$K19 &gt;=Geral!$J19,AND(Geral!$J19&lt;=BL$1,Geral!$K19 &gt;=BL$1)),Geral!$I19 /(Geral!$K19 -Geral!$J19+1),0))</f>
        <v>0</v>
      </c>
      <c r="BM207" s="460">
        <f>IF(AND(Geral!$K19 =Geral!$J19,Geral!$J19=BM$1),Geral!$I19,IF(AND(Geral!$K19 &gt;=Geral!$J19,AND(Geral!$J19&lt;=BM$1,Geral!$K19 &gt;=BM$1)),Geral!$I19 /(Geral!$K19 -Geral!$J19+1),0))</f>
        <v>0</v>
      </c>
      <c r="BN207" s="460">
        <f>IF(AND(Geral!$K19 =Geral!$J19,Geral!$J19=BN$1),Geral!$I19,IF(AND(Geral!$K19 &gt;=Geral!$J19,AND(Geral!$J19&lt;=BN$1,Geral!$K19 &gt;=BN$1)),Geral!$I19 /(Geral!$K19 -Geral!$J19+1),0))</f>
        <v>0</v>
      </c>
      <c r="BO207" s="460">
        <f>IF(AND(Geral!$K19 =Geral!$J19,Geral!$J19=BO$1),Geral!$I19,IF(AND(Geral!$K19 &gt;=Geral!$J19,AND(Geral!$J19&lt;=BO$1,Geral!$K19 &gt;=BO$1)),Geral!$I19 /(Geral!$K19 -Geral!$J19+1),0))</f>
        <v>0</v>
      </c>
      <c r="BP207" s="460">
        <f>IF(AND(Geral!$K19 =Geral!$J19,Geral!$J19=BP$1),Geral!$I19,IF(AND(Geral!$K19 &gt;=Geral!$J19,AND(Geral!$J19&lt;=BP$1,Geral!$K19 &gt;=BP$1)),Geral!$I19 /(Geral!$K19 -Geral!$J19+1),0))</f>
        <v>0</v>
      </c>
      <c r="BQ207" s="460">
        <f>IF(AND(Geral!$K19 =Geral!$J19,Geral!$J19=BQ$1),Geral!$I19,IF(AND(Geral!$K19 &gt;=Geral!$J19,AND(Geral!$J19&lt;=BQ$1,Geral!$K19 &gt;=BQ$1)),Geral!$I19 /(Geral!$K19 -Geral!$J19+1),0))</f>
        <v>0</v>
      </c>
      <c r="BR207" s="460">
        <f>IF(AND(Geral!$K19 =Geral!$J19,Geral!$J19=BR$1),Geral!$I19,IF(AND(Geral!$K19 &gt;=Geral!$J19,AND(Geral!$J19&lt;=BR$1,Geral!$K19 &gt;=BR$1)),Geral!$I19 /(Geral!$K19 -Geral!$J19+1),0))</f>
        <v>0</v>
      </c>
      <c r="BS207" s="460">
        <f>IF(AND(Geral!$K19 =Geral!$J19,Geral!$J19=BS$1),Geral!$I19,IF(AND(Geral!$K19 &gt;=Geral!$J19,AND(Geral!$J19&lt;=BS$1,Geral!$K19 &gt;=BS$1)),Geral!$I19 /(Geral!$K19 -Geral!$J19+1),0))</f>
        <v>0</v>
      </c>
      <c r="BT207" s="461">
        <f>IF(AND(Geral!$K19 =Geral!$J19,Geral!$J19=BT$1),Geral!$I19,IF(AND(Geral!$K19 &gt;=Geral!$J19,AND(Geral!$J19&lt;=BT$1,Geral!$K19 &gt;=BT$1)),Geral!$I19 /(Geral!$K19 -Geral!$J19+1),0))</f>
        <v>0</v>
      </c>
    </row>
    <row r="208" spans="2:72" x14ac:dyDescent="0.2">
      <c r="B208" s="499"/>
      <c r="C208" s="500"/>
      <c r="D208" s="497"/>
      <c r="E208" s="497"/>
      <c r="F208" s="497"/>
      <c r="G208" s="497"/>
      <c r="H208" s="497"/>
      <c r="BA208" s="459">
        <f>VLOOKUP(Geral!$D20,Dados!$A$14:$Y$81,25)</f>
        <v>0</v>
      </c>
      <c r="BB208" s="460">
        <f>IF(AND(Geral!$K20 =Geral!$J20,Geral!$J20=BB$1),Geral!$I20,IF(AND(Geral!$K20 &gt;=Geral!$J20,AND(Geral!$J20&lt;=BB$1,Geral!$K20 &gt;=BB$1)),Geral!$I20 /(Geral!$K20 -Geral!$J20+1),0))</f>
        <v>0</v>
      </c>
      <c r="BC208" s="460">
        <f>IF(AND(Geral!$K20 =Geral!$J20,Geral!$J20=BC$1),Geral!$I20,IF(AND(Geral!$K20 &gt;=Geral!$J20,AND(Geral!$J20&lt;=BC$1,Geral!$K20 &gt;=BC$1)),Geral!$I20 /(Geral!$K20 -Geral!$J20+1),0))</f>
        <v>0</v>
      </c>
      <c r="BD208" s="460">
        <f>IF(AND(Geral!$K20 =Geral!$J20,Geral!$J20=BD$1),Geral!$I20,IF(AND(Geral!$K20 &gt;=Geral!$J20,AND(Geral!$J20&lt;=BD$1,Geral!$K20 &gt;=BD$1)),Geral!$I20 /(Geral!$K20 -Geral!$J20+1),0))</f>
        <v>0</v>
      </c>
      <c r="BE208" s="460">
        <f>IF(AND(Geral!$K20 =Geral!$J20,Geral!$J20=BE$1),Geral!$I20,IF(AND(Geral!$K20 &gt;=Geral!$J20,AND(Geral!$J20&lt;=BE$1,Geral!$K20 &gt;=BE$1)),Geral!$I20 /(Geral!$K20 -Geral!$J20+1),0))</f>
        <v>0</v>
      </c>
      <c r="BF208" s="460">
        <f>IF(AND(Geral!$K20 =Geral!$J20,Geral!$J20=BF$1),Geral!$I20,IF(AND(Geral!$K20 &gt;=Geral!$J20,AND(Geral!$J20&lt;=BF$1,Geral!$K20 &gt;=BF$1)),Geral!$I20 /(Geral!$K20 -Geral!$J20+1),0))</f>
        <v>0</v>
      </c>
      <c r="BG208" s="460">
        <f>IF(AND(Geral!$K20 =Geral!$J20,Geral!$J20=BG$1),Geral!$I20,IF(AND(Geral!$K20 &gt;=Geral!$J20,AND(Geral!$J20&lt;=BG$1,Geral!$K20 &gt;=BG$1)),Geral!$I20 /(Geral!$K20 -Geral!$J20+1),0))</f>
        <v>0</v>
      </c>
      <c r="BH208" s="460">
        <f>IF(AND(Geral!$K20 =Geral!$J20,Geral!$J20=BH$1),Geral!$I20,IF(AND(Geral!$K20 &gt;=Geral!$J20,AND(Geral!$J20&lt;=BH$1,Geral!$K20 &gt;=BH$1)),Geral!$I20 /(Geral!$K20 -Geral!$J20+1),0))</f>
        <v>0</v>
      </c>
      <c r="BI208" s="460">
        <f>IF(AND(Geral!$K20 =Geral!$J20,Geral!$J20=BI$1),Geral!$I20,IF(AND(Geral!$K20 &gt;=Geral!$J20,AND(Geral!$J20&lt;=BI$1,Geral!$K20 &gt;=BI$1)),Geral!$I20 /(Geral!$K20 -Geral!$J20+1),0))</f>
        <v>0</v>
      </c>
      <c r="BJ208" s="460">
        <f>IF(AND(Geral!$K20 =Geral!$J20,Geral!$J20=BJ$1),Geral!$I20,IF(AND(Geral!$K20 &gt;=Geral!$J20,AND(Geral!$J20&lt;=BJ$1,Geral!$K20 &gt;=BJ$1)),Geral!$I20 /(Geral!$K20 -Geral!$J20+1),0))</f>
        <v>0</v>
      </c>
      <c r="BK208" s="460">
        <f>IF(AND(Geral!$K20 =Geral!$J20,Geral!$J20=BK$1),Geral!$I20,IF(AND(Geral!$K20 &gt;=Geral!$J20,AND(Geral!$J20&lt;=BK$1,Geral!$K20 &gt;=BK$1)),Geral!$I20 /(Geral!$K20 -Geral!$J20+1),0))</f>
        <v>0</v>
      </c>
      <c r="BL208" s="460">
        <f>IF(AND(Geral!$K20 =Geral!$J20,Geral!$J20=BL$1),Geral!$I20,IF(AND(Geral!$K20 &gt;=Geral!$J20,AND(Geral!$J20&lt;=BL$1,Geral!$K20 &gt;=BL$1)),Geral!$I20 /(Geral!$K20 -Geral!$J20+1),0))</f>
        <v>0</v>
      </c>
      <c r="BM208" s="460">
        <f>IF(AND(Geral!$K20 =Geral!$J20,Geral!$J20=BM$1),Geral!$I20,IF(AND(Geral!$K20 &gt;=Geral!$J20,AND(Geral!$J20&lt;=BM$1,Geral!$K20 &gt;=BM$1)),Geral!$I20 /(Geral!$K20 -Geral!$J20+1),0))</f>
        <v>0</v>
      </c>
      <c r="BN208" s="460">
        <f>IF(AND(Geral!$K20 =Geral!$J20,Geral!$J20=BN$1),Geral!$I20,IF(AND(Geral!$K20 &gt;=Geral!$J20,AND(Geral!$J20&lt;=BN$1,Geral!$K20 &gt;=BN$1)),Geral!$I20 /(Geral!$K20 -Geral!$J20+1),0))</f>
        <v>0</v>
      </c>
      <c r="BO208" s="460">
        <f>IF(AND(Geral!$K20 =Geral!$J20,Geral!$J20=BO$1),Geral!$I20,IF(AND(Geral!$K20 &gt;=Geral!$J20,AND(Geral!$J20&lt;=BO$1,Geral!$K20 &gt;=BO$1)),Geral!$I20 /(Geral!$K20 -Geral!$J20+1),0))</f>
        <v>0</v>
      </c>
      <c r="BP208" s="460">
        <f>IF(AND(Geral!$K20 =Geral!$J20,Geral!$J20=BP$1),Geral!$I20,IF(AND(Geral!$K20 &gt;=Geral!$J20,AND(Geral!$J20&lt;=BP$1,Geral!$K20 &gt;=BP$1)),Geral!$I20 /(Geral!$K20 -Geral!$J20+1),0))</f>
        <v>0</v>
      </c>
      <c r="BQ208" s="460">
        <f>IF(AND(Geral!$K20 =Geral!$J20,Geral!$J20=BQ$1),Geral!$I20,IF(AND(Geral!$K20 &gt;=Geral!$J20,AND(Geral!$J20&lt;=BQ$1,Geral!$K20 &gt;=BQ$1)),Geral!$I20 /(Geral!$K20 -Geral!$J20+1),0))</f>
        <v>0</v>
      </c>
      <c r="BR208" s="460">
        <f>IF(AND(Geral!$K20 =Geral!$J20,Geral!$J20=BR$1),Geral!$I20,IF(AND(Geral!$K20 &gt;=Geral!$J20,AND(Geral!$J20&lt;=BR$1,Geral!$K20 &gt;=BR$1)),Geral!$I20 /(Geral!$K20 -Geral!$J20+1),0))</f>
        <v>0</v>
      </c>
      <c r="BS208" s="460">
        <f>IF(AND(Geral!$K20 =Geral!$J20,Geral!$J20=BS$1),Geral!$I20,IF(AND(Geral!$K20 &gt;=Geral!$J20,AND(Geral!$J20&lt;=BS$1,Geral!$K20 &gt;=BS$1)),Geral!$I20 /(Geral!$K20 -Geral!$J20+1),0))</f>
        <v>0</v>
      </c>
      <c r="BT208" s="461">
        <f>IF(AND(Geral!$K20 =Geral!$J20,Geral!$J20=BT$1),Geral!$I20,IF(AND(Geral!$K20 &gt;=Geral!$J20,AND(Geral!$J20&lt;=BT$1,Geral!$K20 &gt;=BT$1)),Geral!$I20 /(Geral!$K20 -Geral!$J20+1),0))</f>
        <v>0</v>
      </c>
    </row>
    <row r="209" spans="2:72" x14ac:dyDescent="0.2">
      <c r="B209" s="499"/>
      <c r="C209" s="500"/>
      <c r="D209" s="497"/>
      <c r="E209" s="497"/>
      <c r="F209" s="497"/>
      <c r="G209" s="497"/>
      <c r="H209" s="497"/>
      <c r="BA209" s="459">
        <f>VLOOKUP(Geral!$D21,Dados!$A$14:$Y$81,25)</f>
        <v>0</v>
      </c>
      <c r="BB209" s="460">
        <f>IF(AND(Geral!$K21 =Geral!$J21,Geral!$J21=BB$1),Geral!$I21,IF(AND(Geral!$K21 &gt;=Geral!$J21,AND(Geral!$J21&lt;=BB$1,Geral!$K21 &gt;=BB$1)),Geral!$I21 /(Geral!$K21 -Geral!$J21+1),0))</f>
        <v>0</v>
      </c>
      <c r="BC209" s="460">
        <f>IF(AND(Geral!$K21 =Geral!$J21,Geral!$J21=BC$1),Geral!$I21,IF(AND(Geral!$K21 &gt;=Geral!$J21,AND(Geral!$J21&lt;=BC$1,Geral!$K21 &gt;=BC$1)),Geral!$I21 /(Geral!$K21 -Geral!$J21+1),0))</f>
        <v>0</v>
      </c>
      <c r="BD209" s="460">
        <f>IF(AND(Geral!$K21 =Geral!$J21,Geral!$J21=BD$1),Geral!$I21,IF(AND(Geral!$K21 &gt;=Geral!$J21,AND(Geral!$J21&lt;=BD$1,Geral!$K21 &gt;=BD$1)),Geral!$I21 /(Geral!$K21 -Geral!$J21+1),0))</f>
        <v>0</v>
      </c>
      <c r="BE209" s="460">
        <f>IF(AND(Geral!$K21 =Geral!$J21,Geral!$J21=BE$1),Geral!$I21,IF(AND(Geral!$K21 &gt;=Geral!$J21,AND(Geral!$J21&lt;=BE$1,Geral!$K21 &gt;=BE$1)),Geral!$I21 /(Geral!$K21 -Geral!$J21+1),0))</f>
        <v>0</v>
      </c>
      <c r="BF209" s="460">
        <f>IF(AND(Geral!$K21 =Geral!$J21,Geral!$J21=BF$1),Geral!$I21,IF(AND(Geral!$K21 &gt;=Geral!$J21,AND(Geral!$J21&lt;=BF$1,Geral!$K21 &gt;=BF$1)),Geral!$I21 /(Geral!$K21 -Geral!$J21+1),0))</f>
        <v>0</v>
      </c>
      <c r="BG209" s="460">
        <f>IF(AND(Geral!$K21 =Geral!$J21,Geral!$J21=BG$1),Geral!$I21,IF(AND(Geral!$K21 &gt;=Geral!$J21,AND(Geral!$J21&lt;=BG$1,Geral!$K21 &gt;=BG$1)),Geral!$I21 /(Geral!$K21 -Geral!$J21+1),0))</f>
        <v>0</v>
      </c>
      <c r="BH209" s="460">
        <f>IF(AND(Geral!$K21 =Geral!$J21,Geral!$J21=BH$1),Geral!$I21,IF(AND(Geral!$K21 &gt;=Geral!$J21,AND(Geral!$J21&lt;=BH$1,Geral!$K21 &gt;=BH$1)),Geral!$I21 /(Geral!$K21 -Geral!$J21+1),0))</f>
        <v>0</v>
      </c>
      <c r="BI209" s="460">
        <f>IF(AND(Geral!$K21 =Geral!$J21,Geral!$J21=BI$1),Geral!$I21,IF(AND(Geral!$K21 &gt;=Geral!$J21,AND(Geral!$J21&lt;=BI$1,Geral!$K21 &gt;=BI$1)),Geral!$I21 /(Geral!$K21 -Geral!$J21+1),0))</f>
        <v>0</v>
      </c>
      <c r="BJ209" s="460">
        <f>IF(AND(Geral!$K21 =Geral!$J21,Geral!$J21=BJ$1),Geral!$I21,IF(AND(Geral!$K21 &gt;=Geral!$J21,AND(Geral!$J21&lt;=BJ$1,Geral!$K21 &gt;=BJ$1)),Geral!$I21 /(Geral!$K21 -Geral!$J21+1),0))</f>
        <v>0</v>
      </c>
      <c r="BK209" s="460">
        <f>IF(AND(Geral!$K21 =Geral!$J21,Geral!$J21=BK$1),Geral!$I21,IF(AND(Geral!$K21 &gt;=Geral!$J21,AND(Geral!$J21&lt;=BK$1,Geral!$K21 &gt;=BK$1)),Geral!$I21 /(Geral!$K21 -Geral!$J21+1),0))</f>
        <v>0</v>
      </c>
      <c r="BL209" s="460">
        <f>IF(AND(Geral!$K21 =Geral!$J21,Geral!$J21=BL$1),Geral!$I21,IF(AND(Geral!$K21 &gt;=Geral!$J21,AND(Geral!$J21&lt;=BL$1,Geral!$K21 &gt;=BL$1)),Geral!$I21 /(Geral!$K21 -Geral!$J21+1),0))</f>
        <v>0</v>
      </c>
      <c r="BM209" s="460">
        <f>IF(AND(Geral!$K21 =Geral!$J21,Geral!$J21=BM$1),Geral!$I21,IF(AND(Geral!$K21 &gt;=Geral!$J21,AND(Geral!$J21&lt;=BM$1,Geral!$K21 &gt;=BM$1)),Geral!$I21 /(Geral!$K21 -Geral!$J21+1),0))</f>
        <v>0</v>
      </c>
      <c r="BN209" s="460">
        <f>IF(AND(Geral!$K21 =Geral!$J21,Geral!$J21=BN$1),Geral!$I21,IF(AND(Geral!$K21 &gt;=Geral!$J21,AND(Geral!$J21&lt;=BN$1,Geral!$K21 &gt;=BN$1)),Geral!$I21 /(Geral!$K21 -Geral!$J21+1),0))</f>
        <v>0</v>
      </c>
      <c r="BO209" s="460">
        <f>IF(AND(Geral!$K21 =Geral!$J21,Geral!$J21=BO$1),Geral!$I21,IF(AND(Geral!$K21 &gt;=Geral!$J21,AND(Geral!$J21&lt;=BO$1,Geral!$K21 &gt;=BO$1)),Geral!$I21 /(Geral!$K21 -Geral!$J21+1),0))</f>
        <v>0</v>
      </c>
      <c r="BP209" s="460">
        <f>IF(AND(Geral!$K21 =Geral!$J21,Geral!$J21=BP$1),Geral!$I21,IF(AND(Geral!$K21 &gt;=Geral!$J21,AND(Geral!$J21&lt;=BP$1,Geral!$K21 &gt;=BP$1)),Geral!$I21 /(Geral!$K21 -Geral!$J21+1),0))</f>
        <v>0</v>
      </c>
      <c r="BQ209" s="460">
        <f>IF(AND(Geral!$K21 =Geral!$J21,Geral!$J21=BQ$1),Geral!$I21,IF(AND(Geral!$K21 &gt;=Geral!$J21,AND(Geral!$J21&lt;=BQ$1,Geral!$K21 &gt;=BQ$1)),Geral!$I21 /(Geral!$K21 -Geral!$J21+1),0))</f>
        <v>0</v>
      </c>
      <c r="BR209" s="460">
        <f>IF(AND(Geral!$K21 =Geral!$J21,Geral!$J21=BR$1),Geral!$I21,IF(AND(Geral!$K21 &gt;=Geral!$J21,AND(Geral!$J21&lt;=BR$1,Geral!$K21 &gt;=BR$1)),Geral!$I21 /(Geral!$K21 -Geral!$J21+1),0))</f>
        <v>0</v>
      </c>
      <c r="BS209" s="460">
        <f>IF(AND(Geral!$K21 =Geral!$J21,Geral!$J21=BS$1),Geral!$I21,IF(AND(Geral!$K21 &gt;=Geral!$J21,AND(Geral!$J21&lt;=BS$1,Geral!$K21 &gt;=BS$1)),Geral!$I21 /(Geral!$K21 -Geral!$J21+1),0))</f>
        <v>0</v>
      </c>
      <c r="BT209" s="461">
        <f>IF(AND(Geral!$K21 =Geral!$J21,Geral!$J21=BT$1),Geral!$I21,IF(AND(Geral!$K21 &gt;=Geral!$J21,AND(Geral!$J21&lt;=BT$1,Geral!$K21 &gt;=BT$1)),Geral!$I21 /(Geral!$K21 -Geral!$J21+1),0))</f>
        <v>0</v>
      </c>
    </row>
    <row r="210" spans="2:72" x14ac:dyDescent="0.2">
      <c r="B210" s="499"/>
      <c r="C210" s="500"/>
      <c r="D210" s="497"/>
      <c r="E210" s="497"/>
      <c r="F210" s="497"/>
      <c r="G210" s="497"/>
      <c r="H210" s="497"/>
      <c r="BA210" s="459">
        <f>VLOOKUP(Geral!$D22,Dados!$A$14:$Y$81,25)</f>
        <v>0</v>
      </c>
      <c r="BB210" s="460">
        <f>IF(AND(Geral!$K22 =Geral!$J22,Geral!$J22=BB$1),Geral!$I22,IF(AND(Geral!$K22 &gt;=Geral!$J22,AND(Geral!$J22&lt;=BB$1,Geral!$K22 &gt;=BB$1)),Geral!$I22 /(Geral!$K22 -Geral!$J22+1),0))</f>
        <v>0</v>
      </c>
      <c r="BC210" s="460">
        <f>IF(AND(Geral!$K22 =Geral!$J22,Geral!$J22=BC$1),Geral!$I22,IF(AND(Geral!$K22 &gt;=Geral!$J22,AND(Geral!$J22&lt;=BC$1,Geral!$K22 &gt;=BC$1)),Geral!$I22 /(Geral!$K22 -Geral!$J22+1),0))</f>
        <v>0</v>
      </c>
      <c r="BD210" s="460">
        <f>IF(AND(Geral!$K22 =Geral!$J22,Geral!$J22=BD$1),Geral!$I22,IF(AND(Geral!$K22 &gt;=Geral!$J22,AND(Geral!$J22&lt;=BD$1,Geral!$K22 &gt;=BD$1)),Geral!$I22 /(Geral!$K22 -Geral!$J22+1),0))</f>
        <v>0</v>
      </c>
      <c r="BE210" s="460">
        <f>IF(AND(Geral!$K22 =Geral!$J22,Geral!$J22=BE$1),Geral!$I22,IF(AND(Geral!$K22 &gt;=Geral!$J22,AND(Geral!$J22&lt;=BE$1,Geral!$K22 &gt;=BE$1)),Geral!$I22 /(Geral!$K22 -Geral!$J22+1),0))</f>
        <v>0</v>
      </c>
      <c r="BF210" s="460">
        <f>IF(AND(Geral!$K22 =Geral!$J22,Geral!$J22=BF$1),Geral!$I22,IF(AND(Geral!$K22 &gt;=Geral!$J22,AND(Geral!$J22&lt;=BF$1,Geral!$K22 &gt;=BF$1)),Geral!$I22 /(Geral!$K22 -Geral!$J22+1),0))</f>
        <v>0</v>
      </c>
      <c r="BG210" s="460">
        <f>IF(AND(Geral!$K22 =Geral!$J22,Geral!$J22=BG$1),Geral!$I22,IF(AND(Geral!$K22 &gt;=Geral!$J22,AND(Geral!$J22&lt;=BG$1,Geral!$K22 &gt;=BG$1)),Geral!$I22 /(Geral!$K22 -Geral!$J22+1),0))</f>
        <v>0</v>
      </c>
      <c r="BH210" s="460">
        <f>IF(AND(Geral!$K22 =Geral!$J22,Geral!$J22=BH$1),Geral!$I22,IF(AND(Geral!$K22 &gt;=Geral!$J22,AND(Geral!$J22&lt;=BH$1,Geral!$K22 &gt;=BH$1)),Geral!$I22 /(Geral!$K22 -Geral!$J22+1),0))</f>
        <v>0</v>
      </c>
      <c r="BI210" s="460">
        <f>IF(AND(Geral!$K22 =Geral!$J22,Geral!$J22=BI$1),Geral!$I22,IF(AND(Geral!$K22 &gt;=Geral!$J22,AND(Geral!$J22&lt;=BI$1,Geral!$K22 &gt;=BI$1)),Geral!$I22 /(Geral!$K22 -Geral!$J22+1),0))</f>
        <v>0</v>
      </c>
      <c r="BJ210" s="460">
        <f>IF(AND(Geral!$K22 =Geral!$J22,Geral!$J22=BJ$1),Geral!$I22,IF(AND(Geral!$K22 &gt;=Geral!$J22,AND(Geral!$J22&lt;=BJ$1,Geral!$K22 &gt;=BJ$1)),Geral!$I22 /(Geral!$K22 -Geral!$J22+1),0))</f>
        <v>0</v>
      </c>
      <c r="BK210" s="460">
        <f>IF(AND(Geral!$K22 =Geral!$J22,Geral!$J22=BK$1),Geral!$I22,IF(AND(Geral!$K22 &gt;=Geral!$J22,AND(Geral!$J22&lt;=BK$1,Geral!$K22 &gt;=BK$1)),Geral!$I22 /(Geral!$K22 -Geral!$J22+1),0))</f>
        <v>0</v>
      </c>
      <c r="BL210" s="460">
        <f>IF(AND(Geral!$K22 =Geral!$J22,Geral!$J22=BL$1),Geral!$I22,IF(AND(Geral!$K22 &gt;=Geral!$J22,AND(Geral!$J22&lt;=BL$1,Geral!$K22 &gt;=BL$1)),Geral!$I22 /(Geral!$K22 -Geral!$J22+1),0))</f>
        <v>0</v>
      </c>
      <c r="BM210" s="460">
        <f>IF(AND(Geral!$K22 =Geral!$J22,Geral!$J22=BM$1),Geral!$I22,IF(AND(Geral!$K22 &gt;=Geral!$J22,AND(Geral!$J22&lt;=BM$1,Geral!$K22 &gt;=BM$1)),Geral!$I22 /(Geral!$K22 -Geral!$J22+1),0))</f>
        <v>0</v>
      </c>
      <c r="BN210" s="460">
        <f>IF(AND(Geral!$K22 =Geral!$J22,Geral!$J22=BN$1),Geral!$I22,IF(AND(Geral!$K22 &gt;=Geral!$J22,AND(Geral!$J22&lt;=BN$1,Geral!$K22 &gt;=BN$1)),Geral!$I22 /(Geral!$K22 -Geral!$J22+1),0))</f>
        <v>0</v>
      </c>
      <c r="BO210" s="460">
        <f>IF(AND(Geral!$K22 =Geral!$J22,Geral!$J22=BO$1),Geral!$I22,IF(AND(Geral!$K22 &gt;=Geral!$J22,AND(Geral!$J22&lt;=BO$1,Geral!$K22 &gt;=BO$1)),Geral!$I22 /(Geral!$K22 -Geral!$J22+1),0))</f>
        <v>0</v>
      </c>
      <c r="BP210" s="460">
        <f>IF(AND(Geral!$K22 =Geral!$J22,Geral!$J22=BP$1),Geral!$I22,IF(AND(Geral!$K22 &gt;=Geral!$J22,AND(Geral!$J22&lt;=BP$1,Geral!$K22 &gt;=BP$1)),Geral!$I22 /(Geral!$K22 -Geral!$J22+1),0))</f>
        <v>0</v>
      </c>
      <c r="BQ210" s="460">
        <f>IF(AND(Geral!$K22 =Geral!$J22,Geral!$J22=BQ$1),Geral!$I22,IF(AND(Geral!$K22 &gt;=Geral!$J22,AND(Geral!$J22&lt;=BQ$1,Geral!$K22 &gt;=BQ$1)),Geral!$I22 /(Geral!$K22 -Geral!$J22+1),0))</f>
        <v>0</v>
      </c>
      <c r="BR210" s="460">
        <f>IF(AND(Geral!$K22 =Geral!$J22,Geral!$J22=BR$1),Geral!$I22,IF(AND(Geral!$K22 &gt;=Geral!$J22,AND(Geral!$J22&lt;=BR$1,Geral!$K22 &gt;=BR$1)),Geral!$I22 /(Geral!$K22 -Geral!$J22+1),0))</f>
        <v>0</v>
      </c>
      <c r="BS210" s="460">
        <f>IF(AND(Geral!$K22 =Geral!$J22,Geral!$J22=BS$1),Geral!$I22,IF(AND(Geral!$K22 &gt;=Geral!$J22,AND(Geral!$J22&lt;=BS$1,Geral!$K22 &gt;=BS$1)),Geral!$I22 /(Geral!$K22 -Geral!$J22+1),0))</f>
        <v>0</v>
      </c>
      <c r="BT210" s="461">
        <f>IF(AND(Geral!$K22 =Geral!$J22,Geral!$J22=BT$1),Geral!$I22,IF(AND(Geral!$K22 &gt;=Geral!$J22,AND(Geral!$J22&lt;=BT$1,Geral!$K22 &gt;=BT$1)),Geral!$I22 /(Geral!$K22 -Geral!$J22+1),0))</f>
        <v>0</v>
      </c>
    </row>
    <row r="211" spans="2:72" x14ac:dyDescent="0.2">
      <c r="B211" s="499"/>
      <c r="C211" s="500"/>
      <c r="D211" s="497"/>
      <c r="E211" s="497"/>
      <c r="F211" s="497"/>
      <c r="G211" s="497"/>
      <c r="H211" s="497"/>
      <c r="BA211" s="459" t="str">
        <f>VLOOKUP(Geral!$D27,Dados!$A$14:$AD$81,27)</f>
        <v>C.N.A.</v>
      </c>
      <c r="BB211" s="460">
        <f>IF(AND(Geral!$K27 =Geral!$J27,Geral!$J27=BB$1),Geral!$I27,IF(AND(Geral!$K27 &gt;=Geral!$J27,AND(Geral!$J27&lt;=BB$1,Geral!$K27 &gt;=BB$1)),Geral!$I27 /(Geral!$K27 -Geral!$J27+1),0))</f>
        <v>600</v>
      </c>
      <c r="BC211" s="460">
        <f>IF(AND(Geral!$K27 =Geral!$J27,Geral!$J27=BC$1),Geral!$I27,IF(AND(Geral!$K27 &gt;=Geral!$J27,AND(Geral!$J27&lt;=BC$1,Geral!$K27 &gt;=BC$1)),Geral!$I27 /(Geral!$K27 -Geral!$J27+1),0))</f>
        <v>0</v>
      </c>
      <c r="BD211" s="460">
        <f>IF(AND(Geral!$K27 =Geral!$J27,Geral!$J27=BD$1),Geral!$I27,IF(AND(Geral!$K27 &gt;=Geral!$J27,AND(Geral!$J27&lt;=BD$1,Geral!$K27 &gt;=BD$1)),Geral!$I27 /(Geral!$K27 -Geral!$J27+1),0))</f>
        <v>0</v>
      </c>
      <c r="BE211" s="460">
        <f>IF(AND(Geral!$K27 =Geral!$J27,Geral!$J27=BE$1),Geral!$I27,IF(AND(Geral!$K27 &gt;=Geral!$J27,AND(Geral!$J27&lt;=BE$1,Geral!$K27 &gt;=BE$1)),Geral!$I27 /(Geral!$K27 -Geral!$J27+1),0))</f>
        <v>0</v>
      </c>
      <c r="BF211" s="460">
        <f>IF(AND(Geral!$K27 =Geral!$J27,Geral!$J27=BF$1),Geral!$I27,IF(AND(Geral!$K27 &gt;=Geral!$J27,AND(Geral!$J27&lt;=BF$1,Geral!$K27 &gt;=BF$1)),Geral!$I27 /(Geral!$K27 -Geral!$J27+1),0))</f>
        <v>0</v>
      </c>
      <c r="BG211" s="460">
        <f>IF(AND(Geral!$K27 =Geral!$J27,Geral!$J27=BG$1),Geral!$I27,IF(AND(Geral!$K27 &gt;=Geral!$J27,AND(Geral!$J27&lt;=BG$1,Geral!$K27 &gt;=BG$1)),Geral!$I27 /(Geral!$K27 -Geral!$J27+1),0))</f>
        <v>0</v>
      </c>
      <c r="BH211" s="460">
        <f>IF(AND(Geral!$K27 =Geral!$J27,Geral!$J27=BH$1),Geral!$I27,IF(AND(Geral!$K27 &gt;=Geral!$J27,AND(Geral!$J27&lt;=BH$1,Geral!$K27 &gt;=BH$1)),Geral!$I27 /(Geral!$K27 -Geral!$J27+1),0))</f>
        <v>0</v>
      </c>
      <c r="BI211" s="460">
        <f>IF(AND(Geral!$K27 =Geral!$J27,Geral!$J27=BI$1),Geral!$I27,IF(AND(Geral!$K27 &gt;=Geral!$J27,AND(Geral!$J27&lt;=BI$1,Geral!$K27 &gt;=BI$1)),Geral!$I27 /(Geral!$K27 -Geral!$J27+1),0))</f>
        <v>0</v>
      </c>
      <c r="BJ211" s="460">
        <f>IF(AND(Geral!$K27 =Geral!$J27,Geral!$J27=BJ$1),Geral!$I27,IF(AND(Geral!$K27 &gt;=Geral!$J27,AND(Geral!$J27&lt;=BJ$1,Geral!$K27 &gt;=BJ$1)),Geral!$I27 /(Geral!$K27 -Geral!$J27+1),0))</f>
        <v>0</v>
      </c>
      <c r="BK211" s="460">
        <f>IF(AND(Geral!$K27 =Geral!$J27,Geral!$J27=BK$1),Geral!$I27,IF(AND(Geral!$K27 &gt;=Geral!$J27,AND(Geral!$J27&lt;=BK$1,Geral!$K27 &gt;=BK$1)),Geral!$I27 /(Geral!$K27 -Geral!$J27+1),0))</f>
        <v>0</v>
      </c>
      <c r="BL211" s="460">
        <f>IF(AND(Geral!$K27 =Geral!$J27,Geral!$J27=BL$1),Geral!$I27,IF(AND(Geral!$K27 &gt;=Geral!$J27,AND(Geral!$J27&lt;=BL$1,Geral!$K27 &gt;=BL$1)),Geral!$I27 /(Geral!$K27 -Geral!$J27+1),0))</f>
        <v>0</v>
      </c>
      <c r="BM211" s="460">
        <f>IF(AND(Geral!$K27 =Geral!$J27,Geral!$J27=BM$1),Geral!$I27,IF(AND(Geral!$K27 &gt;=Geral!$J27,AND(Geral!$J27&lt;=BM$1,Geral!$K27 &gt;=BM$1)),Geral!$I27 /(Geral!$K27 -Geral!$J27+1),0))</f>
        <v>0</v>
      </c>
      <c r="BN211" s="460">
        <f>IF(AND(Geral!$K27 =Geral!$J27,Geral!$J27=BN$1),Geral!$I27,IF(AND(Geral!$K27 &gt;=Geral!$J27,AND(Geral!$J27&lt;=BN$1,Geral!$K27 &gt;=BN$1)),Geral!$I27 /(Geral!$K27 -Geral!$J27+1),0))</f>
        <v>0</v>
      </c>
      <c r="BO211" s="460">
        <f>IF(AND(Geral!$K27 =Geral!$J27,Geral!$J27=BO$1),Geral!$I27,IF(AND(Geral!$K27 &gt;=Geral!$J27,AND(Geral!$J27&lt;=BO$1,Geral!$K27 &gt;=BO$1)),Geral!$I27 /(Geral!$K27 -Geral!$J27+1),0))</f>
        <v>0</v>
      </c>
      <c r="BP211" s="460">
        <f>IF(AND(Geral!$K27 =Geral!$J27,Geral!$J27=BP$1),Geral!$I27,IF(AND(Geral!$K27 &gt;=Geral!$J27,AND(Geral!$J27&lt;=BP$1,Geral!$K27 &gt;=BP$1)),Geral!$I27 /(Geral!$K27 -Geral!$J27+1),0))</f>
        <v>0</v>
      </c>
      <c r="BQ211" s="460">
        <f>IF(AND(Geral!$K27 =Geral!$J27,Geral!$J27=BQ$1),Geral!$I27,IF(AND(Geral!$K27 &gt;=Geral!$J27,AND(Geral!$J27&lt;=BQ$1,Geral!$K27 &gt;=BQ$1)),Geral!$I27 /(Geral!$K27 -Geral!$J27+1),0))</f>
        <v>0</v>
      </c>
      <c r="BR211" s="460">
        <f>IF(AND(Geral!$K27 =Geral!$J27,Geral!$J27=BR$1),Geral!$I27,IF(AND(Geral!$K27 &gt;=Geral!$J27,AND(Geral!$J27&lt;=BR$1,Geral!$K27 &gt;=BR$1)),Geral!$I27 /(Geral!$K27 -Geral!$J27+1),0))</f>
        <v>0</v>
      </c>
      <c r="BS211" s="460">
        <f>IF(AND(Geral!$K27 =Geral!$J27,Geral!$J27=BS$1),Geral!$I27,IF(AND(Geral!$K27 &gt;=Geral!$J27,AND(Geral!$J27&lt;=BS$1,Geral!$K27 &gt;=BS$1)),Geral!$I27 /(Geral!$K27 -Geral!$J27+1),0))</f>
        <v>0</v>
      </c>
      <c r="BT211" s="461">
        <f>IF(AND(Geral!$K27 =Geral!$J27,Geral!$J27=BT$1),Geral!$I27,IF(AND(Geral!$K27 &gt;=Geral!$J27,AND(Geral!$J27&lt;=BT$1,Geral!$K27 &gt;=BT$1)),Geral!$I27 /(Geral!$K27 -Geral!$J27+1),0))</f>
        <v>0</v>
      </c>
    </row>
    <row r="212" spans="2:72" x14ac:dyDescent="0.2">
      <c r="B212" s="499"/>
      <c r="C212" s="500"/>
      <c r="D212" s="497"/>
      <c r="E212" s="497"/>
      <c r="F212" s="497"/>
      <c r="G212" s="497"/>
      <c r="H212" s="497"/>
      <c r="BA212" s="459" t="str">
        <f>VLOOKUP(Geral!$D28,Dados!$A$14:$AD$81,27)</f>
        <v>ITR</v>
      </c>
      <c r="BB212" s="460">
        <f>IF(AND(Geral!$K28 =Geral!$J28,Geral!$J28=BB$1),Geral!$I28,IF(AND(Geral!$K28 &gt;=Geral!$J28,AND(Geral!$J28&lt;=BB$1,Geral!$K28 &gt;=BB$1)),Geral!$I28 /(Geral!$K28 -Geral!$J28+1),0))</f>
        <v>800</v>
      </c>
      <c r="BC212" s="460">
        <f>IF(AND(Geral!$K28 =Geral!$J28,Geral!$J28=BC$1),Geral!$I28,IF(AND(Geral!$K28 &gt;=Geral!$J28,AND(Geral!$J28&lt;=BC$1,Geral!$K28 &gt;=BC$1)),Geral!$I28 /(Geral!$K28 -Geral!$J28+1),0))</f>
        <v>0</v>
      </c>
      <c r="BD212" s="460">
        <f>IF(AND(Geral!$K28 =Geral!$J28,Geral!$J28=BD$1),Geral!$I28,IF(AND(Geral!$K28 &gt;=Geral!$J28,AND(Geral!$J28&lt;=BD$1,Geral!$K28 &gt;=BD$1)),Geral!$I28 /(Geral!$K28 -Geral!$J28+1),0))</f>
        <v>0</v>
      </c>
      <c r="BE212" s="460">
        <f>IF(AND(Geral!$K28 =Geral!$J28,Geral!$J28=BE$1),Geral!$I28,IF(AND(Geral!$K28 &gt;=Geral!$J28,AND(Geral!$J28&lt;=BE$1,Geral!$K28 &gt;=BE$1)),Geral!$I28 /(Geral!$K28 -Geral!$J28+1),0))</f>
        <v>0</v>
      </c>
      <c r="BF212" s="460">
        <f>IF(AND(Geral!$K28 =Geral!$J28,Geral!$J28=BF$1),Geral!$I28,IF(AND(Geral!$K28 &gt;=Geral!$J28,AND(Geral!$J28&lt;=BF$1,Geral!$K28 &gt;=BF$1)),Geral!$I28 /(Geral!$K28 -Geral!$J28+1),0))</f>
        <v>0</v>
      </c>
      <c r="BG212" s="460">
        <f>IF(AND(Geral!$K28 =Geral!$J28,Geral!$J28=BG$1),Geral!$I28,IF(AND(Geral!$K28 &gt;=Geral!$J28,AND(Geral!$J28&lt;=BG$1,Geral!$K28 &gt;=BG$1)),Geral!$I28 /(Geral!$K28 -Geral!$J28+1),0))</f>
        <v>0</v>
      </c>
      <c r="BH212" s="460">
        <f>IF(AND(Geral!$K28 =Geral!$J28,Geral!$J28=BH$1),Geral!$I28,IF(AND(Geral!$K28 &gt;=Geral!$J28,AND(Geral!$J28&lt;=BH$1,Geral!$K28 &gt;=BH$1)),Geral!$I28 /(Geral!$K28 -Geral!$J28+1),0))</f>
        <v>0</v>
      </c>
      <c r="BI212" s="460">
        <f>IF(AND(Geral!$K28 =Geral!$J28,Geral!$J28=BI$1),Geral!$I28,IF(AND(Geral!$K28 &gt;=Geral!$J28,AND(Geral!$J28&lt;=BI$1,Geral!$K28 &gt;=BI$1)),Geral!$I28 /(Geral!$K28 -Geral!$J28+1),0))</f>
        <v>0</v>
      </c>
      <c r="BJ212" s="460">
        <f>IF(AND(Geral!$K28 =Geral!$J28,Geral!$J28=BJ$1),Geral!$I28,IF(AND(Geral!$K28 &gt;=Geral!$J28,AND(Geral!$J28&lt;=BJ$1,Geral!$K28 &gt;=BJ$1)),Geral!$I28 /(Geral!$K28 -Geral!$J28+1),0))</f>
        <v>0</v>
      </c>
      <c r="BK212" s="460">
        <f>IF(AND(Geral!$K28 =Geral!$J28,Geral!$J28=BK$1),Geral!$I28,IF(AND(Geral!$K28 &gt;=Geral!$J28,AND(Geral!$J28&lt;=BK$1,Geral!$K28 &gt;=BK$1)),Geral!$I28 /(Geral!$K28 -Geral!$J28+1),0))</f>
        <v>0</v>
      </c>
      <c r="BL212" s="460">
        <f>IF(AND(Geral!$K28 =Geral!$J28,Geral!$J28=BL$1),Geral!$I28,IF(AND(Geral!$K28 &gt;=Geral!$J28,AND(Geral!$J28&lt;=BL$1,Geral!$K28 &gt;=BL$1)),Geral!$I28 /(Geral!$K28 -Geral!$J28+1),0))</f>
        <v>0</v>
      </c>
      <c r="BM212" s="460">
        <f>IF(AND(Geral!$K28 =Geral!$J28,Geral!$J28=BM$1),Geral!$I28,IF(AND(Geral!$K28 &gt;=Geral!$J28,AND(Geral!$J28&lt;=BM$1,Geral!$K28 &gt;=BM$1)),Geral!$I28 /(Geral!$K28 -Geral!$J28+1),0))</f>
        <v>0</v>
      </c>
      <c r="BN212" s="460">
        <f>IF(AND(Geral!$K28 =Geral!$J28,Geral!$J28=BN$1),Geral!$I28,IF(AND(Geral!$K28 &gt;=Geral!$J28,AND(Geral!$J28&lt;=BN$1,Geral!$K28 &gt;=BN$1)),Geral!$I28 /(Geral!$K28 -Geral!$J28+1),0))</f>
        <v>0</v>
      </c>
      <c r="BO212" s="460">
        <f>IF(AND(Geral!$K28 =Geral!$J28,Geral!$J28=BO$1),Geral!$I28,IF(AND(Geral!$K28 &gt;=Geral!$J28,AND(Geral!$J28&lt;=BO$1,Geral!$K28 &gt;=BO$1)),Geral!$I28 /(Geral!$K28 -Geral!$J28+1),0))</f>
        <v>0</v>
      </c>
      <c r="BP212" s="460">
        <f>IF(AND(Geral!$K28 =Geral!$J28,Geral!$J28=BP$1),Geral!$I28,IF(AND(Geral!$K28 &gt;=Geral!$J28,AND(Geral!$J28&lt;=BP$1,Geral!$K28 &gt;=BP$1)),Geral!$I28 /(Geral!$K28 -Geral!$J28+1),0))</f>
        <v>0</v>
      </c>
      <c r="BQ212" s="460">
        <f>IF(AND(Geral!$K28 =Geral!$J28,Geral!$J28=BQ$1),Geral!$I28,IF(AND(Geral!$K28 &gt;=Geral!$J28,AND(Geral!$J28&lt;=BQ$1,Geral!$K28 &gt;=BQ$1)),Geral!$I28 /(Geral!$K28 -Geral!$J28+1),0))</f>
        <v>0</v>
      </c>
      <c r="BR212" s="460">
        <f>IF(AND(Geral!$K28 =Geral!$J28,Geral!$J28=BR$1),Geral!$I28,IF(AND(Geral!$K28 &gt;=Geral!$J28,AND(Geral!$J28&lt;=BR$1,Geral!$K28 &gt;=BR$1)),Geral!$I28 /(Geral!$K28 -Geral!$J28+1),0))</f>
        <v>0</v>
      </c>
      <c r="BS212" s="460">
        <f>IF(AND(Geral!$K28 =Geral!$J28,Geral!$J28=BS$1),Geral!$I28,IF(AND(Geral!$K28 &gt;=Geral!$J28,AND(Geral!$J28&lt;=BS$1,Geral!$K28 &gt;=BS$1)),Geral!$I28 /(Geral!$K28 -Geral!$J28+1),0))</f>
        <v>0</v>
      </c>
      <c r="BT212" s="461">
        <f>IF(AND(Geral!$K28 =Geral!$J28,Geral!$J28=BT$1),Geral!$I28,IF(AND(Geral!$K28 &gt;=Geral!$J28,AND(Geral!$J28&lt;=BT$1,Geral!$K28 &gt;=BT$1)),Geral!$I28 /(Geral!$K28 -Geral!$J28+1),0))</f>
        <v>0</v>
      </c>
    </row>
    <row r="213" spans="2:72" x14ac:dyDescent="0.2">
      <c r="B213" s="499"/>
      <c r="C213" s="500"/>
      <c r="D213" s="497"/>
      <c r="E213" s="497"/>
      <c r="F213" s="497"/>
      <c r="G213" s="497"/>
      <c r="H213" s="497"/>
      <c r="BA213" s="459">
        <f>VLOOKUP(Geral!$D29,Dados!$A$14:$AD$81,27)</f>
        <v>0</v>
      </c>
      <c r="BB213" s="460">
        <f>IF(AND(Geral!$K29 =Geral!$J29,Geral!$J29=BB$1),Geral!$I29,IF(AND(Geral!$K29 &gt;=Geral!$J29,AND(Geral!$J29&lt;=BB$1,Geral!$K29 &gt;=BB$1)),Geral!$I29 /(Geral!$K29 -Geral!$J29+1),0))</f>
        <v>0</v>
      </c>
      <c r="BC213" s="460">
        <f>IF(AND(Geral!$K29 =Geral!$J29,Geral!$J29=BC$1),Geral!$I29,IF(AND(Geral!$K29 &gt;=Geral!$J29,AND(Geral!$J29&lt;=BC$1,Geral!$K29 &gt;=BC$1)),Geral!$I29 /(Geral!$K29 -Geral!$J29+1),0))</f>
        <v>0</v>
      </c>
      <c r="BD213" s="460">
        <f>IF(AND(Geral!$K29 =Geral!$J29,Geral!$J29=BD$1),Geral!$I29,IF(AND(Geral!$K29 &gt;=Geral!$J29,AND(Geral!$J29&lt;=BD$1,Geral!$K29 &gt;=BD$1)),Geral!$I29 /(Geral!$K29 -Geral!$J29+1),0))</f>
        <v>0</v>
      </c>
      <c r="BE213" s="460">
        <f>IF(AND(Geral!$K29 =Geral!$J29,Geral!$J29=BE$1),Geral!$I29,IF(AND(Geral!$K29 &gt;=Geral!$J29,AND(Geral!$J29&lt;=BE$1,Geral!$K29 &gt;=BE$1)),Geral!$I29 /(Geral!$K29 -Geral!$J29+1),0))</f>
        <v>0</v>
      </c>
      <c r="BF213" s="460">
        <f>IF(AND(Geral!$K29 =Geral!$J29,Geral!$J29=BF$1),Geral!$I29,IF(AND(Geral!$K29 &gt;=Geral!$J29,AND(Geral!$J29&lt;=BF$1,Geral!$K29 &gt;=BF$1)),Geral!$I29 /(Geral!$K29 -Geral!$J29+1),0))</f>
        <v>0</v>
      </c>
      <c r="BG213" s="460">
        <f>IF(AND(Geral!$K29 =Geral!$J29,Geral!$J29=BG$1),Geral!$I29,IF(AND(Geral!$K29 &gt;=Geral!$J29,AND(Geral!$J29&lt;=BG$1,Geral!$K29 &gt;=BG$1)),Geral!$I29 /(Geral!$K29 -Geral!$J29+1),0))</f>
        <v>0</v>
      </c>
      <c r="BH213" s="460">
        <f>IF(AND(Geral!$K29 =Geral!$J29,Geral!$J29=BH$1),Geral!$I29,IF(AND(Geral!$K29 &gt;=Geral!$J29,AND(Geral!$J29&lt;=BH$1,Geral!$K29 &gt;=BH$1)),Geral!$I29 /(Geral!$K29 -Geral!$J29+1),0))</f>
        <v>0</v>
      </c>
      <c r="BI213" s="460">
        <f>IF(AND(Geral!$K29 =Geral!$J29,Geral!$J29=BI$1),Geral!$I29,IF(AND(Geral!$K29 &gt;=Geral!$J29,AND(Geral!$J29&lt;=BI$1,Geral!$K29 &gt;=BI$1)),Geral!$I29 /(Geral!$K29 -Geral!$J29+1),0))</f>
        <v>0</v>
      </c>
      <c r="BJ213" s="460">
        <f>IF(AND(Geral!$K29 =Geral!$J29,Geral!$J29=BJ$1),Geral!$I29,IF(AND(Geral!$K29 &gt;=Geral!$J29,AND(Geral!$J29&lt;=BJ$1,Geral!$K29 &gt;=BJ$1)),Geral!$I29 /(Geral!$K29 -Geral!$J29+1),0))</f>
        <v>0</v>
      </c>
      <c r="BK213" s="460">
        <f>IF(AND(Geral!$K29 =Geral!$J29,Geral!$J29=BK$1),Geral!$I29,IF(AND(Geral!$K29 &gt;=Geral!$J29,AND(Geral!$J29&lt;=BK$1,Geral!$K29 &gt;=BK$1)),Geral!$I29 /(Geral!$K29 -Geral!$J29+1),0))</f>
        <v>0</v>
      </c>
      <c r="BL213" s="460">
        <f>IF(AND(Geral!$K29 =Geral!$J29,Geral!$J29=BL$1),Geral!$I29,IF(AND(Geral!$K29 &gt;=Geral!$J29,AND(Geral!$J29&lt;=BL$1,Geral!$K29 &gt;=BL$1)),Geral!$I29 /(Geral!$K29 -Geral!$J29+1),0))</f>
        <v>0</v>
      </c>
      <c r="BM213" s="460">
        <f>IF(AND(Geral!$K29 =Geral!$J29,Geral!$J29=BM$1),Geral!$I29,IF(AND(Geral!$K29 &gt;=Geral!$J29,AND(Geral!$J29&lt;=BM$1,Geral!$K29 &gt;=BM$1)),Geral!$I29 /(Geral!$K29 -Geral!$J29+1),0))</f>
        <v>0</v>
      </c>
      <c r="BN213" s="460">
        <f>IF(AND(Geral!$K29 =Geral!$J29,Geral!$J29=BN$1),Geral!$I29,IF(AND(Geral!$K29 &gt;=Geral!$J29,AND(Geral!$J29&lt;=BN$1,Geral!$K29 &gt;=BN$1)),Geral!$I29 /(Geral!$K29 -Geral!$J29+1),0))</f>
        <v>0</v>
      </c>
      <c r="BO213" s="460">
        <f>IF(AND(Geral!$K29 =Geral!$J29,Geral!$J29=BO$1),Geral!$I29,IF(AND(Geral!$K29 &gt;=Geral!$J29,AND(Geral!$J29&lt;=BO$1,Geral!$K29 &gt;=BO$1)),Geral!$I29 /(Geral!$K29 -Geral!$J29+1),0))</f>
        <v>0</v>
      </c>
      <c r="BP213" s="460">
        <f>IF(AND(Geral!$K29 =Geral!$J29,Geral!$J29=BP$1),Geral!$I29,IF(AND(Geral!$K29 &gt;=Geral!$J29,AND(Geral!$J29&lt;=BP$1,Geral!$K29 &gt;=BP$1)),Geral!$I29 /(Geral!$K29 -Geral!$J29+1),0))</f>
        <v>0</v>
      </c>
      <c r="BQ213" s="460">
        <f>IF(AND(Geral!$K29 =Geral!$J29,Geral!$J29=BQ$1),Geral!$I29,IF(AND(Geral!$K29 &gt;=Geral!$J29,AND(Geral!$J29&lt;=BQ$1,Geral!$K29 &gt;=BQ$1)),Geral!$I29 /(Geral!$K29 -Geral!$J29+1),0))</f>
        <v>0</v>
      </c>
      <c r="BR213" s="460">
        <f>IF(AND(Geral!$K29 =Geral!$J29,Geral!$J29=BR$1),Geral!$I29,IF(AND(Geral!$K29 &gt;=Geral!$J29,AND(Geral!$J29&lt;=BR$1,Geral!$K29 &gt;=BR$1)),Geral!$I29 /(Geral!$K29 -Geral!$J29+1),0))</f>
        <v>0</v>
      </c>
      <c r="BS213" s="460">
        <f>IF(AND(Geral!$K29 =Geral!$J29,Geral!$J29=BS$1),Geral!$I29,IF(AND(Geral!$K29 &gt;=Geral!$J29,AND(Geral!$J29&lt;=BS$1,Geral!$K29 &gt;=BS$1)),Geral!$I29 /(Geral!$K29 -Geral!$J29+1),0))</f>
        <v>0</v>
      </c>
      <c r="BT213" s="461">
        <f>IF(AND(Geral!$K29 =Geral!$J29,Geral!$J29=BT$1),Geral!$I29,IF(AND(Geral!$K29 &gt;=Geral!$J29,AND(Geral!$J29&lt;=BT$1,Geral!$K29 &gt;=BT$1)),Geral!$I29 /(Geral!$K29 -Geral!$J29+1),0))</f>
        <v>0</v>
      </c>
    </row>
    <row r="214" spans="2:72" x14ac:dyDescent="0.2">
      <c r="B214" s="499"/>
      <c r="C214" s="500"/>
      <c r="D214" s="497"/>
      <c r="E214" s="497"/>
      <c r="F214" s="497"/>
      <c r="G214" s="497"/>
      <c r="H214" s="497"/>
      <c r="BA214" s="459">
        <f>VLOOKUP(Geral!$D36,Dados!$A$14:$AD$81,27)</f>
        <v>0</v>
      </c>
      <c r="BB214" s="460">
        <f>IF(AND(Geral!$K36 =Geral!$J36,Geral!$J36=BB$1),Geral!$I36,IF(AND(Geral!$K36 &gt;=Geral!$J36,AND(Geral!$J36&lt;=BB$1,Geral!$K36 &gt;=BB$1)),Geral!$I36 /(Geral!$K36 -Geral!$J36+1),0))</f>
        <v>0</v>
      </c>
      <c r="BC214" s="460">
        <f>IF(AND(Geral!$K36 =Geral!$J36,Geral!$J36=BC$1),Geral!$I36,IF(AND(Geral!$K36 &gt;=Geral!$J36,AND(Geral!$J36&lt;=BC$1,Geral!$K36 &gt;=BC$1)),Geral!$I36 /(Geral!$K36 -Geral!$J36+1),0))</f>
        <v>0</v>
      </c>
      <c r="BD214" s="460">
        <f>IF(AND(Geral!$K36 =Geral!$J36,Geral!$J36=BD$1),Geral!$I36,IF(AND(Geral!$K36 &gt;=Geral!$J36,AND(Geral!$J36&lt;=BD$1,Geral!$K36 &gt;=BD$1)),Geral!$I36 /(Geral!$K36 -Geral!$J36+1),0))</f>
        <v>0</v>
      </c>
      <c r="BE214" s="460">
        <f>IF(AND(Geral!$K36 =Geral!$J36,Geral!$J36=BE$1),Geral!$I36,IF(AND(Geral!$K36 &gt;=Geral!$J36,AND(Geral!$J36&lt;=BE$1,Geral!$K36 &gt;=BE$1)),Geral!$I36 /(Geral!$K36 -Geral!$J36+1),0))</f>
        <v>0</v>
      </c>
      <c r="BF214" s="460">
        <f>IF(AND(Geral!$K36 =Geral!$J36,Geral!$J36=BF$1),Geral!$I36,IF(AND(Geral!$K36 &gt;=Geral!$J36,AND(Geral!$J36&lt;=BF$1,Geral!$K36 &gt;=BF$1)),Geral!$I36 /(Geral!$K36 -Geral!$J36+1),0))</f>
        <v>0</v>
      </c>
      <c r="BG214" s="460">
        <f>IF(AND(Geral!$K36 =Geral!$J36,Geral!$J36=BG$1),Geral!$I36,IF(AND(Geral!$K36 &gt;=Geral!$J36,AND(Geral!$J36&lt;=BG$1,Geral!$K36 &gt;=BG$1)),Geral!$I36 /(Geral!$K36 -Geral!$J36+1),0))</f>
        <v>0</v>
      </c>
      <c r="BH214" s="460">
        <f>IF(AND(Geral!$K36 =Geral!$J36,Geral!$J36=BH$1),Geral!$I36,IF(AND(Geral!$K36 &gt;=Geral!$J36,AND(Geral!$J36&lt;=BH$1,Geral!$K36 &gt;=BH$1)),Geral!$I36 /(Geral!$K36 -Geral!$J36+1),0))</f>
        <v>0</v>
      </c>
      <c r="BI214" s="460">
        <f>IF(AND(Geral!$K36 =Geral!$J36,Geral!$J36=BI$1),Geral!$I36,IF(AND(Geral!$K36 &gt;=Geral!$J36,AND(Geral!$J36&lt;=BI$1,Geral!$K36 &gt;=BI$1)),Geral!$I36 /(Geral!$K36 -Geral!$J36+1),0))</f>
        <v>0</v>
      </c>
      <c r="BJ214" s="460">
        <f>IF(AND(Geral!$K36 =Geral!$J36,Geral!$J36=BJ$1),Geral!$I36,IF(AND(Geral!$K36 &gt;=Geral!$J36,AND(Geral!$J36&lt;=BJ$1,Geral!$K36 &gt;=BJ$1)),Geral!$I36 /(Geral!$K36 -Geral!$J36+1),0))</f>
        <v>0</v>
      </c>
      <c r="BK214" s="460">
        <f>IF(AND(Geral!$K36 =Geral!$J36,Geral!$J36=BK$1),Geral!$I36,IF(AND(Geral!$K36 &gt;=Geral!$J36,AND(Geral!$J36&lt;=BK$1,Geral!$K36 &gt;=BK$1)),Geral!$I36 /(Geral!$K36 -Geral!$J36+1),0))</f>
        <v>0</v>
      </c>
      <c r="BL214" s="460">
        <f>IF(AND(Geral!$K36 =Geral!$J36,Geral!$J36=BL$1),Geral!$I36,IF(AND(Geral!$K36 &gt;=Geral!$J36,AND(Geral!$J36&lt;=BL$1,Geral!$K36 &gt;=BL$1)),Geral!$I36 /(Geral!$K36 -Geral!$J36+1),0))</f>
        <v>0</v>
      </c>
      <c r="BM214" s="460">
        <f>IF(AND(Geral!$K36 =Geral!$J36,Geral!$J36=BM$1),Geral!$I36,IF(AND(Geral!$K36 &gt;=Geral!$J36,AND(Geral!$J36&lt;=BM$1,Geral!$K36 &gt;=BM$1)),Geral!$I36 /(Geral!$K36 -Geral!$J36+1),0))</f>
        <v>0</v>
      </c>
      <c r="BN214" s="460">
        <f>IF(AND(Geral!$K36 =Geral!$J36,Geral!$J36=BN$1),Geral!$I36,IF(AND(Geral!$K36 &gt;=Geral!$J36,AND(Geral!$J36&lt;=BN$1,Geral!$K36 &gt;=BN$1)),Geral!$I36 /(Geral!$K36 -Geral!$J36+1),0))</f>
        <v>0</v>
      </c>
      <c r="BO214" s="460">
        <f>IF(AND(Geral!$K36 =Geral!$J36,Geral!$J36=BO$1),Geral!$I36,IF(AND(Geral!$K36 &gt;=Geral!$J36,AND(Geral!$J36&lt;=BO$1,Geral!$K36 &gt;=BO$1)),Geral!$I36 /(Geral!$K36 -Geral!$J36+1),0))</f>
        <v>0</v>
      </c>
      <c r="BP214" s="460">
        <f>IF(AND(Geral!$K36 =Geral!$J36,Geral!$J36=BP$1),Geral!$I36,IF(AND(Geral!$K36 &gt;=Geral!$J36,AND(Geral!$J36&lt;=BP$1,Geral!$K36 &gt;=BP$1)),Geral!$I36 /(Geral!$K36 -Geral!$J36+1),0))</f>
        <v>0</v>
      </c>
      <c r="BQ214" s="460">
        <f>IF(AND(Geral!$K36 =Geral!$J36,Geral!$J36=BQ$1),Geral!$I36,IF(AND(Geral!$K36 &gt;=Geral!$J36,AND(Geral!$J36&lt;=BQ$1,Geral!$K36 &gt;=BQ$1)),Geral!$I36 /(Geral!$K36 -Geral!$J36+1),0))</f>
        <v>0</v>
      </c>
      <c r="BR214" s="460">
        <f>IF(AND(Geral!$K36 =Geral!$J36,Geral!$J36=BR$1),Geral!$I36,IF(AND(Geral!$K36 &gt;=Geral!$J36,AND(Geral!$J36&lt;=BR$1,Geral!$K36 &gt;=BR$1)),Geral!$I36 /(Geral!$K36 -Geral!$J36+1),0))</f>
        <v>0</v>
      </c>
      <c r="BS214" s="460">
        <f>IF(AND(Geral!$K36 =Geral!$J36,Geral!$J36=BS$1),Geral!$I36,IF(AND(Geral!$K36 &gt;=Geral!$J36,AND(Geral!$J36&lt;=BS$1,Geral!$K36 &gt;=BS$1)),Geral!$I36 /(Geral!$K36 -Geral!$J36+1),0))</f>
        <v>0</v>
      </c>
      <c r="BT214" s="461">
        <f>IF(AND(Geral!$K36 =Geral!$J36,Geral!$J36=BT$1),Geral!$I36,IF(AND(Geral!$K36 &gt;=Geral!$J36,AND(Geral!$J36&lt;=BT$1,Geral!$K36 &gt;=BT$1)),Geral!$I36 /(Geral!$K36 -Geral!$J36+1),0))</f>
        <v>0</v>
      </c>
    </row>
    <row r="215" spans="2:72" x14ac:dyDescent="0.2">
      <c r="B215" s="499"/>
      <c r="C215" s="500"/>
      <c r="D215" s="497"/>
      <c r="E215" s="497"/>
      <c r="F215" s="497"/>
      <c r="G215" s="497"/>
      <c r="H215" s="497"/>
      <c r="BA215" s="459" t="e">
        <f>VLOOKUP(Geral!$D50,'Mão-de-obra'!$CJ$10:$CL$29,2)</f>
        <v>#N/A</v>
      </c>
      <c r="BB215" s="460">
        <f>IF(AND(Geral!$K50 =Geral!$J50,Geral!$J50=BB$1),Geral!$H50,IF(AND(Geral!$K50 &gt;=Geral!$J50,AND(Geral!$J50&lt;=BB$1,Geral!$K50 &gt;=BB$1)),Geral!$H50  /(Geral!$K50 -Geral!$J50+1),0))</f>
        <v>0</v>
      </c>
      <c r="BC215" s="460">
        <f>IF(AND(Geral!$K50 =Geral!$J50,Geral!$J50=BC$1),Geral!$H50,IF(AND(Geral!$K50 &gt;=Geral!$J50,AND(Geral!$J50&lt;=BC$1,Geral!$K50 &gt;=BC$1)),Geral!$H50  /(Geral!$K50 -Geral!$J50+1),0))</f>
        <v>0</v>
      </c>
      <c r="BD215" s="460">
        <f>IF(AND(Geral!$K50 =Geral!$J50,Geral!$J50=BD$1),Geral!$H50,IF(AND(Geral!$K50 &gt;=Geral!$J50,AND(Geral!$J50&lt;=BD$1,Geral!$K50 &gt;=BD$1)),Geral!$H50  /(Geral!$K50 -Geral!$J50+1),0))</f>
        <v>0</v>
      </c>
      <c r="BE215" s="460">
        <f>IF(AND(Geral!$K50 =Geral!$J50,Geral!$J50=BE$1),Geral!$H50,IF(AND(Geral!$K50 &gt;=Geral!$J50,AND(Geral!$J50&lt;=BE$1,Geral!$K50 &gt;=BE$1)),Geral!$H50  /(Geral!$K50 -Geral!$J50+1),0))</f>
        <v>0</v>
      </c>
      <c r="BF215" s="460">
        <f>IF(AND(Geral!$K50 =Geral!$J50,Geral!$J50=BF$1),Geral!$H50,IF(AND(Geral!$K50 &gt;=Geral!$J50,AND(Geral!$J50&lt;=BF$1,Geral!$K50 &gt;=BF$1)),Geral!$H50  /(Geral!$K50 -Geral!$J50+1),0))</f>
        <v>0</v>
      </c>
      <c r="BG215" s="460">
        <f>IF(AND(Geral!$K50 =Geral!$J50,Geral!$J50=BG$1),Geral!$H50,IF(AND(Geral!$K50 &gt;=Geral!$J50,AND(Geral!$J50&lt;=BG$1,Geral!$K50 &gt;=BG$1)),Geral!$H50  /(Geral!$K50 -Geral!$J50+1),0))</f>
        <v>0</v>
      </c>
      <c r="BH215" s="460">
        <f>IF(AND(Geral!$K50 =Geral!$J50,Geral!$J50=BH$1),Geral!$H50,IF(AND(Geral!$K50 &gt;=Geral!$J50,AND(Geral!$J50&lt;=BH$1,Geral!$K50 &gt;=BH$1)),Geral!$H50  /(Geral!$K50 -Geral!$J50+1),0))</f>
        <v>0</v>
      </c>
      <c r="BI215" s="460">
        <f>IF(AND(Geral!$K50 =Geral!$J50,Geral!$J50=BI$1),Geral!$H50,IF(AND(Geral!$K50 &gt;=Geral!$J50,AND(Geral!$J50&lt;=BI$1,Geral!$K50 &gt;=BI$1)),Geral!$H50  /(Geral!$K50 -Geral!$J50+1),0))</f>
        <v>0</v>
      </c>
      <c r="BJ215" s="460">
        <f>IF(AND(Geral!$K50 =Geral!$J50,Geral!$J50=BJ$1),Geral!$H50,IF(AND(Geral!$K50 &gt;=Geral!$J50,AND(Geral!$J50&lt;=BJ$1,Geral!$K50 &gt;=BJ$1)),Geral!$H50  /(Geral!$K50 -Geral!$J50+1),0))</f>
        <v>0</v>
      </c>
      <c r="BK215" s="460">
        <f>IF(AND(Geral!$K50 =Geral!$J50,Geral!$J50=BK$1),Geral!$H50,IF(AND(Geral!$K50 &gt;=Geral!$J50,AND(Geral!$J50&lt;=BK$1,Geral!$K50 &gt;=BK$1)),Geral!$H50  /(Geral!$K50 -Geral!$J50+1),0))</f>
        <v>0</v>
      </c>
      <c r="BL215" s="460">
        <f>IF(AND(Geral!$K50 =Geral!$J50,Geral!$J50=BL$1),Geral!$H50,IF(AND(Geral!$K50 &gt;=Geral!$J50,AND(Geral!$J50&lt;=BL$1,Geral!$K50 &gt;=BL$1)),Geral!$H50  /(Geral!$K50 -Geral!$J50+1),0))</f>
        <v>0</v>
      </c>
      <c r="BM215" s="460">
        <f>IF(AND(Geral!$K50 =Geral!$J50,Geral!$J50=BM$1),Geral!$H50,IF(AND(Geral!$K50 &gt;=Geral!$J50,AND(Geral!$J50&lt;=BM$1,Geral!$K50 &gt;=BM$1)),Geral!$H50  /(Geral!$K50 -Geral!$J50+1),0))</f>
        <v>0</v>
      </c>
      <c r="BN215" s="460">
        <f>IF(AND(Geral!$K50 =Geral!$J50,Geral!$J50=BN$1),Geral!$H50,IF(AND(Geral!$K50 &gt;=Geral!$J50,AND(Geral!$J50&lt;=BN$1,Geral!$K50 &gt;=BN$1)),Geral!$H50  /(Geral!$K50 -Geral!$J50+1),0))</f>
        <v>0</v>
      </c>
      <c r="BO215" s="460">
        <f>IF(AND(Geral!$K50 =Geral!$J50,Geral!$J50=BO$1),Geral!$H50,IF(AND(Geral!$K50 &gt;=Geral!$J50,AND(Geral!$J50&lt;=BO$1,Geral!$K50 &gt;=BO$1)),Geral!$H50  /(Geral!$K50 -Geral!$J50+1),0))</f>
        <v>0</v>
      </c>
      <c r="BP215" s="460">
        <f>IF(AND(Geral!$K50 =Geral!$J50,Geral!$J50=BP$1),Geral!$H50,IF(AND(Geral!$K50 &gt;=Geral!$J50,AND(Geral!$J50&lt;=BP$1,Geral!$K50 &gt;=BP$1)),Geral!$H50  /(Geral!$K50 -Geral!$J50+1),0))</f>
        <v>0</v>
      </c>
      <c r="BQ215" s="460">
        <f>IF(AND(Geral!$K50 =Geral!$J50,Geral!$J50=BQ$1),Geral!$H50,IF(AND(Geral!$K50 &gt;=Geral!$J50,AND(Geral!$J50&lt;=BQ$1,Geral!$K50 &gt;=BQ$1)),Geral!$H50  /(Geral!$K50 -Geral!$J50+1),0))</f>
        <v>0</v>
      </c>
      <c r="BR215" s="460">
        <f>IF(AND(Geral!$K50 =Geral!$J50,Geral!$J50=BR$1),Geral!$H50,IF(AND(Geral!$K50 &gt;=Geral!$J50,AND(Geral!$J50&lt;=BR$1,Geral!$K50 &gt;=BR$1)),Geral!$H50  /(Geral!$K50 -Geral!$J50+1),0))</f>
        <v>0</v>
      </c>
      <c r="BS215" s="460">
        <f>IF(AND(Geral!$K50 =Geral!$J50,Geral!$J50=BS$1),Geral!$H50,IF(AND(Geral!$K50 &gt;=Geral!$J50,AND(Geral!$J50&lt;=BS$1,Geral!$K50 &gt;=BS$1)),Geral!$H50  /(Geral!$K50 -Geral!$J50+1),0))</f>
        <v>0</v>
      </c>
      <c r="BT215" s="461">
        <f>IF(AND(Geral!$K50 =Geral!$J50,Geral!$J50=BT$1),Geral!$H50,IF(AND(Geral!$K50 &gt;=Geral!$J50,AND(Geral!$J50&lt;=BT$1,Geral!$K50 &gt;=BT$1)),Geral!$H50  /(Geral!$K50 -Geral!$J50+1),0))</f>
        <v>0</v>
      </c>
    </row>
    <row r="216" spans="2:72" x14ac:dyDescent="0.2">
      <c r="B216" s="499"/>
      <c r="C216" s="500"/>
      <c r="D216" s="497"/>
      <c r="E216" s="497"/>
      <c r="F216" s="497"/>
      <c r="G216" s="497"/>
      <c r="H216" s="497"/>
      <c r="BA216" s="459" t="e">
        <f>VLOOKUP(Geral!$D51,'Mão-de-obra'!$CJ$10:$CL$29,2)</f>
        <v>#N/A</v>
      </c>
      <c r="BB216" s="460">
        <f>IF(AND(Geral!$K51 =Geral!$J51,Geral!$J51=BB$1),Geral!$H51,IF(AND(Geral!$K51 &gt;=Geral!$J51,AND(Geral!$J51&lt;=BB$1,Geral!$K51 &gt;=BB$1)),Geral!$H51  /(Geral!$K51 -Geral!$J51+1),0))</f>
        <v>0</v>
      </c>
      <c r="BC216" s="460">
        <f>IF(AND(Geral!$K51 =Geral!$J51,Geral!$J51=BC$1),Geral!$H51,IF(AND(Geral!$K51 &gt;=Geral!$J51,AND(Geral!$J51&lt;=BC$1,Geral!$K51 &gt;=BC$1)),Geral!$H51  /(Geral!$K51 -Geral!$J51+1),0))</f>
        <v>0</v>
      </c>
      <c r="BD216" s="460">
        <f>IF(AND(Geral!$K51 =Geral!$J51,Geral!$J51=BD$1),Geral!$H51,IF(AND(Geral!$K51 &gt;=Geral!$J51,AND(Geral!$J51&lt;=BD$1,Geral!$K51 &gt;=BD$1)),Geral!$H51  /(Geral!$K51 -Geral!$J51+1),0))</f>
        <v>0</v>
      </c>
      <c r="BE216" s="460">
        <f>IF(AND(Geral!$K51 =Geral!$J51,Geral!$J51=BE$1),Geral!$H51,IF(AND(Geral!$K51 &gt;=Geral!$J51,AND(Geral!$J51&lt;=BE$1,Geral!$K51 &gt;=BE$1)),Geral!$H51  /(Geral!$K51 -Geral!$J51+1),0))</f>
        <v>0</v>
      </c>
      <c r="BF216" s="460">
        <f>IF(AND(Geral!$K51 =Geral!$J51,Geral!$J51=BF$1),Geral!$H51,IF(AND(Geral!$K51 &gt;=Geral!$J51,AND(Geral!$J51&lt;=BF$1,Geral!$K51 &gt;=BF$1)),Geral!$H51  /(Geral!$K51 -Geral!$J51+1),0))</f>
        <v>0</v>
      </c>
      <c r="BG216" s="460">
        <f>IF(AND(Geral!$K51 =Geral!$J51,Geral!$J51=BG$1),Geral!$H51,IF(AND(Geral!$K51 &gt;=Geral!$J51,AND(Geral!$J51&lt;=BG$1,Geral!$K51 &gt;=BG$1)),Geral!$H51  /(Geral!$K51 -Geral!$J51+1),0))</f>
        <v>0</v>
      </c>
      <c r="BH216" s="460">
        <f>IF(AND(Geral!$K51 =Geral!$J51,Geral!$J51=BH$1),Geral!$H51,IF(AND(Geral!$K51 &gt;=Geral!$J51,AND(Geral!$J51&lt;=BH$1,Geral!$K51 &gt;=BH$1)),Geral!$H51  /(Geral!$K51 -Geral!$J51+1),0))</f>
        <v>0</v>
      </c>
      <c r="BI216" s="460">
        <f>IF(AND(Geral!$K51 =Geral!$J51,Geral!$J51=BI$1),Geral!$H51,IF(AND(Geral!$K51 &gt;=Geral!$J51,AND(Geral!$J51&lt;=BI$1,Geral!$K51 &gt;=BI$1)),Geral!$H51  /(Geral!$K51 -Geral!$J51+1),0))</f>
        <v>0</v>
      </c>
      <c r="BJ216" s="460">
        <f>IF(AND(Geral!$K51 =Geral!$J51,Geral!$J51=BJ$1),Geral!$H51,IF(AND(Geral!$K51 &gt;=Geral!$J51,AND(Geral!$J51&lt;=BJ$1,Geral!$K51 &gt;=BJ$1)),Geral!$H51  /(Geral!$K51 -Geral!$J51+1),0))</f>
        <v>0</v>
      </c>
      <c r="BK216" s="460">
        <f>IF(AND(Geral!$K51 =Geral!$J51,Geral!$J51=BK$1),Geral!$H51,IF(AND(Geral!$K51 &gt;=Geral!$J51,AND(Geral!$J51&lt;=BK$1,Geral!$K51 &gt;=BK$1)),Geral!$H51  /(Geral!$K51 -Geral!$J51+1),0))</f>
        <v>0</v>
      </c>
      <c r="BL216" s="460">
        <f>IF(AND(Geral!$K51 =Geral!$J51,Geral!$J51=BL$1),Geral!$H51,IF(AND(Geral!$K51 &gt;=Geral!$J51,AND(Geral!$J51&lt;=BL$1,Geral!$K51 &gt;=BL$1)),Geral!$H51  /(Geral!$K51 -Geral!$J51+1),0))</f>
        <v>0</v>
      </c>
      <c r="BM216" s="460">
        <f>IF(AND(Geral!$K51 =Geral!$J51,Geral!$J51=BM$1),Geral!$H51,IF(AND(Geral!$K51 &gt;=Geral!$J51,AND(Geral!$J51&lt;=BM$1,Geral!$K51 &gt;=BM$1)),Geral!$H51  /(Geral!$K51 -Geral!$J51+1),0))</f>
        <v>0</v>
      </c>
      <c r="BN216" s="460">
        <f>IF(AND(Geral!$K51 =Geral!$J51,Geral!$J51=BN$1),Geral!$H51,IF(AND(Geral!$K51 &gt;=Geral!$J51,AND(Geral!$J51&lt;=BN$1,Geral!$K51 &gt;=BN$1)),Geral!$H51  /(Geral!$K51 -Geral!$J51+1),0))</f>
        <v>0</v>
      </c>
      <c r="BO216" s="460">
        <f>IF(AND(Geral!$K51 =Geral!$J51,Geral!$J51=BO$1),Geral!$H51,IF(AND(Geral!$K51 &gt;=Geral!$J51,AND(Geral!$J51&lt;=BO$1,Geral!$K51 &gt;=BO$1)),Geral!$H51  /(Geral!$K51 -Geral!$J51+1),0))</f>
        <v>0</v>
      </c>
      <c r="BP216" s="460">
        <f>IF(AND(Geral!$K51 =Geral!$J51,Geral!$J51=BP$1),Geral!$H51,IF(AND(Geral!$K51 &gt;=Geral!$J51,AND(Geral!$J51&lt;=BP$1,Geral!$K51 &gt;=BP$1)),Geral!$H51  /(Geral!$K51 -Geral!$J51+1),0))</f>
        <v>0</v>
      </c>
      <c r="BQ216" s="460">
        <f>IF(AND(Geral!$K51 =Geral!$J51,Geral!$J51=BQ$1),Geral!$H51,IF(AND(Geral!$K51 &gt;=Geral!$J51,AND(Geral!$J51&lt;=BQ$1,Geral!$K51 &gt;=BQ$1)),Geral!$H51  /(Geral!$K51 -Geral!$J51+1),0))</f>
        <v>0</v>
      </c>
      <c r="BR216" s="460">
        <f>IF(AND(Geral!$K51 =Geral!$J51,Geral!$J51=BR$1),Geral!$H51,IF(AND(Geral!$K51 &gt;=Geral!$J51,AND(Geral!$J51&lt;=BR$1,Geral!$K51 &gt;=BR$1)),Geral!$H51  /(Geral!$K51 -Geral!$J51+1),0))</f>
        <v>0</v>
      </c>
      <c r="BS216" s="460">
        <f>IF(AND(Geral!$K51 =Geral!$J51,Geral!$J51=BS$1),Geral!$H51,IF(AND(Geral!$K51 &gt;=Geral!$J51,AND(Geral!$J51&lt;=BS$1,Geral!$K51 &gt;=BS$1)),Geral!$H51  /(Geral!$K51 -Geral!$J51+1),0))</f>
        <v>0</v>
      </c>
      <c r="BT216" s="461">
        <f>IF(AND(Geral!$K51 =Geral!$J51,Geral!$J51=BT$1),Geral!$H51,IF(AND(Geral!$K51 &gt;=Geral!$J51,AND(Geral!$J51&lt;=BT$1,Geral!$K51 &gt;=BT$1)),Geral!$H51  /(Geral!$K51 -Geral!$J51+1),0))</f>
        <v>0</v>
      </c>
    </row>
    <row r="217" spans="2:72" x14ac:dyDescent="0.2">
      <c r="B217" s="499"/>
      <c r="C217" s="500"/>
      <c r="D217" s="497"/>
      <c r="E217" s="497"/>
      <c r="F217" s="497"/>
      <c r="G217" s="497"/>
      <c r="H217" s="497"/>
      <c r="BA217" s="459" t="e">
        <f>VLOOKUP(Geral!$D52,'Mão-de-obra'!$CJ$10:$CL$29,2)</f>
        <v>#N/A</v>
      </c>
      <c r="BB217" s="460">
        <f>IF(AND(Geral!$K52 =Geral!$J52,Geral!$J52=BB$1),Geral!$H52,IF(AND(Geral!$K52 &gt;=Geral!$J52,AND(Geral!$J52&lt;=BB$1,Geral!$K52 &gt;=BB$1)),Geral!$H52  /(Geral!$K52 -Geral!$J52+1),0))</f>
        <v>0</v>
      </c>
      <c r="BC217" s="460">
        <f>IF(AND(Geral!$K52 =Geral!$J52,Geral!$J52=BC$1),Geral!$H52,IF(AND(Geral!$K52 &gt;=Geral!$J52,AND(Geral!$J52&lt;=BC$1,Geral!$K52 &gt;=BC$1)),Geral!$H52  /(Geral!$K52 -Geral!$J52+1),0))</f>
        <v>0</v>
      </c>
      <c r="BD217" s="460">
        <f>IF(AND(Geral!$K52 =Geral!$J52,Geral!$J52=BD$1),Geral!$H52,IF(AND(Geral!$K52 &gt;=Geral!$J52,AND(Geral!$J52&lt;=BD$1,Geral!$K52 &gt;=BD$1)),Geral!$H52  /(Geral!$K52 -Geral!$J52+1),0))</f>
        <v>0</v>
      </c>
      <c r="BE217" s="460">
        <f>IF(AND(Geral!$K52 =Geral!$J52,Geral!$J52=BE$1),Geral!$H52,IF(AND(Geral!$K52 &gt;=Geral!$J52,AND(Geral!$J52&lt;=BE$1,Geral!$K52 &gt;=BE$1)),Geral!$H52  /(Geral!$K52 -Geral!$J52+1),0))</f>
        <v>0</v>
      </c>
      <c r="BF217" s="460">
        <f>IF(AND(Geral!$K52 =Geral!$J52,Geral!$J52=BF$1),Geral!$H52,IF(AND(Geral!$K52 &gt;=Geral!$J52,AND(Geral!$J52&lt;=BF$1,Geral!$K52 &gt;=BF$1)),Geral!$H52  /(Geral!$K52 -Geral!$J52+1),0))</f>
        <v>0</v>
      </c>
      <c r="BG217" s="460">
        <f>IF(AND(Geral!$K52 =Geral!$J52,Geral!$J52=BG$1),Geral!$H52,IF(AND(Geral!$K52 &gt;=Geral!$J52,AND(Geral!$J52&lt;=BG$1,Geral!$K52 &gt;=BG$1)),Geral!$H52  /(Geral!$K52 -Geral!$J52+1),0))</f>
        <v>0</v>
      </c>
      <c r="BH217" s="460">
        <f>IF(AND(Geral!$K52 =Geral!$J52,Geral!$J52=BH$1),Geral!$H52,IF(AND(Geral!$K52 &gt;=Geral!$J52,AND(Geral!$J52&lt;=BH$1,Geral!$K52 &gt;=BH$1)),Geral!$H52  /(Geral!$K52 -Geral!$J52+1),0))</f>
        <v>0</v>
      </c>
      <c r="BI217" s="460">
        <f>IF(AND(Geral!$K52 =Geral!$J52,Geral!$J52=BI$1),Geral!$H52,IF(AND(Geral!$K52 &gt;=Geral!$J52,AND(Geral!$J52&lt;=BI$1,Geral!$K52 &gt;=BI$1)),Geral!$H52  /(Geral!$K52 -Geral!$J52+1),0))</f>
        <v>0</v>
      </c>
      <c r="BJ217" s="460">
        <f>IF(AND(Geral!$K52 =Geral!$J52,Geral!$J52=BJ$1),Geral!$H52,IF(AND(Geral!$K52 &gt;=Geral!$J52,AND(Geral!$J52&lt;=BJ$1,Geral!$K52 &gt;=BJ$1)),Geral!$H52  /(Geral!$K52 -Geral!$J52+1),0))</f>
        <v>0</v>
      </c>
      <c r="BK217" s="460">
        <f>IF(AND(Geral!$K52 =Geral!$J52,Geral!$J52=BK$1),Geral!$H52,IF(AND(Geral!$K52 &gt;=Geral!$J52,AND(Geral!$J52&lt;=BK$1,Geral!$K52 &gt;=BK$1)),Geral!$H52  /(Geral!$K52 -Geral!$J52+1),0))</f>
        <v>0</v>
      </c>
      <c r="BL217" s="460">
        <f>IF(AND(Geral!$K52 =Geral!$J52,Geral!$J52=BL$1),Geral!$H52,IF(AND(Geral!$K52 &gt;=Geral!$J52,AND(Geral!$J52&lt;=BL$1,Geral!$K52 &gt;=BL$1)),Geral!$H52  /(Geral!$K52 -Geral!$J52+1),0))</f>
        <v>0</v>
      </c>
      <c r="BM217" s="460">
        <f>IF(AND(Geral!$K52 =Geral!$J52,Geral!$J52=BM$1),Geral!$H52,IF(AND(Geral!$K52 &gt;=Geral!$J52,AND(Geral!$J52&lt;=BM$1,Geral!$K52 &gt;=BM$1)),Geral!$H52  /(Geral!$K52 -Geral!$J52+1),0))</f>
        <v>0</v>
      </c>
      <c r="BN217" s="460">
        <f>IF(AND(Geral!$K52 =Geral!$J52,Geral!$J52=BN$1),Geral!$H52,IF(AND(Geral!$K52 &gt;=Geral!$J52,AND(Geral!$J52&lt;=BN$1,Geral!$K52 &gt;=BN$1)),Geral!$H52  /(Geral!$K52 -Geral!$J52+1),0))</f>
        <v>0</v>
      </c>
      <c r="BO217" s="460">
        <f>IF(AND(Geral!$K52 =Geral!$J52,Geral!$J52=BO$1),Geral!$H52,IF(AND(Geral!$K52 &gt;=Geral!$J52,AND(Geral!$J52&lt;=BO$1,Geral!$K52 &gt;=BO$1)),Geral!$H52  /(Geral!$K52 -Geral!$J52+1),0))</f>
        <v>0</v>
      </c>
      <c r="BP217" s="460">
        <f>IF(AND(Geral!$K52 =Geral!$J52,Geral!$J52=BP$1),Geral!$H52,IF(AND(Geral!$K52 &gt;=Geral!$J52,AND(Geral!$J52&lt;=BP$1,Geral!$K52 &gt;=BP$1)),Geral!$H52  /(Geral!$K52 -Geral!$J52+1),0))</f>
        <v>0</v>
      </c>
      <c r="BQ217" s="460">
        <f>IF(AND(Geral!$K52 =Geral!$J52,Geral!$J52=BQ$1),Geral!$H52,IF(AND(Geral!$K52 &gt;=Geral!$J52,AND(Geral!$J52&lt;=BQ$1,Geral!$K52 &gt;=BQ$1)),Geral!$H52  /(Geral!$K52 -Geral!$J52+1),0))</f>
        <v>0</v>
      </c>
      <c r="BR217" s="460">
        <f>IF(AND(Geral!$K52 =Geral!$J52,Geral!$J52=BR$1),Geral!$H52,IF(AND(Geral!$K52 &gt;=Geral!$J52,AND(Geral!$J52&lt;=BR$1,Geral!$K52 &gt;=BR$1)),Geral!$H52  /(Geral!$K52 -Geral!$J52+1),0))</f>
        <v>0</v>
      </c>
      <c r="BS217" s="460">
        <f>IF(AND(Geral!$K52 =Geral!$J52,Geral!$J52=BS$1),Geral!$H52,IF(AND(Geral!$K52 &gt;=Geral!$J52,AND(Geral!$J52&lt;=BS$1,Geral!$K52 &gt;=BS$1)),Geral!$H52  /(Geral!$K52 -Geral!$J52+1),0))</f>
        <v>0</v>
      </c>
      <c r="BT217" s="461">
        <f>IF(AND(Geral!$K52 =Geral!$J52,Geral!$J52=BT$1),Geral!$H52,IF(AND(Geral!$K52 &gt;=Geral!$J52,AND(Geral!$J52&lt;=BT$1,Geral!$K52 &gt;=BT$1)),Geral!$H52  /(Geral!$K52 -Geral!$J52+1),0))</f>
        <v>0</v>
      </c>
    </row>
    <row r="218" spans="2:72" x14ac:dyDescent="0.2">
      <c r="B218" s="499"/>
      <c r="C218" s="500"/>
      <c r="D218" s="497"/>
      <c r="E218" s="497"/>
      <c r="F218" s="497"/>
      <c r="G218" s="497"/>
      <c r="H218" s="497"/>
      <c r="BA218" s="459" t="e">
        <f>VLOOKUP(Geral!$D53,'Mão-de-obra'!$CJ$10:$CL$29,2)</f>
        <v>#N/A</v>
      </c>
      <c r="BB218" s="460">
        <f>IF(AND(Geral!$K53 =Geral!$J53,Geral!$J53=BB$1),Geral!$H53,IF(AND(Geral!$K53 &gt;=Geral!$J53,AND(Geral!$J53&lt;=BB$1,Geral!$K53 &gt;=BB$1)),Geral!$H53  /(Geral!$K53 -Geral!$J53+1),0))</f>
        <v>0</v>
      </c>
      <c r="BC218" s="460">
        <f>IF(AND(Geral!$K53 =Geral!$J53,Geral!$J53=BC$1),Geral!$H53,IF(AND(Geral!$K53 &gt;=Geral!$J53,AND(Geral!$J53&lt;=BC$1,Geral!$K53 &gt;=BC$1)),Geral!$H53  /(Geral!$K53 -Geral!$J53+1),0))</f>
        <v>0</v>
      </c>
      <c r="BD218" s="460">
        <f>IF(AND(Geral!$K53 =Geral!$J53,Geral!$J53=BD$1),Geral!$H53,IF(AND(Geral!$K53 &gt;=Geral!$J53,AND(Geral!$J53&lt;=BD$1,Geral!$K53 &gt;=BD$1)),Geral!$H53  /(Geral!$K53 -Geral!$J53+1),0))</f>
        <v>0</v>
      </c>
      <c r="BE218" s="460">
        <f>IF(AND(Geral!$K53 =Geral!$J53,Geral!$J53=BE$1),Geral!$H53,IF(AND(Geral!$K53 &gt;=Geral!$J53,AND(Geral!$J53&lt;=BE$1,Geral!$K53 &gt;=BE$1)),Geral!$H53  /(Geral!$K53 -Geral!$J53+1),0))</f>
        <v>0</v>
      </c>
      <c r="BF218" s="460">
        <f>IF(AND(Geral!$K53 =Geral!$J53,Geral!$J53=BF$1),Geral!$H53,IF(AND(Geral!$K53 &gt;=Geral!$J53,AND(Geral!$J53&lt;=BF$1,Geral!$K53 &gt;=BF$1)),Geral!$H53  /(Geral!$K53 -Geral!$J53+1),0))</f>
        <v>0</v>
      </c>
      <c r="BG218" s="460">
        <f>IF(AND(Geral!$K53 =Geral!$J53,Geral!$J53=BG$1),Geral!$H53,IF(AND(Geral!$K53 &gt;=Geral!$J53,AND(Geral!$J53&lt;=BG$1,Geral!$K53 &gt;=BG$1)),Geral!$H53  /(Geral!$K53 -Geral!$J53+1),0))</f>
        <v>0</v>
      </c>
      <c r="BH218" s="460">
        <f>IF(AND(Geral!$K53 =Geral!$J53,Geral!$J53=BH$1),Geral!$H53,IF(AND(Geral!$K53 &gt;=Geral!$J53,AND(Geral!$J53&lt;=BH$1,Geral!$K53 &gt;=BH$1)),Geral!$H53  /(Geral!$K53 -Geral!$J53+1),0))</f>
        <v>0</v>
      </c>
      <c r="BI218" s="460">
        <f>IF(AND(Geral!$K53 =Geral!$J53,Geral!$J53=BI$1),Geral!$H53,IF(AND(Geral!$K53 &gt;=Geral!$J53,AND(Geral!$J53&lt;=BI$1,Geral!$K53 &gt;=BI$1)),Geral!$H53  /(Geral!$K53 -Geral!$J53+1),0))</f>
        <v>0</v>
      </c>
      <c r="BJ218" s="460">
        <f>IF(AND(Geral!$K53 =Geral!$J53,Geral!$J53=BJ$1),Geral!$H53,IF(AND(Geral!$K53 &gt;=Geral!$J53,AND(Geral!$J53&lt;=BJ$1,Geral!$K53 &gt;=BJ$1)),Geral!$H53  /(Geral!$K53 -Geral!$J53+1),0))</f>
        <v>0</v>
      </c>
      <c r="BK218" s="460">
        <f>IF(AND(Geral!$K53 =Geral!$J53,Geral!$J53=BK$1),Geral!$H53,IF(AND(Geral!$K53 &gt;=Geral!$J53,AND(Geral!$J53&lt;=BK$1,Geral!$K53 &gt;=BK$1)),Geral!$H53  /(Geral!$K53 -Geral!$J53+1),0))</f>
        <v>0</v>
      </c>
      <c r="BL218" s="460">
        <f>IF(AND(Geral!$K53 =Geral!$J53,Geral!$J53=BL$1),Geral!$H53,IF(AND(Geral!$K53 &gt;=Geral!$J53,AND(Geral!$J53&lt;=BL$1,Geral!$K53 &gt;=BL$1)),Geral!$H53  /(Geral!$K53 -Geral!$J53+1),0))</f>
        <v>0</v>
      </c>
      <c r="BM218" s="460">
        <f>IF(AND(Geral!$K53 =Geral!$J53,Geral!$J53=BM$1),Geral!$H53,IF(AND(Geral!$K53 &gt;=Geral!$J53,AND(Geral!$J53&lt;=BM$1,Geral!$K53 &gt;=BM$1)),Geral!$H53  /(Geral!$K53 -Geral!$J53+1),0))</f>
        <v>0</v>
      </c>
      <c r="BN218" s="460">
        <f>IF(AND(Geral!$K53 =Geral!$J53,Geral!$J53=BN$1),Geral!$H53,IF(AND(Geral!$K53 &gt;=Geral!$J53,AND(Geral!$J53&lt;=BN$1,Geral!$K53 &gt;=BN$1)),Geral!$H53  /(Geral!$K53 -Geral!$J53+1),0))</f>
        <v>0</v>
      </c>
      <c r="BO218" s="460">
        <f>IF(AND(Geral!$K53 =Geral!$J53,Geral!$J53=BO$1),Geral!$H53,IF(AND(Geral!$K53 &gt;=Geral!$J53,AND(Geral!$J53&lt;=BO$1,Geral!$K53 &gt;=BO$1)),Geral!$H53  /(Geral!$K53 -Geral!$J53+1),0))</f>
        <v>0</v>
      </c>
      <c r="BP218" s="460">
        <f>IF(AND(Geral!$K53 =Geral!$J53,Geral!$J53=BP$1),Geral!$H53,IF(AND(Geral!$K53 &gt;=Geral!$J53,AND(Geral!$J53&lt;=BP$1,Geral!$K53 &gt;=BP$1)),Geral!$H53  /(Geral!$K53 -Geral!$J53+1),0))</f>
        <v>0</v>
      </c>
      <c r="BQ218" s="460">
        <f>IF(AND(Geral!$K53 =Geral!$J53,Geral!$J53=BQ$1),Geral!$H53,IF(AND(Geral!$K53 &gt;=Geral!$J53,AND(Geral!$J53&lt;=BQ$1,Geral!$K53 &gt;=BQ$1)),Geral!$H53  /(Geral!$K53 -Geral!$J53+1),0))</f>
        <v>0</v>
      </c>
      <c r="BR218" s="460">
        <f>IF(AND(Geral!$K53 =Geral!$J53,Geral!$J53=BR$1),Geral!$H53,IF(AND(Geral!$K53 &gt;=Geral!$J53,AND(Geral!$J53&lt;=BR$1,Geral!$K53 &gt;=BR$1)),Geral!$H53  /(Geral!$K53 -Geral!$J53+1),0))</f>
        <v>0</v>
      </c>
      <c r="BS218" s="460">
        <f>IF(AND(Geral!$K53 =Geral!$J53,Geral!$J53=BS$1),Geral!$H53,IF(AND(Geral!$K53 &gt;=Geral!$J53,AND(Geral!$J53&lt;=BS$1,Geral!$K53 &gt;=BS$1)),Geral!$H53  /(Geral!$K53 -Geral!$J53+1),0))</f>
        <v>0</v>
      </c>
      <c r="BT218" s="461">
        <f>IF(AND(Geral!$K53 =Geral!$J53,Geral!$J53=BT$1),Geral!$H53,IF(AND(Geral!$K53 &gt;=Geral!$J53,AND(Geral!$J53&lt;=BT$1,Geral!$K53 &gt;=BT$1)),Geral!$H53  /(Geral!$K53 -Geral!$J53+1),0))</f>
        <v>0</v>
      </c>
    </row>
    <row r="219" spans="2:72" ht="13.5" thickBot="1" x14ac:dyDescent="0.25">
      <c r="B219" s="499"/>
      <c r="C219" s="500"/>
      <c r="D219" s="497"/>
      <c r="E219" s="497"/>
      <c r="F219" s="497"/>
      <c r="G219" s="497"/>
      <c r="H219" s="497"/>
      <c r="BA219" s="473" t="s">
        <v>2</v>
      </c>
      <c r="BB219" s="479">
        <f>SUM(BB200:BB218)</f>
        <v>3958</v>
      </c>
      <c r="BC219" s="479">
        <f t="shared" ref="BC219:BT219" si="31">SUM(BC200:BC218)</f>
        <v>0</v>
      </c>
      <c r="BD219" s="479">
        <f t="shared" si="31"/>
        <v>0</v>
      </c>
      <c r="BE219" s="479">
        <f t="shared" si="31"/>
        <v>0</v>
      </c>
      <c r="BF219" s="479">
        <f t="shared" si="31"/>
        <v>0</v>
      </c>
      <c r="BG219" s="479">
        <f t="shared" si="31"/>
        <v>0</v>
      </c>
      <c r="BH219" s="479">
        <f t="shared" si="31"/>
        <v>0</v>
      </c>
      <c r="BI219" s="479">
        <f t="shared" si="31"/>
        <v>0</v>
      </c>
      <c r="BJ219" s="479">
        <f t="shared" si="31"/>
        <v>0</v>
      </c>
      <c r="BK219" s="479">
        <f t="shared" si="31"/>
        <v>0</v>
      </c>
      <c r="BL219" s="479">
        <f t="shared" si="31"/>
        <v>0</v>
      </c>
      <c r="BM219" s="479">
        <f t="shared" si="31"/>
        <v>0</v>
      </c>
      <c r="BN219" s="479">
        <f t="shared" si="31"/>
        <v>0</v>
      </c>
      <c r="BO219" s="479">
        <f t="shared" si="31"/>
        <v>0</v>
      </c>
      <c r="BP219" s="479">
        <f t="shared" si="31"/>
        <v>0</v>
      </c>
      <c r="BQ219" s="479">
        <f t="shared" si="31"/>
        <v>0</v>
      </c>
      <c r="BR219" s="479">
        <f t="shared" si="31"/>
        <v>0</v>
      </c>
      <c r="BS219" s="479">
        <f t="shared" si="31"/>
        <v>0</v>
      </c>
      <c r="BT219" s="479">
        <f t="shared" si="31"/>
        <v>0</v>
      </c>
    </row>
    <row r="220" spans="2:72" ht="13.5" thickBot="1" x14ac:dyDescent="0.25">
      <c r="B220" s="499"/>
      <c r="C220" s="500"/>
      <c r="D220" s="497"/>
      <c r="E220" s="497"/>
      <c r="F220" s="497"/>
      <c r="G220" s="497"/>
      <c r="H220" s="497"/>
      <c r="BA220" s="472" t="s">
        <v>527</v>
      </c>
    </row>
    <row r="221" spans="2:72" ht="13.5" thickBot="1" x14ac:dyDescent="0.25">
      <c r="B221" s="499"/>
      <c r="C221" s="500"/>
      <c r="D221" s="497"/>
      <c r="E221" s="497"/>
      <c r="F221" s="497"/>
      <c r="G221" s="497"/>
      <c r="H221" s="497"/>
      <c r="BA221" s="501" t="s">
        <v>527</v>
      </c>
      <c r="BB221" s="502">
        <f>IF('Mão-de-obra'!$P39&lt;0,0,(('Mão-de-obra'!$P39*'Mão-de-obra'!$P41)*'Mão-de-obra'!$K43)/12)</f>
        <v>0</v>
      </c>
      <c r="BC221" s="502">
        <f>IF('Mão-de-obra'!$P39&lt;0,0,(('Mão-de-obra'!$P39*'Mão-de-obra'!$P41)*'Mão-de-obra'!$K43)/12)</f>
        <v>0</v>
      </c>
      <c r="BD221" s="502">
        <f>IF('Mão-de-obra'!$P39&lt;0,0,(('Mão-de-obra'!$P39*'Mão-de-obra'!$P41)*'Mão-de-obra'!$K43)/12)</f>
        <v>0</v>
      </c>
      <c r="BE221" s="502">
        <f>IF('Mão-de-obra'!$P39&lt;0,0,(('Mão-de-obra'!$P39*'Mão-de-obra'!$P41)*'Mão-de-obra'!$K43)/12)</f>
        <v>0</v>
      </c>
      <c r="BF221" s="502">
        <f>IF('Mão-de-obra'!$P39&lt;0,0,(('Mão-de-obra'!$P39*'Mão-de-obra'!$P41)*'Mão-de-obra'!$K43)/12)</f>
        <v>0</v>
      </c>
      <c r="BG221" s="502">
        <f>IF('Mão-de-obra'!$P39&lt;0,0,(('Mão-de-obra'!$P39*'Mão-de-obra'!$P41)*'Mão-de-obra'!$K43)/12)</f>
        <v>0</v>
      </c>
      <c r="BH221" s="502">
        <f>IF('Mão-de-obra'!$P39&lt;0,0,(('Mão-de-obra'!$P39*'Mão-de-obra'!$P41)*'Mão-de-obra'!$K43)/12)</f>
        <v>0</v>
      </c>
      <c r="BI221" s="502">
        <f>IF('Mão-de-obra'!$P39&lt;0,0,(('Mão-de-obra'!$P39*'Mão-de-obra'!$P41)*'Mão-de-obra'!$K43)/12)</f>
        <v>0</v>
      </c>
      <c r="BJ221" s="502">
        <f>IF('Mão-de-obra'!$P39&lt;0,0,(('Mão-de-obra'!$P39*'Mão-de-obra'!$P41)*'Mão-de-obra'!$K43)/12)</f>
        <v>0</v>
      </c>
      <c r="BK221" s="502">
        <f>IF('Mão-de-obra'!$P39&lt;0,0,(('Mão-de-obra'!$P39*'Mão-de-obra'!$P41)*'Mão-de-obra'!$K43)/12)</f>
        <v>0</v>
      </c>
      <c r="BL221" s="502">
        <f>IF('Mão-de-obra'!$P39&lt;0,0,(('Mão-de-obra'!$P39*'Mão-de-obra'!$P41)*'Mão-de-obra'!$K43)/12)</f>
        <v>0</v>
      </c>
      <c r="BM221" s="502">
        <f>IF('Mão-de-obra'!$P39&lt;0,0,(('Mão-de-obra'!$P39*'Mão-de-obra'!$P41)*'Mão-de-obra'!$K43)/12)</f>
        <v>0</v>
      </c>
      <c r="BN221" s="502">
        <f>IF('Mão-de-obra'!$P39&lt;0,0,(('Mão-de-obra'!$P39*'Mão-de-obra'!$P41)*'Mão-de-obra'!$K43)/12)</f>
        <v>0</v>
      </c>
      <c r="BO221" s="502">
        <f>IF('Mão-de-obra'!$P39&lt;0,0,(('Mão-de-obra'!$P39*'Mão-de-obra'!$P41)*'Mão-de-obra'!$K43)/12)</f>
        <v>0</v>
      </c>
      <c r="BP221" s="502">
        <f>IF('Mão-de-obra'!$P39&lt;0,0,(('Mão-de-obra'!$P39*'Mão-de-obra'!$P41)*'Mão-de-obra'!$K43)/12)</f>
        <v>0</v>
      </c>
      <c r="BQ221" s="502">
        <f>IF('Mão-de-obra'!$P39&lt;0,0,(('Mão-de-obra'!$P39*'Mão-de-obra'!$P41)*'Mão-de-obra'!$K43)/12)</f>
        <v>0</v>
      </c>
      <c r="BR221" s="502">
        <f>IF('Mão-de-obra'!$P39&lt;0,0,(('Mão-de-obra'!$P39*'Mão-de-obra'!$P41)*'Mão-de-obra'!$K43)/12)</f>
        <v>0</v>
      </c>
      <c r="BS221" s="502">
        <f>IF('Mão-de-obra'!$P39&lt;0,0,(('Mão-de-obra'!$P39*'Mão-de-obra'!$P41)*'Mão-de-obra'!$K43)/12)</f>
        <v>0</v>
      </c>
      <c r="BT221" s="502">
        <f>IF('Mão-de-obra'!$P39&lt;0,0,(('Mão-de-obra'!$P39*'Mão-de-obra'!$P41)*'Mão-de-obra'!$K43)/12)</f>
        <v>0</v>
      </c>
    </row>
    <row r="222" spans="2:72" x14ac:dyDescent="0.2">
      <c r="B222" s="499"/>
      <c r="C222" s="500"/>
      <c r="D222" s="497"/>
      <c r="E222" s="497"/>
      <c r="F222" s="497"/>
      <c r="G222" s="497"/>
      <c r="H222" s="497"/>
      <c r="BA222" s="472"/>
    </row>
    <row r="223" spans="2:72" x14ac:dyDescent="0.2">
      <c r="B223" s="499"/>
      <c r="C223" s="500"/>
      <c r="D223" s="497"/>
      <c r="E223" s="497"/>
      <c r="F223" s="497"/>
      <c r="G223" s="497"/>
      <c r="H223" s="497"/>
      <c r="BA223" s="472"/>
    </row>
    <row r="224" spans="2:72" x14ac:dyDescent="0.2">
      <c r="B224" s="499"/>
      <c r="C224" s="500"/>
      <c r="D224" s="497"/>
      <c r="E224" s="497"/>
      <c r="F224" s="497"/>
      <c r="G224" s="497"/>
      <c r="H224" s="497"/>
      <c r="BA224" s="472"/>
      <c r="BC224" s="480"/>
    </row>
    <row r="225" spans="2:65" x14ac:dyDescent="0.2">
      <c r="B225" s="499"/>
      <c r="C225" s="500"/>
      <c r="D225" s="497"/>
      <c r="E225" s="497"/>
      <c r="F225" s="497"/>
      <c r="G225" s="497"/>
      <c r="H225" s="497"/>
      <c r="BA225" s="472"/>
    </row>
    <row r="226" spans="2:65" x14ac:dyDescent="0.2">
      <c r="B226" s="499"/>
      <c r="C226" s="500"/>
      <c r="D226" s="497"/>
      <c r="E226" s="497"/>
      <c r="F226" s="497"/>
      <c r="G226" s="497"/>
      <c r="H226" s="497"/>
    </row>
    <row r="227" spans="2:65" x14ac:dyDescent="0.2">
      <c r="B227" s="499"/>
      <c r="C227" s="500"/>
      <c r="D227" s="497"/>
      <c r="E227" s="497"/>
      <c r="F227" s="497"/>
      <c r="G227" s="497"/>
      <c r="H227" s="497"/>
      <c r="BA227" s="503"/>
      <c r="BB227" s="436" t="s">
        <v>230</v>
      </c>
      <c r="BC227" s="436" t="s">
        <v>231</v>
      </c>
      <c r="BD227" s="436" t="s">
        <v>232</v>
      </c>
      <c r="BE227" s="436" t="s">
        <v>233</v>
      </c>
      <c r="BF227" s="436" t="s">
        <v>234</v>
      </c>
      <c r="BG227" s="436" t="s">
        <v>235</v>
      </c>
      <c r="BH227" s="436" t="s">
        <v>236</v>
      </c>
      <c r="BI227" s="436" t="s">
        <v>237</v>
      </c>
      <c r="BJ227" s="436" t="s">
        <v>238</v>
      </c>
      <c r="BK227" s="436" t="s">
        <v>239</v>
      </c>
      <c r="BL227" s="436" t="s">
        <v>240</v>
      </c>
      <c r="BM227" s="436" t="s">
        <v>241</v>
      </c>
    </row>
    <row r="228" spans="2:65" x14ac:dyDescent="0.2">
      <c r="B228" s="499"/>
      <c r="C228" s="500"/>
      <c r="D228" s="497"/>
      <c r="E228" s="497"/>
      <c r="F228" s="497"/>
      <c r="G228" s="497"/>
      <c r="H228" s="497"/>
      <c r="BA228" s="472" t="s">
        <v>299</v>
      </c>
      <c r="BB228" s="438">
        <f t="shared" ref="BB228:BH228" si="32">BB28+BN28</f>
        <v>1746242.1884112596</v>
      </c>
      <c r="BC228" s="438">
        <f t="shared" si="32"/>
        <v>0</v>
      </c>
      <c r="BD228" s="438">
        <f t="shared" si="32"/>
        <v>0</v>
      </c>
      <c r="BE228" s="438">
        <f t="shared" si="32"/>
        <v>0</v>
      </c>
      <c r="BF228" s="438">
        <f t="shared" si="32"/>
        <v>0</v>
      </c>
      <c r="BG228" s="438">
        <f t="shared" si="32"/>
        <v>0</v>
      </c>
      <c r="BH228" s="438">
        <f t="shared" si="32"/>
        <v>0</v>
      </c>
      <c r="BI228" s="438">
        <f>BI28</f>
        <v>0</v>
      </c>
      <c r="BJ228" s="438">
        <f>BJ28</f>
        <v>0</v>
      </c>
      <c r="BK228" s="438">
        <f>BK28</f>
        <v>0</v>
      </c>
      <c r="BL228" s="438">
        <f>BL28</f>
        <v>0</v>
      </c>
      <c r="BM228" s="438">
        <f>BM28</f>
        <v>0</v>
      </c>
    </row>
    <row r="229" spans="2:65" x14ac:dyDescent="0.2">
      <c r="B229" s="499"/>
      <c r="C229" s="500"/>
      <c r="D229" s="497"/>
      <c r="E229" s="497"/>
      <c r="F229" s="497"/>
      <c r="G229" s="497"/>
      <c r="H229" s="497"/>
      <c r="BA229" s="472" t="s">
        <v>549</v>
      </c>
      <c r="BB229" s="438" t="e">
        <f>(BB44+#REF!+BB107+BB136+BB198+BB219+BB221)+(BN44+#REF!+BN107+BN136+BN198+BN219)</f>
        <v>#REF!</v>
      </c>
      <c r="BC229" s="438" t="e">
        <f>(BC44+#REF!+BC107+BC136+BC198+BC219+BC221)+(BO44+#REF!+BO107+BO136+BO198+BO219)</f>
        <v>#REF!</v>
      </c>
      <c r="BD229" s="438" t="e">
        <f>(BD44+#REF!+BD107+BD136+BD198+BD219+BD221)+(BP44+#REF!+BP107+BP136+BP198+BP219)</f>
        <v>#REF!</v>
      </c>
      <c r="BE229" s="438" t="e">
        <f>(BE44+#REF!+BE107+BE136+BE198+BE219+BE221)+(BQ44+#REF!+BQ107+BQ136+BQ198+BQ219)</f>
        <v>#REF!</v>
      </c>
      <c r="BF229" s="438" t="e">
        <f>(BF44+#REF!+BF107+BF136+BF198+BF219+BF221)+(BR44+#REF!+BR107+BR136+BR198+BR219)</f>
        <v>#REF!</v>
      </c>
      <c r="BG229" s="438" t="e">
        <f>(BG44+#REF!+BG107+BG136+BG198+BG219+BG221)+(BS44+#REF!+BS107+BS136+BS198+BS219)</f>
        <v>#REF!</v>
      </c>
      <c r="BH229" s="438" t="e">
        <f>(BH44+#REF!+BH107+BH136+BH198+BH219+BH221)+(BT44+#REF!+BT107+BT136+BT198+BT219)</f>
        <v>#REF!</v>
      </c>
      <c r="BI229" s="438" t="e">
        <f>(BI44+#REF!+BI107+BI136+BI198+BI219+BI221)</f>
        <v>#REF!</v>
      </c>
      <c r="BJ229" s="438" t="e">
        <f>(BJ44+#REF!+BJ107+BJ136+BJ198+BJ219+BJ221)</f>
        <v>#REF!</v>
      </c>
      <c r="BK229" s="438" t="e">
        <f>(BK44+#REF!+BK107+BK136+BK198+BK219+BK221)</f>
        <v>#REF!</v>
      </c>
      <c r="BL229" s="438" t="e">
        <f>(BL44+#REF!+BL107+BL136+BL198+BL219+BL221)</f>
        <v>#REF!</v>
      </c>
      <c r="BM229" s="438" t="e">
        <f>(BM44+#REF!+BM107+BM136+BM198+BM219+BM221)</f>
        <v>#REF!</v>
      </c>
    </row>
    <row r="230" spans="2:65" x14ac:dyDescent="0.2">
      <c r="B230" s="499"/>
      <c r="C230" s="500"/>
      <c r="D230" s="497"/>
      <c r="E230" s="497"/>
      <c r="F230" s="497"/>
      <c r="G230" s="497"/>
      <c r="H230" s="497"/>
      <c r="BA230" s="472" t="s">
        <v>548</v>
      </c>
      <c r="BB230" s="504" t="e">
        <f>BB228-BB229</f>
        <v>#REF!</v>
      </c>
      <c r="BC230" s="504" t="e">
        <f t="shared" ref="BC230:BM230" si="33">BC228-BC229</f>
        <v>#REF!</v>
      </c>
      <c r="BD230" s="504" t="e">
        <f t="shared" si="33"/>
        <v>#REF!</v>
      </c>
      <c r="BE230" s="504" t="e">
        <f t="shared" si="33"/>
        <v>#REF!</v>
      </c>
      <c r="BF230" s="504" t="e">
        <f t="shared" si="33"/>
        <v>#REF!</v>
      </c>
      <c r="BG230" s="504" t="e">
        <f t="shared" si="33"/>
        <v>#REF!</v>
      </c>
      <c r="BH230" s="504" t="e">
        <f t="shared" si="33"/>
        <v>#REF!</v>
      </c>
      <c r="BI230" s="504" t="e">
        <f t="shared" si="33"/>
        <v>#REF!</v>
      </c>
      <c r="BJ230" s="504" t="e">
        <f t="shared" si="33"/>
        <v>#REF!</v>
      </c>
      <c r="BK230" s="504" t="e">
        <f t="shared" si="33"/>
        <v>#REF!</v>
      </c>
      <c r="BL230" s="504" t="e">
        <f t="shared" si="33"/>
        <v>#REF!</v>
      </c>
      <c r="BM230" s="504" t="e">
        <f t="shared" si="33"/>
        <v>#REF!</v>
      </c>
    </row>
    <row r="231" spans="2:65" x14ac:dyDescent="0.2">
      <c r="B231" s="499"/>
      <c r="C231" s="500"/>
      <c r="D231" s="497"/>
      <c r="E231" s="497"/>
      <c r="F231" s="497"/>
      <c r="G231" s="497"/>
      <c r="H231" s="497"/>
    </row>
    <row r="232" spans="2:65" ht="15.75" x14ac:dyDescent="0.25">
      <c r="B232" s="499"/>
      <c r="C232" s="500"/>
      <c r="D232" s="497"/>
      <c r="E232" s="497"/>
      <c r="F232" s="497"/>
      <c r="G232" s="497"/>
      <c r="H232" s="497"/>
      <c r="AZ232" s="505" t="s">
        <v>526</v>
      </c>
    </row>
    <row r="233" spans="2:65" x14ac:dyDescent="0.2">
      <c r="B233" s="499"/>
      <c r="C233" s="500"/>
      <c r="D233" s="497"/>
      <c r="E233" s="497"/>
      <c r="F233" s="497"/>
      <c r="G233" s="497"/>
      <c r="H233" s="497"/>
    </row>
    <row r="234" spans="2:65" x14ac:dyDescent="0.2">
      <c r="B234" s="499"/>
      <c r="C234" s="500"/>
      <c r="D234" s="497"/>
      <c r="E234" s="497"/>
      <c r="F234" s="497"/>
      <c r="G234" s="497"/>
      <c r="H234" s="497"/>
    </row>
    <row r="235" spans="2:65" x14ac:dyDescent="0.2">
      <c r="B235" s="499"/>
      <c r="C235" s="500"/>
      <c r="D235" s="497"/>
      <c r="E235" s="497"/>
      <c r="F235" s="497"/>
      <c r="G235" s="497"/>
      <c r="H235" s="497"/>
    </row>
    <row r="236" spans="2:65" x14ac:dyDescent="0.2">
      <c r="B236" s="499"/>
      <c r="C236" s="500"/>
      <c r="D236" s="497"/>
      <c r="E236" s="497"/>
      <c r="F236" s="497"/>
      <c r="G236" s="497"/>
      <c r="H236" s="497"/>
    </row>
    <row r="237" spans="2:65" x14ac:dyDescent="0.2">
      <c r="B237" s="499"/>
      <c r="C237" s="500"/>
      <c r="D237" s="497"/>
      <c r="E237" s="497"/>
      <c r="F237" s="497"/>
      <c r="G237" s="497"/>
      <c r="H237" s="497"/>
    </row>
    <row r="238" spans="2:65" x14ac:dyDescent="0.2">
      <c r="B238" s="499"/>
      <c r="C238" s="500"/>
      <c r="D238" s="497"/>
      <c r="E238" s="497"/>
      <c r="F238" s="497"/>
      <c r="G238" s="497"/>
      <c r="H238" s="497"/>
    </row>
    <row r="239" spans="2:65" x14ac:dyDescent="0.2">
      <c r="B239" s="499"/>
      <c r="C239" s="500"/>
      <c r="D239" s="497"/>
      <c r="E239" s="497"/>
      <c r="F239" s="497"/>
      <c r="G239" s="497"/>
      <c r="H239" s="497"/>
    </row>
    <row r="240" spans="2:65" x14ac:dyDescent="0.2">
      <c r="B240" s="499"/>
      <c r="C240" s="500"/>
      <c r="D240" s="497"/>
      <c r="E240" s="497"/>
      <c r="F240" s="497"/>
      <c r="G240" s="497"/>
      <c r="H240" s="497"/>
    </row>
    <row r="241" spans="2:8" x14ac:dyDescent="0.2">
      <c r="B241" s="499"/>
      <c r="C241" s="500"/>
      <c r="D241" s="497"/>
      <c r="E241" s="497"/>
      <c r="F241" s="497"/>
      <c r="G241" s="497"/>
      <c r="H241" s="497"/>
    </row>
    <row r="242" spans="2:8" x14ac:dyDescent="0.2">
      <c r="B242" s="499"/>
      <c r="C242" s="500"/>
      <c r="D242" s="497"/>
      <c r="E242" s="497"/>
      <c r="F242" s="497"/>
      <c r="G242" s="497"/>
      <c r="H242" s="497"/>
    </row>
    <row r="243" spans="2:8" x14ac:dyDescent="0.2">
      <c r="B243" s="499"/>
      <c r="C243" s="500"/>
      <c r="D243" s="497"/>
      <c r="E243" s="497"/>
      <c r="F243" s="497"/>
      <c r="G243" s="497"/>
      <c r="H243" s="497"/>
    </row>
    <row r="244" spans="2:8" x14ac:dyDescent="0.2">
      <c r="B244" s="499"/>
      <c r="C244" s="500"/>
      <c r="D244" s="497"/>
      <c r="E244" s="497"/>
      <c r="F244" s="497"/>
      <c r="G244" s="497"/>
      <c r="H244" s="497"/>
    </row>
    <row r="245" spans="2:8" x14ac:dyDescent="0.2">
      <c r="B245" s="499"/>
      <c r="C245" s="500"/>
      <c r="D245" s="497"/>
      <c r="E245" s="497"/>
      <c r="F245" s="497"/>
      <c r="G245" s="497"/>
      <c r="H245" s="497"/>
    </row>
    <row r="246" spans="2:8" x14ac:dyDescent="0.2">
      <c r="B246" s="499"/>
      <c r="C246" s="500"/>
      <c r="D246" s="497"/>
      <c r="E246" s="497"/>
      <c r="F246" s="497"/>
      <c r="G246" s="497"/>
      <c r="H246" s="497"/>
    </row>
    <row r="247" spans="2:8" x14ac:dyDescent="0.2">
      <c r="B247" s="499"/>
      <c r="C247" s="500"/>
      <c r="D247" s="497"/>
      <c r="E247" s="497"/>
      <c r="F247" s="497"/>
      <c r="G247" s="497"/>
      <c r="H247" s="497"/>
    </row>
    <row r="248" spans="2:8" x14ac:dyDescent="0.2">
      <c r="B248" s="499"/>
      <c r="C248" s="500"/>
      <c r="D248" s="497"/>
      <c r="E248" s="497"/>
      <c r="F248" s="497"/>
      <c r="G248" s="497"/>
      <c r="H248" s="497"/>
    </row>
    <row r="249" spans="2:8" x14ac:dyDescent="0.2">
      <c r="B249" s="499"/>
      <c r="C249" s="500"/>
      <c r="D249" s="497"/>
      <c r="E249" s="497"/>
      <c r="F249" s="497"/>
      <c r="G249" s="497"/>
      <c r="H249" s="497"/>
    </row>
    <row r="250" spans="2:8" x14ac:dyDescent="0.2">
      <c r="B250" s="499"/>
      <c r="C250" s="500"/>
      <c r="D250" s="497"/>
      <c r="E250" s="497"/>
      <c r="F250" s="497"/>
      <c r="G250" s="497"/>
      <c r="H250" s="497"/>
    </row>
    <row r="251" spans="2:8" x14ac:dyDescent="0.2">
      <c r="B251" s="499"/>
      <c r="C251" s="500"/>
      <c r="D251" s="497"/>
      <c r="E251" s="497"/>
      <c r="F251" s="497"/>
      <c r="G251" s="497"/>
      <c r="H251" s="497"/>
    </row>
    <row r="252" spans="2:8" x14ac:dyDescent="0.2">
      <c r="B252" s="499"/>
      <c r="C252" s="500"/>
      <c r="D252" s="497"/>
      <c r="E252" s="497"/>
      <c r="F252" s="497"/>
      <c r="G252" s="497"/>
      <c r="H252" s="497"/>
    </row>
    <row r="253" spans="2:8" x14ac:dyDescent="0.2">
      <c r="B253" s="499"/>
      <c r="C253" s="500"/>
      <c r="D253" s="497"/>
      <c r="E253" s="497"/>
      <c r="F253" s="497"/>
      <c r="G253" s="497"/>
      <c r="H253" s="497"/>
    </row>
    <row r="254" spans="2:8" x14ac:dyDescent="0.2">
      <c r="B254" s="499"/>
      <c r="C254" s="500"/>
      <c r="D254" s="497"/>
      <c r="E254" s="497"/>
      <c r="F254" s="497"/>
      <c r="G254" s="497"/>
      <c r="H254" s="497"/>
    </row>
    <row r="255" spans="2:8" x14ac:dyDescent="0.2">
      <c r="B255" s="499"/>
      <c r="C255" s="500"/>
      <c r="D255" s="497"/>
      <c r="E255" s="497"/>
      <c r="F255" s="497"/>
      <c r="G255" s="497"/>
      <c r="H255" s="497"/>
    </row>
    <row r="256" spans="2:8" x14ac:dyDescent="0.2">
      <c r="B256" s="499"/>
      <c r="C256" s="500"/>
      <c r="D256" s="497"/>
      <c r="E256" s="497"/>
      <c r="F256" s="497"/>
      <c r="G256" s="497"/>
      <c r="H256" s="497"/>
    </row>
    <row r="257" spans="2:8" x14ac:dyDescent="0.2">
      <c r="B257" s="499"/>
      <c r="C257" s="500"/>
      <c r="D257" s="497"/>
      <c r="E257" s="497"/>
      <c r="F257" s="497"/>
      <c r="G257" s="497"/>
      <c r="H257" s="497"/>
    </row>
    <row r="258" spans="2:8" x14ac:dyDescent="0.2">
      <c r="B258" s="499"/>
      <c r="C258" s="500"/>
      <c r="D258" s="497"/>
      <c r="E258" s="497"/>
      <c r="F258" s="497"/>
      <c r="G258" s="497"/>
      <c r="H258" s="497"/>
    </row>
    <row r="259" spans="2:8" x14ac:dyDescent="0.2">
      <c r="B259" s="499"/>
      <c r="C259" s="500"/>
      <c r="D259" s="497"/>
      <c r="E259" s="497"/>
      <c r="F259" s="497"/>
      <c r="G259" s="497"/>
      <c r="H259" s="497"/>
    </row>
    <row r="260" spans="2:8" x14ac:dyDescent="0.2">
      <c r="B260" s="499"/>
      <c r="C260" s="500"/>
    </row>
    <row r="261" spans="2:8" x14ac:dyDescent="0.2">
      <c r="B261" s="499"/>
      <c r="C261" s="500"/>
      <c r="D261" s="497"/>
      <c r="E261" s="497"/>
      <c r="F261" s="497"/>
      <c r="G261" s="497"/>
      <c r="H261" s="497"/>
    </row>
    <row r="262" spans="2:8" x14ac:dyDescent="0.2">
      <c r="B262" s="499"/>
      <c r="C262" s="500"/>
      <c r="D262" s="497"/>
      <c r="E262" s="497"/>
      <c r="F262" s="497"/>
      <c r="G262" s="497"/>
      <c r="H262" s="497"/>
    </row>
    <row r="263" spans="2:8" x14ac:dyDescent="0.2">
      <c r="B263" s="499"/>
      <c r="C263" s="500"/>
      <c r="D263" s="497"/>
      <c r="E263" s="497"/>
      <c r="F263" s="497"/>
      <c r="G263" s="497"/>
      <c r="H263" s="497"/>
    </row>
    <row r="264" spans="2:8" x14ac:dyDescent="0.2">
      <c r="B264" s="499"/>
      <c r="C264" s="500"/>
      <c r="D264" s="497"/>
      <c r="E264" s="497"/>
      <c r="F264" s="497"/>
      <c r="G264" s="497"/>
      <c r="H264" s="497"/>
    </row>
    <row r="265" spans="2:8" x14ac:dyDescent="0.2">
      <c r="B265" s="499"/>
      <c r="C265" s="500"/>
      <c r="D265" s="497"/>
      <c r="E265" s="497"/>
      <c r="F265" s="497"/>
      <c r="G265" s="497"/>
      <c r="H265" s="497"/>
    </row>
    <row r="266" spans="2:8" x14ac:dyDescent="0.2">
      <c r="D266" s="497"/>
      <c r="E266" s="497"/>
      <c r="F266" s="497"/>
      <c r="G266" s="497"/>
      <c r="H266" s="497"/>
    </row>
    <row r="267" spans="2:8" x14ac:dyDescent="0.2">
      <c r="B267" s="499"/>
      <c r="C267" s="500"/>
      <c r="D267" s="497"/>
      <c r="E267" s="497"/>
      <c r="F267" s="497"/>
      <c r="G267" s="497"/>
      <c r="H267" s="506"/>
    </row>
    <row r="268" spans="2:8" x14ac:dyDescent="0.2">
      <c r="B268" s="499"/>
      <c r="C268" s="500"/>
      <c r="D268" s="497"/>
      <c r="E268" s="497"/>
      <c r="F268" s="497"/>
      <c r="G268" s="497"/>
    </row>
    <row r="269" spans="2:8" x14ac:dyDescent="0.2">
      <c r="B269" s="499"/>
      <c r="C269" s="500"/>
      <c r="D269" s="497"/>
      <c r="E269" s="497"/>
      <c r="F269" s="497"/>
      <c r="G269" s="497"/>
    </row>
    <row r="270" spans="2:8" x14ac:dyDescent="0.2">
      <c r="B270" s="499"/>
      <c r="C270" s="500"/>
      <c r="D270" s="497"/>
      <c r="E270" s="497"/>
      <c r="F270" s="497"/>
      <c r="G270" s="497"/>
    </row>
    <row r="271" spans="2:8" x14ac:dyDescent="0.2">
      <c r="B271" s="499"/>
      <c r="C271" s="500"/>
      <c r="D271" s="497"/>
      <c r="E271" s="497"/>
      <c r="F271" s="497"/>
      <c r="G271" s="497"/>
    </row>
    <row r="272" spans="2:8" x14ac:dyDescent="0.2">
      <c r="B272" s="499"/>
      <c r="C272" s="500"/>
      <c r="D272" s="506"/>
      <c r="E272" s="506"/>
      <c r="F272" s="506"/>
      <c r="G272" s="506"/>
    </row>
    <row r="273" spans="2:3" x14ac:dyDescent="0.2">
      <c r="B273" s="499"/>
      <c r="C273" s="500"/>
    </row>
    <row r="274" spans="2:3" x14ac:dyDescent="0.2">
      <c r="B274" s="499"/>
      <c r="C274" s="500"/>
    </row>
    <row r="275" spans="2:3" x14ac:dyDescent="0.2">
      <c r="B275" s="499"/>
      <c r="C275" s="500"/>
    </row>
    <row r="276" spans="2:3" x14ac:dyDescent="0.2">
      <c r="B276" s="499"/>
      <c r="C276" s="500"/>
    </row>
    <row r="277" spans="2:3" x14ac:dyDescent="0.2">
      <c r="B277" s="499"/>
      <c r="C277" s="500"/>
    </row>
    <row r="278" spans="2:3" x14ac:dyDescent="0.2">
      <c r="B278" s="499"/>
      <c r="C278" s="500"/>
    </row>
  </sheetData>
  <mergeCells count="48">
    <mergeCell ref="D10:G10"/>
    <mergeCell ref="X95:AB95"/>
    <mergeCell ref="K14:L14"/>
    <mergeCell ref="K13:L13"/>
    <mergeCell ref="Z10:Z12"/>
    <mergeCell ref="Y10:Y12"/>
    <mergeCell ref="X10:X12"/>
    <mergeCell ref="W10:W12"/>
    <mergeCell ref="V10:V12"/>
    <mergeCell ref="K23:L23"/>
    <mergeCell ref="K41:L41"/>
    <mergeCell ref="K42:L42"/>
    <mergeCell ref="K43:L43"/>
    <mergeCell ref="K44:L44"/>
    <mergeCell ref="H95:H112"/>
    <mergeCell ref="K27:L27"/>
    <mergeCell ref="J93:L93"/>
    <mergeCell ref="K12:P12"/>
    <mergeCell ref="K18:L18"/>
    <mergeCell ref="K17:L17"/>
    <mergeCell ref="K16:L16"/>
    <mergeCell ref="K15:L15"/>
    <mergeCell ref="K33:L33"/>
    <mergeCell ref="K34:L34"/>
    <mergeCell ref="K35:L35"/>
    <mergeCell ref="K36:L36"/>
    <mergeCell ref="K37:L37"/>
    <mergeCell ref="K26:L26"/>
    <mergeCell ref="K25:L25"/>
    <mergeCell ref="K24:L24"/>
    <mergeCell ref="K31:L31"/>
    <mergeCell ref="K32:L32"/>
    <mergeCell ref="K30:L30"/>
    <mergeCell ref="K38:L38"/>
    <mergeCell ref="K39:L39"/>
    <mergeCell ref="K40:L40"/>
    <mergeCell ref="H5:H6"/>
    <mergeCell ref="K22:L22"/>
    <mergeCell ref="K21:L21"/>
    <mergeCell ref="K20:L20"/>
    <mergeCell ref="K19:L19"/>
    <mergeCell ref="K29:P29"/>
    <mergeCell ref="N107:Q108"/>
    <mergeCell ref="N110:Q112"/>
    <mergeCell ref="CE2:CF2"/>
    <mergeCell ref="U10:U12"/>
    <mergeCell ref="U95:W95"/>
    <mergeCell ref="M94:O94"/>
  </mergeCells>
  <phoneticPr fontId="0" type="noConversion"/>
  <conditionalFormatting sqref="D5:H5 D6:G8">
    <cfRule type="expression" dxfId="89" priority="36" stopIfTrue="1">
      <formula>$CF$3=7</formula>
    </cfRule>
  </conditionalFormatting>
  <conditionalFormatting sqref="I66 I47 I68 I11 P13 P30">
    <cfRule type="expression" dxfId="88" priority="34" stopIfTrue="1">
      <formula>$CF$3=7</formula>
    </cfRule>
  </conditionalFormatting>
  <conditionalFormatting sqref="C123 C127:C129">
    <cfRule type="expression" dxfId="87" priority="29" stopIfTrue="1">
      <formula>#REF!=7</formula>
    </cfRule>
  </conditionalFormatting>
  <conditionalFormatting sqref="N14:N26">
    <cfRule type="colorScale" priority="5176">
      <colorScale>
        <cfvo type="min"/>
        <cfvo type="percentile" val="50"/>
        <cfvo type="max"/>
        <color theme="0" tint="-0.249977111117893"/>
        <color theme="0" tint="-0.34998626667073579"/>
        <color theme="0" tint="-0.499984740745262"/>
      </colorScale>
    </cfRule>
  </conditionalFormatting>
  <conditionalFormatting sqref="M97:M113 J96:L112 N97:O106 O109 N109:N110 N113:O113">
    <cfRule type="expression" dxfId="86" priority="17" stopIfTrue="1">
      <formula>$BY$10=4</formula>
    </cfRule>
    <cfRule type="expression" dxfId="85" priority="18" stopIfTrue="1">
      <formula>$BY$10=2</formula>
    </cfRule>
    <cfRule type="expression" dxfId="84" priority="19" stopIfTrue="1">
      <formula>$BY$10=1</formula>
    </cfRule>
    <cfRule type="expression" dxfId="83" priority="20" stopIfTrue="1">
      <formula>$BY$10=7</formula>
    </cfRule>
  </conditionalFormatting>
  <conditionalFormatting sqref="J96:L112 U97:AD113">
    <cfRule type="expression" dxfId="82" priority="14" stopIfTrue="1">
      <formula>$AD$7&gt;0</formula>
    </cfRule>
  </conditionalFormatting>
  <conditionalFormatting sqref="N31:N43">
    <cfRule type="colorScale" priority="10">
      <colorScale>
        <cfvo type="min"/>
        <cfvo type="percentile" val="50"/>
        <cfvo type="max"/>
        <color theme="0" tint="-0.249977111117893"/>
        <color theme="0" tint="-0.34998626667073579"/>
        <color theme="0" tint="-0.499984740745262"/>
      </colorScale>
    </cfRule>
  </conditionalFormatting>
  <conditionalFormatting sqref="O31:O43">
    <cfRule type="colorScale" priority="9">
      <colorScale>
        <cfvo type="min"/>
        <cfvo type="percentile" val="50"/>
        <cfvo type="max"/>
        <color theme="0" tint="-0.249977111117893"/>
        <color theme="0" tint="-0.34998626667073579"/>
        <color theme="0" tint="-0.499984740745262"/>
      </colorScale>
    </cfRule>
  </conditionalFormatting>
  <conditionalFormatting sqref="P31:P43">
    <cfRule type="colorScale" priority="8">
      <colorScale>
        <cfvo type="min"/>
        <cfvo type="percentile" val="50"/>
        <cfvo type="max"/>
        <color theme="0" tint="-0.249977111117893"/>
        <color theme="0" tint="-0.34998626667073579"/>
        <color theme="0" tint="-0.499984740745262"/>
      </colorScale>
    </cfRule>
  </conditionalFormatting>
  <conditionalFormatting sqref="C89:C91">
    <cfRule type="cellIs" dxfId="81" priority="6" stopIfTrue="1" operator="lessThan">
      <formula>0</formula>
    </cfRule>
    <cfRule type="cellIs" dxfId="80" priority="7" stopIfTrue="1" operator="greaterThan">
      <formula>0</formula>
    </cfRule>
  </conditionalFormatting>
  <conditionalFormatting sqref="C94:C96">
    <cfRule type="cellIs" dxfId="79" priority="4" stopIfTrue="1" operator="lessThan">
      <formula>0</formula>
    </cfRule>
    <cfRule type="cellIs" dxfId="78" priority="5" stopIfTrue="1" operator="greaterThan">
      <formula>0</formula>
    </cfRule>
  </conditionalFormatting>
  <conditionalFormatting sqref="C94:C96">
    <cfRule type="cellIs" dxfId="77" priority="2" stopIfTrue="1" operator="lessThan">
      <formula>0</formula>
    </cfRule>
    <cfRule type="cellIs" dxfId="76" priority="3" stopIfTrue="1" operator="greaterThan">
      <formula>0</formula>
    </cfRule>
  </conditionalFormatting>
  <conditionalFormatting sqref="C123">
    <cfRule type="expression" dxfId="75" priority="1" stopIfTrue="1">
      <formula>#REF!=7</formula>
    </cfRule>
  </conditionalFormatting>
  <pageMargins left="0.78740157480314965" right="0.15748031496062992" top="1.0818110236220471" bottom="0.74803149606299213" header="0.51181102362204722" footer="0.51181102362204722"/>
  <pageSetup paperSize="9" scale="76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/>
  <dimension ref="A1:K128"/>
  <sheetViews>
    <sheetView topLeftCell="C1" zoomScale="80" zoomScaleNormal="80" workbookViewId="0">
      <selection activeCell="G14" sqref="G14:G15"/>
    </sheetView>
  </sheetViews>
  <sheetFormatPr defaultColWidth="9.140625" defaultRowHeight="15.75" x14ac:dyDescent="0.25"/>
  <cols>
    <col min="1" max="1" width="3.5703125" style="416" customWidth="1"/>
    <col min="2" max="2" width="40.42578125" style="417" customWidth="1"/>
    <col min="3" max="3" width="23.7109375" style="2365" bestFit="1" customWidth="1"/>
    <col min="4" max="4" width="12.28515625" style="2327" bestFit="1" customWidth="1"/>
    <col min="5" max="5" width="3.85546875" style="2327" bestFit="1" customWidth="1"/>
    <col min="6" max="6" width="36.42578125" style="2327" bestFit="1" customWidth="1"/>
    <col min="7" max="7" width="15.85546875" style="2327" bestFit="1" customWidth="1"/>
    <col min="8" max="8" width="16" style="2327" bestFit="1" customWidth="1"/>
    <col min="9" max="9" width="13" style="2327" bestFit="1" customWidth="1"/>
    <col min="10" max="10" width="11.140625" style="2327" bestFit="1" customWidth="1"/>
    <col min="11" max="11" width="24.28515625" style="2327" bestFit="1" customWidth="1"/>
    <col min="12" max="16384" width="9.140625" style="416"/>
  </cols>
  <sheetData>
    <row r="1" spans="2:11" x14ac:dyDescent="0.25">
      <c r="B1" s="538" t="s">
        <v>871</v>
      </c>
      <c r="G1" s="2328">
        <f>'Análise ADM'!M22</f>
        <v>29929.271818998521</v>
      </c>
      <c r="H1" s="2329">
        <f>G1/F8</f>
        <v>19.192983490162739</v>
      </c>
    </row>
    <row r="2" spans="2:11" ht="5.25" customHeight="1" thickBot="1" x14ac:dyDescent="0.3">
      <c r="B2" s="537"/>
    </row>
    <row r="3" spans="2:11" ht="16.5" thickBot="1" x14ac:dyDescent="0.3">
      <c r="B3" s="542" t="s">
        <v>386</v>
      </c>
      <c r="C3" s="2356" t="str">
        <f>Rebanho!Z6</f>
        <v>Engorda</v>
      </c>
      <c r="F3" s="2327" t="s">
        <v>1439</v>
      </c>
      <c r="G3" s="2330" t="s">
        <v>1440</v>
      </c>
      <c r="H3" s="2331">
        <f>Pastagem!C4</f>
        <v>774</v>
      </c>
      <c r="I3" s="2330"/>
      <c r="J3" s="2330"/>
      <c r="K3" s="2330"/>
    </row>
    <row r="4" spans="2:11" ht="16.5" thickBot="1" x14ac:dyDescent="0.3">
      <c r="B4" s="416"/>
      <c r="C4" s="2357"/>
      <c r="F4" s="2332">
        <f>Descrição!C17</f>
        <v>42233</v>
      </c>
      <c r="G4" s="2333" t="str">
        <f>Pastagem!E4</f>
        <v>brachiarão</v>
      </c>
      <c r="H4" s="2334" t="str">
        <f>Pastagem!F4</f>
        <v>outros</v>
      </c>
      <c r="I4" s="2334">
        <f>Pastagem!G4</f>
        <v>0</v>
      </c>
      <c r="J4" s="2334">
        <f>Pastagem!H4</f>
        <v>0</v>
      </c>
    </row>
    <row r="5" spans="2:11" x14ac:dyDescent="0.25">
      <c r="B5" s="529" t="s">
        <v>821</v>
      </c>
      <c r="C5" s="2358">
        <f ca="1">Descrição!Q17</f>
        <v>26</v>
      </c>
      <c r="G5" s="2335">
        <f>Pastagem!E5</f>
        <v>0.8</v>
      </c>
      <c r="H5" s="2335">
        <f>Pastagem!F5</f>
        <v>0.2</v>
      </c>
      <c r="I5" s="2336">
        <f>Pastagem!G5</f>
        <v>0</v>
      </c>
      <c r="J5" s="2336">
        <f>Pastagem!H5</f>
        <v>0</v>
      </c>
    </row>
    <row r="6" spans="2:11" x14ac:dyDescent="0.25">
      <c r="B6" s="530" t="s">
        <v>993</v>
      </c>
      <c r="C6" s="2359">
        <f ca="1">Descrição!Q18</f>
        <v>200</v>
      </c>
    </row>
    <row r="7" spans="2:11" x14ac:dyDescent="0.25">
      <c r="B7" s="530" t="s">
        <v>875</v>
      </c>
      <c r="C7" s="2359">
        <f ca="1">Descrição!Q19</f>
        <v>774</v>
      </c>
      <c r="F7" s="2327" t="s">
        <v>1441</v>
      </c>
      <c r="G7" s="2327" t="s">
        <v>1442</v>
      </c>
    </row>
    <row r="8" spans="2:11" x14ac:dyDescent="0.25">
      <c r="B8" s="530" t="s">
        <v>874</v>
      </c>
      <c r="C8" s="2359">
        <f ca="1">Descrição!Q20</f>
        <v>0</v>
      </c>
      <c r="F8" s="2337">
        <f>C70</f>
        <v>1559.386107654321</v>
      </c>
      <c r="G8" s="2338">
        <f ca="1">C50*C7</f>
        <v>1232.5824668290809</v>
      </c>
    </row>
    <row r="9" spans="2:11" x14ac:dyDescent="0.25">
      <c r="B9" s="822" t="s">
        <v>996</v>
      </c>
      <c r="C9" s="2360">
        <f ca="1">Descrição!Q21</f>
        <v>0</v>
      </c>
    </row>
    <row r="10" spans="2:11" x14ac:dyDescent="0.25">
      <c r="B10" s="822" t="s">
        <v>1341</v>
      </c>
      <c r="C10" s="2360">
        <f ca="1">Descrição!Q22</f>
        <v>0</v>
      </c>
      <c r="F10" s="2327" t="s">
        <v>1443</v>
      </c>
      <c r="G10" s="2327" t="s">
        <v>1444</v>
      </c>
      <c r="H10" s="2327" t="s">
        <v>884</v>
      </c>
      <c r="I10" s="2327" t="s">
        <v>1445</v>
      </c>
      <c r="J10" s="2327" t="s">
        <v>1446</v>
      </c>
      <c r="K10" s="2327" t="s">
        <v>1447</v>
      </c>
    </row>
    <row r="11" spans="2:11" ht="16.5" thickBot="1" x14ac:dyDescent="0.3">
      <c r="B11" s="1098" t="s">
        <v>819</v>
      </c>
      <c r="C11" s="2398">
        <f ca="1">Descrição!Q23</f>
        <v>1000</v>
      </c>
      <c r="E11" s="2327">
        <v>2</v>
      </c>
      <c r="F11" s="2339" t="str">
        <f>Rebanho!AC48</f>
        <v>Bezerro em aleitamento</v>
      </c>
      <c r="G11" s="2340">
        <f>Rebanho!AB48</f>
        <v>0</v>
      </c>
      <c r="H11" s="2341">
        <f>Rebanho!H26</f>
        <v>627.04918032786884</v>
      </c>
      <c r="I11" s="2342">
        <f>Rebanho!F26</f>
        <v>27</v>
      </c>
      <c r="J11" s="2342">
        <f>Rebanho!G26</f>
        <v>180</v>
      </c>
      <c r="K11" s="2343">
        <f>Rebanho!E26</f>
        <v>8</v>
      </c>
    </row>
    <row r="12" spans="2:11" x14ac:dyDescent="0.25">
      <c r="B12" s="936" t="s">
        <v>882</v>
      </c>
      <c r="C12" s="2361">
        <f ca="1">Descrição!R19</f>
        <v>40</v>
      </c>
      <c r="E12" s="2327">
        <v>3</v>
      </c>
      <c r="F12" s="2339" t="str">
        <f>Rebanho!AC49</f>
        <v>Bezerro Desmamados</v>
      </c>
      <c r="G12" s="2340">
        <f>Rebanho!AB49</f>
        <v>0.21197800463464944</v>
      </c>
      <c r="H12" s="2341">
        <f>Rebanho!H27</f>
        <v>459.01639344262293</v>
      </c>
      <c r="I12" s="2342">
        <f>Rebanho!F27</f>
        <v>180</v>
      </c>
      <c r="J12" s="2342">
        <f>Rebanho!G27</f>
        <v>250</v>
      </c>
      <c r="K12" s="2343">
        <f>Rebanho!E27</f>
        <v>5</v>
      </c>
    </row>
    <row r="13" spans="2:11" ht="16.5" thickBot="1" x14ac:dyDescent="0.3">
      <c r="B13" s="535" t="s">
        <v>1004</v>
      </c>
      <c r="C13" s="2362">
        <f ca="1">Descrição!R20</f>
        <v>0</v>
      </c>
      <c r="E13" s="2327">
        <v>4</v>
      </c>
      <c r="F13" s="2339" t="str">
        <f>Rebanho!AC50</f>
        <v>Garrotes</v>
      </c>
      <c r="G13" s="2340">
        <f>Rebanho!AB50</f>
        <v>0.3346426099832332</v>
      </c>
      <c r="H13" s="2341">
        <f>Rebanho!H28</f>
        <v>491.80327868852459</v>
      </c>
      <c r="I13" s="2342">
        <f>Rebanho!F28</f>
        <v>250</v>
      </c>
      <c r="J13" s="2342">
        <f>Rebanho!G28</f>
        <v>370</v>
      </c>
      <c r="K13" s="2343">
        <f>Rebanho!E28</f>
        <v>8</v>
      </c>
    </row>
    <row r="14" spans="2:11" x14ac:dyDescent="0.25">
      <c r="B14" s="529" t="s">
        <v>873</v>
      </c>
      <c r="C14" s="2358">
        <f ca="1">IF(C12=0,0,C7/C12)</f>
        <v>19.350000000000001</v>
      </c>
      <c r="E14" s="2327">
        <v>5</v>
      </c>
      <c r="F14" s="2339" t="str">
        <f>Rebanho!AC51</f>
        <v>Boi magro</v>
      </c>
      <c r="G14" s="2340">
        <f>Rebanho!AB51</f>
        <v>0.3301807085167901</v>
      </c>
      <c r="H14" s="2341">
        <f>Rebanho!H29</f>
        <v>438.52459016393442</v>
      </c>
      <c r="I14" s="2342">
        <f>Rebanho!F29</f>
        <v>370</v>
      </c>
      <c r="J14" s="2342">
        <f>Rebanho!G29</f>
        <v>477</v>
      </c>
      <c r="K14" s="2343">
        <f>Rebanho!E29</f>
        <v>8</v>
      </c>
    </row>
    <row r="15" spans="2:11" ht="16.5" thickBot="1" x14ac:dyDescent="0.3">
      <c r="B15" s="822" t="s">
        <v>872</v>
      </c>
      <c r="C15" s="2360">
        <f ca="1">IF(C13=0,0,C8/C13)</f>
        <v>0</v>
      </c>
      <c r="E15" s="2327">
        <v>6</v>
      </c>
      <c r="F15" s="2339" t="str">
        <f>Rebanho!AC52</f>
        <v>Boi gordo</v>
      </c>
      <c r="G15" s="2340">
        <f>Rebanho!AB52</f>
        <v>0.12319867686532732</v>
      </c>
      <c r="H15" s="2341">
        <f>Rebanho!H30</f>
        <v>1016.3934426229508</v>
      </c>
      <c r="I15" s="2342">
        <f>Rebanho!F30</f>
        <v>477</v>
      </c>
      <c r="J15" s="2342">
        <f>Rebanho!G30</f>
        <v>570</v>
      </c>
      <c r="K15" s="2343">
        <f>Rebanho!E30</f>
        <v>3</v>
      </c>
    </row>
    <row r="16" spans="2:11" x14ac:dyDescent="0.25">
      <c r="B16" s="529" t="s">
        <v>1314</v>
      </c>
      <c r="C16" s="2363">
        <f>AVERAGE(Descrição!Q9:Q11)</f>
        <v>10000</v>
      </c>
      <c r="E16" s="2327">
        <v>7</v>
      </c>
      <c r="F16" s="2339" t="str">
        <f>Rebanho!AC53</f>
        <v>Touro</v>
      </c>
      <c r="G16" s="2340">
        <f>Rebanho!AB53</f>
        <v>0</v>
      </c>
      <c r="H16" s="2341">
        <f>Rebanho!H31</f>
        <v>0</v>
      </c>
      <c r="I16" s="2342">
        <f>Rebanho!F31</f>
        <v>0</v>
      </c>
      <c r="J16" s="2342">
        <f>Rebanho!G31</f>
        <v>0</v>
      </c>
      <c r="K16" s="2343">
        <f>Rebanho!E31</f>
        <v>0</v>
      </c>
    </row>
    <row r="17" spans="2:11" ht="16.5" thickBot="1" x14ac:dyDescent="0.3">
      <c r="B17" s="531" t="s">
        <v>1093</v>
      </c>
      <c r="C17" s="2364">
        <f ca="1">Descrição!N14</f>
        <v>459.35404721600162</v>
      </c>
      <c r="E17" s="2327">
        <v>8</v>
      </c>
      <c r="F17" s="2339" t="str">
        <f>Rebanho!AC54</f>
        <v>Bezerras em aleitamento</v>
      </c>
      <c r="G17" s="2340">
        <f>Rebanho!AB54</f>
        <v>0</v>
      </c>
      <c r="H17" s="2341">
        <f>Rebanho!H32</f>
        <v>0</v>
      </c>
      <c r="I17" s="2342">
        <f>Rebanho!F32</f>
        <v>0</v>
      </c>
      <c r="J17" s="2342">
        <f>Rebanho!G32</f>
        <v>0</v>
      </c>
      <c r="K17" s="2343">
        <f>Rebanho!E32</f>
        <v>0</v>
      </c>
    </row>
    <row r="18" spans="2:11" ht="16.5" thickBot="1" x14ac:dyDescent="0.3">
      <c r="E18" s="2327">
        <v>9</v>
      </c>
      <c r="F18" s="2339" t="str">
        <f>Rebanho!AC55</f>
        <v>Bezerras desmamadas</v>
      </c>
      <c r="G18" s="2340">
        <f>Rebanho!AB55</f>
        <v>0</v>
      </c>
      <c r="H18" s="2341">
        <f>Rebanho!H33</f>
        <v>0</v>
      </c>
      <c r="I18" s="2342">
        <f>Rebanho!F33</f>
        <v>0</v>
      </c>
      <c r="J18" s="2342">
        <f>Rebanho!G33</f>
        <v>0</v>
      </c>
      <c r="K18" s="2343">
        <f>Rebanho!E33</f>
        <v>0</v>
      </c>
    </row>
    <row r="19" spans="2:11" ht="16.5" thickBot="1" x14ac:dyDescent="0.3">
      <c r="B19" s="826" t="s">
        <v>881</v>
      </c>
      <c r="C19" s="2366" t="str">
        <f>Rebanho!D2</f>
        <v>Nelore</v>
      </c>
      <c r="E19" s="2327">
        <v>10</v>
      </c>
      <c r="F19" s="2339" t="str">
        <f>Rebanho!AC56</f>
        <v>Novilhas sobreano</v>
      </c>
      <c r="G19" s="2340">
        <f>Rebanho!AB56</f>
        <v>0</v>
      </c>
      <c r="H19" s="2341">
        <f>Rebanho!H34</f>
        <v>0</v>
      </c>
      <c r="I19" s="2342">
        <f>Rebanho!F34</f>
        <v>0</v>
      </c>
      <c r="J19" s="2342">
        <f>Rebanho!G34</f>
        <v>0</v>
      </c>
      <c r="K19" s="2343">
        <f>Rebanho!E34</f>
        <v>26.5</v>
      </c>
    </row>
    <row r="20" spans="2:11" x14ac:dyDescent="0.25">
      <c r="B20" s="1407" t="s">
        <v>869</v>
      </c>
      <c r="C20" s="2367">
        <f>Rebanho!X70</f>
        <v>10214.243185840989</v>
      </c>
      <c r="D20" s="2350"/>
      <c r="E20" s="2327">
        <v>11</v>
      </c>
      <c r="F20" s="2339" t="str">
        <f>Rebanho!AC57</f>
        <v>Novilhas preenhe</v>
      </c>
      <c r="G20" s="2340">
        <f>Rebanho!AB57</f>
        <v>0</v>
      </c>
      <c r="H20" s="2341">
        <f>Rebanho!H35</f>
        <v>0</v>
      </c>
      <c r="I20" s="2342">
        <f>Rebanho!F35</f>
        <v>0</v>
      </c>
      <c r="J20" s="2342">
        <f>Rebanho!G35</f>
        <v>0</v>
      </c>
      <c r="K20" s="2343">
        <f>Rebanho!E35</f>
        <v>9.5</v>
      </c>
    </row>
    <row r="21" spans="2:11" x14ac:dyDescent="0.25">
      <c r="B21" s="530" t="s">
        <v>1088</v>
      </c>
      <c r="C21" s="2368">
        <f>Rebanho!W117</f>
        <v>4800</v>
      </c>
      <c r="E21" s="2327">
        <v>12</v>
      </c>
      <c r="F21" s="2339" t="str">
        <f>Rebanho!AC58</f>
        <v>Vacas primíparas</v>
      </c>
      <c r="G21" s="2340">
        <f>Rebanho!AB58</f>
        <v>0</v>
      </c>
      <c r="H21" s="2341">
        <f>Rebanho!H36</f>
        <v>0</v>
      </c>
      <c r="I21" s="2342">
        <f>Rebanho!F36</f>
        <v>0</v>
      </c>
      <c r="J21" s="2342">
        <f>Rebanho!G36</f>
        <v>0</v>
      </c>
      <c r="K21" s="2343">
        <f>Rebanho!E36</f>
        <v>0</v>
      </c>
    </row>
    <row r="22" spans="2:11" ht="16.5" thickBot="1" x14ac:dyDescent="0.3">
      <c r="B22" s="531" t="s">
        <v>870</v>
      </c>
      <c r="C22" s="2369">
        <f>Rebanho!X89</f>
        <v>15184.714681837038</v>
      </c>
      <c r="D22" s="2350"/>
      <c r="E22" s="2327">
        <v>13</v>
      </c>
      <c r="F22" s="2339" t="str">
        <f>Rebanho!AC59</f>
        <v>Vacas em lactação multiparas</v>
      </c>
      <c r="G22" s="2340">
        <f>Rebanho!AB59</f>
        <v>0</v>
      </c>
      <c r="H22" s="2341">
        <f>Rebanho!H37</f>
        <v>0</v>
      </c>
      <c r="I22" s="2342">
        <f>Rebanho!F37</f>
        <v>0</v>
      </c>
      <c r="J22" s="2342">
        <f>Rebanho!G37</f>
        <v>0</v>
      </c>
      <c r="K22" s="2343">
        <f>Rebanho!E37</f>
        <v>0</v>
      </c>
    </row>
    <row r="23" spans="2:11" ht="16.5" thickBot="1" x14ac:dyDescent="0.3">
      <c r="B23" s="420"/>
      <c r="C23" s="2370"/>
      <c r="E23" s="2327">
        <v>14</v>
      </c>
      <c r="F23" s="2339" t="str">
        <f>Rebanho!AC60</f>
        <v>Vacas solteiras secas</v>
      </c>
      <c r="G23" s="2340">
        <f>Rebanho!AB60</f>
        <v>0</v>
      </c>
      <c r="H23" s="2341">
        <f>Rebanho!H38</f>
        <v>0</v>
      </c>
      <c r="I23" s="2342">
        <f>Rebanho!F38</f>
        <v>0</v>
      </c>
      <c r="J23" s="2342">
        <f>Rebanho!G38</f>
        <v>0</v>
      </c>
      <c r="K23" s="2343">
        <f>Rebanho!E38</f>
        <v>0</v>
      </c>
    </row>
    <row r="24" spans="2:11" x14ac:dyDescent="0.25">
      <c r="B24" s="529" t="s">
        <v>897</v>
      </c>
      <c r="C24" s="2367">
        <f ca="1">'Análise ADM'!C45/'Análise ADM'!C111</f>
        <v>8116.2163332054315</v>
      </c>
      <c r="E24" s="2327">
        <v>15</v>
      </c>
      <c r="F24" s="2339" t="str">
        <f>Rebanho!AC61</f>
        <v>Bezerras em aleitamento (Engorda)</v>
      </c>
      <c r="G24" s="2340">
        <f>Rebanho!AB61</f>
        <v>0</v>
      </c>
      <c r="H24" s="2341">
        <f>Rebanho!H39</f>
        <v>0</v>
      </c>
      <c r="I24" s="2342">
        <f>Rebanho!F39</f>
        <v>0</v>
      </c>
      <c r="J24" s="2342">
        <f>Rebanho!G39</f>
        <v>0</v>
      </c>
      <c r="K24" s="2343">
        <f>Rebanho!E39</f>
        <v>0</v>
      </c>
    </row>
    <row r="25" spans="2:11" ht="16.5" thickBot="1" x14ac:dyDescent="0.3">
      <c r="B25" s="822" t="s">
        <v>898</v>
      </c>
      <c r="C25" s="2369">
        <f ca="1">'Análise ADM'!C66/'Análise ADM'!C111</f>
        <v>9713.077524661765</v>
      </c>
      <c r="E25" s="2327">
        <v>16</v>
      </c>
      <c r="F25" s="2339" t="str">
        <f>Rebanho!AC62</f>
        <v>Bezerras desmamadas (Engorda)</v>
      </c>
      <c r="G25" s="2340">
        <f>Rebanho!AB62</f>
        <v>0</v>
      </c>
      <c r="H25" s="2341">
        <f>Rebanho!H40</f>
        <v>0</v>
      </c>
      <c r="I25" s="2342">
        <f>Rebanho!F40</f>
        <v>0</v>
      </c>
      <c r="J25" s="2342">
        <f>Rebanho!G40</f>
        <v>0</v>
      </c>
      <c r="K25" s="2343">
        <f>Rebanho!E40</f>
        <v>0</v>
      </c>
    </row>
    <row r="26" spans="2:11" x14ac:dyDescent="0.25">
      <c r="B26" s="823" t="s">
        <v>1042</v>
      </c>
      <c r="C26" s="2371">
        <f ca="1">'Análise TEC'!C20/SUM(C7:C8)</f>
        <v>13.196696622533578</v>
      </c>
      <c r="E26" s="2327">
        <v>17</v>
      </c>
      <c r="F26" s="2339" t="str">
        <f>Rebanho!AC63</f>
        <v>Novilhas sobreano (Engorda)</v>
      </c>
      <c r="G26" s="2340">
        <f>Rebanho!AB63</f>
        <v>0</v>
      </c>
      <c r="H26" s="2341">
        <f>Rebanho!H41</f>
        <v>0</v>
      </c>
      <c r="I26" s="2342">
        <f>Rebanho!F41</f>
        <v>0</v>
      </c>
      <c r="J26" s="2342">
        <f>Rebanho!G41</f>
        <v>0</v>
      </c>
      <c r="K26" s="2343">
        <f>Rebanho!E41</f>
        <v>0</v>
      </c>
    </row>
    <row r="27" spans="2:11" ht="16.5" thickBot="1" x14ac:dyDescent="0.3">
      <c r="B27" s="531" t="s">
        <v>1086</v>
      </c>
      <c r="C27" s="2372">
        <f ca="1">'Análise TEC'!C22/SUM(C7:C8)</f>
        <v>19.618494420978084</v>
      </c>
      <c r="E27" s="2327">
        <v>18</v>
      </c>
      <c r="F27" s="2339" t="str">
        <f>Rebanho!AC64</f>
        <v>Vaca (Engorda)</v>
      </c>
      <c r="G27" s="2340">
        <f>Rebanho!AB64</f>
        <v>0</v>
      </c>
      <c r="H27" s="2341">
        <f>Rebanho!H42</f>
        <v>0</v>
      </c>
      <c r="I27" s="2342">
        <f>Rebanho!F42</f>
        <v>0</v>
      </c>
      <c r="J27" s="2342">
        <f>Rebanho!G42</f>
        <v>0</v>
      </c>
      <c r="K27" s="2343">
        <f>Rebanho!E42</f>
        <v>0</v>
      </c>
    </row>
    <row r="28" spans="2:11" ht="16.5" thickBot="1" x14ac:dyDescent="0.3">
      <c r="B28" s="536"/>
      <c r="C28" s="2373"/>
      <c r="E28" s="2767" t="s">
        <v>795</v>
      </c>
      <c r="F28" s="2767"/>
      <c r="G28" s="2767"/>
      <c r="H28" s="2767"/>
      <c r="I28" s="2767"/>
      <c r="J28" s="2767"/>
    </row>
    <row r="29" spans="2:11" x14ac:dyDescent="0.25">
      <c r="B29" s="541" t="s">
        <v>876</v>
      </c>
      <c r="C29" s="2374">
        <f>'Mão-de-obra'!AO30</f>
        <v>1</v>
      </c>
      <c r="F29" s="2327" t="str">
        <f t="shared" ref="F29:F37" si="0">VLOOKUP(J29,$E$11:$F$27,2)</f>
        <v>Bezerro Desmamados</v>
      </c>
      <c r="G29" s="2327">
        <f>Rebanho!F109</f>
        <v>1100</v>
      </c>
      <c r="H29" s="2327">
        <f>VLOOKUP(F29,$F$11:$J$27,4,)</f>
        <v>180</v>
      </c>
      <c r="J29" s="2344">
        <f>Rebanho!C109</f>
        <v>3</v>
      </c>
    </row>
    <row r="30" spans="2:11" x14ac:dyDescent="0.25">
      <c r="B30" s="530" t="s">
        <v>804</v>
      </c>
      <c r="C30" s="2375">
        <f>'Análise TEC'!C20/C29</f>
        <v>10214.243185840989</v>
      </c>
      <c r="F30" s="2327" t="e">
        <f t="shared" si="0"/>
        <v>#N/A</v>
      </c>
      <c r="G30" s="2327">
        <f>Rebanho!F110</f>
        <v>0</v>
      </c>
      <c r="H30" s="2327" t="e">
        <f t="shared" ref="H30:H37" si="1">VLOOKUP(F30,$F$11:$J$27,4,)</f>
        <v>#N/A</v>
      </c>
      <c r="J30" s="2344">
        <f>Rebanho!C110</f>
        <v>1</v>
      </c>
    </row>
    <row r="31" spans="2:11" ht="16.5" thickBot="1" x14ac:dyDescent="0.3">
      <c r="B31" s="822" t="s">
        <v>1087</v>
      </c>
      <c r="C31" s="2376">
        <f>'Análise TEC'!C22/C29</f>
        <v>15184.714681837038</v>
      </c>
      <c r="F31" s="2327" t="e">
        <f t="shared" si="0"/>
        <v>#N/A</v>
      </c>
      <c r="G31" s="2327">
        <f>Rebanho!F111</f>
        <v>0</v>
      </c>
      <c r="H31" s="2327" t="e">
        <f t="shared" si="1"/>
        <v>#N/A</v>
      </c>
      <c r="J31" s="2344">
        <f>Rebanho!C111</f>
        <v>1</v>
      </c>
    </row>
    <row r="32" spans="2:11" ht="16.5" thickBot="1" x14ac:dyDescent="0.3">
      <c r="B32" s="539" t="s">
        <v>883</v>
      </c>
      <c r="C32" s="2377">
        <f>'Mão-de-obra'!D5</f>
        <v>10000</v>
      </c>
      <c r="F32" s="2327" t="e">
        <f t="shared" si="0"/>
        <v>#N/A</v>
      </c>
      <c r="G32" s="2327">
        <f>Rebanho!F112</f>
        <v>0</v>
      </c>
      <c r="H32" s="2327" t="e">
        <f t="shared" si="1"/>
        <v>#N/A</v>
      </c>
      <c r="J32" s="2344">
        <f>Rebanho!C112</f>
        <v>1</v>
      </c>
    </row>
    <row r="33" spans="1:10" ht="16.5" thickBot="1" x14ac:dyDescent="0.3">
      <c r="B33" s="540"/>
      <c r="C33" s="2378"/>
      <c r="F33" s="2327" t="e">
        <f t="shared" si="0"/>
        <v>#N/A</v>
      </c>
      <c r="G33" s="2327">
        <f>Rebanho!F113</f>
        <v>0</v>
      </c>
      <c r="H33" s="2327" t="e">
        <f t="shared" si="1"/>
        <v>#N/A</v>
      </c>
      <c r="J33" s="2344">
        <f>Rebanho!C113</f>
        <v>1</v>
      </c>
    </row>
    <row r="34" spans="1:10" ht="12.75" customHeight="1" x14ac:dyDescent="0.25">
      <c r="A34" s="2772" t="s">
        <v>886</v>
      </c>
      <c r="B34" s="775" t="str">
        <f>Rebanho!C5</f>
        <v>Taxa de Mortalidade pré-desmama (%)</v>
      </c>
      <c r="C34" s="2379">
        <f>Rebanho!E5</f>
        <v>0</v>
      </c>
      <c r="F34" s="2327" t="e">
        <f t="shared" si="0"/>
        <v>#N/A</v>
      </c>
      <c r="G34" s="2327">
        <f>Rebanho!F114</f>
        <v>0</v>
      </c>
      <c r="H34" s="2327" t="e">
        <f t="shared" si="1"/>
        <v>#N/A</v>
      </c>
      <c r="J34" s="2344">
        <f>Rebanho!C114</f>
        <v>1</v>
      </c>
    </row>
    <row r="35" spans="1:10" x14ac:dyDescent="0.25">
      <c r="A35" s="2773"/>
      <c r="B35" s="776" t="str">
        <f>Rebanho!C6</f>
        <v>Taxa de Mortalidade pós-desmama (%)</v>
      </c>
      <c r="C35" s="2352">
        <f>Rebanho!E6</f>
        <v>0.02</v>
      </c>
      <c r="F35" s="2327" t="e">
        <f t="shared" si="0"/>
        <v>#N/A</v>
      </c>
      <c r="G35" s="2327">
        <f>Rebanho!F115</f>
        <v>0</v>
      </c>
      <c r="H35" s="2327" t="e">
        <f t="shared" si="1"/>
        <v>#N/A</v>
      </c>
      <c r="J35" s="2344">
        <f>Rebanho!C115</f>
        <v>1</v>
      </c>
    </row>
    <row r="36" spans="1:10" x14ac:dyDescent="0.25">
      <c r="A36" s="2773"/>
      <c r="B36" s="776" t="str">
        <f>Rebanho!C7</f>
        <v>Relação vaca/touro</v>
      </c>
      <c r="C36" s="2351">
        <f>Rebanho!E7</f>
        <v>0</v>
      </c>
      <c r="F36" s="2327" t="e">
        <f t="shared" si="0"/>
        <v>#N/A</v>
      </c>
      <c r="G36" s="2327">
        <f>Rebanho!F116</f>
        <v>0</v>
      </c>
      <c r="H36" s="2327" t="e">
        <f t="shared" si="1"/>
        <v>#N/A</v>
      </c>
      <c r="J36" s="2344">
        <f>Rebanho!C116</f>
        <v>1</v>
      </c>
    </row>
    <row r="37" spans="1:10" x14ac:dyDescent="0.25">
      <c r="A37" s="2773"/>
      <c r="B37" s="776" t="str">
        <f>Rebanho!C8</f>
        <v>Intervalo entre partos (meses)</v>
      </c>
      <c r="C37" s="2351">
        <f>Rebanho!E8</f>
        <v>0</v>
      </c>
      <c r="F37" s="2327" t="e">
        <f t="shared" si="0"/>
        <v>#N/A</v>
      </c>
      <c r="G37" s="2327">
        <f>Rebanho!F117</f>
        <v>0</v>
      </c>
      <c r="H37" s="2327" t="e">
        <f t="shared" si="1"/>
        <v>#N/A</v>
      </c>
      <c r="J37" s="2344">
        <f>Rebanho!C117</f>
        <v>1</v>
      </c>
    </row>
    <row r="38" spans="1:10" x14ac:dyDescent="0.25">
      <c r="A38" s="2773"/>
      <c r="B38" s="776" t="str">
        <f>Rebanho!C9</f>
        <v>Período de lactação (meses)</v>
      </c>
      <c r="C38" s="2351">
        <f>Rebanho!E9</f>
        <v>8</v>
      </c>
      <c r="E38" s="2768" t="s">
        <v>1448</v>
      </c>
      <c r="F38" s="2768"/>
      <c r="G38" s="2768"/>
      <c r="H38" s="2768"/>
      <c r="I38" s="2768"/>
      <c r="J38" s="2768"/>
    </row>
    <row r="39" spans="1:10" x14ac:dyDescent="0.25">
      <c r="A39" s="2773"/>
      <c r="B39" s="776" t="str">
        <f>Rebanho!C10</f>
        <v>Idade da primeira cria (meses)</v>
      </c>
      <c r="C39" s="2351">
        <f>Rebanho!E10</f>
        <v>36</v>
      </c>
      <c r="F39" s="2327" t="str">
        <f t="shared" ref="F39:F49" si="2">VLOOKUP(J39,$E$11:$F$27,2)</f>
        <v>Boi gordo</v>
      </c>
      <c r="G39" s="2327">
        <f>Rebanho!F79</f>
        <v>115</v>
      </c>
      <c r="H39" s="2327">
        <f>VLOOKUP(F39,$F$11:$J$27,5,)</f>
        <v>570</v>
      </c>
      <c r="I39" s="2327">
        <f>Rebanho!H79</f>
        <v>0.52</v>
      </c>
      <c r="J39" s="2344">
        <f>Rebanho!C79</f>
        <v>6</v>
      </c>
    </row>
    <row r="40" spans="1:10" x14ac:dyDescent="0.25">
      <c r="A40" s="2773"/>
      <c r="B40" s="776" t="str">
        <f>Rebanho!C11</f>
        <v>Produção vaca/dia (litros)</v>
      </c>
      <c r="C40" s="2351">
        <f>Rebanho!E11</f>
        <v>0</v>
      </c>
      <c r="F40" s="2327" t="e">
        <f t="shared" si="2"/>
        <v>#N/A</v>
      </c>
      <c r="G40" s="2327">
        <f>Rebanho!F80</f>
        <v>0</v>
      </c>
      <c r="H40" s="2327" t="e">
        <f t="shared" ref="H40:H49" si="3">VLOOKUP(F40,$F$11:$J$27,5,)</f>
        <v>#N/A</v>
      </c>
      <c r="I40" s="2327">
        <f>Rebanho!H80</f>
        <v>0</v>
      </c>
      <c r="J40" s="2344">
        <f>Rebanho!C80</f>
        <v>1</v>
      </c>
    </row>
    <row r="41" spans="1:10" x14ac:dyDescent="0.25">
      <c r="A41" s="2773"/>
      <c r="B41" s="776" t="str">
        <f>Rebanho!C12</f>
        <v>Produção diária (litros)</v>
      </c>
      <c r="C41" s="2380">
        <f>Rebanho!E12</f>
        <v>0</v>
      </c>
      <c r="F41" s="2327" t="e">
        <f t="shared" si="2"/>
        <v>#N/A</v>
      </c>
      <c r="G41" s="2327">
        <f>Rebanho!F81</f>
        <v>0</v>
      </c>
      <c r="H41" s="2327" t="e">
        <f t="shared" si="3"/>
        <v>#N/A</v>
      </c>
      <c r="I41" s="2327">
        <f>Rebanho!H81</f>
        <v>0</v>
      </c>
      <c r="J41" s="2344">
        <f>Rebanho!C81</f>
        <v>1</v>
      </c>
    </row>
    <row r="42" spans="1:10" x14ac:dyDescent="0.25">
      <c r="A42" s="2773"/>
      <c r="B42" s="776" t="str">
        <f>Rebanho!C13</f>
        <v>Crias produzidas/vaca</v>
      </c>
      <c r="C42" s="2351">
        <f>Rebanho!E13</f>
        <v>0</v>
      </c>
      <c r="F42" s="2327" t="e">
        <f t="shared" si="2"/>
        <v>#N/A</v>
      </c>
      <c r="G42" s="2327">
        <f>Rebanho!F82</f>
        <v>0</v>
      </c>
      <c r="H42" s="2327" t="e">
        <f t="shared" si="3"/>
        <v>#N/A</v>
      </c>
      <c r="I42" s="2327">
        <f>Rebanho!H82</f>
        <v>0</v>
      </c>
      <c r="J42" s="2344">
        <f>Rebanho!C82</f>
        <v>1</v>
      </c>
    </row>
    <row r="43" spans="1:10" x14ac:dyDescent="0.25">
      <c r="A43" s="2773"/>
      <c r="B43" s="776" t="str">
        <f>Rebanho!C14</f>
        <v>Idade total da vaca (anos)</v>
      </c>
      <c r="C43" s="2351">
        <f>Rebanho!E14</f>
        <v>0</v>
      </c>
      <c r="F43" s="2327" t="e">
        <f t="shared" si="2"/>
        <v>#N/A</v>
      </c>
      <c r="G43" s="2327">
        <f>Rebanho!F83</f>
        <v>0</v>
      </c>
      <c r="H43" s="2327" t="e">
        <f t="shared" si="3"/>
        <v>#N/A</v>
      </c>
      <c r="I43" s="2327">
        <f>Rebanho!H83</f>
        <v>0</v>
      </c>
      <c r="J43" s="2344">
        <f>Rebanho!C83</f>
        <v>1</v>
      </c>
    </row>
    <row r="44" spans="1:10" x14ac:dyDescent="0.25">
      <c r="A44" s="2773"/>
      <c r="B44" s="776" t="str">
        <f>Rebanho!C15</f>
        <v>Taxa de natalidade (multiparas)</v>
      </c>
      <c r="C44" s="2352">
        <f>Rebanho!E16</f>
        <v>0</v>
      </c>
      <c r="F44" s="2327" t="e">
        <f t="shared" si="2"/>
        <v>#N/A</v>
      </c>
      <c r="G44" s="2327">
        <f>Rebanho!F84</f>
        <v>0</v>
      </c>
      <c r="H44" s="2327" t="e">
        <f t="shared" si="3"/>
        <v>#N/A</v>
      </c>
      <c r="I44" s="2327">
        <f>Rebanho!H84</f>
        <v>0</v>
      </c>
      <c r="J44" s="2344">
        <f>Rebanho!C84</f>
        <v>1</v>
      </c>
    </row>
    <row r="45" spans="1:10" x14ac:dyDescent="0.25">
      <c r="A45" s="2773"/>
      <c r="B45" s="776" t="str">
        <f>Rebanho!C16</f>
        <v>Taxa de natalidade (matrizes)</v>
      </c>
      <c r="C45" s="2352">
        <f>Rebanho!E15</f>
        <v>0</v>
      </c>
      <c r="F45" s="2327" t="e">
        <f t="shared" si="2"/>
        <v>#N/A</v>
      </c>
      <c r="G45" s="2327">
        <f>Rebanho!F85</f>
        <v>0</v>
      </c>
      <c r="H45" s="2327" t="e">
        <f t="shared" si="3"/>
        <v>#N/A</v>
      </c>
      <c r="I45" s="2327">
        <f>Rebanho!H85</f>
        <v>0</v>
      </c>
      <c r="J45" s="2344">
        <f>Rebanho!C85</f>
        <v>1</v>
      </c>
    </row>
    <row r="46" spans="1:10" x14ac:dyDescent="0.25">
      <c r="A46" s="2773"/>
      <c r="B46" s="776" t="str">
        <f>Rebanho!C17</f>
        <v>Tx Rep. Desc./matrizes</v>
      </c>
      <c r="C46" s="2352">
        <f>Rebanho!E17</f>
        <v>0</v>
      </c>
      <c r="F46" s="2327" t="e">
        <f t="shared" si="2"/>
        <v>#N/A</v>
      </c>
      <c r="G46" s="2327">
        <f>Rebanho!F86</f>
        <v>0</v>
      </c>
      <c r="H46" s="2327" t="e">
        <f t="shared" si="3"/>
        <v>#N/A</v>
      </c>
      <c r="I46" s="2327">
        <f>Rebanho!H86</f>
        <v>0</v>
      </c>
      <c r="J46" s="2344">
        <f>Rebanho!C86</f>
        <v>1</v>
      </c>
    </row>
    <row r="47" spans="1:10" x14ac:dyDescent="0.25">
      <c r="A47" s="2773"/>
      <c r="B47" s="776" t="str">
        <f>Rebanho!C18</f>
        <v>Tx Rep. Touros/ano</v>
      </c>
      <c r="C47" s="2352">
        <f>Rebanho!E18</f>
        <v>0</v>
      </c>
      <c r="F47" s="2327" t="e">
        <f t="shared" si="2"/>
        <v>#N/A</v>
      </c>
      <c r="G47" s="2327">
        <f>Rebanho!F87</f>
        <v>0</v>
      </c>
      <c r="H47" s="2327" t="e">
        <f t="shared" si="3"/>
        <v>#N/A</v>
      </c>
      <c r="I47" s="2327">
        <f>Rebanho!H87</f>
        <v>0</v>
      </c>
      <c r="J47" s="2344">
        <f>Rebanho!C87</f>
        <v>1</v>
      </c>
    </row>
    <row r="48" spans="1:10" x14ac:dyDescent="0.25">
      <c r="A48" s="2773"/>
      <c r="B48" s="776" t="str">
        <f>Rebanho!C19</f>
        <v>Tx de desfrute</v>
      </c>
      <c r="C48" s="2352">
        <f>Rebanho!E19</f>
        <v>0.49279470746130927</v>
      </c>
      <c r="F48" s="2327" t="str">
        <f t="shared" si="2"/>
        <v>Touro</v>
      </c>
      <c r="G48" s="2327">
        <f>Rebanho!F88</f>
        <v>0</v>
      </c>
      <c r="H48" s="2327">
        <f t="shared" si="3"/>
        <v>0</v>
      </c>
      <c r="I48" s="2327">
        <f>Rebanho!H88</f>
        <v>0.53</v>
      </c>
      <c r="J48" s="2344">
        <f>Rebanho!C88</f>
        <v>7</v>
      </c>
    </row>
    <row r="49" spans="1:10" x14ac:dyDescent="0.25">
      <c r="A49" s="2773"/>
      <c r="B49" s="776" t="str">
        <f>Rebanho!C20</f>
        <v>Idade de abate do boi gordo ou venda do animal</v>
      </c>
      <c r="C49" s="2353">
        <f>IF(OR(C3="Recria e Engorda",C3="Ciclo completo",C3="Engorda"),Rebanho!E21,0)</f>
        <v>24</v>
      </c>
      <c r="F49" s="2327" t="str">
        <f t="shared" si="2"/>
        <v>Vacas solteiras secas</v>
      </c>
      <c r="G49" s="2327">
        <f>Rebanho!F89</f>
        <v>0</v>
      </c>
      <c r="H49" s="2327">
        <f t="shared" si="3"/>
        <v>0</v>
      </c>
      <c r="I49" s="2327">
        <f>Rebanho!H89</f>
        <v>0.48</v>
      </c>
      <c r="J49" s="2344">
        <f>Rebanho!C89</f>
        <v>14</v>
      </c>
    </row>
    <row r="50" spans="1:10" x14ac:dyDescent="0.25">
      <c r="A50" s="2773"/>
      <c r="B50" s="776" t="str">
        <f>Rebanho!C22</f>
        <v>Taxa de lotação em área de pasto</v>
      </c>
      <c r="C50" s="2354">
        <f ca="1">Rebanho!E22</f>
        <v>1.5924838072727143</v>
      </c>
      <c r="G50" s="2345">
        <v>2666.666666666667</v>
      </c>
      <c r="H50" s="2346">
        <f>H48*I48/15*G48</f>
        <v>0</v>
      </c>
    </row>
    <row r="51" spans="1:10" ht="16.5" thickBot="1" x14ac:dyDescent="0.3">
      <c r="A51" s="2774"/>
      <c r="B51" s="777" t="str">
        <f>Rebanho!C23</f>
        <v>Taxa de lotação em área total</v>
      </c>
      <c r="C51" s="2355">
        <f ca="1">Rebanho!E23</f>
        <v>1.2325824668290808</v>
      </c>
      <c r="G51" s="2346">
        <v>1296</v>
      </c>
      <c r="H51" s="2346">
        <f>H49*I49/15*G49</f>
        <v>0</v>
      </c>
    </row>
    <row r="52" spans="1:10" ht="16.5" thickBot="1" x14ac:dyDescent="0.3">
      <c r="C52" s="2381"/>
    </row>
    <row r="53" spans="1:10" ht="12.75" customHeight="1" x14ac:dyDescent="0.25">
      <c r="A53" s="2772" t="s">
        <v>885</v>
      </c>
      <c r="B53" s="726" t="str">
        <f>Rebanho!C49</f>
        <v>Bezerro em aleitamento</v>
      </c>
      <c r="C53" s="2382">
        <f>Rebanho!E49</f>
        <v>0</v>
      </c>
      <c r="D53" s="2347"/>
      <c r="E53" s="2347"/>
      <c r="F53" s="2348"/>
    </row>
    <row r="54" spans="1:10" x14ac:dyDescent="0.25">
      <c r="A54" s="2773"/>
      <c r="B54" s="727" t="str">
        <f>Rebanho!C50</f>
        <v>Bezerro Desmamados</v>
      </c>
      <c r="C54" s="2383">
        <f>Rebanho!E50</f>
        <v>793.33333333333337</v>
      </c>
      <c r="D54" s="2347"/>
      <c r="E54" s="2347"/>
      <c r="F54" s="2348"/>
    </row>
    <row r="55" spans="1:10" x14ac:dyDescent="0.25">
      <c r="A55" s="2773"/>
      <c r="B55" s="727" t="str">
        <f>Rebanho!C51</f>
        <v>Garrotes</v>
      </c>
      <c r="C55" s="2383">
        <f>Rebanho!E51</f>
        <v>782.75555555555559</v>
      </c>
      <c r="D55" s="2347"/>
      <c r="E55" s="2347"/>
      <c r="F55" s="2348"/>
    </row>
    <row r="56" spans="1:10" x14ac:dyDescent="0.25">
      <c r="A56" s="2773"/>
      <c r="B56" s="727" t="str">
        <f>Rebanho!C52</f>
        <v>Boi magro</v>
      </c>
      <c r="C56" s="2383">
        <f>Rebanho!E52</f>
        <v>772.31881481481491</v>
      </c>
      <c r="D56" s="2347"/>
      <c r="E56" s="2347"/>
      <c r="F56" s="2348"/>
    </row>
    <row r="57" spans="1:10" ht="16.5" thickBot="1" x14ac:dyDescent="0.3">
      <c r="A57" s="2773"/>
      <c r="B57" s="779" t="str">
        <f>Rebanho!C53</f>
        <v>Boi gordo</v>
      </c>
      <c r="C57" s="2384">
        <f>Rebanho!E53</f>
        <v>768.45722074074081</v>
      </c>
      <c r="D57" s="2347"/>
      <c r="E57" s="2347"/>
      <c r="F57" s="2348"/>
    </row>
    <row r="58" spans="1:10" ht="17.25" thickTop="1" thickBot="1" x14ac:dyDescent="0.3">
      <c r="A58" s="2773"/>
      <c r="B58" s="780" t="str">
        <f>Rebanho!C54</f>
        <v>Touro</v>
      </c>
      <c r="C58" s="2385">
        <f>Rebanho!E54</f>
        <v>0</v>
      </c>
      <c r="D58" s="2347"/>
      <c r="E58" s="2347"/>
      <c r="F58" s="2348"/>
    </row>
    <row r="59" spans="1:10" ht="16.5" thickTop="1" x14ac:dyDescent="0.25">
      <c r="A59" s="2773"/>
      <c r="B59" s="778" t="str">
        <f>Rebanho!C55</f>
        <v>Bezerras em aleitamento</v>
      </c>
      <c r="C59" s="2386">
        <f>Rebanho!E55</f>
        <v>0</v>
      </c>
      <c r="D59" s="2347"/>
      <c r="E59" s="2347"/>
      <c r="F59" s="2348"/>
    </row>
    <row r="60" spans="1:10" x14ac:dyDescent="0.25">
      <c r="A60" s="2773"/>
      <c r="B60" s="727" t="str">
        <f>Rebanho!C56</f>
        <v>Bezerras desmamadas</v>
      </c>
      <c r="C60" s="2383">
        <f>Rebanho!E56</f>
        <v>0</v>
      </c>
      <c r="D60" s="2347"/>
      <c r="E60" s="2347"/>
      <c r="F60" s="2348"/>
    </row>
    <row r="61" spans="1:10" x14ac:dyDescent="0.25">
      <c r="A61" s="2773"/>
      <c r="B61" s="727" t="str">
        <f>Rebanho!C57</f>
        <v>Novilhas sobreano</v>
      </c>
      <c r="C61" s="2383">
        <f>Rebanho!E57</f>
        <v>0</v>
      </c>
      <c r="D61" s="2347"/>
      <c r="E61" s="2347"/>
      <c r="F61" s="2348"/>
    </row>
    <row r="62" spans="1:10" x14ac:dyDescent="0.25">
      <c r="A62" s="2773"/>
      <c r="B62" s="727" t="str">
        <f>Rebanho!C58</f>
        <v>Novilhas preenhe</v>
      </c>
      <c r="C62" s="2383">
        <f>Rebanho!E58</f>
        <v>0</v>
      </c>
      <c r="D62" s="2347"/>
      <c r="E62" s="2347"/>
      <c r="F62" s="2348"/>
    </row>
    <row r="63" spans="1:10" x14ac:dyDescent="0.25">
      <c r="A63" s="2773"/>
      <c r="B63" s="727" t="str">
        <f>Rebanho!C59</f>
        <v>Vacas primíparas</v>
      </c>
      <c r="C63" s="2383">
        <f>Rebanho!E59</f>
        <v>0</v>
      </c>
      <c r="D63" s="2347"/>
      <c r="E63" s="2347"/>
      <c r="F63" s="2348"/>
    </row>
    <row r="64" spans="1:10" x14ac:dyDescent="0.25">
      <c r="A64" s="2773"/>
      <c r="B64" s="727" t="str">
        <f>Rebanho!C60</f>
        <v>Vacas em lactação multiparas</v>
      </c>
      <c r="C64" s="2383">
        <f>Rebanho!E60</f>
        <v>0</v>
      </c>
      <c r="D64" s="2347"/>
      <c r="E64" s="2347"/>
      <c r="F64" s="2348"/>
    </row>
    <row r="65" spans="1:6" ht="16.5" thickBot="1" x14ac:dyDescent="0.3">
      <c r="A65" s="2773"/>
      <c r="B65" s="779" t="str">
        <f>Rebanho!C61</f>
        <v>Vacas solteiras secas</v>
      </c>
      <c r="C65" s="2384">
        <f>Rebanho!E61</f>
        <v>0</v>
      </c>
      <c r="D65" s="2347"/>
      <c r="E65" s="2347"/>
      <c r="F65" s="2348"/>
    </row>
    <row r="66" spans="1:6" ht="16.5" thickTop="1" x14ac:dyDescent="0.25">
      <c r="A66" s="2773"/>
      <c r="B66" s="778" t="str">
        <f>Rebanho!C62</f>
        <v>Bezerras em aleitamento (Engorda)</v>
      </c>
      <c r="C66" s="2386">
        <f>Rebanho!E62</f>
        <v>0</v>
      </c>
      <c r="D66" s="2347"/>
      <c r="E66" s="2347"/>
      <c r="F66" s="2348"/>
    </row>
    <row r="67" spans="1:6" x14ac:dyDescent="0.25">
      <c r="A67" s="2773"/>
      <c r="B67" s="727" t="str">
        <f>Rebanho!C63</f>
        <v>Bezerras desmamadas (Engorda)</v>
      </c>
      <c r="C67" s="2383">
        <f>Rebanho!E63</f>
        <v>0</v>
      </c>
      <c r="D67" s="2347"/>
      <c r="E67" s="2347"/>
      <c r="F67" s="2348"/>
    </row>
    <row r="68" spans="1:6" x14ac:dyDescent="0.25">
      <c r="A68" s="2773"/>
      <c r="B68" s="727" t="str">
        <f>Rebanho!C64</f>
        <v>Novilhas sobreano (Engorda)</v>
      </c>
      <c r="C68" s="2383">
        <f>Rebanho!E64</f>
        <v>0</v>
      </c>
      <c r="D68" s="2347"/>
      <c r="E68" s="2347"/>
      <c r="F68" s="2348"/>
    </row>
    <row r="69" spans="1:6" ht="16.5" thickBot="1" x14ac:dyDescent="0.3">
      <c r="A69" s="2773"/>
      <c r="B69" s="728" t="str">
        <f>Rebanho!C65</f>
        <v>Vaca (Engorda)</v>
      </c>
      <c r="C69" s="2387">
        <f>Rebanho!E65</f>
        <v>0</v>
      </c>
      <c r="D69" s="2347"/>
      <c r="E69" s="2347"/>
      <c r="F69" s="2348"/>
    </row>
    <row r="70" spans="1:6" ht="16.5" thickBot="1" x14ac:dyDescent="0.3">
      <c r="A70" s="2774"/>
      <c r="B70" s="729" t="str">
        <f>Rebanho!C66</f>
        <v xml:space="preserve"> TOTAL PONDERADO ANIMAIS PRODUÇÃO</v>
      </c>
      <c r="C70" s="2399">
        <f>Rebanho!E66</f>
        <v>1559.386107654321</v>
      </c>
      <c r="D70" s="2347"/>
      <c r="E70" s="2347"/>
      <c r="F70" s="2348"/>
    </row>
    <row r="71" spans="1:6" ht="16.5" thickBot="1" x14ac:dyDescent="0.3"/>
    <row r="72" spans="1:6" ht="13.5" customHeight="1" x14ac:dyDescent="0.25">
      <c r="A72" s="2772" t="s">
        <v>884</v>
      </c>
      <c r="B72" s="726" t="str">
        <f>Rebanho!C26</f>
        <v>Bezerro em aleitamento</v>
      </c>
      <c r="C72" s="2388">
        <f>Rebanho!H26</f>
        <v>627.04918032786884</v>
      </c>
    </row>
    <row r="73" spans="1:6" x14ac:dyDescent="0.25">
      <c r="A73" s="2773"/>
      <c r="B73" s="727" t="str">
        <f>Rebanho!C27</f>
        <v>Bezerro desmamados</v>
      </c>
      <c r="C73" s="2389">
        <f>Rebanho!H27</f>
        <v>459.01639344262293</v>
      </c>
    </row>
    <row r="74" spans="1:6" x14ac:dyDescent="0.25">
      <c r="A74" s="2773"/>
      <c r="B74" s="727" t="str">
        <f>Rebanho!C28</f>
        <v>Garrotes</v>
      </c>
      <c r="C74" s="2389">
        <f>Rebanho!H28</f>
        <v>491.80327868852459</v>
      </c>
    </row>
    <row r="75" spans="1:6" x14ac:dyDescent="0.25">
      <c r="A75" s="2773"/>
      <c r="B75" s="727" t="str">
        <f>Rebanho!C29</f>
        <v>Boi magro</v>
      </c>
      <c r="C75" s="2389">
        <f>Rebanho!H29</f>
        <v>438.52459016393442</v>
      </c>
    </row>
    <row r="76" spans="1:6" ht="16.5" thickBot="1" x14ac:dyDescent="0.3">
      <c r="A76" s="2773"/>
      <c r="B76" s="779" t="str">
        <f>Rebanho!C30</f>
        <v>Boi gordo</v>
      </c>
      <c r="C76" s="2390">
        <f>Rebanho!H30</f>
        <v>1016.3934426229508</v>
      </c>
    </row>
    <row r="77" spans="1:6" ht="17.25" thickTop="1" thickBot="1" x14ac:dyDescent="0.3">
      <c r="A77" s="2773"/>
      <c r="B77" s="916" t="str">
        <f>Rebanho!C31</f>
        <v>Touro</v>
      </c>
      <c r="C77" s="2391">
        <f>Rebanho!H31</f>
        <v>0</v>
      </c>
    </row>
    <row r="78" spans="1:6" ht="16.5" thickTop="1" x14ac:dyDescent="0.25">
      <c r="A78" s="2773"/>
      <c r="B78" s="778" t="str">
        <f>Rebanho!C32</f>
        <v>Bezerras em aleitamento</v>
      </c>
      <c r="C78" s="2392">
        <f>Rebanho!H32</f>
        <v>0</v>
      </c>
    </row>
    <row r="79" spans="1:6" x14ac:dyDescent="0.25">
      <c r="A79" s="2773"/>
      <c r="B79" s="727" t="str">
        <f>Rebanho!C33</f>
        <v>Bezerras desmamadas</v>
      </c>
      <c r="C79" s="2389">
        <f>Rebanho!H33</f>
        <v>0</v>
      </c>
    </row>
    <row r="80" spans="1:6" x14ac:dyDescent="0.25">
      <c r="A80" s="2773"/>
      <c r="B80" s="727" t="str">
        <f>Rebanho!C34</f>
        <v>Novilhas sobreano</v>
      </c>
      <c r="C80" s="2389">
        <f>Rebanho!H34</f>
        <v>0</v>
      </c>
    </row>
    <row r="81" spans="1:11" x14ac:dyDescent="0.25">
      <c r="A81" s="2773"/>
      <c r="B81" s="727" t="str">
        <f>Rebanho!C35</f>
        <v>Novilhas preenhe</v>
      </c>
      <c r="C81" s="2389">
        <f>Rebanho!H35</f>
        <v>0</v>
      </c>
    </row>
    <row r="82" spans="1:11" x14ac:dyDescent="0.25">
      <c r="A82" s="2773"/>
      <c r="B82" s="727" t="str">
        <f>Rebanho!C36</f>
        <v>Vacas primíparas</v>
      </c>
      <c r="C82" s="2389">
        <f>Rebanho!H36</f>
        <v>0</v>
      </c>
    </row>
    <row r="83" spans="1:11" x14ac:dyDescent="0.25">
      <c r="A83" s="2773"/>
      <c r="B83" s="727" t="str">
        <f>Rebanho!C37</f>
        <v>Vacas multiparas</v>
      </c>
      <c r="C83" s="2389">
        <f>Rebanho!H37</f>
        <v>0</v>
      </c>
    </row>
    <row r="84" spans="1:11" ht="16.5" thickBot="1" x14ac:dyDescent="0.3">
      <c r="A84" s="2773"/>
      <c r="B84" s="779" t="str">
        <f>Rebanho!C38</f>
        <v>Vacas solteiras secas</v>
      </c>
      <c r="C84" s="2390">
        <f>Rebanho!H38</f>
        <v>0</v>
      </c>
    </row>
    <row r="85" spans="1:11" ht="16.5" thickTop="1" x14ac:dyDescent="0.25">
      <c r="A85" s="2773"/>
      <c r="B85" s="778" t="str">
        <f>Rebanho!C39</f>
        <v>Bezerras em aleitamento (Engorda)</v>
      </c>
      <c r="C85" s="2392">
        <f>Rebanho!H39</f>
        <v>0</v>
      </c>
    </row>
    <row r="86" spans="1:11" x14ac:dyDescent="0.25">
      <c r="A86" s="2773"/>
      <c r="B86" s="727" t="str">
        <f>Rebanho!C40</f>
        <v>Bezerras desmamadas (Engorda)</v>
      </c>
      <c r="C86" s="2389">
        <f>Rebanho!H40</f>
        <v>0</v>
      </c>
    </row>
    <row r="87" spans="1:11" x14ac:dyDescent="0.25">
      <c r="A87" s="2773"/>
      <c r="B87" s="727" t="str">
        <f>Rebanho!C41</f>
        <v>Novilhas sobreano (Engorda)</v>
      </c>
      <c r="C87" s="2389">
        <f>Rebanho!H41</f>
        <v>0</v>
      </c>
    </row>
    <row r="88" spans="1:11" ht="16.5" thickBot="1" x14ac:dyDescent="0.3">
      <c r="A88" s="2773"/>
      <c r="B88" s="917" t="str">
        <f>Rebanho!C42</f>
        <v>Vaca (Engorda)</v>
      </c>
      <c r="C88" s="2393">
        <f>Rebanho!H42</f>
        <v>0</v>
      </c>
    </row>
    <row r="89" spans="1:11" ht="16.5" thickBot="1" x14ac:dyDescent="0.3">
      <c r="A89" s="2774"/>
      <c r="B89" s="918" t="s">
        <v>1018</v>
      </c>
      <c r="C89" s="2400">
        <f>AVERAGEIF(C72:C88,"&gt;0",C72:C88)</f>
        <v>606.55737704918033</v>
      </c>
    </row>
    <row r="90" spans="1:11" s="784" customFormat="1" ht="16.5" thickBot="1" x14ac:dyDescent="0.3">
      <c r="B90" s="788"/>
      <c r="C90" s="2394"/>
      <c r="D90" s="2349"/>
      <c r="E90" s="2349"/>
      <c r="F90" s="2349"/>
      <c r="G90" s="2349"/>
      <c r="H90" s="2349"/>
      <c r="I90" s="2349"/>
      <c r="J90" s="2349"/>
      <c r="K90" s="2349"/>
    </row>
    <row r="91" spans="1:11" s="784" customFormat="1" x14ac:dyDescent="0.25">
      <c r="A91" s="2769" t="s">
        <v>887</v>
      </c>
      <c r="B91" s="786" t="s">
        <v>747</v>
      </c>
      <c r="C91" s="2395">
        <f>Suplementação!N7</f>
        <v>0</v>
      </c>
      <c r="D91" s="2349"/>
      <c r="E91" s="2349"/>
      <c r="F91" s="2349"/>
      <c r="G91" s="2349"/>
      <c r="H91" s="2349"/>
      <c r="I91" s="2349"/>
      <c r="J91" s="2349"/>
      <c r="K91" s="2349"/>
    </row>
    <row r="92" spans="1:11" s="784" customFormat="1" x14ac:dyDescent="0.25">
      <c r="A92" s="2770"/>
      <c r="B92" s="787" t="s">
        <v>713</v>
      </c>
      <c r="C92" s="2396">
        <f>Suplementação!N8</f>
        <v>9.9999999999999978E-2</v>
      </c>
      <c r="D92" s="2349"/>
      <c r="E92" s="2349"/>
      <c r="F92" s="2349"/>
      <c r="G92" s="2349"/>
      <c r="H92" s="2349"/>
      <c r="I92" s="2349"/>
      <c r="J92" s="2349"/>
      <c r="K92" s="2349"/>
    </row>
    <row r="93" spans="1:11" s="784" customFormat="1" x14ac:dyDescent="0.25">
      <c r="A93" s="2770"/>
      <c r="B93" s="787" t="s">
        <v>373</v>
      </c>
      <c r="C93" s="2396">
        <f>Suplementação!N9</f>
        <v>0.1</v>
      </c>
      <c r="D93" s="2349"/>
      <c r="E93" s="2349"/>
      <c r="F93" s="2349"/>
      <c r="G93" s="2349"/>
      <c r="H93" s="2349"/>
      <c r="I93" s="2349"/>
      <c r="J93" s="2349"/>
      <c r="K93" s="2349"/>
    </row>
    <row r="94" spans="1:11" s="784" customFormat="1" x14ac:dyDescent="0.25">
      <c r="A94" s="2770"/>
      <c r="B94" s="787" t="s">
        <v>383</v>
      </c>
      <c r="C94" s="2396">
        <f>Suplementação!N10</f>
        <v>0.1</v>
      </c>
      <c r="D94" s="2349"/>
      <c r="E94" s="2349"/>
      <c r="F94" s="2349"/>
      <c r="G94" s="2349"/>
      <c r="H94" s="2349"/>
      <c r="I94" s="2349"/>
      <c r="J94" s="2349"/>
      <c r="K94" s="2349"/>
    </row>
    <row r="95" spans="1:11" s="784" customFormat="1" x14ac:dyDescent="0.25">
      <c r="A95" s="2770"/>
      <c r="B95" s="787" t="s">
        <v>374</v>
      </c>
      <c r="C95" s="2396">
        <f>Suplementação!N11</f>
        <v>0</v>
      </c>
      <c r="D95" s="2349"/>
      <c r="E95" s="2349"/>
      <c r="F95" s="2349"/>
      <c r="G95" s="2349"/>
      <c r="H95" s="2349"/>
      <c r="I95" s="2349"/>
      <c r="J95" s="2349"/>
      <c r="K95" s="2349"/>
    </row>
    <row r="96" spans="1:11" s="784" customFormat="1" x14ac:dyDescent="0.25">
      <c r="A96" s="2770"/>
      <c r="B96" s="787" t="s">
        <v>379</v>
      </c>
      <c r="C96" s="2396">
        <f>Suplementação!N12</f>
        <v>0.35</v>
      </c>
      <c r="D96" s="2349"/>
      <c r="E96" s="2349"/>
      <c r="F96" s="2349"/>
      <c r="G96" s="2349"/>
      <c r="H96" s="2349"/>
      <c r="I96" s="2349"/>
      <c r="J96" s="2349"/>
      <c r="K96" s="2349"/>
    </row>
    <row r="97" spans="1:11" s="784" customFormat="1" x14ac:dyDescent="0.25">
      <c r="A97" s="2770"/>
      <c r="B97" s="787" t="s">
        <v>718</v>
      </c>
      <c r="C97" s="2396">
        <f>Suplementação!N13</f>
        <v>0.34999999999999992</v>
      </c>
      <c r="D97" s="2349"/>
      <c r="E97" s="2349"/>
      <c r="F97" s="2349"/>
      <c r="G97" s="2349"/>
      <c r="H97" s="2349"/>
      <c r="I97" s="2349"/>
      <c r="J97" s="2349"/>
      <c r="K97" s="2349"/>
    </row>
    <row r="98" spans="1:11" s="784" customFormat="1" x14ac:dyDescent="0.25">
      <c r="A98" s="2770"/>
      <c r="B98" s="787" t="s">
        <v>712</v>
      </c>
      <c r="C98" s="2396">
        <f>Suplementação!N14</f>
        <v>0.35000000000000003</v>
      </c>
      <c r="D98" s="2349"/>
      <c r="E98" s="2349"/>
      <c r="F98" s="2349"/>
      <c r="G98" s="2349"/>
      <c r="H98" s="2349"/>
      <c r="I98" s="2349"/>
      <c r="J98" s="2349"/>
      <c r="K98" s="2349"/>
    </row>
    <row r="99" spans="1:11" s="784" customFormat="1" x14ac:dyDescent="0.25">
      <c r="A99" s="2770"/>
      <c r="B99" s="787" t="s">
        <v>384</v>
      </c>
      <c r="C99" s="2396">
        <f>Suplementação!N15</f>
        <v>0</v>
      </c>
      <c r="D99" s="2349"/>
      <c r="E99" s="2349"/>
      <c r="F99" s="2349"/>
      <c r="G99" s="2349"/>
      <c r="H99" s="2349"/>
      <c r="I99" s="2349"/>
      <c r="J99" s="2349"/>
      <c r="K99" s="2349"/>
    </row>
    <row r="100" spans="1:11" s="784" customFormat="1" x14ac:dyDescent="0.25">
      <c r="A100" s="2770"/>
      <c r="B100" s="787" t="s">
        <v>385</v>
      </c>
      <c r="C100" s="2396">
        <f>Suplementação!N16</f>
        <v>0</v>
      </c>
      <c r="D100" s="2349"/>
      <c r="E100" s="2349"/>
      <c r="F100" s="2349"/>
      <c r="G100" s="2349"/>
      <c r="H100" s="2349"/>
      <c r="I100" s="2349"/>
      <c r="J100" s="2349"/>
      <c r="K100" s="2349"/>
    </row>
    <row r="101" spans="1:11" s="784" customFormat="1" x14ac:dyDescent="0.25">
      <c r="A101" s="2770"/>
      <c r="B101" s="787" t="s">
        <v>793</v>
      </c>
      <c r="C101" s="2396">
        <f>Suplementação!N17</f>
        <v>0</v>
      </c>
      <c r="D101" s="2349"/>
      <c r="E101" s="2349"/>
      <c r="F101" s="2349"/>
      <c r="G101" s="2349"/>
      <c r="H101" s="2349"/>
      <c r="I101" s="2349"/>
      <c r="J101" s="2349"/>
      <c r="K101" s="2349"/>
    </row>
    <row r="102" spans="1:11" s="784" customFormat="1" x14ac:dyDescent="0.25">
      <c r="A102" s="2770"/>
      <c r="B102" s="787" t="s">
        <v>702</v>
      </c>
      <c r="C102" s="2396">
        <f>Suplementação!N18</f>
        <v>0</v>
      </c>
      <c r="D102" s="2349"/>
      <c r="E102" s="2349"/>
      <c r="F102" s="2349"/>
      <c r="G102" s="2349"/>
      <c r="H102" s="2349"/>
      <c r="I102" s="2349"/>
      <c r="J102" s="2349"/>
      <c r="K102" s="2349"/>
    </row>
    <row r="103" spans="1:11" s="784" customFormat="1" x14ac:dyDescent="0.25">
      <c r="A103" s="2770"/>
      <c r="B103" s="787" t="s">
        <v>717</v>
      </c>
      <c r="C103" s="2396">
        <f>Suplementação!N19</f>
        <v>0</v>
      </c>
      <c r="D103" s="2349"/>
      <c r="E103" s="2349"/>
      <c r="F103" s="2349"/>
      <c r="G103" s="2349"/>
      <c r="H103" s="2349"/>
      <c r="I103" s="2349"/>
      <c r="J103" s="2349"/>
      <c r="K103" s="2349"/>
    </row>
    <row r="104" spans="1:11" s="784" customFormat="1" x14ac:dyDescent="0.25">
      <c r="A104" s="2770"/>
      <c r="B104" s="787" t="s">
        <v>716</v>
      </c>
      <c r="C104" s="2396">
        <f>Suplementação!N20</f>
        <v>0</v>
      </c>
      <c r="D104" s="2349"/>
      <c r="E104" s="2349"/>
      <c r="F104" s="2349"/>
      <c r="G104" s="2349"/>
      <c r="H104" s="2349"/>
      <c r="I104" s="2349"/>
      <c r="J104" s="2349"/>
      <c r="K104" s="2349"/>
    </row>
    <row r="105" spans="1:11" s="784" customFormat="1" ht="16.5" thickBot="1" x14ac:dyDescent="0.3">
      <c r="A105" s="2771"/>
      <c r="B105" s="782" t="s">
        <v>381</v>
      </c>
      <c r="C105" s="2401">
        <f>MEDIAN(C91:C104)</f>
        <v>0</v>
      </c>
      <c r="D105" s="2349"/>
      <c r="E105" s="2349"/>
      <c r="F105" s="2349"/>
      <c r="G105" s="2349"/>
      <c r="H105" s="2349"/>
      <c r="I105" s="2349"/>
      <c r="J105" s="2349"/>
      <c r="K105" s="2349"/>
    </row>
    <row r="106" spans="1:11" s="784" customFormat="1" x14ac:dyDescent="0.25">
      <c r="A106" s="781"/>
      <c r="B106" s="783"/>
      <c r="C106" s="2402"/>
      <c r="D106" s="2349"/>
      <c r="E106" s="2349"/>
      <c r="F106" s="2349"/>
      <c r="G106" s="2349"/>
      <c r="H106" s="2349"/>
      <c r="I106" s="2349"/>
      <c r="J106" s="2349"/>
      <c r="K106" s="2349"/>
    </row>
    <row r="107" spans="1:11" s="784" customFormat="1" x14ac:dyDescent="0.25">
      <c r="A107" s="781"/>
      <c r="B107" s="783"/>
      <c r="C107" s="2402"/>
      <c r="D107" s="2349"/>
      <c r="E107" s="2349"/>
      <c r="F107" s="2349"/>
      <c r="G107" s="2349"/>
      <c r="H107" s="2349"/>
      <c r="I107" s="2349"/>
      <c r="J107" s="2349"/>
      <c r="K107" s="2349"/>
    </row>
    <row r="108" spans="1:11" s="784" customFormat="1" x14ac:dyDescent="0.25">
      <c r="A108" s="781"/>
      <c r="B108" s="783"/>
      <c r="C108" s="2402"/>
      <c r="D108" s="2349"/>
      <c r="E108" s="2349"/>
      <c r="F108" s="2349"/>
      <c r="G108" s="2349"/>
      <c r="H108" s="2349"/>
      <c r="I108" s="2349"/>
      <c r="J108" s="2349"/>
      <c r="K108" s="2349"/>
    </row>
    <row r="109" spans="1:11" s="784" customFormat="1" x14ac:dyDescent="0.25">
      <c r="A109" s="781"/>
      <c r="B109" s="783"/>
      <c r="C109" s="2402"/>
      <c r="D109" s="2349"/>
      <c r="E109" s="2349"/>
      <c r="F109" s="2349"/>
      <c r="G109" s="2349"/>
      <c r="H109" s="2349"/>
      <c r="I109" s="2349"/>
      <c r="J109" s="2349"/>
      <c r="K109" s="2349"/>
    </row>
    <row r="110" spans="1:11" s="784" customFormat="1" x14ac:dyDescent="0.25">
      <c r="A110" s="781"/>
      <c r="B110" s="783"/>
      <c r="C110" s="2402"/>
      <c r="D110" s="2349"/>
      <c r="E110" s="2349"/>
      <c r="F110" s="2349"/>
      <c r="G110" s="2349"/>
      <c r="H110" s="2349"/>
      <c r="I110" s="2349"/>
      <c r="J110" s="2349"/>
      <c r="K110" s="2349"/>
    </row>
    <row r="111" spans="1:11" s="784" customFormat="1" ht="16.5" thickBot="1" x14ac:dyDescent="0.3">
      <c r="B111" s="785"/>
      <c r="C111" s="2394"/>
      <c r="D111" s="2349"/>
      <c r="E111" s="2349"/>
      <c r="F111" s="2349"/>
      <c r="G111" s="2349"/>
      <c r="H111" s="2349"/>
      <c r="I111" s="2349"/>
      <c r="J111" s="2349"/>
      <c r="K111" s="2349"/>
    </row>
    <row r="112" spans="1:11" s="784" customFormat="1" x14ac:dyDescent="0.25">
      <c r="A112" s="2769" t="s">
        <v>888</v>
      </c>
      <c r="B112" s="786" t="s">
        <v>747</v>
      </c>
      <c r="C112" s="2397">
        <f>Suplementação!N22</f>
        <v>0</v>
      </c>
      <c r="D112" s="2349"/>
      <c r="E112" s="2349"/>
      <c r="F112" s="2349"/>
      <c r="G112" s="2349"/>
      <c r="H112" s="2349"/>
      <c r="I112" s="2349"/>
      <c r="J112" s="2349"/>
      <c r="K112" s="2349"/>
    </row>
    <row r="113" spans="1:11" s="784" customFormat="1" x14ac:dyDescent="0.25">
      <c r="A113" s="2770"/>
      <c r="B113" s="787" t="s">
        <v>713</v>
      </c>
      <c r="C113" s="2396">
        <f>Suplementação!N23</f>
        <v>0</v>
      </c>
      <c r="D113" s="2349"/>
      <c r="E113" s="2349"/>
      <c r="F113" s="2349"/>
      <c r="G113" s="2349"/>
      <c r="H113" s="2349"/>
      <c r="I113" s="2349"/>
      <c r="J113" s="2349"/>
      <c r="K113" s="2349"/>
    </row>
    <row r="114" spans="1:11" s="784" customFormat="1" x14ac:dyDescent="0.25">
      <c r="A114" s="2770"/>
      <c r="B114" s="787" t="s">
        <v>373</v>
      </c>
      <c r="C114" s="2396">
        <f>Suplementação!N24</f>
        <v>0</v>
      </c>
      <c r="D114" s="2349"/>
      <c r="E114" s="2349"/>
      <c r="F114" s="2349"/>
      <c r="G114" s="2349"/>
      <c r="H114" s="2349"/>
      <c r="I114" s="2349"/>
      <c r="J114" s="2349"/>
      <c r="K114" s="2349"/>
    </row>
    <row r="115" spans="1:11" s="784" customFormat="1" x14ac:dyDescent="0.25">
      <c r="A115" s="2770"/>
      <c r="B115" s="787" t="s">
        <v>383</v>
      </c>
      <c r="C115" s="2396">
        <f>Suplementação!N25</f>
        <v>0</v>
      </c>
      <c r="D115" s="2349"/>
      <c r="E115" s="2349"/>
      <c r="F115" s="2349"/>
      <c r="G115" s="2349"/>
      <c r="H115" s="2349"/>
      <c r="I115" s="2349"/>
      <c r="J115" s="2349"/>
      <c r="K115" s="2349"/>
    </row>
    <row r="116" spans="1:11" s="784" customFormat="1" x14ac:dyDescent="0.25">
      <c r="A116" s="2770"/>
      <c r="B116" s="787" t="s">
        <v>374</v>
      </c>
      <c r="C116" s="2396">
        <f>Suplementação!N26</f>
        <v>0</v>
      </c>
      <c r="D116" s="2349"/>
      <c r="E116" s="2349"/>
      <c r="F116" s="2349"/>
      <c r="G116" s="2349"/>
      <c r="H116" s="2349"/>
      <c r="I116" s="2349"/>
      <c r="J116" s="2349"/>
      <c r="K116" s="2349"/>
    </row>
    <row r="117" spans="1:11" s="784" customFormat="1" x14ac:dyDescent="0.25">
      <c r="A117" s="2770"/>
      <c r="B117" s="787" t="s">
        <v>379</v>
      </c>
      <c r="C117" s="2396">
        <f>Suplementação!N27</f>
        <v>0</v>
      </c>
      <c r="D117" s="2349"/>
      <c r="E117" s="2349"/>
      <c r="F117" s="2349"/>
      <c r="G117" s="2349"/>
      <c r="H117" s="2349"/>
      <c r="I117" s="2349"/>
      <c r="J117" s="2349"/>
      <c r="K117" s="2349"/>
    </row>
    <row r="118" spans="1:11" s="784" customFormat="1" x14ac:dyDescent="0.25">
      <c r="A118" s="2770"/>
      <c r="B118" s="787" t="s">
        <v>718</v>
      </c>
      <c r="C118" s="2396">
        <f>Suplementação!N28</f>
        <v>0</v>
      </c>
      <c r="D118" s="2349"/>
      <c r="E118" s="2349"/>
      <c r="F118" s="2349"/>
      <c r="G118" s="2349"/>
      <c r="H118" s="2349"/>
      <c r="I118" s="2349"/>
      <c r="J118" s="2349"/>
      <c r="K118" s="2349"/>
    </row>
    <row r="119" spans="1:11" s="784" customFormat="1" x14ac:dyDescent="0.25">
      <c r="A119" s="2770"/>
      <c r="B119" s="787" t="s">
        <v>712</v>
      </c>
      <c r="C119" s="2396">
        <f>Suplementação!N29</f>
        <v>0</v>
      </c>
      <c r="D119" s="2349"/>
      <c r="E119" s="2349"/>
      <c r="F119" s="2349"/>
      <c r="G119" s="2349"/>
      <c r="H119" s="2349"/>
      <c r="I119" s="2349"/>
      <c r="J119" s="2349"/>
      <c r="K119" s="2349"/>
    </row>
    <row r="120" spans="1:11" s="784" customFormat="1" x14ac:dyDescent="0.25">
      <c r="A120" s="2770"/>
      <c r="B120" s="787" t="s">
        <v>384</v>
      </c>
      <c r="C120" s="2396">
        <f>Suplementação!N30</f>
        <v>0</v>
      </c>
      <c r="D120" s="2349"/>
      <c r="E120" s="2349"/>
      <c r="F120" s="2349"/>
      <c r="G120" s="2349"/>
      <c r="H120" s="2349"/>
      <c r="I120" s="2349"/>
      <c r="J120" s="2349"/>
      <c r="K120" s="2349"/>
    </row>
    <row r="121" spans="1:11" s="784" customFormat="1" x14ac:dyDescent="0.25">
      <c r="A121" s="2770"/>
      <c r="B121" s="787" t="s">
        <v>385</v>
      </c>
      <c r="C121" s="2396">
        <f>Suplementação!N34</f>
        <v>0</v>
      </c>
      <c r="D121" s="2349"/>
      <c r="E121" s="2349"/>
      <c r="F121" s="2349"/>
      <c r="G121" s="2349"/>
      <c r="H121" s="2349"/>
      <c r="I121" s="2349"/>
      <c r="J121" s="2349"/>
      <c r="K121" s="2349"/>
    </row>
    <row r="122" spans="1:11" s="784" customFormat="1" x14ac:dyDescent="0.25">
      <c r="A122" s="2770"/>
      <c r="B122" s="787" t="s">
        <v>793</v>
      </c>
      <c r="C122" s="2396">
        <f>Suplementação!N35</f>
        <v>0</v>
      </c>
      <c r="D122" s="2349"/>
      <c r="E122" s="2349"/>
      <c r="F122" s="2349"/>
      <c r="G122" s="2349"/>
      <c r="H122" s="2349"/>
      <c r="I122" s="2349"/>
      <c r="J122" s="2349"/>
      <c r="K122" s="2349"/>
    </row>
    <row r="123" spans="1:11" s="784" customFormat="1" x14ac:dyDescent="0.25">
      <c r="A123" s="2770"/>
      <c r="B123" s="787" t="s">
        <v>702</v>
      </c>
      <c r="C123" s="2396">
        <f>Suplementação!N36</f>
        <v>0</v>
      </c>
      <c r="D123" s="2349"/>
      <c r="E123" s="2349"/>
      <c r="F123" s="2349"/>
      <c r="G123" s="2349"/>
      <c r="H123" s="2349"/>
      <c r="I123" s="2349"/>
      <c r="J123" s="2349"/>
      <c r="K123" s="2349"/>
    </row>
    <row r="124" spans="1:11" s="784" customFormat="1" x14ac:dyDescent="0.25">
      <c r="A124" s="2770"/>
      <c r="B124" s="787" t="s">
        <v>717</v>
      </c>
      <c r="C124" s="2396">
        <f>Suplementação!N37</f>
        <v>0</v>
      </c>
      <c r="D124" s="2349"/>
      <c r="E124" s="2349"/>
      <c r="F124" s="2349"/>
      <c r="G124" s="2349"/>
      <c r="H124" s="2349"/>
      <c r="I124" s="2349"/>
      <c r="J124" s="2349"/>
      <c r="K124" s="2349"/>
    </row>
    <row r="125" spans="1:11" s="784" customFormat="1" x14ac:dyDescent="0.25">
      <c r="A125" s="2770"/>
      <c r="B125" s="787" t="s">
        <v>716</v>
      </c>
      <c r="C125" s="2396">
        <f>Suplementação!N38</f>
        <v>0</v>
      </c>
      <c r="D125" s="2349"/>
      <c r="E125" s="2349"/>
      <c r="F125" s="2349"/>
      <c r="G125" s="2349"/>
      <c r="H125" s="2349"/>
      <c r="I125" s="2349"/>
      <c r="J125" s="2349"/>
      <c r="K125" s="2349"/>
    </row>
    <row r="126" spans="1:11" s="784" customFormat="1" ht="16.5" thickBot="1" x14ac:dyDescent="0.3">
      <c r="A126" s="2771"/>
      <c r="B126" s="782" t="s">
        <v>381</v>
      </c>
      <c r="C126" s="2401">
        <f>MEDIAN(C112:C125)</f>
        <v>0</v>
      </c>
      <c r="D126" s="2349"/>
      <c r="E126" s="2349"/>
      <c r="F126" s="2349"/>
      <c r="G126" s="2349"/>
      <c r="H126" s="2349"/>
      <c r="I126" s="2349"/>
      <c r="J126" s="2349"/>
      <c r="K126" s="2349"/>
    </row>
    <row r="127" spans="1:11" s="784" customFormat="1" ht="16.5" thickBot="1" x14ac:dyDescent="0.3">
      <c r="B127" s="788"/>
      <c r="C127" s="2394"/>
      <c r="D127" s="2349"/>
      <c r="E127" s="2349"/>
      <c r="F127" s="2349"/>
      <c r="G127" s="2349"/>
      <c r="H127" s="2349"/>
      <c r="I127" s="2349"/>
      <c r="J127" s="2349"/>
      <c r="K127" s="2349"/>
    </row>
    <row r="128" spans="1:11" s="784" customFormat="1" ht="16.5" thickBot="1" x14ac:dyDescent="0.3">
      <c r="B128" s="789" t="s">
        <v>899</v>
      </c>
      <c r="C128" s="2394"/>
      <c r="D128" s="2349"/>
      <c r="E128" s="2349"/>
      <c r="F128" s="2349"/>
      <c r="G128" s="2349"/>
      <c r="H128" s="2349"/>
      <c r="I128" s="2349"/>
      <c r="J128" s="2349"/>
      <c r="K128" s="2349"/>
    </row>
  </sheetData>
  <mergeCells count="7">
    <mergeCell ref="E28:J28"/>
    <mergeCell ref="E38:J38"/>
    <mergeCell ref="A91:A105"/>
    <mergeCell ref="A112:A126"/>
    <mergeCell ref="A72:A89"/>
    <mergeCell ref="A53:A70"/>
    <mergeCell ref="A34:A51"/>
  </mergeCells>
  <phoneticPr fontId="0" type="noConversion"/>
  <conditionalFormatting sqref="C19 C13:C17 C24:C35 C7:C9 C11 C3">
    <cfRule type="expression" dxfId="74" priority="76" stopIfTrue="1">
      <formula>#REF!=7</formula>
    </cfRule>
  </conditionalFormatting>
  <conditionalFormatting sqref="C42 C37">
    <cfRule type="expression" dxfId="73" priority="79" stopIfTrue="1">
      <formula>$BV$14=4</formula>
    </cfRule>
    <cfRule type="expression" dxfId="72" priority="80" stopIfTrue="1">
      <formula>$BV$14=5</formula>
    </cfRule>
    <cfRule type="expression" dxfId="71" priority="81" stopIfTrue="1">
      <formula>$BV$14=6</formula>
    </cfRule>
    <cfRule type="expression" dxfId="70" priority="82" stopIfTrue="1">
      <formula>$BV$14=8</formula>
    </cfRule>
  </conditionalFormatting>
  <conditionalFormatting sqref="C48">
    <cfRule type="expression" dxfId="69" priority="87" stopIfTrue="1">
      <formula>$BV$14=7</formula>
    </cfRule>
    <cfRule type="expression" dxfId="68" priority="88" stopIfTrue="1">
      <formula>$BV$14=8</formula>
    </cfRule>
    <cfRule type="expression" dxfId="67" priority="89" stopIfTrue="1">
      <formula>$BV$14=4</formula>
    </cfRule>
    <cfRule type="expression" dxfId="66" priority="90" stopIfTrue="1">
      <formula>$BV$14=5</formula>
    </cfRule>
    <cfRule type="expression" dxfId="65" priority="91" stopIfTrue="1">
      <formula>$BV$14=6</formula>
    </cfRule>
  </conditionalFormatting>
  <conditionalFormatting sqref="C49">
    <cfRule type="expression" dxfId="64" priority="92" stopIfTrue="1">
      <formula>$BV$14=1</formula>
    </cfRule>
    <cfRule type="expression" dxfId="63" priority="93" stopIfTrue="1">
      <formula>$BV$14=7</formula>
    </cfRule>
  </conditionalFormatting>
  <conditionalFormatting sqref="C50 C53:C70">
    <cfRule type="expression" dxfId="62" priority="94" stopIfTrue="1">
      <formula>$BV$14=4</formula>
    </cfRule>
    <cfRule type="expression" dxfId="61" priority="95" stopIfTrue="1">
      <formula>$BV$14=2</formula>
    </cfRule>
    <cfRule type="expression" dxfId="60" priority="96" stopIfTrue="1">
      <formula>$BV$14=1</formula>
    </cfRule>
    <cfRule type="expression" dxfId="59" priority="97" stopIfTrue="1">
      <formula>$BV$14=7</formula>
    </cfRule>
  </conditionalFormatting>
  <conditionalFormatting sqref="C42 C37">
    <cfRule type="expression" dxfId="58" priority="102" stopIfTrue="1">
      <formula>$BV$14=7</formula>
    </cfRule>
  </conditionalFormatting>
  <conditionalFormatting sqref="C36:C40 C42:C51">
    <cfRule type="expression" dxfId="57" priority="104" stopIfTrue="1">
      <formula>$BV$14=8</formula>
    </cfRule>
    <cfRule type="expression" dxfId="56" priority="105" stopIfTrue="1">
      <formula>$BV$14=4</formula>
    </cfRule>
    <cfRule type="expression" dxfId="55" priority="106" stopIfTrue="1">
      <formula>$BV$14=5</formula>
    </cfRule>
    <cfRule type="expression" dxfId="54" priority="107" stopIfTrue="1">
      <formula>$BV$14=6</formula>
    </cfRule>
  </conditionalFormatting>
  <conditionalFormatting sqref="C36 C43">
    <cfRule type="expression" dxfId="53" priority="41" stopIfTrue="1">
      <formula>$CC$11=4</formula>
    </cfRule>
    <cfRule type="expression" dxfId="52" priority="42" stopIfTrue="1">
      <formula>$CC$11=5</formula>
    </cfRule>
    <cfRule type="expression" dxfId="51" priority="43" stopIfTrue="1">
      <formula>$CC$11=6</formula>
    </cfRule>
    <cfRule type="expression" dxfId="50" priority="44" stopIfTrue="1">
      <formula>$CC$11=8</formula>
    </cfRule>
  </conditionalFormatting>
  <conditionalFormatting sqref="C49">
    <cfRule type="expression" dxfId="49" priority="36" stopIfTrue="1">
      <formula>$CC$11=7</formula>
    </cfRule>
    <cfRule type="expression" dxfId="48" priority="37" stopIfTrue="1">
      <formula>$CC$11=8</formula>
    </cfRule>
    <cfRule type="expression" dxfId="47" priority="38" stopIfTrue="1">
      <formula>$CC$11=4</formula>
    </cfRule>
    <cfRule type="expression" dxfId="46" priority="39" stopIfTrue="1">
      <formula>$CC$11=5</formula>
    </cfRule>
    <cfRule type="expression" dxfId="45" priority="40" stopIfTrue="1">
      <formula>$CC$11=6</formula>
    </cfRule>
  </conditionalFormatting>
  <conditionalFormatting sqref="C50">
    <cfRule type="expression" dxfId="44" priority="34" stopIfTrue="1">
      <formula>$CC$11=1</formula>
    </cfRule>
    <cfRule type="expression" dxfId="43" priority="35" stopIfTrue="1">
      <formula>$CC$11=7</formula>
    </cfRule>
  </conditionalFormatting>
  <conditionalFormatting sqref="C51">
    <cfRule type="expression" dxfId="42" priority="30" stopIfTrue="1">
      <formula>$CC$11=4</formula>
    </cfRule>
    <cfRule type="expression" dxfId="41" priority="31" stopIfTrue="1">
      <formula>$CC$11=2</formula>
    </cfRule>
    <cfRule type="expression" dxfId="40" priority="32" stopIfTrue="1">
      <formula>$CC$11=1</formula>
    </cfRule>
    <cfRule type="expression" dxfId="39" priority="33" stopIfTrue="1">
      <formula>$CC$11=7</formula>
    </cfRule>
  </conditionalFormatting>
  <conditionalFormatting sqref="C40 C42:C51">
    <cfRule type="expression" dxfId="38" priority="24" stopIfTrue="1">
      <formula>$CC$11=6</formula>
    </cfRule>
    <cfRule type="expression" dxfId="37" priority="25" stopIfTrue="1">
      <formula>$CC$11=1</formula>
    </cfRule>
    <cfRule type="expression" dxfId="36" priority="26" stopIfTrue="1">
      <formula>$CC$11=2</formula>
    </cfRule>
    <cfRule type="expression" dxfId="35" priority="27" stopIfTrue="1">
      <formula>$CC$11=3</formula>
    </cfRule>
    <cfRule type="expression" dxfId="34" priority="28" stopIfTrue="1">
      <formula>$CC$11=4</formula>
    </cfRule>
    <cfRule type="expression" dxfId="33" priority="29" stopIfTrue="1">
      <formula>$CC$11=5</formula>
    </cfRule>
  </conditionalFormatting>
  <conditionalFormatting sqref="C36 C43">
    <cfRule type="expression" dxfId="32" priority="23" stopIfTrue="1">
      <formula>$CC$11=7</formula>
    </cfRule>
  </conditionalFormatting>
  <conditionalFormatting sqref="C44:C48 C37:C39 C34:C35">
    <cfRule type="expression" dxfId="31" priority="19" stopIfTrue="1">
      <formula>$CC$11=8</formula>
    </cfRule>
    <cfRule type="expression" dxfId="30" priority="20" stopIfTrue="1">
      <formula>$CC$11=4</formula>
    </cfRule>
    <cfRule type="expression" dxfId="29" priority="21" stopIfTrue="1">
      <formula>$CC$11=5</formula>
    </cfRule>
    <cfRule type="expression" dxfId="28" priority="22" stopIfTrue="1">
      <formula>$CC$11=6</formula>
    </cfRule>
  </conditionalFormatting>
  <conditionalFormatting sqref="C47">
    <cfRule type="expression" dxfId="27" priority="12" stopIfTrue="1">
      <formula>$CC$8=7</formula>
    </cfRule>
    <cfRule type="expression" dxfId="26" priority="13" stopIfTrue="1">
      <formula>$CC$8=8</formula>
    </cfRule>
    <cfRule type="expression" dxfId="25" priority="14" stopIfTrue="1">
      <formula>$CC$8=4</formula>
    </cfRule>
    <cfRule type="expression" dxfId="24" priority="15" stopIfTrue="1">
      <formula>$CC$8=5</formula>
    </cfRule>
    <cfRule type="expression" dxfId="23" priority="16" stopIfTrue="1">
      <formula>$CC$8=6</formula>
    </cfRule>
  </conditionalFormatting>
  <conditionalFormatting sqref="C48">
    <cfRule type="expression" dxfId="22" priority="11" stopIfTrue="1">
      <formula>$CC$8=7</formula>
    </cfRule>
  </conditionalFormatting>
  <conditionalFormatting sqref="C49">
    <cfRule type="expression" dxfId="21" priority="7" stopIfTrue="1">
      <formula>$CC$8=4</formula>
    </cfRule>
    <cfRule type="expression" dxfId="20" priority="8" stopIfTrue="1">
      <formula>$CC$8=2</formula>
    </cfRule>
    <cfRule type="expression" dxfId="19" priority="9" stopIfTrue="1">
      <formula>$CC$8=1</formula>
    </cfRule>
    <cfRule type="expression" dxfId="18" priority="10" stopIfTrue="1">
      <formula>$CC$8=7</formula>
    </cfRule>
  </conditionalFormatting>
  <conditionalFormatting sqref="C42:C46">
    <cfRule type="expression" dxfId="17" priority="3" stopIfTrue="1">
      <formula>$CC$8=8</formula>
    </cfRule>
    <cfRule type="expression" dxfId="16" priority="4" stopIfTrue="1">
      <formula>$CC$8=4</formula>
    </cfRule>
    <cfRule type="expression" dxfId="15" priority="5" stopIfTrue="1">
      <formula>$CC$8=5</formula>
    </cfRule>
    <cfRule type="expression" dxfId="14" priority="6" stopIfTrue="1">
      <formula>$CC$8=6</formula>
    </cfRule>
  </conditionalFormatting>
  <conditionalFormatting sqref="C5:C6">
    <cfRule type="expression" dxfId="13" priority="2" stopIfTrue="1">
      <formula>#REF!=7</formula>
    </cfRule>
  </conditionalFormatting>
  <conditionalFormatting sqref="C10">
    <cfRule type="expression" dxfId="12" priority="1" stopIfTrue="1">
      <formula>#REF!=7</formula>
    </cfRule>
  </conditionalFormatting>
  <hyperlinks>
    <hyperlink ref="B27" r:id="rId1" display=".@ vendida - compradas/área de pastagem"/>
  </hyperlinks>
  <pageMargins left="0.511811024" right="0.511811024" top="0.78740157499999996" bottom="0.78740157499999996" header="0.31496062000000002" footer="0.31496062000000002"/>
  <pageSetup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B1:AA192"/>
  <sheetViews>
    <sheetView topLeftCell="A123" zoomScale="80" zoomScaleNormal="80" workbookViewId="0">
      <selection activeCell="D132" sqref="D132:D133"/>
    </sheetView>
  </sheetViews>
  <sheetFormatPr defaultColWidth="9.140625" defaultRowHeight="12.75" x14ac:dyDescent="0.2"/>
  <cols>
    <col min="1" max="1" width="1.7109375" style="355" customWidth="1"/>
    <col min="2" max="2" width="37" style="355" customWidth="1"/>
    <col min="3" max="3" width="18" style="355" customWidth="1"/>
    <col min="4" max="4" width="17" style="355" bestFit="1" customWidth="1"/>
    <col min="5" max="6" width="2.28515625" style="355" customWidth="1"/>
    <col min="7" max="7" width="28.85546875" style="355" bestFit="1" customWidth="1"/>
    <col min="8" max="8" width="41.42578125" style="355" customWidth="1"/>
    <col min="9" max="9" width="16.7109375" style="355" customWidth="1"/>
    <col min="10" max="10" width="14.28515625" style="402" bestFit="1" customWidth="1"/>
    <col min="11" max="11" width="16.85546875" style="355" customWidth="1"/>
    <col min="12" max="12" width="2.7109375" style="355" customWidth="1"/>
    <col min="13" max="13" width="3.28515625" style="355" customWidth="1"/>
    <col min="14" max="14" width="28.85546875" style="355" customWidth="1"/>
    <col min="15" max="15" width="26.28515625" style="355" customWidth="1"/>
    <col min="16" max="16" width="24.85546875" style="355" customWidth="1"/>
    <col min="17" max="18" width="2.85546875" style="355" customWidth="1"/>
    <col min="19" max="19" width="25" style="355" customWidth="1"/>
    <col min="20" max="20" width="16.85546875" style="355" customWidth="1"/>
    <col min="21" max="21" width="16.42578125" style="355" bestFit="1" customWidth="1"/>
    <col min="22" max="22" width="15.85546875" style="355" bestFit="1" customWidth="1"/>
    <col min="23" max="23" width="12.42578125" style="355" customWidth="1"/>
    <col min="24" max="24" width="13.42578125" style="355" customWidth="1"/>
    <col min="25" max="25" width="9.140625" style="355"/>
    <col min="26" max="26" width="16.7109375" style="355" customWidth="1"/>
    <col min="27" max="16384" width="9.140625" style="355"/>
  </cols>
  <sheetData>
    <row r="1" spans="2:27" x14ac:dyDescent="0.2">
      <c r="G1" s="2775" t="s">
        <v>826</v>
      </c>
      <c r="H1" s="2775"/>
      <c r="I1" s="2775"/>
      <c r="J1" s="2775"/>
      <c r="K1" s="2775"/>
    </row>
    <row r="2" spans="2:27" ht="13.5" thickBot="1" x14ac:dyDescent="0.25">
      <c r="G2" s="356"/>
      <c r="H2" s="356"/>
      <c r="I2" s="356"/>
      <c r="J2" s="398"/>
      <c r="K2" s="356"/>
      <c r="O2" s="357" t="s">
        <v>827</v>
      </c>
      <c r="P2" s="388">
        <f>Descrição!C21</f>
        <v>0.06</v>
      </c>
      <c r="V2" s="358"/>
      <c r="W2" s="358"/>
      <c r="X2" s="359"/>
    </row>
    <row r="3" spans="2:27" ht="13.5" thickBot="1" x14ac:dyDescent="0.25">
      <c r="B3" s="2778" t="s">
        <v>828</v>
      </c>
      <c r="C3" s="2778"/>
      <c r="D3" s="380" t="s">
        <v>829</v>
      </c>
      <c r="G3" s="2779" t="s">
        <v>14</v>
      </c>
      <c r="H3" s="2779"/>
      <c r="I3" s="2779"/>
      <c r="J3" s="2779"/>
      <c r="K3" s="2779"/>
    </row>
    <row r="4" spans="2:27" ht="17.25" customHeight="1" thickBot="1" x14ac:dyDescent="0.25">
      <c r="B4" s="392" t="s">
        <v>546</v>
      </c>
      <c r="C4" s="392"/>
      <c r="D4" s="393">
        <f>Rebanho!E5</f>
        <v>0</v>
      </c>
      <c r="G4" s="361" t="s">
        <v>335</v>
      </c>
      <c r="H4" s="361" t="s">
        <v>23</v>
      </c>
      <c r="I4" s="361" t="s">
        <v>0</v>
      </c>
      <c r="J4" s="399" t="s">
        <v>336</v>
      </c>
      <c r="K4" s="361" t="s">
        <v>529</v>
      </c>
      <c r="S4" s="384" t="s">
        <v>841</v>
      </c>
      <c r="T4" s="384" t="s">
        <v>842</v>
      </c>
      <c r="U4" s="384" t="s">
        <v>843</v>
      </c>
      <c r="V4" s="384" t="s">
        <v>2</v>
      </c>
      <c r="X4" s="362"/>
    </row>
    <row r="5" spans="2:27" ht="13.5" thickBot="1" x14ac:dyDescent="0.25">
      <c r="B5" s="394" t="s">
        <v>547</v>
      </c>
      <c r="C5" s="394"/>
      <c r="D5" s="381">
        <f>Rebanho!E6</f>
        <v>0.02</v>
      </c>
      <c r="G5" s="973" t="str">
        <f>IF(Inventário!C6=1,"-",(VLOOKUP(Inventário!C6,Dados!$A$86:$I$125,2)))</f>
        <v>Casa sede (escritório)</v>
      </c>
      <c r="H5" s="363" t="str">
        <f>Inventário!D6</f>
        <v>Mora na cidade 100 m2</v>
      </c>
      <c r="I5" s="363">
        <f>Inventário!E6</f>
        <v>1</v>
      </c>
      <c r="J5" s="400">
        <f>Inventário!F6</f>
        <v>100000</v>
      </c>
      <c r="K5" s="363">
        <f>Inventário!G6</f>
        <v>35</v>
      </c>
      <c r="N5" s="2780" t="s">
        <v>828</v>
      </c>
      <c r="O5" s="2780"/>
      <c r="P5" s="360" t="s">
        <v>830</v>
      </c>
      <c r="S5" s="790" t="str">
        <f>Rebanho!C26</f>
        <v>Bezerro em aleitamento</v>
      </c>
      <c r="T5" s="385">
        <f>Rebanho!G49</f>
        <v>396.75</v>
      </c>
      <c r="U5" s="386">
        <f>Rebanho!E49</f>
        <v>0</v>
      </c>
      <c r="V5" s="387">
        <f>Rebanho!I49</f>
        <v>0</v>
      </c>
      <c r="X5" s="358"/>
      <c r="Y5" s="358"/>
      <c r="Z5" s="358"/>
    </row>
    <row r="6" spans="2:27" x14ac:dyDescent="0.2">
      <c r="B6" s="391" t="s">
        <v>362</v>
      </c>
      <c r="C6" s="394"/>
      <c r="D6" s="395">
        <f>Rebanho!E8</f>
        <v>0</v>
      </c>
      <c r="G6" s="973" t="str">
        <f>IF(Inventário!C7=1,"-",(VLOOKUP(Inventário!C7,Dados!$A$86:$I$125,2)))</f>
        <v>Casa para funcionário</v>
      </c>
      <c r="H6" s="363" t="str">
        <f>Inventário!D7</f>
        <v>100 m2</v>
      </c>
      <c r="I6" s="363">
        <f>Inventário!E7</f>
        <v>2</v>
      </c>
      <c r="J6" s="400">
        <f>Inventário!F7</f>
        <v>64000</v>
      </c>
      <c r="K6" s="363">
        <f>Inventário!G7</f>
        <v>35</v>
      </c>
      <c r="N6" s="1488" t="s">
        <v>1315</v>
      </c>
      <c r="O6" s="1489"/>
      <c r="P6" s="1490">
        <f>V22</f>
        <v>2129359.1038907128</v>
      </c>
      <c r="S6" s="790" t="str">
        <f>Rebanho!C27</f>
        <v>Bezerro desmamados</v>
      </c>
      <c r="T6" s="385">
        <f>Rebanho!G50</f>
        <v>824.16666666666663</v>
      </c>
      <c r="U6" s="386">
        <f>Rebanho!E50</f>
        <v>793.33333333333337</v>
      </c>
      <c r="V6" s="387">
        <f>Rebanho!I50</f>
        <v>272432.87037037039</v>
      </c>
      <c r="Z6" s="366"/>
    </row>
    <row r="7" spans="2:27" ht="13.5" thickBot="1" x14ac:dyDescent="0.25">
      <c r="B7" s="391" t="s">
        <v>715</v>
      </c>
      <c r="C7" s="394"/>
      <c r="D7" s="395">
        <f>Rebanho!E9</f>
        <v>8</v>
      </c>
      <c r="G7" s="973" t="str">
        <f>IF(Inventário!C8=1,"-",(VLOOKUP(Inventário!C8,Dados!$A$86:$I$125,2)))</f>
        <v>Cerca convencional</v>
      </c>
      <c r="H7" s="363" t="str">
        <f>Inventário!D8</f>
        <v>5 fios arame liso 4x4</v>
      </c>
      <c r="I7" s="363">
        <f ca="1">Inventário!E8</f>
        <v>6.324555320336759</v>
      </c>
      <c r="J7" s="400">
        <f>Inventário!F8</f>
        <v>10000</v>
      </c>
      <c r="K7" s="363">
        <f>Inventário!G8</f>
        <v>12</v>
      </c>
      <c r="N7" s="1491" t="s">
        <v>1316</v>
      </c>
      <c r="O7" s="356"/>
      <c r="P7" s="1492">
        <f ca="1">V43</f>
        <v>13919264.124187734</v>
      </c>
      <c r="S7" s="790" t="str">
        <f>Rebanho!C28</f>
        <v>Garrotes</v>
      </c>
      <c r="T7" s="385">
        <f>Rebanho!G51</f>
        <v>1188.3333333333333</v>
      </c>
      <c r="U7" s="386">
        <f>Rebanho!E51</f>
        <v>782.75555555555559</v>
      </c>
      <c r="V7" s="387">
        <f>Rebanho!I51</f>
        <v>620116.34567901224</v>
      </c>
      <c r="X7" s="367"/>
      <c r="Y7" s="367"/>
      <c r="Z7" s="368"/>
      <c r="AA7" s="362"/>
    </row>
    <row r="8" spans="2:27" ht="13.5" thickBot="1" x14ac:dyDescent="0.25">
      <c r="B8" s="391" t="s">
        <v>363</v>
      </c>
      <c r="C8" s="394"/>
      <c r="D8" s="395">
        <f>Rebanho!E10</f>
        <v>36</v>
      </c>
      <c r="G8" s="973" t="str">
        <f>IF(Inventário!C9=1,"-",(VLOOKUP(Inventário!C9,Dados!$A$86:$I$125,2)))</f>
        <v>Cerca interna</v>
      </c>
      <c r="H8" s="363" t="str">
        <f>Inventário!D9</f>
        <v>4 fios arame liso 5x5</v>
      </c>
      <c r="I8" s="363">
        <f ca="1">Inventário!E9</f>
        <v>57.565826486706598</v>
      </c>
      <c r="J8" s="400">
        <f>Inventário!F9</f>
        <v>8000</v>
      </c>
      <c r="K8" s="363">
        <f>Inventário!G9</f>
        <v>12</v>
      </c>
      <c r="N8" s="1493" t="s">
        <v>831</v>
      </c>
      <c r="O8" s="1493"/>
      <c r="P8" s="1494">
        <f ca="1">'Análise ADM'!C45</f>
        <v>1387560.4010449196</v>
      </c>
      <c r="S8" s="790" t="str">
        <f>Rebanho!C29</f>
        <v>Boi magro</v>
      </c>
      <c r="T8" s="385">
        <f>Rebanho!G52</f>
        <v>1623.4166666666667</v>
      </c>
      <c r="U8" s="386">
        <f>Rebanho!E52</f>
        <v>772.31881481481491</v>
      </c>
      <c r="V8" s="387">
        <f>Rebanho!I52</f>
        <v>835863.49063374486</v>
      </c>
      <c r="Z8" s="366"/>
    </row>
    <row r="9" spans="2:27" x14ac:dyDescent="0.2">
      <c r="B9" s="391" t="s">
        <v>792</v>
      </c>
      <c r="C9" s="394"/>
      <c r="D9" s="395">
        <f>Rebanho!E11</f>
        <v>0</v>
      </c>
      <c r="G9" s="973" t="str">
        <f>IF(Inventário!C10=1,"-",(VLOOKUP(Inventário!C10,Dados!$A$86:$I$125,2)))</f>
        <v>Curral</v>
      </c>
      <c r="H9" s="363" t="str">
        <f>Inventário!D10</f>
        <v>Completo coberto</v>
      </c>
      <c r="I9" s="363">
        <f>Inventário!E10</f>
        <v>1</v>
      </c>
      <c r="J9" s="400">
        <f>Inventário!F10</f>
        <v>150000</v>
      </c>
      <c r="K9" s="363">
        <f>Inventário!G10</f>
        <v>25</v>
      </c>
      <c r="N9" s="375" t="s">
        <v>834</v>
      </c>
      <c r="O9" s="375"/>
      <c r="P9" s="1495">
        <f ca="1">'Análise ADM'!C65</f>
        <v>273001.76144456328</v>
      </c>
      <c r="S9" s="790" t="str">
        <f>Rebanho!C30</f>
        <v>Boi gordo</v>
      </c>
      <c r="T9" s="385">
        <f>Rebanho!G53</f>
        <v>115</v>
      </c>
      <c r="U9" s="386">
        <f>Rebanho!E53</f>
        <v>768.45722074074081</v>
      </c>
      <c r="V9" s="387">
        <f>Rebanho!I53</f>
        <v>400946.39720758522</v>
      </c>
      <c r="Z9" s="366"/>
    </row>
    <row r="10" spans="2:27" ht="13.5" thickBot="1" x14ac:dyDescent="0.25">
      <c r="B10" s="391" t="s">
        <v>732</v>
      </c>
      <c r="C10" s="394"/>
      <c r="D10" s="395">
        <f>Rebanho!E12</f>
        <v>0</v>
      </c>
      <c r="G10" s="973" t="str">
        <f>IF(Inventário!C11=1,"-",(VLOOKUP(Inventário!C11,Dados!$A$86:$I$125,2)))</f>
        <v>Galpão</v>
      </c>
      <c r="H10" s="363" t="str">
        <f>Inventário!D11</f>
        <v>10x15 m2 com galpão de sal</v>
      </c>
      <c r="I10" s="363">
        <f>Inventário!E11</f>
        <v>1</v>
      </c>
      <c r="J10" s="400">
        <f>Inventário!F11</f>
        <v>82500</v>
      </c>
      <c r="K10" s="363">
        <f>Inventário!G11</f>
        <v>25</v>
      </c>
      <c r="N10" s="980" t="s">
        <v>832</v>
      </c>
      <c r="O10" s="980"/>
      <c r="P10" s="981">
        <f ca="1">'Análise ADM'!C66</f>
        <v>1660562.1624894829</v>
      </c>
      <c r="S10" s="790" t="str">
        <f>Rebanho!C31</f>
        <v>Touro</v>
      </c>
      <c r="T10" s="385">
        <f>Rebanho!G54</f>
        <v>0</v>
      </c>
      <c r="U10" s="386">
        <f>Rebanho!E54</f>
        <v>0</v>
      </c>
      <c r="V10" s="387">
        <f>Rebanho!I54</f>
        <v>0</v>
      </c>
      <c r="Z10" s="366"/>
    </row>
    <row r="11" spans="2:27" x14ac:dyDescent="0.2">
      <c r="B11" s="391" t="s">
        <v>369</v>
      </c>
      <c r="C11" s="394"/>
      <c r="D11" s="395">
        <f>Rebanho!E13</f>
        <v>0</v>
      </c>
      <c r="G11" s="973" t="str">
        <f>IF(Inventário!C12=1,"-",(VLOOKUP(Inventário!C12,Dados!$A$86:$I$125,2)))</f>
        <v>Represas</v>
      </c>
      <c r="H11" s="363">
        <f>Inventário!D12</f>
        <v>0</v>
      </c>
      <c r="I11" s="363">
        <f>Inventário!E12</f>
        <v>20</v>
      </c>
      <c r="J11" s="400">
        <f>Inventário!F12</f>
        <v>7500</v>
      </c>
      <c r="K11" s="363">
        <f>Inventário!G12</f>
        <v>15</v>
      </c>
      <c r="N11" s="375" t="s">
        <v>833</v>
      </c>
      <c r="O11" s="375"/>
      <c r="P11" s="1495">
        <f ca="1">'Análise ADM'!C79</f>
        <v>590680.60006546834</v>
      </c>
      <c r="S11" s="790" t="str">
        <f>Rebanho!C32</f>
        <v>Bezerras em aleitamento</v>
      </c>
      <c r="T11" s="385">
        <f>Rebanho!G55</f>
        <v>0</v>
      </c>
      <c r="U11" s="386">
        <f>Rebanho!E55</f>
        <v>0</v>
      </c>
      <c r="V11" s="387">
        <f>Rebanho!I55</f>
        <v>0</v>
      </c>
      <c r="Z11" s="366"/>
    </row>
    <row r="12" spans="2:27" ht="13.5" thickBot="1" x14ac:dyDescent="0.25">
      <c r="B12" s="391" t="s">
        <v>370</v>
      </c>
      <c r="C12" s="394"/>
      <c r="D12" s="395">
        <f>Rebanho!E14</f>
        <v>0</v>
      </c>
      <c r="G12" s="973" t="str">
        <f>IF(Inventário!C13=1,"-",(VLOOKUP(Inventário!C13,Dados!$A$86:$I$125,2)))</f>
        <v>Porteira</v>
      </c>
      <c r="H12" s="363" t="str">
        <f>Inventário!D13</f>
        <v>Madeira</v>
      </c>
      <c r="I12" s="363">
        <f>Inventário!E13</f>
        <v>20</v>
      </c>
      <c r="J12" s="400">
        <f>Inventário!F13</f>
        <v>500</v>
      </c>
      <c r="K12" s="363">
        <f>Inventário!G13</f>
        <v>12</v>
      </c>
      <c r="N12" s="980" t="s">
        <v>835</v>
      </c>
      <c r="O12" s="980"/>
      <c r="P12" s="981">
        <f ca="1">P10+P11</f>
        <v>2251242.762554951</v>
      </c>
      <c r="S12" s="790" t="str">
        <f>Rebanho!C33</f>
        <v>Bezerras desmamadas</v>
      </c>
      <c r="T12" s="385">
        <f>Rebanho!G56</f>
        <v>0</v>
      </c>
      <c r="U12" s="386">
        <f>Rebanho!E56</f>
        <v>0</v>
      </c>
      <c r="V12" s="387">
        <f>Rebanho!I56</f>
        <v>0</v>
      </c>
      <c r="Z12" s="366"/>
    </row>
    <row r="13" spans="2:27" x14ac:dyDescent="0.2">
      <c r="B13" s="391" t="s">
        <v>853</v>
      </c>
      <c r="C13" s="394"/>
      <c r="D13" s="381">
        <f>Rebanho!E15</f>
        <v>0</v>
      </c>
      <c r="G13" s="973" t="str">
        <f>IF(Inventário!C14=1,"-",(VLOOKUP(Inventário!C14,Dados!$A$86:$I$125,2)))</f>
        <v>Saleiros (Cocho)</v>
      </c>
      <c r="H13" s="363" t="str">
        <f>Inventário!D14</f>
        <v>Coberto madeira</v>
      </c>
      <c r="I13" s="363">
        <f>Inventário!E14</f>
        <v>40</v>
      </c>
      <c r="J13" s="400">
        <f>Inventário!F14</f>
        <v>2000</v>
      </c>
      <c r="K13" s="363">
        <f>Inventário!G14</f>
        <v>12</v>
      </c>
      <c r="N13" s="375" t="s">
        <v>725</v>
      </c>
      <c r="O13" s="375"/>
      <c r="P13" s="1495">
        <f>'Análise ADM'!C5</f>
        <v>1746242.1884112596</v>
      </c>
      <c r="S13" s="790" t="str">
        <f>Rebanho!C34</f>
        <v>Novilhas sobreano</v>
      </c>
      <c r="T13" s="385">
        <f>Rebanho!G57</f>
        <v>0</v>
      </c>
      <c r="U13" s="386">
        <f>Rebanho!E57</f>
        <v>0</v>
      </c>
      <c r="V13" s="387">
        <f>Rebanho!I57</f>
        <v>0</v>
      </c>
      <c r="X13" s="362"/>
      <c r="Z13" s="366"/>
    </row>
    <row r="14" spans="2:27" x14ac:dyDescent="0.2">
      <c r="B14" s="391" t="s">
        <v>854</v>
      </c>
      <c r="C14" s="394"/>
      <c r="D14" s="381">
        <f>Rebanho!E17</f>
        <v>0</v>
      </c>
      <c r="G14" s="973" t="str">
        <f>IF(Inventário!C15=1,"-",(VLOOKUP(Inventário!C15,Dados!$A$86:$I$125,2)))</f>
        <v>Poço semi artesiano</v>
      </c>
      <c r="H14" s="363">
        <f>Inventário!D15</f>
        <v>0</v>
      </c>
      <c r="I14" s="363">
        <f>Inventário!E15</f>
        <v>1</v>
      </c>
      <c r="J14" s="400">
        <f>Inventário!F15</f>
        <v>5000</v>
      </c>
      <c r="K14" s="363">
        <f>Inventário!G15</f>
        <v>25</v>
      </c>
      <c r="N14" s="375" t="s">
        <v>726</v>
      </c>
      <c r="O14" s="375"/>
      <c r="P14" s="1495">
        <f>'Análise ADM'!C6</f>
        <v>0</v>
      </c>
      <c r="S14" s="790" t="str">
        <f>Rebanho!C35</f>
        <v>Novilhas preenhe</v>
      </c>
      <c r="T14" s="385">
        <f>Rebanho!G58</f>
        <v>0</v>
      </c>
      <c r="U14" s="386">
        <f>Rebanho!E58</f>
        <v>0</v>
      </c>
      <c r="V14" s="387">
        <f>Rebanho!I58</f>
        <v>0</v>
      </c>
      <c r="X14" s="362"/>
      <c r="Z14" s="366"/>
    </row>
    <row r="15" spans="2:27" x14ac:dyDescent="0.2">
      <c r="B15" s="394" t="s">
        <v>366</v>
      </c>
      <c r="C15" s="394"/>
      <c r="D15" s="405">
        <f ca="1">Rebanho!E22</f>
        <v>1.5924838072727143</v>
      </c>
      <c r="G15" s="973" t="str">
        <f>IF(Inventário!C16=1,"-",(VLOOKUP(Inventário!C16,Dados!$A$86:$I$125,2)))</f>
        <v>Estrada</v>
      </c>
      <c r="H15" s="363">
        <f>Inventário!D16</f>
        <v>0</v>
      </c>
      <c r="I15" s="363">
        <f>Inventário!E16</f>
        <v>1</v>
      </c>
      <c r="J15" s="400">
        <f>Inventário!F16</f>
        <v>6000</v>
      </c>
      <c r="K15" s="363">
        <f>Inventário!G16</f>
        <v>1</v>
      </c>
      <c r="N15" s="1496" t="s">
        <v>1317</v>
      </c>
      <c r="P15" s="402">
        <f>'Análise ADM'!C7</f>
        <v>0</v>
      </c>
      <c r="S15" s="790" t="str">
        <f>Rebanho!C36</f>
        <v>Vacas primíparas</v>
      </c>
      <c r="T15" s="385">
        <f>Rebanho!G59</f>
        <v>0</v>
      </c>
      <c r="U15" s="386">
        <f>Rebanho!E59</f>
        <v>0</v>
      </c>
      <c r="V15" s="387">
        <f>Rebanho!I59</f>
        <v>0</v>
      </c>
      <c r="X15" s="358"/>
      <c r="Y15" s="358"/>
      <c r="Z15" s="369"/>
      <c r="AA15" s="362"/>
    </row>
    <row r="16" spans="2:27" ht="13.5" thickBot="1" x14ac:dyDescent="0.25">
      <c r="B16" s="396" t="s">
        <v>850</v>
      </c>
      <c r="C16" s="396"/>
      <c r="D16" s="397">
        <f ca="1">Rebanho!E23</f>
        <v>1.2325824668290808</v>
      </c>
      <c r="G16" s="973" t="str">
        <f>IF(Inventário!C17=1,"-",(VLOOKUP(Inventário!C17,Dados!$A$86:$I$125,2)))</f>
        <v>-</v>
      </c>
      <c r="H16" s="363">
        <f>Inventário!D17</f>
        <v>0</v>
      </c>
      <c r="I16" s="363">
        <f>Inventário!E17</f>
        <v>0</v>
      </c>
      <c r="J16" s="400">
        <f>Inventário!F17</f>
        <v>0</v>
      </c>
      <c r="K16" s="363">
        <f>Inventário!G17</f>
        <v>0</v>
      </c>
      <c r="N16" s="356" t="s">
        <v>1186</v>
      </c>
      <c r="O16" s="356"/>
      <c r="P16" s="1492">
        <f>'Análise ADM'!C8</f>
        <v>0</v>
      </c>
      <c r="S16" s="790" t="str">
        <f>Rebanho!C37</f>
        <v>Vacas multiparas</v>
      </c>
      <c r="T16" s="385">
        <f>Rebanho!G60</f>
        <v>0</v>
      </c>
      <c r="U16" s="386">
        <f>Rebanho!E60</f>
        <v>0</v>
      </c>
      <c r="V16" s="387">
        <f>Rebanho!I60</f>
        <v>0</v>
      </c>
      <c r="X16" s="358"/>
      <c r="Y16" s="358"/>
      <c r="Z16" s="369"/>
    </row>
    <row r="17" spans="2:26" ht="13.5" thickBot="1" x14ac:dyDescent="0.25">
      <c r="B17" s="2776"/>
      <c r="C17" s="2776"/>
      <c r="D17" s="381"/>
      <c r="G17" s="973" t="str">
        <f>IF(Inventário!C18=1,"-",(VLOOKUP(Inventário!C18,Dados!$A$86:$I$125,2)))</f>
        <v>Curral</v>
      </c>
      <c r="H17" s="363" t="str">
        <f>Inventário!D18</f>
        <v>remangas</v>
      </c>
      <c r="I17" s="363">
        <f>Inventário!E18</f>
        <v>3</v>
      </c>
      <c r="J17" s="400">
        <f>Inventário!F18</f>
        <v>20000</v>
      </c>
      <c r="K17" s="363">
        <f>Inventário!G18</f>
        <v>5</v>
      </c>
      <c r="N17" s="978" t="s">
        <v>836</v>
      </c>
      <c r="O17" s="978"/>
      <c r="P17" s="1497">
        <f>SUM(P13:P16)</f>
        <v>1746242.1884112596</v>
      </c>
      <c r="S17" s="790" t="str">
        <f>Rebanho!C38</f>
        <v>Vacas solteiras secas</v>
      </c>
      <c r="T17" s="385">
        <f>Rebanho!G61</f>
        <v>0</v>
      </c>
      <c r="U17" s="386">
        <f>Rebanho!E61</f>
        <v>0</v>
      </c>
      <c r="V17" s="387">
        <f>Rebanho!I61</f>
        <v>0</v>
      </c>
    </row>
    <row r="18" spans="2:26" ht="13.5" thickTop="1" x14ac:dyDescent="0.2">
      <c r="B18" s="2776"/>
      <c r="C18" s="2776"/>
      <c r="D18" s="381"/>
      <c r="G18" s="973" t="str">
        <f>IF(Inventário!C19=1,"-",(VLOOKUP(Inventário!C19,Dados!$A$86:$I$125,2)))</f>
        <v>-</v>
      </c>
      <c r="H18" s="363">
        <f>Inventário!D19</f>
        <v>0</v>
      </c>
      <c r="I18" s="363">
        <f>Inventário!E19</f>
        <v>0</v>
      </c>
      <c r="J18" s="400">
        <f>Inventário!F19</f>
        <v>0</v>
      </c>
      <c r="K18" s="363">
        <f>Inventário!G19</f>
        <v>0</v>
      </c>
      <c r="N18" s="1500" t="s">
        <v>1319</v>
      </c>
      <c r="O18" s="375"/>
      <c r="P18" s="979">
        <f ca="1">P17-P8</f>
        <v>358681.78736633994</v>
      </c>
      <c r="S18" s="790" t="str">
        <f>Rebanho!C39</f>
        <v>Bezerras em aleitamento (Engorda)</v>
      </c>
      <c r="T18" s="385">
        <f>Rebanho!G62</f>
        <v>0</v>
      </c>
      <c r="U18" s="386">
        <f>Rebanho!E62</f>
        <v>0</v>
      </c>
      <c r="V18" s="387">
        <f>Rebanho!I62</f>
        <v>0</v>
      </c>
      <c r="X18" s="358"/>
      <c r="Y18" s="358"/>
      <c r="Z18" s="370"/>
    </row>
    <row r="19" spans="2:26" x14ac:dyDescent="0.2">
      <c r="B19" s="2776"/>
      <c r="C19" s="2776"/>
      <c r="D19" s="382"/>
      <c r="G19" s="973" t="str">
        <f>IF(Inventário!C20=1,"-",(VLOOKUP(Inventário!C20,Dados!$A$86:$I$125,2)))</f>
        <v>-</v>
      </c>
      <c r="H19" s="363">
        <f>Inventário!D20</f>
        <v>0</v>
      </c>
      <c r="I19" s="363">
        <f>Inventário!E20</f>
        <v>0</v>
      </c>
      <c r="J19" s="400">
        <f>Inventário!F20</f>
        <v>0</v>
      </c>
      <c r="K19" s="363">
        <f>Inventário!G20</f>
        <v>0</v>
      </c>
      <c r="N19" s="1500" t="s">
        <v>1320</v>
      </c>
      <c r="O19" s="375"/>
      <c r="P19" s="979">
        <f ca="1">P17-P10</f>
        <v>85680.025921776658</v>
      </c>
      <c r="S19" s="790" t="str">
        <f>Rebanho!C40</f>
        <v>Bezerras desmamadas (Engorda)</v>
      </c>
      <c r="T19" s="385">
        <f>Rebanho!G63</f>
        <v>0</v>
      </c>
      <c r="U19" s="386">
        <f>Rebanho!E63</f>
        <v>0</v>
      </c>
      <c r="V19" s="387">
        <f>Rebanho!I63</f>
        <v>0</v>
      </c>
    </row>
    <row r="20" spans="2:26" ht="13.5" thickBot="1" x14ac:dyDescent="0.25">
      <c r="B20" s="2776"/>
      <c r="C20" s="2776"/>
      <c r="D20" s="383"/>
      <c r="G20" s="973" t="str">
        <f>IF(Inventário!C21=1,"-",(VLOOKUP(Inventário!C21,Dados!$A$86:$I$125,2)))</f>
        <v>-</v>
      </c>
      <c r="H20" s="363">
        <f>Inventário!D21</f>
        <v>0</v>
      </c>
      <c r="I20" s="363">
        <f>Inventário!E21</f>
        <v>0</v>
      </c>
      <c r="J20" s="400">
        <f>Inventário!F21</f>
        <v>0</v>
      </c>
      <c r="K20" s="363">
        <f>Inventário!G21</f>
        <v>0</v>
      </c>
      <c r="N20" s="1491" t="s">
        <v>1321</v>
      </c>
      <c r="O20" s="356"/>
      <c r="P20" s="982">
        <f ca="1">P17-P12</f>
        <v>-505000.57414369145</v>
      </c>
      <c r="S20" s="790" t="str">
        <f>Rebanho!C41</f>
        <v>Novilhas sobreano (Engorda)</v>
      </c>
      <c r="T20" s="385">
        <f>Rebanho!G64</f>
        <v>0</v>
      </c>
      <c r="U20" s="386">
        <f>Rebanho!E64</f>
        <v>0</v>
      </c>
      <c r="V20" s="387">
        <f>Rebanho!I64</f>
        <v>0</v>
      </c>
    </row>
    <row r="21" spans="2:26" ht="13.5" thickBot="1" x14ac:dyDescent="0.25">
      <c r="B21" s="2776"/>
      <c r="C21" s="2776"/>
      <c r="D21" s="383"/>
      <c r="G21" s="973" t="str">
        <f>IF(Inventário!C22=1,"-",(VLOOKUP(Inventário!C22,Dados!$A$86:$I$125,2)))</f>
        <v>-</v>
      </c>
      <c r="H21" s="363">
        <f>Inventário!D22</f>
        <v>0</v>
      </c>
      <c r="I21" s="363">
        <f>Inventário!E22</f>
        <v>0</v>
      </c>
      <c r="J21" s="400">
        <f>Inventário!F22</f>
        <v>0</v>
      </c>
      <c r="K21" s="363">
        <f>Inventário!G22</f>
        <v>0</v>
      </c>
      <c r="S21" s="993" t="str">
        <f>Rebanho!C42</f>
        <v>Vaca (Engorda)</v>
      </c>
      <c r="T21" s="994">
        <f>Rebanho!G65</f>
        <v>0</v>
      </c>
      <c r="U21" s="995">
        <f>Rebanho!E65</f>
        <v>0</v>
      </c>
      <c r="V21" s="996">
        <f>Rebanho!I65</f>
        <v>0</v>
      </c>
    </row>
    <row r="22" spans="2:26" x14ac:dyDescent="0.2">
      <c r="B22" s="2776"/>
      <c r="C22" s="2776"/>
      <c r="G22" s="973" t="str">
        <f>IF(Inventário!C23=1,"-",(VLOOKUP(Inventário!C23,Dados!$A$86:$I$125,2)))</f>
        <v>-</v>
      </c>
      <c r="H22" s="363">
        <f>Inventário!D23</f>
        <v>0</v>
      </c>
      <c r="I22" s="363">
        <f>Inventário!E23</f>
        <v>0</v>
      </c>
      <c r="J22" s="400">
        <f>Inventário!F23</f>
        <v>0</v>
      </c>
      <c r="K22" s="363">
        <f>Inventário!G23</f>
        <v>0</v>
      </c>
      <c r="S22" s="989" t="s">
        <v>2</v>
      </c>
      <c r="T22" s="990"/>
      <c r="U22" s="991"/>
      <c r="V22" s="992">
        <f>SUM(V5:V21)</f>
        <v>2129359.1038907128</v>
      </c>
      <c r="W22" s="1498">
        <f ca="1">V22/V43</f>
        <v>0.1529792871873514</v>
      </c>
    </row>
    <row r="23" spans="2:26" x14ac:dyDescent="0.2">
      <c r="B23" s="2776"/>
      <c r="C23" s="2776"/>
      <c r="G23" s="973" t="str">
        <f>IF(Inventário!C24=1,"-",(VLOOKUP(Inventário!C24,Dados!$A$86:$I$125,2)))</f>
        <v>-</v>
      </c>
      <c r="H23" s="363">
        <f>Inventário!D24</f>
        <v>0</v>
      </c>
      <c r="I23" s="363">
        <f>Inventário!E24</f>
        <v>0</v>
      </c>
      <c r="J23" s="400">
        <f>Inventário!F24</f>
        <v>0</v>
      </c>
      <c r="K23" s="363">
        <f>Inventário!G24</f>
        <v>0</v>
      </c>
      <c r="R23" s="792"/>
      <c r="S23" s="793"/>
      <c r="T23" s="794"/>
      <c r="U23" s="795"/>
      <c r="V23" s="796"/>
      <c r="W23" s="792"/>
    </row>
    <row r="24" spans="2:26" ht="13.5" thickBot="1" x14ac:dyDescent="0.25">
      <c r="B24" s="2780" t="s">
        <v>828</v>
      </c>
      <c r="C24" s="2780"/>
      <c r="D24" s="2780"/>
      <c r="G24" s="973" t="str">
        <f>IF(Inventário!C25=1,"-",(VLOOKUP(Inventário!C25,Dados!$A$86:$I$125,2)))</f>
        <v>-</v>
      </c>
      <c r="H24" s="363">
        <f>Inventário!D25</f>
        <v>0</v>
      </c>
      <c r="I24" s="363">
        <f>Inventário!E25</f>
        <v>0</v>
      </c>
      <c r="J24" s="400">
        <f>Inventário!F25</f>
        <v>0</v>
      </c>
      <c r="K24" s="363">
        <f>Inventário!G25</f>
        <v>0</v>
      </c>
      <c r="R24" s="792"/>
      <c r="W24" s="792"/>
    </row>
    <row r="25" spans="2:26" ht="13.5" thickBot="1" x14ac:dyDescent="0.25">
      <c r="B25" s="1025" t="str">
        <f>'Análise TEC'!B3</f>
        <v>Sistema de produção</v>
      </c>
      <c r="C25" s="1003"/>
      <c r="D25" s="1026" t="str">
        <f>'Análise TEC'!C3</f>
        <v>Engorda</v>
      </c>
      <c r="G25" s="371"/>
      <c r="H25" s="371"/>
      <c r="I25" s="371"/>
      <c r="J25" s="401"/>
      <c r="K25" s="371"/>
      <c r="R25" s="792"/>
      <c r="S25" s="98" t="s">
        <v>837</v>
      </c>
      <c r="T25" s="100"/>
      <c r="U25" s="100"/>
      <c r="V25" s="100"/>
      <c r="W25" s="792"/>
    </row>
    <row r="26" spans="2:26" ht="13.5" thickBot="1" x14ac:dyDescent="0.25">
      <c r="B26" s="1010"/>
      <c r="C26" s="1002"/>
      <c r="D26" s="1001"/>
      <c r="G26" s="2698" t="s">
        <v>22</v>
      </c>
      <c r="H26" s="2698"/>
      <c r="I26" s="2698"/>
      <c r="J26" s="2698"/>
      <c r="K26" s="2698"/>
      <c r="S26" s="372" t="s">
        <v>382</v>
      </c>
      <c r="T26" s="364">
        <f>Rebanho!G70</f>
        <v>3000</v>
      </c>
      <c r="U26" s="1">
        <f>Rebanho!E70</f>
        <v>8</v>
      </c>
      <c r="V26" s="365">
        <f>U26*T26</f>
        <v>24000</v>
      </c>
    </row>
    <row r="27" spans="2:26" ht="13.5" thickBot="1" x14ac:dyDescent="0.25">
      <c r="B27" s="1011" t="str">
        <f>'Análise TEC'!B5</f>
        <v>Área de benfeitorias</v>
      </c>
      <c r="C27" s="1004"/>
      <c r="D27" s="1012">
        <f ca="1">'Análise TEC'!C5</f>
        <v>26</v>
      </c>
      <c r="G27" s="361" t="s">
        <v>335</v>
      </c>
      <c r="H27" s="361" t="s">
        <v>23</v>
      </c>
      <c r="I27" s="361" t="s">
        <v>0</v>
      </c>
      <c r="J27" s="399" t="s">
        <v>336</v>
      </c>
      <c r="K27" s="361" t="s">
        <v>529</v>
      </c>
      <c r="S27" s="999" t="s">
        <v>735</v>
      </c>
      <c r="T27" s="1000">
        <f>Rebanho!G71</f>
        <v>0</v>
      </c>
      <c r="U27" s="997">
        <f>Rebanho!E71</f>
        <v>0</v>
      </c>
      <c r="V27" s="988">
        <f>U27*T27</f>
        <v>0</v>
      </c>
    </row>
    <row r="28" spans="2:26" x14ac:dyDescent="0.2">
      <c r="B28" s="1013" t="str">
        <f>'Análise TEC'!B6</f>
        <v>Área de reserva</v>
      </c>
      <c r="C28" s="1005"/>
      <c r="D28" s="1014">
        <f ca="1">'Análise TEC'!C6</f>
        <v>200</v>
      </c>
      <c r="G28" s="973" t="str">
        <f>IF(Inventário!C33=1,"-",(VLOOKUP(Inventário!C33,Dados!$A$86:$I$125,3)))</f>
        <v>Trator (105 cv)</v>
      </c>
      <c r="H28" s="408">
        <f>Inventário!D33</f>
        <v>0</v>
      </c>
      <c r="I28" s="408">
        <f>Inventário!E33</f>
        <v>1</v>
      </c>
      <c r="J28" s="1041">
        <f>Inventário!F33</f>
        <v>120000</v>
      </c>
      <c r="K28" s="408">
        <f>Inventário!G33</f>
        <v>15</v>
      </c>
      <c r="S28" s="983" t="s">
        <v>2</v>
      </c>
      <c r="T28" s="998"/>
      <c r="U28" s="998"/>
      <c r="V28" s="985">
        <f>SUM(V26:V27)</f>
        <v>24000</v>
      </c>
      <c r="W28" s="1498">
        <f ca="1">V28/V43</f>
        <v>1.7242290817870757E-3</v>
      </c>
    </row>
    <row r="29" spans="2:26" x14ac:dyDescent="0.2">
      <c r="B29" s="1013" t="str">
        <f>'Análise TEC'!B7</f>
        <v>Área de pastagem (perene)</v>
      </c>
      <c r="C29" s="1005"/>
      <c r="D29" s="1014">
        <f ca="1">'Análise TEC'!C7</f>
        <v>774</v>
      </c>
      <c r="G29" s="973" t="str">
        <f>IF(Inventário!C34=1,"-",(VLOOKUP(Inventário!C34,Dados!$A$86:$I$125,3)))</f>
        <v>Trator (65 cv)</v>
      </c>
      <c r="H29" s="408">
        <f>Inventário!D34</f>
        <v>0</v>
      </c>
      <c r="I29" s="408">
        <f>Inventário!E34</f>
        <v>1</v>
      </c>
      <c r="J29" s="1041">
        <f>Inventário!F34</f>
        <v>84500</v>
      </c>
      <c r="K29" s="408">
        <f>Inventário!G34</f>
        <v>15</v>
      </c>
      <c r="S29" s="374"/>
      <c r="T29" s="375"/>
      <c r="U29" s="375"/>
      <c r="V29" s="376"/>
    </row>
    <row r="30" spans="2:26" x14ac:dyDescent="0.2">
      <c r="B30" s="1013" t="str">
        <f>'Análise TEC'!B8</f>
        <v>Área de pastagem (anual)</v>
      </c>
      <c r="C30" s="1005"/>
      <c r="D30" s="1014">
        <f ca="1">'Análise TEC'!C8</f>
        <v>0</v>
      </c>
      <c r="G30" s="973" t="str">
        <f>IF(Inventário!C35=1,"-",(VLOOKUP(Inventário!C35,Dados!$A$86:$I$125,3)))</f>
        <v>-</v>
      </c>
      <c r="H30" s="408">
        <f>Inventário!D35</f>
        <v>0</v>
      </c>
      <c r="I30" s="408">
        <f>Inventário!E35</f>
        <v>0</v>
      </c>
      <c r="J30" s="1041">
        <f>Inventário!F35</f>
        <v>0</v>
      </c>
      <c r="K30" s="408">
        <f>Inventário!G35</f>
        <v>0</v>
      </c>
      <c r="S30" s="98" t="s">
        <v>838</v>
      </c>
      <c r="T30" s="100"/>
      <c r="U30" s="100"/>
      <c r="V30" s="100"/>
    </row>
    <row r="31" spans="2:26" x14ac:dyDescent="0.2">
      <c r="B31" s="1015" t="str">
        <f>'Análise TEC'!B9</f>
        <v>Área de lavoura</v>
      </c>
      <c r="C31" s="1006"/>
      <c r="D31" s="1016">
        <f ca="1">'Análise TEC'!C9</f>
        <v>0</v>
      </c>
      <c r="G31" s="973" t="str">
        <f>IF(Inventário!C36=1,"-",(VLOOKUP(Inventário!C36,Dados!$A$86:$I$125,3)))</f>
        <v>-</v>
      </c>
      <c r="H31" s="408">
        <f>Inventário!D36</f>
        <v>0</v>
      </c>
      <c r="I31" s="408">
        <f>Inventário!E36</f>
        <v>0</v>
      </c>
      <c r="J31" s="1041">
        <f>Inventário!F36</f>
        <v>0</v>
      </c>
      <c r="K31" s="408">
        <f>Inventário!G36</f>
        <v>0</v>
      </c>
      <c r="S31" s="90" t="s">
        <v>537</v>
      </c>
      <c r="T31" s="1"/>
      <c r="U31" s="1"/>
      <c r="V31" s="365">
        <f ca="1">'Análise ADM'!J69</f>
        <v>1295272.1650970203</v>
      </c>
      <c r="W31" s="1499">
        <f ca="1">V31/$V$43</f>
        <v>9.3056080662066373E-2</v>
      </c>
    </row>
    <row r="32" spans="2:26" ht="13.5" thickBot="1" x14ac:dyDescent="0.25">
      <c r="B32" s="1017" t="str">
        <f>'Análise TEC'!B11</f>
        <v>Área total</v>
      </c>
      <c r="C32" s="1007"/>
      <c r="D32" s="1018">
        <f ca="1">'Análise TEC'!C11</f>
        <v>1000</v>
      </c>
      <c r="G32" s="973" t="str">
        <f>IF(Inventário!C37=1,"-",(VLOOKUP(Inventário!C37,Dados!$A$86:$I$125,3)))</f>
        <v>-</v>
      </c>
      <c r="H32" s="408">
        <f>Inventário!D37</f>
        <v>0</v>
      </c>
      <c r="I32" s="408">
        <f>Inventário!E37</f>
        <v>0</v>
      </c>
      <c r="J32" s="1041">
        <f>Inventário!F37</f>
        <v>0</v>
      </c>
      <c r="K32" s="408">
        <f>Inventário!G37</f>
        <v>0</v>
      </c>
      <c r="S32" s="90" t="s">
        <v>22</v>
      </c>
      <c r="T32" s="373"/>
      <c r="U32" s="373"/>
      <c r="V32" s="365">
        <f>'Análise ADM'!J70</f>
        <v>204500</v>
      </c>
      <c r="W32" s="1499">
        <f t="shared" ref="W32:W36" ca="1" si="0">V32/$V$43</f>
        <v>1.4691868634394041E-2</v>
      </c>
    </row>
    <row r="33" spans="2:23" x14ac:dyDescent="0.2">
      <c r="B33" s="1019" t="str">
        <f>'Análise TEC'!B12</f>
        <v>Node piquetes (pastagem perene)</v>
      </c>
      <c r="C33" s="1008"/>
      <c r="D33" s="1020">
        <f ca="1">'Análise TEC'!C12</f>
        <v>40</v>
      </c>
      <c r="G33" s="973" t="str">
        <f>IF(Inventário!C38=1,"-",(VLOOKUP(Inventário!C38,Dados!$A$86:$I$125,3)))</f>
        <v>-</v>
      </c>
      <c r="H33" s="408">
        <f>Inventário!D38</f>
        <v>0</v>
      </c>
      <c r="I33" s="408">
        <f>Inventário!E38</f>
        <v>0</v>
      </c>
      <c r="J33" s="1041">
        <f>Inventário!F38</f>
        <v>0</v>
      </c>
      <c r="K33" s="408">
        <f>Inventário!G38</f>
        <v>0</v>
      </c>
      <c r="S33" s="90" t="s">
        <v>24</v>
      </c>
      <c r="T33" s="58"/>
      <c r="U33" s="58"/>
      <c r="V33" s="365">
        <f>'Análise ADM'!J71</f>
        <v>97000</v>
      </c>
      <c r="W33" s="1499">
        <f t="shared" ca="1" si="0"/>
        <v>6.968759205556097E-3</v>
      </c>
    </row>
    <row r="34" spans="2:23" ht="13.5" thickBot="1" x14ac:dyDescent="0.25">
      <c r="B34" s="1017" t="str">
        <f>'Análise TEC'!B13</f>
        <v>Node piquetes (pastagem anual)</v>
      </c>
      <c r="C34" s="1007"/>
      <c r="D34" s="1021">
        <f ca="1">'Análise TEC'!C13</f>
        <v>0</v>
      </c>
      <c r="G34" s="973" t="str">
        <f>IF(Inventário!C39=1,"-",(VLOOKUP(Inventário!C39,Dados!$A$86:$I$125,3)))</f>
        <v>-</v>
      </c>
      <c r="H34" s="408">
        <f>Inventário!D39</f>
        <v>0</v>
      </c>
      <c r="I34" s="408">
        <f>Inventário!E39</f>
        <v>0</v>
      </c>
      <c r="J34" s="1041">
        <f>Inventário!F39</f>
        <v>0</v>
      </c>
      <c r="K34" s="408">
        <f>Inventário!G39</f>
        <v>0</v>
      </c>
      <c r="S34" s="90" t="s">
        <v>32</v>
      </c>
      <c r="T34" s="58"/>
      <c r="U34" s="58"/>
      <c r="V34" s="365">
        <f>'Análise ADM'!J72</f>
        <v>16960</v>
      </c>
      <c r="W34" s="1499">
        <f t="shared" ca="1" si="0"/>
        <v>1.2184552177962001E-3</v>
      </c>
    </row>
    <row r="35" spans="2:23" ht="13.5" thickBot="1" x14ac:dyDescent="0.25">
      <c r="B35" s="1011" t="str">
        <f>'Análise TEC'!B14</f>
        <v>Área média dos piquetes (pastagem perene)</v>
      </c>
      <c r="C35" s="1004"/>
      <c r="D35" s="1012">
        <f ca="1">'Análise TEC'!C14</f>
        <v>19.350000000000001</v>
      </c>
      <c r="G35" s="973" t="str">
        <f>IF(Inventário!C40=1,"-",(VLOOKUP(Inventário!C40,Dados!$A$86:$I$125,3)))</f>
        <v>-</v>
      </c>
      <c r="H35" s="408">
        <f>Inventário!D40</f>
        <v>0</v>
      </c>
      <c r="I35" s="408">
        <f>Inventário!E40</f>
        <v>0</v>
      </c>
      <c r="J35" s="1041">
        <f>Inventário!F40</f>
        <v>0</v>
      </c>
      <c r="K35" s="408">
        <f>Inventário!G40</f>
        <v>0</v>
      </c>
      <c r="S35" s="986" t="s">
        <v>844</v>
      </c>
      <c r="T35" s="987"/>
      <c r="U35" s="987"/>
      <c r="V35" s="988">
        <f>'Análise ADM'!J73</f>
        <v>101000</v>
      </c>
      <c r="W35" s="1499">
        <f t="shared" ca="1" si="0"/>
        <v>7.256130719187277E-3</v>
      </c>
    </row>
    <row r="36" spans="2:23" ht="13.5" thickBot="1" x14ac:dyDescent="0.25">
      <c r="B36" s="1015" t="str">
        <f>'Análise TEC'!B15</f>
        <v xml:space="preserve">Área média dos piquetes anual </v>
      </c>
      <c r="C36" s="1006"/>
      <c r="D36" s="1016">
        <f ca="1">'Análise TEC'!C15</f>
        <v>0</v>
      </c>
      <c r="G36" s="973" t="str">
        <f>IF(Inventário!C41=1,"-",(VLOOKUP(Inventário!C41,Dados!$A$86:$I$125,3)))</f>
        <v>-</v>
      </c>
      <c r="H36" s="408">
        <f>Inventário!D41</f>
        <v>0</v>
      </c>
      <c r="I36" s="408">
        <f>Inventário!E41</f>
        <v>0</v>
      </c>
      <c r="J36" s="1041">
        <f>Inventário!F41</f>
        <v>0</v>
      </c>
      <c r="K36" s="408">
        <f>Inventário!G41</f>
        <v>0</v>
      </c>
      <c r="S36" s="983" t="s">
        <v>2</v>
      </c>
      <c r="T36" s="984"/>
      <c r="U36" s="984"/>
      <c r="V36" s="985">
        <f ca="1">SUM(V31:V35)</f>
        <v>1714732.1650970203</v>
      </c>
      <c r="W36" s="1498">
        <f t="shared" ca="1" si="0"/>
        <v>0.12319129443899998</v>
      </c>
    </row>
    <row r="37" spans="2:23" ht="13.5" thickBot="1" x14ac:dyDescent="0.25">
      <c r="B37" s="1011" t="str">
        <f>'Análise TEC'!B16</f>
        <v>Média valor de venda da terra nua</v>
      </c>
      <c r="C37" s="1004"/>
      <c r="D37" s="1022">
        <f>'Análise TEC'!C16</f>
        <v>10000</v>
      </c>
      <c r="G37" s="974" t="str">
        <f>IF(Inventário!C42=1,"-",(VLOOKUP(Inventário!C42,Dados!$A$86:$I$125,3)))</f>
        <v>-</v>
      </c>
      <c r="H37" s="407">
        <f>Inventário!D42</f>
        <v>0</v>
      </c>
      <c r="I37" s="407">
        <f>Inventário!E42</f>
        <v>0</v>
      </c>
      <c r="J37" s="1042">
        <f>Inventário!F42</f>
        <v>0</v>
      </c>
      <c r="K37" s="407">
        <f>Inventário!G42</f>
        <v>0</v>
      </c>
      <c r="T37" s="377"/>
      <c r="U37" s="377"/>
    </row>
    <row r="38" spans="2:23" ht="13.5" thickBot="1" x14ac:dyDescent="0.25">
      <c r="B38" s="1023" t="str">
        <f>'Análise TEC'!B17</f>
        <v>Valor de arrendamento</v>
      </c>
      <c r="C38" s="1009"/>
      <c r="D38" s="1024">
        <f ca="1">'Análise TEC'!C17</f>
        <v>459.35404721600162</v>
      </c>
      <c r="G38" s="356"/>
      <c r="H38" s="356"/>
      <c r="I38" s="356"/>
      <c r="J38" s="398"/>
      <c r="K38" s="356"/>
      <c r="S38" s="1" t="s">
        <v>839</v>
      </c>
      <c r="T38" s="1"/>
      <c r="U38" s="1"/>
      <c r="V38" s="365">
        <f>'Análise ADM'!J76</f>
        <v>51172.855200000005</v>
      </c>
      <c r="W38" s="1499">
        <f ca="1">V38/$V$43</f>
        <v>3.6764052139132914E-3</v>
      </c>
    </row>
    <row r="39" spans="2:23" x14ac:dyDescent="0.2">
      <c r="G39" s="2777" t="s">
        <v>24</v>
      </c>
      <c r="H39" s="2777"/>
      <c r="I39" s="2777"/>
      <c r="J39" s="2777"/>
      <c r="K39" s="2777"/>
      <c r="S39" s="1" t="s">
        <v>840</v>
      </c>
      <c r="T39" s="1"/>
      <c r="U39" s="1"/>
      <c r="V39" s="365">
        <f>'Análise ADM'!J75</f>
        <v>0</v>
      </c>
      <c r="W39" s="1499">
        <f t="shared" ref="W39:W41" ca="1" si="1">V39/$V$43</f>
        <v>0</v>
      </c>
    </row>
    <row r="40" spans="2:23" ht="13.5" thickBot="1" x14ac:dyDescent="0.25">
      <c r="G40" s="361" t="s">
        <v>357</v>
      </c>
      <c r="H40" s="361" t="s">
        <v>23</v>
      </c>
      <c r="I40" s="361" t="s">
        <v>0</v>
      </c>
      <c r="J40" s="399" t="s">
        <v>336</v>
      </c>
      <c r="K40" s="361" t="s">
        <v>529</v>
      </c>
      <c r="S40" s="997" t="s">
        <v>824</v>
      </c>
      <c r="T40" s="997"/>
      <c r="U40" s="997"/>
      <c r="V40" s="988">
        <f>Descrição!W23</f>
        <v>10000000</v>
      </c>
      <c r="W40" s="1499">
        <f t="shared" ca="1" si="1"/>
        <v>0.71842878407794819</v>
      </c>
    </row>
    <row r="41" spans="2:23" x14ac:dyDescent="0.2">
      <c r="G41" s="973" t="str">
        <f>IF(Inventário!C52=1,"-",(VLOOKUP(Inventário!C52,Dados!$A$86:$I$125,6)))</f>
        <v>Grade Pesada</v>
      </c>
      <c r="H41" s="363" t="str">
        <f>Inventário!D52</f>
        <v>16 discos 28"</v>
      </c>
      <c r="I41" s="363">
        <f>Inventário!E52</f>
        <v>1</v>
      </c>
      <c r="J41" s="400">
        <f>Inventário!F52</f>
        <v>25000</v>
      </c>
      <c r="K41" s="363">
        <f>Inventário!G52</f>
        <v>20</v>
      </c>
      <c r="S41" s="983" t="s">
        <v>2</v>
      </c>
      <c r="T41" s="984"/>
      <c r="U41" s="984"/>
      <c r="V41" s="985">
        <f>SUM(V38:V40)</f>
        <v>10051172.8552</v>
      </c>
      <c r="W41" s="1498">
        <f t="shared" ca="1" si="1"/>
        <v>0.72210518929186152</v>
      </c>
    </row>
    <row r="42" spans="2:23" x14ac:dyDescent="0.2">
      <c r="G42" s="973" t="str">
        <f>IF(Inventário!C53=1,"-",(VLOOKUP(Inventário!C53,Dados!$A$86:$I$125,6)))</f>
        <v>Grade niveladora</v>
      </c>
      <c r="H42" s="363" t="str">
        <f>Inventário!D53</f>
        <v>28 dicos 22"</v>
      </c>
      <c r="I42" s="363">
        <f>Inventário!E53</f>
        <v>1</v>
      </c>
      <c r="J42" s="400">
        <f>Inventário!F53</f>
        <v>20000</v>
      </c>
      <c r="K42" s="363">
        <f>Inventário!G53</f>
        <v>20</v>
      </c>
    </row>
    <row r="43" spans="2:23" x14ac:dyDescent="0.2">
      <c r="G43" s="973" t="str">
        <f>IF(Inventário!C54=1,"-",(VLOOKUP(Inventário!C54,Dados!$A$86:$I$125,6)))</f>
        <v>Carreta</v>
      </c>
      <c r="H43" s="363" t="str">
        <f>Inventário!D54</f>
        <v>4 rodas 4 t</v>
      </c>
      <c r="I43" s="363">
        <f>Inventário!E54</f>
        <v>1</v>
      </c>
      <c r="J43" s="400">
        <f>Inventário!F54</f>
        <v>12000</v>
      </c>
      <c r="K43" s="363">
        <f>Inventário!G54</f>
        <v>8</v>
      </c>
      <c r="S43" s="378" t="s">
        <v>1318</v>
      </c>
      <c r="T43" s="378"/>
      <c r="U43" s="378"/>
      <c r="V43" s="379">
        <f ca="1">V41+V36+V28+V22</f>
        <v>13919264.124187734</v>
      </c>
    </row>
    <row r="44" spans="2:23" x14ac:dyDescent="0.2">
      <c r="G44" s="973" t="str">
        <f>IF(Inventário!C55=1,"-",(VLOOKUP(Inventário!C55,Dados!$A$86:$I$125,6)))</f>
        <v>Vicon</v>
      </c>
      <c r="H44" s="363" t="str">
        <f>Inventário!D55</f>
        <v>disco</v>
      </c>
      <c r="I44" s="363">
        <f>Inventário!E55</f>
        <v>1</v>
      </c>
      <c r="J44" s="400">
        <f>Inventário!F55</f>
        <v>4000</v>
      </c>
      <c r="K44" s="363">
        <f>Inventário!G55</f>
        <v>8</v>
      </c>
    </row>
    <row r="45" spans="2:23" x14ac:dyDescent="0.2">
      <c r="G45" s="973" t="str">
        <f>IF(Inventário!C56=1,"-",(VLOOKUP(Inventário!C56,Dados!$A$86:$I$125,6)))</f>
        <v>Roçadeira</v>
      </c>
      <c r="H45" s="363" t="str">
        <f>Inventário!D56</f>
        <v>arrasto</v>
      </c>
      <c r="I45" s="363">
        <f>Inventário!E56</f>
        <v>1</v>
      </c>
      <c r="J45" s="400">
        <f>Inventário!F56</f>
        <v>10000</v>
      </c>
      <c r="K45" s="363">
        <f>Inventário!G56</f>
        <v>12</v>
      </c>
    </row>
    <row r="46" spans="2:23" x14ac:dyDescent="0.2">
      <c r="G46" s="973" t="str">
        <f>IF(Inventário!C57=1,"-",(VLOOKUP(Inventário!C57,Dados!$A$86:$I$125,6)))</f>
        <v>Pulverizador (montado no trator)</v>
      </c>
      <c r="H46" s="363" t="str">
        <f>Inventário!D57</f>
        <v>600 l</v>
      </c>
      <c r="I46" s="363">
        <f>Inventário!E57</f>
        <v>1</v>
      </c>
      <c r="J46" s="400">
        <f>Inventário!F57</f>
        <v>13000</v>
      </c>
      <c r="K46" s="363">
        <f>Inventário!G57</f>
        <v>15</v>
      </c>
    </row>
    <row r="47" spans="2:23" x14ac:dyDescent="0.2">
      <c r="G47" s="973" t="str">
        <f>IF(Inventário!C58=1,"-",(VLOOKUP(Inventário!C58,Dados!$A$86:$I$125,6)))</f>
        <v>Broca</v>
      </c>
      <c r="H47" s="363">
        <f>Inventário!D58</f>
        <v>0</v>
      </c>
      <c r="I47" s="363">
        <f>Inventário!E58</f>
        <v>1</v>
      </c>
      <c r="J47" s="400">
        <f>Inventário!F58</f>
        <v>5000</v>
      </c>
      <c r="K47" s="363">
        <f>Inventário!G58</f>
        <v>20</v>
      </c>
    </row>
    <row r="48" spans="2:23" x14ac:dyDescent="0.2">
      <c r="G48" s="973" t="str">
        <f>IF(Inventário!C59=1,"-",(VLOOKUP(Inventário!C59,Dados!$A$86:$I$125,6)))</f>
        <v>Carreta</v>
      </c>
      <c r="H48" s="363" t="str">
        <f>Inventário!D59</f>
        <v>2 toneladas</v>
      </c>
      <c r="I48" s="363">
        <f>Inventário!E59</f>
        <v>1</v>
      </c>
      <c r="J48" s="400">
        <f>Inventário!F59</f>
        <v>8000</v>
      </c>
      <c r="K48" s="363">
        <f>Inventário!G59</f>
        <v>8</v>
      </c>
    </row>
    <row r="49" spans="7:11" x14ac:dyDescent="0.2">
      <c r="G49" s="973" t="str">
        <f>IF(Inventário!C60=1,"-",(VLOOKUP(Inventário!C60,Dados!$A$86:$I$125,6)))</f>
        <v>-</v>
      </c>
      <c r="H49" s="363">
        <f>Inventário!D60</f>
        <v>0</v>
      </c>
      <c r="I49" s="363">
        <f>Inventário!E60</f>
        <v>0</v>
      </c>
      <c r="J49" s="400">
        <f>Inventário!F60</f>
        <v>0</v>
      </c>
      <c r="K49" s="363">
        <f>Inventário!G60</f>
        <v>0</v>
      </c>
    </row>
    <row r="50" spans="7:11" x14ac:dyDescent="0.2">
      <c r="G50" s="973" t="str">
        <f>IF(Inventário!C61=1,"-",(VLOOKUP(Inventário!C61,Dados!$A$86:$I$125,6)))</f>
        <v>-</v>
      </c>
      <c r="H50" s="363">
        <f>Inventário!D61</f>
        <v>0</v>
      </c>
      <c r="I50" s="363">
        <f>Inventário!E61</f>
        <v>0</v>
      </c>
      <c r="J50" s="400">
        <f>Inventário!F61</f>
        <v>0</v>
      </c>
      <c r="K50" s="363">
        <f>Inventário!G61</f>
        <v>0</v>
      </c>
    </row>
    <row r="51" spans="7:11" x14ac:dyDescent="0.2">
      <c r="G51" s="973" t="str">
        <f>IF(Inventário!C62=1,"-",(VLOOKUP(Inventário!C62,Dados!$A$86:$I$125,6)))</f>
        <v>-</v>
      </c>
      <c r="H51" s="363">
        <f>Inventário!D62</f>
        <v>0</v>
      </c>
      <c r="I51" s="363">
        <f>Inventário!E62</f>
        <v>0</v>
      </c>
      <c r="J51" s="400">
        <f>Inventário!F62</f>
        <v>0</v>
      </c>
      <c r="K51" s="363">
        <f>Inventário!G62</f>
        <v>0</v>
      </c>
    </row>
    <row r="52" spans="7:11" x14ac:dyDescent="0.2">
      <c r="G52" s="973" t="str">
        <f>IF(Inventário!C63=1,"-",(VLOOKUP(Inventário!C63,Dados!$A$86:$I$125,6)))</f>
        <v>-</v>
      </c>
      <c r="H52" s="363">
        <f>Inventário!D63</f>
        <v>0</v>
      </c>
      <c r="I52" s="363">
        <f>Inventário!E63</f>
        <v>0</v>
      </c>
      <c r="J52" s="400">
        <f>Inventário!F63</f>
        <v>0</v>
      </c>
      <c r="K52" s="363">
        <f>Inventário!G63</f>
        <v>0</v>
      </c>
    </row>
    <row r="53" spans="7:11" x14ac:dyDescent="0.2">
      <c r="G53" s="973" t="str">
        <f>IF(Inventário!C64=1,"-",(VLOOKUP(Inventário!C64,Dados!$A$86:$I$125,6)))</f>
        <v>-</v>
      </c>
      <c r="H53" s="363">
        <f>Inventário!D64</f>
        <v>0</v>
      </c>
      <c r="I53" s="363">
        <f>Inventário!E64</f>
        <v>0</v>
      </c>
      <c r="J53" s="400">
        <f>Inventário!F64</f>
        <v>0</v>
      </c>
      <c r="K53" s="363">
        <f>Inventário!G64</f>
        <v>0</v>
      </c>
    </row>
    <row r="54" spans="7:11" x14ac:dyDescent="0.2">
      <c r="G54" s="973" t="str">
        <f>IF(Inventário!C65=1,"-",(VLOOKUP(Inventário!C65,Dados!$A$86:$I$125,6)))</f>
        <v>-</v>
      </c>
      <c r="H54" s="363">
        <f>Inventário!D65</f>
        <v>0</v>
      </c>
      <c r="I54" s="363">
        <f>Inventário!E65</f>
        <v>0</v>
      </c>
      <c r="J54" s="400">
        <f>Inventário!F65</f>
        <v>0</v>
      </c>
      <c r="K54" s="363">
        <f>Inventário!G65</f>
        <v>0</v>
      </c>
    </row>
    <row r="55" spans="7:11" x14ac:dyDescent="0.2">
      <c r="G55" s="973" t="str">
        <f>IF(Inventário!C66=1,"-",(VLOOKUP(Inventário!C66,Dados!$A$86:$I$125,6)))</f>
        <v>-</v>
      </c>
      <c r="H55" s="363">
        <f>Inventário!D66</f>
        <v>0</v>
      </c>
      <c r="I55" s="363">
        <f>Inventário!E66</f>
        <v>0</v>
      </c>
      <c r="J55" s="400">
        <f>Inventário!F66</f>
        <v>0</v>
      </c>
      <c r="K55" s="363">
        <f>Inventário!G66</f>
        <v>0</v>
      </c>
    </row>
    <row r="56" spans="7:11" x14ac:dyDescent="0.2">
      <c r="G56" s="973" t="str">
        <f>IF(Inventário!C67=1,"-",(VLOOKUP(Inventário!C67,Dados!$A$86:$I$125,6)))</f>
        <v>-</v>
      </c>
      <c r="H56" s="363">
        <f>Inventário!D67</f>
        <v>0</v>
      </c>
      <c r="I56" s="363">
        <f>Inventário!E67</f>
        <v>0</v>
      </c>
      <c r="J56" s="400">
        <f>Inventário!F67</f>
        <v>0</v>
      </c>
      <c r="K56" s="363">
        <f>Inventário!G67</f>
        <v>0</v>
      </c>
    </row>
    <row r="57" spans="7:11" x14ac:dyDescent="0.2">
      <c r="G57" s="973" t="str">
        <f>IF(Inventário!C68=1,"-",(VLOOKUP(Inventário!C68,Dados!$A$86:$I$125,6)))</f>
        <v>-</v>
      </c>
      <c r="H57" s="363">
        <f>Inventário!D68</f>
        <v>0</v>
      </c>
      <c r="I57" s="363">
        <f>Inventário!E68</f>
        <v>0</v>
      </c>
      <c r="J57" s="400">
        <f>Inventário!F68</f>
        <v>0</v>
      </c>
      <c r="K57" s="363">
        <f>Inventário!G68</f>
        <v>0</v>
      </c>
    </row>
    <row r="58" spans="7:11" x14ac:dyDescent="0.2">
      <c r="G58" s="973" t="str">
        <f>IF(Inventário!C69=1,"-",(VLOOKUP(Inventário!C69,Dados!$A$86:$I$125,6)))</f>
        <v>-</v>
      </c>
      <c r="H58" s="363">
        <f>Inventário!D69</f>
        <v>0</v>
      </c>
      <c r="I58" s="363">
        <f>Inventário!E69</f>
        <v>0</v>
      </c>
      <c r="J58" s="400">
        <f>Inventário!F69</f>
        <v>0</v>
      </c>
      <c r="K58" s="363">
        <f>Inventário!G69</f>
        <v>0</v>
      </c>
    </row>
    <row r="59" spans="7:11" x14ac:dyDescent="0.2">
      <c r="G59" s="973" t="str">
        <f>IF(Inventário!C70=1,"-",(VLOOKUP(Inventário!C70,Dados!$A$86:$I$125,6)))</f>
        <v>-</v>
      </c>
      <c r="H59" s="363">
        <f>Inventário!D70</f>
        <v>0</v>
      </c>
      <c r="I59" s="363">
        <f>Inventário!E70</f>
        <v>0</v>
      </c>
      <c r="J59" s="400">
        <f>Inventário!F70</f>
        <v>0</v>
      </c>
      <c r="K59" s="363">
        <f>Inventário!G70</f>
        <v>0</v>
      </c>
    </row>
    <row r="60" spans="7:11" ht="13.5" thickBot="1" x14ac:dyDescent="0.25">
      <c r="G60" s="973" t="str">
        <f>IF(Inventário!C71=1,"-",(VLOOKUP(Inventário!C71,Dados!$A$86:$I$125,6)))</f>
        <v>-</v>
      </c>
      <c r="H60" s="363">
        <f>Inventário!D71</f>
        <v>0</v>
      </c>
      <c r="I60" s="363">
        <f>Inventário!E71</f>
        <v>0</v>
      </c>
      <c r="J60" s="400">
        <f>Inventário!F71</f>
        <v>0</v>
      </c>
      <c r="K60" s="363">
        <f>Inventário!G71</f>
        <v>0</v>
      </c>
    </row>
    <row r="61" spans="7:11" ht="13.5" thickBot="1" x14ac:dyDescent="0.25">
      <c r="G61" s="371"/>
      <c r="H61" s="371"/>
      <c r="I61" s="371"/>
      <c r="J61" s="401"/>
      <c r="K61" s="371"/>
    </row>
    <row r="62" spans="7:11" x14ac:dyDescent="0.2">
      <c r="G62" s="2698" t="s">
        <v>32</v>
      </c>
      <c r="H62" s="2698"/>
      <c r="I62" s="2698"/>
      <c r="J62" s="2698"/>
      <c r="K62" s="2698"/>
    </row>
    <row r="63" spans="7:11" ht="13.5" thickBot="1" x14ac:dyDescent="0.25">
      <c r="G63" s="361" t="s">
        <v>357</v>
      </c>
      <c r="H63" s="361" t="s">
        <v>23</v>
      </c>
      <c r="I63" s="361" t="s">
        <v>0</v>
      </c>
      <c r="J63" s="399" t="s">
        <v>336</v>
      </c>
      <c r="K63" s="361" t="s">
        <v>1</v>
      </c>
    </row>
    <row r="64" spans="7:11" x14ac:dyDescent="0.2">
      <c r="G64" s="973" t="str">
        <f>IF(Inventário!C80=1,"-",(VLOOKUP(Inventário!C80,Dados!$A$86:$I$125,8)))</f>
        <v>Ferramentas em  geral</v>
      </c>
      <c r="H64" s="363">
        <f>Inventário!D80</f>
        <v>0</v>
      </c>
      <c r="I64" s="363">
        <f>Inventário!E80</f>
        <v>1</v>
      </c>
      <c r="J64" s="400">
        <f>Inventário!F80</f>
        <v>5000</v>
      </c>
      <c r="K64" s="363">
        <f>Inventário!G80</f>
        <v>10</v>
      </c>
    </row>
    <row r="65" spans="7:11" x14ac:dyDescent="0.2">
      <c r="G65" s="973" t="str">
        <f>IF(Inventário!C81=1,"-",(VLOOKUP(Inventário!C81,Dados!$A$86:$I$125,8)))</f>
        <v>Pistola de vacinação</v>
      </c>
      <c r="H65" s="363">
        <f>Inventário!D81</f>
        <v>0</v>
      </c>
      <c r="I65" s="363">
        <f>Inventário!E81</f>
        <v>6</v>
      </c>
      <c r="J65" s="400">
        <f>Inventário!F81</f>
        <v>280</v>
      </c>
      <c r="K65" s="363">
        <f>Inventário!G81</f>
        <v>8</v>
      </c>
    </row>
    <row r="66" spans="7:11" x14ac:dyDescent="0.2">
      <c r="G66" s="973" t="str">
        <f>IF(Inventário!C82=1,"-",(VLOOKUP(Inventário!C82,Dados!$A$86:$I$125,8)))</f>
        <v>Pulverizador Costal</v>
      </c>
      <c r="H66" s="363">
        <f>Inventário!D82</f>
        <v>0</v>
      </c>
      <c r="I66" s="363">
        <f>Inventário!E82</f>
        <v>6</v>
      </c>
      <c r="J66" s="400">
        <f>Inventário!F82</f>
        <v>280</v>
      </c>
      <c r="K66" s="363">
        <f>Inventário!G82</f>
        <v>8</v>
      </c>
    </row>
    <row r="67" spans="7:11" x14ac:dyDescent="0.2">
      <c r="G67" s="973" t="str">
        <f>IF(Inventário!C83=1,"-",(VLOOKUP(Inventário!C83,Dados!$A$86:$I$125,8)))</f>
        <v>Motosserra</v>
      </c>
      <c r="H67" s="363">
        <f>Inventário!D83</f>
        <v>0</v>
      </c>
      <c r="I67" s="363">
        <f>Inventário!E83</f>
        <v>2</v>
      </c>
      <c r="J67" s="400">
        <f>Inventário!F83</f>
        <v>2800</v>
      </c>
      <c r="K67" s="363">
        <f>Inventário!G83</f>
        <v>10</v>
      </c>
    </row>
    <row r="68" spans="7:11" x14ac:dyDescent="0.2">
      <c r="G68" s="973" t="str">
        <f>IF(Inventário!C84=1,"-",(VLOOKUP(Inventário!C84,Dados!$A$86:$I$125,8)))</f>
        <v>Selaria</v>
      </c>
      <c r="H68" s="363">
        <f>Inventário!D84</f>
        <v>0</v>
      </c>
      <c r="I68" s="363">
        <f>Inventário!E84</f>
        <v>6</v>
      </c>
      <c r="J68" s="400">
        <f>Inventário!F84</f>
        <v>500</v>
      </c>
      <c r="K68" s="363">
        <f>Inventário!G84</f>
        <v>2</v>
      </c>
    </row>
    <row r="69" spans="7:11" x14ac:dyDescent="0.2">
      <c r="G69" s="973" t="str">
        <f>IF(Inventário!C85=1,"-",(VLOOKUP(Inventário!C85,Dados!$A$86:$I$125,8)))</f>
        <v>-</v>
      </c>
      <c r="H69" s="363">
        <f>Inventário!D85</f>
        <v>0</v>
      </c>
      <c r="I69" s="363">
        <f>Inventário!E85</f>
        <v>0</v>
      </c>
      <c r="J69" s="400">
        <f>Inventário!F85</f>
        <v>0</v>
      </c>
      <c r="K69" s="363">
        <f>Inventário!G85</f>
        <v>0</v>
      </c>
    </row>
    <row r="70" spans="7:11" x14ac:dyDescent="0.2">
      <c r="G70" s="973" t="str">
        <f>IF(Inventário!C86=1,"-",(VLOOKUP(Inventário!C86,Dados!$A$86:$I$125,8)))</f>
        <v>-</v>
      </c>
      <c r="H70" s="363">
        <f>Inventário!D86</f>
        <v>0</v>
      </c>
      <c r="I70" s="363">
        <f>Inventário!E86</f>
        <v>0</v>
      </c>
      <c r="J70" s="400">
        <f>Inventário!F86</f>
        <v>0</v>
      </c>
      <c r="K70" s="363">
        <f>Inventário!G86</f>
        <v>0</v>
      </c>
    </row>
    <row r="71" spans="7:11" x14ac:dyDescent="0.2">
      <c r="G71" s="973" t="str">
        <f>IF(Inventário!C87=1,"-",(VLOOKUP(Inventário!C87,Dados!$A$86:$I$125,8)))</f>
        <v>-</v>
      </c>
      <c r="H71" s="363">
        <f>Inventário!D87</f>
        <v>0</v>
      </c>
      <c r="I71" s="363">
        <f>Inventário!E87</f>
        <v>0</v>
      </c>
      <c r="J71" s="400">
        <f>Inventário!F87</f>
        <v>0</v>
      </c>
      <c r="K71" s="363">
        <f>Inventário!G87</f>
        <v>0</v>
      </c>
    </row>
    <row r="72" spans="7:11" x14ac:dyDescent="0.2">
      <c r="G72" s="973" t="str">
        <f>IF(Inventário!C88=1,"-",(VLOOKUP(Inventário!C88,Dados!$A$86:$I$125,8)))</f>
        <v>-</v>
      </c>
      <c r="H72" s="363">
        <f>Inventário!D88</f>
        <v>0</v>
      </c>
      <c r="I72" s="363">
        <f>Inventário!E88</f>
        <v>0</v>
      </c>
      <c r="J72" s="400">
        <f>Inventário!F88</f>
        <v>0</v>
      </c>
      <c r="K72" s="363">
        <f>Inventário!G88</f>
        <v>0</v>
      </c>
    </row>
    <row r="73" spans="7:11" x14ac:dyDescent="0.2">
      <c r="G73" s="973" t="str">
        <f>IF(Inventário!C89=1,"-",(VLOOKUP(Inventário!C89,Dados!$A$86:$I$125,8)))</f>
        <v>-</v>
      </c>
      <c r="H73" s="363">
        <f>Inventário!D89</f>
        <v>0</v>
      </c>
      <c r="I73" s="363">
        <f>Inventário!E89</f>
        <v>0</v>
      </c>
      <c r="J73" s="400">
        <f>Inventário!F89</f>
        <v>0</v>
      </c>
      <c r="K73" s="363">
        <f>Inventário!G89</f>
        <v>0</v>
      </c>
    </row>
    <row r="74" spans="7:11" x14ac:dyDescent="0.2">
      <c r="G74" s="973" t="str">
        <f>IF(Inventário!C90=1,"-",(VLOOKUP(Inventário!C90,Dados!$A$86:$I$125,8)))</f>
        <v>-</v>
      </c>
      <c r="H74" s="363">
        <f>Inventário!D90</f>
        <v>0</v>
      </c>
      <c r="I74" s="363">
        <f>Inventário!E90</f>
        <v>0</v>
      </c>
      <c r="J74" s="400">
        <f>Inventário!F90</f>
        <v>0</v>
      </c>
      <c r="K74" s="363">
        <f>Inventário!G90</f>
        <v>0</v>
      </c>
    </row>
    <row r="75" spans="7:11" x14ac:dyDescent="0.2">
      <c r="G75" s="973" t="str">
        <f>IF(Inventário!C91=1,"-",(VLOOKUP(Inventário!C91,Dados!$A$86:$I$125,8)))</f>
        <v>-</v>
      </c>
      <c r="H75" s="363">
        <f>Inventário!D91</f>
        <v>0</v>
      </c>
      <c r="I75" s="363">
        <f>Inventário!E91</f>
        <v>0</v>
      </c>
      <c r="J75" s="400">
        <f>Inventário!F91</f>
        <v>0</v>
      </c>
      <c r="K75" s="363">
        <f>Inventário!G91</f>
        <v>0</v>
      </c>
    </row>
    <row r="76" spans="7:11" x14ac:dyDescent="0.2">
      <c r="G76" s="973" t="str">
        <f>IF(Inventário!C92=1,"-",(VLOOKUP(Inventário!C92,Dados!$A$86:$I$125,8)))</f>
        <v>-</v>
      </c>
      <c r="H76" s="363">
        <f>Inventário!D92</f>
        <v>0</v>
      </c>
      <c r="I76" s="363">
        <f>Inventário!E92</f>
        <v>0</v>
      </c>
      <c r="J76" s="400">
        <f>Inventário!F92</f>
        <v>0</v>
      </c>
      <c r="K76" s="363">
        <f>Inventário!G92</f>
        <v>0</v>
      </c>
    </row>
    <row r="77" spans="7:11" x14ac:dyDescent="0.2">
      <c r="G77" s="973" t="str">
        <f>IF(Inventário!C93=1,"-",(VLOOKUP(Inventário!C93,Dados!$A$86:$I$125,8)))</f>
        <v>-</v>
      </c>
      <c r="H77" s="363">
        <f>Inventário!D93</f>
        <v>0</v>
      </c>
      <c r="I77" s="363">
        <f>Inventário!E93</f>
        <v>0</v>
      </c>
      <c r="J77" s="400">
        <f>Inventário!F93</f>
        <v>0</v>
      </c>
      <c r="K77" s="363">
        <f>Inventário!G93</f>
        <v>0</v>
      </c>
    </row>
    <row r="78" spans="7:11" x14ac:dyDescent="0.2">
      <c r="G78" s="973" t="str">
        <f>IF(Inventário!C94=1,"-",(VLOOKUP(Inventário!C94,Dados!$A$86:$I$125,8)))</f>
        <v>-</v>
      </c>
      <c r="H78" s="363">
        <f>Inventário!D94</f>
        <v>0</v>
      </c>
      <c r="I78" s="363">
        <f>Inventário!E94</f>
        <v>0</v>
      </c>
      <c r="J78" s="400">
        <f>Inventário!F94</f>
        <v>0</v>
      </c>
      <c r="K78" s="363">
        <f>Inventário!G94</f>
        <v>0</v>
      </c>
    </row>
    <row r="79" spans="7:11" x14ac:dyDescent="0.2">
      <c r="G79" s="973" t="str">
        <f>IF(Inventário!C95=1,"-",(VLOOKUP(Inventário!C95,Dados!$A$86:$I$125,8)))</f>
        <v>-</v>
      </c>
      <c r="H79" s="363">
        <f>Inventário!D95</f>
        <v>0</v>
      </c>
      <c r="I79" s="363">
        <f>Inventário!E95</f>
        <v>0</v>
      </c>
      <c r="J79" s="400">
        <f>Inventário!F95</f>
        <v>0</v>
      </c>
      <c r="K79" s="363">
        <f>Inventário!G95</f>
        <v>0</v>
      </c>
    </row>
    <row r="80" spans="7:11" x14ac:dyDescent="0.2">
      <c r="G80" s="973" t="str">
        <f>IF(Inventário!C96=1,"-",(VLOOKUP(Inventário!C96,Dados!$A$86:$I$125,8)))</f>
        <v>-</v>
      </c>
      <c r="H80" s="363">
        <f>Inventário!D96</f>
        <v>0</v>
      </c>
      <c r="I80" s="363">
        <f>Inventário!E96</f>
        <v>0</v>
      </c>
      <c r="J80" s="400">
        <f>Inventário!F96</f>
        <v>0</v>
      </c>
      <c r="K80" s="363">
        <f>Inventário!G96</f>
        <v>0</v>
      </c>
    </row>
    <row r="81" spans="2:12" x14ac:dyDescent="0.2">
      <c r="G81" s="973" t="str">
        <f>IF(Inventário!C97=1,"-",(VLOOKUP(Inventário!C97,Dados!$A$86:$I$125,8)))</f>
        <v>-</v>
      </c>
      <c r="H81" s="363">
        <f>Inventário!D97</f>
        <v>0</v>
      </c>
      <c r="I81" s="363">
        <f>Inventário!E97</f>
        <v>0</v>
      </c>
      <c r="J81" s="400">
        <f>Inventário!F97</f>
        <v>0</v>
      </c>
      <c r="K81" s="363">
        <f>Inventário!G97</f>
        <v>0</v>
      </c>
    </row>
    <row r="82" spans="2:12" x14ac:dyDescent="0.2">
      <c r="G82" s="973" t="str">
        <f>IF(Inventário!C98=1,"-",(VLOOKUP(Inventário!C98,Dados!$A$86:$I$125,8)))</f>
        <v>-</v>
      </c>
      <c r="H82" s="363">
        <f>Inventário!D98</f>
        <v>0</v>
      </c>
      <c r="I82" s="363">
        <f>Inventário!E98</f>
        <v>0</v>
      </c>
      <c r="J82" s="400">
        <f>Inventário!F98</f>
        <v>0</v>
      </c>
      <c r="K82" s="363">
        <f>Inventário!G98</f>
        <v>0</v>
      </c>
    </row>
    <row r="83" spans="2:12" ht="13.5" thickBot="1" x14ac:dyDescent="0.25">
      <c r="G83" s="973" t="str">
        <f>IF(Inventário!C99=1,"-",(VLOOKUP(Inventário!C99,Dados!$A$86:$I$125,8)))</f>
        <v>-</v>
      </c>
      <c r="H83" s="363">
        <f>Inventário!D99</f>
        <v>0</v>
      </c>
      <c r="I83" s="363">
        <f>Inventário!E99</f>
        <v>0</v>
      </c>
      <c r="J83" s="400">
        <f>Inventário!F99</f>
        <v>0</v>
      </c>
      <c r="K83" s="363">
        <f>Inventário!G99</f>
        <v>0</v>
      </c>
    </row>
    <row r="84" spans="2:12" ht="13.5" thickBot="1" x14ac:dyDescent="0.25">
      <c r="G84" s="371"/>
      <c r="H84" s="371"/>
      <c r="I84" s="371"/>
      <c r="J84" s="401"/>
      <c r="K84" s="371"/>
    </row>
    <row r="85" spans="2:12" x14ac:dyDescent="0.2">
      <c r="G85" s="2777" t="s">
        <v>475</v>
      </c>
      <c r="H85" s="2777"/>
      <c r="I85" s="2777"/>
      <c r="J85" s="2777"/>
      <c r="K85" s="2777"/>
    </row>
    <row r="86" spans="2:12" ht="13.5" thickBot="1" x14ac:dyDescent="0.25">
      <c r="G86" s="361" t="s">
        <v>357</v>
      </c>
      <c r="H86" s="361" t="s">
        <v>23</v>
      </c>
      <c r="I86" s="361" t="s">
        <v>0</v>
      </c>
      <c r="J86" s="399" t="s">
        <v>336</v>
      </c>
      <c r="K86" s="361" t="s">
        <v>1</v>
      </c>
    </row>
    <row r="87" spans="2:12" x14ac:dyDescent="0.2">
      <c r="G87" s="975" t="str">
        <f>IF(Inventário!C105=1,"-",(VLOOKUP(Inventário!C105,Dados!$A$86:$I$125,9)))</f>
        <v>Caminhonete</v>
      </c>
      <c r="H87" s="976" t="str">
        <f>Inventário!D105</f>
        <v>hillux</v>
      </c>
      <c r="I87" s="976">
        <f>Inventário!E105</f>
        <v>1</v>
      </c>
      <c r="J87" s="977">
        <f>Inventário!F105</f>
        <v>130000</v>
      </c>
      <c r="K87" s="976">
        <f>Inventário!G105</f>
        <v>15</v>
      </c>
    </row>
    <row r="88" spans="2:12" x14ac:dyDescent="0.2">
      <c r="G88" s="791" t="str">
        <f>IF(Inventário!C106=1,"-",(VLOOKUP(Inventário!C106,Dados!$A$86:$I$125,9)))</f>
        <v>Moto</v>
      </c>
      <c r="H88" s="410">
        <f>Inventário!D106</f>
        <v>0</v>
      </c>
      <c r="I88" s="410">
        <f>Inventário!E106</f>
        <v>1</v>
      </c>
      <c r="J88" s="411">
        <f>Inventário!F106</f>
        <v>10000</v>
      </c>
      <c r="K88" s="410">
        <f>Inventário!G106</f>
        <v>10</v>
      </c>
    </row>
    <row r="89" spans="2:12" x14ac:dyDescent="0.2">
      <c r="G89" s="791" t="str">
        <f>IF(Inventário!C107=1,"-",(VLOOKUP(Inventário!C107,Dados!$A$86:$I$125,9)))</f>
        <v>-</v>
      </c>
      <c r="H89" s="410">
        <f>Inventário!D107</f>
        <v>0</v>
      </c>
      <c r="I89" s="410">
        <f>Inventário!E107</f>
        <v>0</v>
      </c>
      <c r="J89" s="411">
        <f>Inventário!F107</f>
        <v>0</v>
      </c>
      <c r="K89" s="410">
        <f>Inventário!G107</f>
        <v>0</v>
      </c>
    </row>
    <row r="90" spans="2:12" x14ac:dyDescent="0.2">
      <c r="G90" s="791" t="str">
        <f>IF(Inventário!C108=1,"-",(VLOOKUP(Inventário!C108,Dados!$A$86:$I$125,9)))</f>
        <v>-</v>
      </c>
      <c r="H90" s="410">
        <f>Inventário!D108</f>
        <v>0</v>
      </c>
      <c r="I90" s="410">
        <f>Inventário!E108</f>
        <v>0</v>
      </c>
      <c r="J90" s="411">
        <f>Inventário!F108</f>
        <v>0</v>
      </c>
      <c r="K90" s="410">
        <f>Inventário!G108</f>
        <v>0</v>
      </c>
    </row>
    <row r="91" spans="2:12" x14ac:dyDescent="0.2">
      <c r="B91" s="343" t="str">
        <f>'Análise ADM'!B12</f>
        <v>Administrativos, Impostos fixos, energia e juros</v>
      </c>
      <c r="C91" s="403">
        <f ca="1">'Análise ADM'!D12</f>
        <v>2.8148684533362934E-2</v>
      </c>
      <c r="G91" s="791" t="str">
        <f>IF(Inventário!C109=1,"-",(VLOOKUP(Inventário!C109,Dados!$A$86:$I$125,9)))</f>
        <v>-</v>
      </c>
      <c r="H91" s="410">
        <f>Inventário!D109</f>
        <v>0</v>
      </c>
      <c r="I91" s="410">
        <f>Inventário!E109</f>
        <v>0</v>
      </c>
      <c r="J91" s="411">
        <f>Inventário!F109</f>
        <v>0</v>
      </c>
      <c r="K91" s="410">
        <f>Inventário!G109</f>
        <v>0</v>
      </c>
    </row>
    <row r="92" spans="2:12" x14ac:dyDescent="0.2">
      <c r="B92" s="343" t="str">
        <f>'Análise ADM'!B13</f>
        <v>Comercialização (Gastos, Impostos e taxas)</v>
      </c>
      <c r="C92" s="403">
        <f ca="1">'Análise ADM'!D13</f>
        <v>1.8276024788072266E-2</v>
      </c>
      <c r="G92" s="791" t="str">
        <f>IF(Inventário!C110=1,"-",(VLOOKUP(Inventário!C110,Dados!$A$86:$I$125,9)))</f>
        <v>-</v>
      </c>
      <c r="H92" s="410">
        <f>Inventário!D110</f>
        <v>0</v>
      </c>
      <c r="I92" s="410">
        <f>Inventário!E110</f>
        <v>0</v>
      </c>
      <c r="J92" s="411">
        <f>Inventário!F110</f>
        <v>0</v>
      </c>
      <c r="K92" s="410">
        <f>Inventário!G110</f>
        <v>0</v>
      </c>
      <c r="L92" s="375"/>
    </row>
    <row r="93" spans="2:12" ht="13.5" thickBot="1" x14ac:dyDescent="0.25">
      <c r="B93" s="343" t="str">
        <f>'Análise ADM'!B14</f>
        <v>Manutenção - Benfeitorias</v>
      </c>
      <c r="C93" s="403">
        <f ca="1">'Análise ADM'!D14</f>
        <v>1.371644305608239E-3</v>
      </c>
      <c r="G93" s="974" t="str">
        <f>IF(Inventário!C111=1,"-",(VLOOKUP(Inventário!C111,Dados!$A$86:$I$125,9)))</f>
        <v>-</v>
      </c>
      <c r="H93" s="409">
        <f>Inventário!D111</f>
        <v>0</v>
      </c>
      <c r="I93" s="409">
        <f>Inventário!E111</f>
        <v>0</v>
      </c>
      <c r="J93" s="406">
        <f>Inventário!F111</f>
        <v>0</v>
      </c>
      <c r="K93" s="409">
        <f>Inventário!G111</f>
        <v>0</v>
      </c>
    </row>
    <row r="94" spans="2:12" x14ac:dyDescent="0.2">
      <c r="B94" s="343" t="str">
        <f>'Análise ADM'!B15</f>
        <v>Manutenção - Equipamentos</v>
      </c>
      <c r="C94" s="403">
        <f ca="1">'Análise ADM'!D15</f>
        <v>1.0738271277257099E-3</v>
      </c>
    </row>
    <row r="95" spans="2:12" x14ac:dyDescent="0.2">
      <c r="B95" s="343" t="str">
        <f>'Análise ADM'!B16</f>
        <v xml:space="preserve">Manutenção - Utilitários </v>
      </c>
      <c r="C95" s="403">
        <f ca="1">'Análise ADM'!D16</f>
        <v>2.5464356943831149E-3</v>
      </c>
    </row>
    <row r="96" spans="2:12" x14ac:dyDescent="0.2">
      <c r="B96" s="343" t="str">
        <f>'Análise ADM'!B17</f>
        <v>Manutenção - Máquinas (Pastagem)</v>
      </c>
      <c r="C96" s="403">
        <f ca="1">'Análise ADM'!D17</f>
        <v>2.0918008310227333E-3</v>
      </c>
    </row>
    <row r="97" spans="2:3" x14ac:dyDescent="0.2">
      <c r="B97" s="343" t="str">
        <f>'Análise ADM'!B18</f>
        <v>Manutenção - Implementos (Pastagem)</v>
      </c>
      <c r="C97" s="403">
        <f ca="1">'Análise ADM'!D18</f>
        <v>2.8587944690644019E-4</v>
      </c>
    </row>
    <row r="98" spans="2:3" x14ac:dyDescent="0.2">
      <c r="B98" s="343" t="str">
        <f>'Análise ADM'!B19</f>
        <v>Manutenção - Máquinas (Agricultura)</v>
      </c>
      <c r="C98" s="403">
        <f ca="1">'Análise ADM'!D19</f>
        <v>0</v>
      </c>
    </row>
    <row r="99" spans="2:3" x14ac:dyDescent="0.2">
      <c r="B99" s="343" t="str">
        <f>'Análise ADM'!B20</f>
        <v>Manutenção - Implementos (Agricultura)</v>
      </c>
      <c r="C99" s="403">
        <f ca="1">'Análise ADM'!D20</f>
        <v>0</v>
      </c>
    </row>
    <row r="100" spans="2:3" x14ac:dyDescent="0.2">
      <c r="B100" s="343" t="str">
        <f>'Análise ADM'!B21</f>
        <v>Manutenção - Máquinas e Implementos (Suplementação)</v>
      </c>
      <c r="C100" s="403">
        <f ca="1">'Análise ADM'!D21</f>
        <v>7.7706827454480029E-3</v>
      </c>
    </row>
    <row r="101" spans="2:3" x14ac:dyDescent="0.2">
      <c r="B101" s="343" t="str">
        <f>'Análise ADM'!B22</f>
        <v>Manutenção - Máquinas e Implementos (Alimentação)</v>
      </c>
      <c r="C101" s="403">
        <f ca="1">'Análise ADM'!D22</f>
        <v>2.5431325348738917E-3</v>
      </c>
    </row>
    <row r="102" spans="2:3" x14ac:dyDescent="0.2">
      <c r="B102" s="343" t="str">
        <f>'Análise ADM'!B23</f>
        <v>Combustível - Utilitários</v>
      </c>
      <c r="C102" s="403">
        <f ca="1">'Análise ADM'!D23</f>
        <v>1.1692463973303299E-2</v>
      </c>
    </row>
    <row r="103" spans="2:3" x14ac:dyDescent="0.2">
      <c r="B103" s="343" t="str">
        <f>'Análise ADM'!B24</f>
        <v>Combustível - Máquinas (Pastagem)</v>
      </c>
      <c r="C103" s="403">
        <f ca="1">'Análise ADM'!D24</f>
        <v>3.2155162374481456E-3</v>
      </c>
    </row>
    <row r="104" spans="2:3" x14ac:dyDescent="0.2">
      <c r="B104" s="343" t="str">
        <f>'Análise ADM'!B25</f>
        <v>Combustível - Máquinas (Agricultura)</v>
      </c>
      <c r="C104" s="403">
        <f ca="1">'Análise ADM'!D25</f>
        <v>0</v>
      </c>
    </row>
    <row r="105" spans="2:3" x14ac:dyDescent="0.2">
      <c r="B105" s="343" t="str">
        <f>'Análise ADM'!B26</f>
        <v>Combustível - Máquinas (Suplementação)</v>
      </c>
      <c r="C105" s="403">
        <f ca="1">'Análise ADM'!D26</f>
        <v>9.4298597669309064E-3</v>
      </c>
    </row>
    <row r="106" spans="2:3" x14ac:dyDescent="0.2">
      <c r="B106" s="343" t="str">
        <f>'Análise ADM'!B27</f>
        <v>Combustível - Máquinas (Alimentação)</v>
      </c>
      <c r="C106" s="403">
        <f ca="1">'Análise ADM'!D27</f>
        <v>3.086135923722842E-3</v>
      </c>
    </row>
    <row r="107" spans="2:3" x14ac:dyDescent="0.2">
      <c r="B107" s="343" t="str">
        <f>'Análise ADM'!B28</f>
        <v>Insumos (Pastagem)</v>
      </c>
      <c r="C107" s="403">
        <f ca="1">'Análise ADM'!D28</f>
        <v>1.4642605817159133E-2</v>
      </c>
    </row>
    <row r="108" spans="2:3" x14ac:dyDescent="0.2">
      <c r="B108" s="343" t="str">
        <f>'Análise ADM'!B29</f>
        <v>Insumos (Agricultura)</v>
      </c>
      <c r="C108" s="403">
        <f ca="1">'Análise ADM'!D29</f>
        <v>0</v>
      </c>
    </row>
    <row r="109" spans="2:3" x14ac:dyDescent="0.2">
      <c r="B109" s="343" t="str">
        <f>'Análise ADM'!B30</f>
        <v>Mão-de-obra (Pastagem)</v>
      </c>
      <c r="C109" s="403">
        <f ca="1">'Análise ADM'!D30</f>
        <v>0</v>
      </c>
    </row>
    <row r="110" spans="2:3" x14ac:dyDescent="0.2">
      <c r="B110" s="343" t="str">
        <f>'Análise ADM'!B31</f>
        <v>Mão-de-obra (Agricultura)</v>
      </c>
      <c r="C110" s="403">
        <f ca="1">'Análise ADM'!D31</f>
        <v>0</v>
      </c>
    </row>
    <row r="111" spans="2:3" x14ac:dyDescent="0.2">
      <c r="B111" s="343" t="str">
        <f>'Análise ADM'!B32</f>
        <v>Mão-de-obra (Formal)</v>
      </c>
      <c r="C111" s="403">
        <f ca="1">'Análise ADM'!D32</f>
        <v>1.6577408605788456E-2</v>
      </c>
    </row>
    <row r="112" spans="2:3" x14ac:dyDescent="0.2">
      <c r="B112" s="343" t="str">
        <f>'Análise ADM'!B33</f>
        <v>Mão-de-obra (Diarista)</v>
      </c>
      <c r="C112" s="403">
        <f ca="1">'Análise ADM'!D33</f>
        <v>4.8430324149776978E-3</v>
      </c>
    </row>
    <row r="113" spans="2:10" x14ac:dyDescent="0.2">
      <c r="B113" s="343" t="str">
        <f>'Análise ADM'!B34</f>
        <v>Mão-de-obra (Assistência técnica)</v>
      </c>
      <c r="C113" s="403">
        <f ca="1">'Análise ADM'!D34</f>
        <v>0</v>
      </c>
    </row>
    <row r="114" spans="2:10" x14ac:dyDescent="0.2">
      <c r="B114" s="343" t="str">
        <f>'Análise ADM'!B35</f>
        <v>Medicamento - Antibióticos</v>
      </c>
      <c r="C114" s="403">
        <f ca="1">'Análise ADM'!D35</f>
        <v>1.8017233686672983E-4</v>
      </c>
    </row>
    <row r="115" spans="2:10" x14ac:dyDescent="0.2">
      <c r="B115" s="343" t="str">
        <f>'Análise ADM'!B36</f>
        <v>Medicamento - Controle Parasitário</v>
      </c>
      <c r="C115" s="403">
        <f ca="1">'Análise ADM'!D36</f>
        <v>1.3630660098175842E-2</v>
      </c>
    </row>
    <row r="116" spans="2:10" x14ac:dyDescent="0.2">
      <c r="B116" s="343" t="str">
        <f>'Análise ADM'!B37</f>
        <v>Medicamento - Vacinas</v>
      </c>
      <c r="C116" s="403">
        <f ca="1">'Análise ADM'!D37</f>
        <v>6.7643236428471818E-3</v>
      </c>
    </row>
    <row r="117" spans="2:10" x14ac:dyDescent="0.2">
      <c r="B117" s="343" t="str">
        <f>'Análise ADM'!B38</f>
        <v>Medicamentos em geral</v>
      </c>
      <c r="C117" s="403">
        <f ca="1">'Análise ADM'!D38</f>
        <v>9.9455129950434861E-4</v>
      </c>
    </row>
    <row r="118" spans="2:10" x14ac:dyDescent="0.2">
      <c r="B118" s="343" t="str">
        <f>'Análise ADM'!B39</f>
        <v>Material de ordenha</v>
      </c>
      <c r="C118" s="403">
        <f ca="1">'Análise ADM'!D39</f>
        <v>0</v>
      </c>
    </row>
    <row r="119" spans="2:10" x14ac:dyDescent="0.2">
      <c r="B119" s="343" t="str">
        <f>'Análise ADM'!B40</f>
        <v>Identificação</v>
      </c>
      <c r="C119" s="403">
        <f ca="1">'Análise ADM'!D40</f>
        <v>0</v>
      </c>
    </row>
    <row r="120" spans="2:10" x14ac:dyDescent="0.2">
      <c r="B120" s="343" t="str">
        <f>'Análise ADM'!B41</f>
        <v>Inseminação Artificial</v>
      </c>
      <c r="C120" s="403">
        <f ca="1">'Análise ADM'!D41</f>
        <v>0</v>
      </c>
    </row>
    <row r="121" spans="2:10" x14ac:dyDescent="0.2">
      <c r="B121" s="343" t="str">
        <f>'Análise ADM'!B42</f>
        <v>Suplementação Mineral</v>
      </c>
      <c r="C121" s="403">
        <f ca="1">'Análise ADM'!D42</f>
        <v>6.4605235004200165E-2</v>
      </c>
    </row>
    <row r="122" spans="2:10" x14ac:dyDescent="0.2">
      <c r="B122" s="343" t="str">
        <f>'Análise ADM'!B43</f>
        <v>Alimentação</v>
      </c>
      <c r="C122" s="403">
        <f ca="1">'Análise ADM'!D43</f>
        <v>0.15202329710078294</v>
      </c>
    </row>
    <row r="123" spans="2:10" x14ac:dyDescent="0.2">
      <c r="B123" s="343" t="str">
        <f>'Análise ADM'!B44</f>
        <v>Aquisição de animais</v>
      </c>
      <c r="C123" s="403">
        <f ca="1">'Análise ADM'!D44</f>
        <v>0.63420662577088904</v>
      </c>
    </row>
    <row r="124" spans="2:10" x14ac:dyDescent="0.2">
      <c r="B124" s="343"/>
      <c r="C124" s="403"/>
    </row>
    <row r="126" spans="2:10" s="356" customFormat="1" ht="13.5" thickBot="1" x14ac:dyDescent="0.25">
      <c r="J126" s="398"/>
    </row>
    <row r="129" spans="2:16" ht="13.5" thickBot="1" x14ac:dyDescent="0.25"/>
    <row r="130" spans="2:16" ht="13.5" thickBot="1" x14ac:dyDescent="0.25">
      <c r="B130" s="2787" t="s">
        <v>1034</v>
      </c>
      <c r="C130" s="2788"/>
      <c r="D130" s="2789"/>
    </row>
    <row r="131" spans="2:16" ht="13.5" thickBot="1" x14ac:dyDescent="0.25">
      <c r="B131" s="807" t="s">
        <v>357</v>
      </c>
      <c r="C131" s="806" t="s">
        <v>1035</v>
      </c>
      <c r="D131" s="808" t="s">
        <v>456</v>
      </c>
    </row>
    <row r="132" spans="2:16" x14ac:dyDescent="0.2">
      <c r="B132" s="809" t="str">
        <f>'Análise ADM'!K26</f>
        <v>Reposição de Animais</v>
      </c>
      <c r="C132" s="805">
        <f>'Análise ADM'!M26</f>
        <v>880000</v>
      </c>
      <c r="D132" s="810">
        <f ca="1">'Análise ADM'!N26</f>
        <v>0.63420662577088904</v>
      </c>
    </row>
    <row r="133" spans="2:16" x14ac:dyDescent="0.2">
      <c r="B133" s="462" t="str">
        <f>'Análise ADM'!K25</f>
        <v>Alimentação</v>
      </c>
      <c r="C133" s="803">
        <f>'Análise ADM'!M25</f>
        <v>210941.50709333335</v>
      </c>
      <c r="D133" s="811">
        <f ca="1">'Análise ADM'!N25</f>
        <v>0.15202329710078294</v>
      </c>
    </row>
    <row r="134" spans="2:16" x14ac:dyDescent="0.2">
      <c r="B134" s="462" t="str">
        <f>'Análise ADM'!K24</f>
        <v>Suplementação</v>
      </c>
      <c r="C134" s="803">
        <f>'Análise ADM'!M24</f>
        <v>89643.665792029264</v>
      </c>
      <c r="D134" s="811">
        <f ca="1">'Análise ADM'!N24</f>
        <v>6.4605235004200165E-2</v>
      </c>
    </row>
    <row r="135" spans="2:16" x14ac:dyDescent="0.2">
      <c r="B135" s="462" t="str">
        <f>'Análise ADM'!K14</f>
        <v>Administrativos, Impostos fixos, energia e juros</v>
      </c>
      <c r="C135" s="803">
        <f>'Análise ADM'!M14</f>
        <v>39058</v>
      </c>
      <c r="D135" s="811">
        <f ca="1">'Análise ADM'!N14</f>
        <v>2.8148684533362934E-2</v>
      </c>
    </row>
    <row r="136" spans="2:16" x14ac:dyDescent="0.2">
      <c r="B136" s="462" t="str">
        <f>'Análise ADM'!K17</f>
        <v>Combustível</v>
      </c>
      <c r="C136" s="803">
        <f>'Análise ADM'!M17</f>
        <v>38052.422999999995</v>
      </c>
      <c r="D136" s="811">
        <f ca="1">'Análise ADM'!N17</f>
        <v>2.742397590140519E-2</v>
      </c>
    </row>
    <row r="137" spans="2:16" x14ac:dyDescent="0.2">
      <c r="B137" s="462" t="str">
        <f>'Análise ADM'!K22</f>
        <v>Medicamentos, identificação e inseminação</v>
      </c>
      <c r="C137" s="803">
        <f>'Análise ADM'!M22</f>
        <v>29929.271818998521</v>
      </c>
      <c r="D137" s="811">
        <f ca="1">'Análise ADM'!N22</f>
        <v>2.1569707377394103E-2</v>
      </c>
    </row>
    <row r="138" spans="2:16" ht="13.5" thickBot="1" x14ac:dyDescent="0.25">
      <c r="B138" s="462" t="str">
        <f>'Análise ADM'!K15</f>
        <v>Comercialização (gastos, impostos e taxas)</v>
      </c>
      <c r="C138" s="803">
        <f>'Análise ADM'!M15</f>
        <v>25359.088284444446</v>
      </c>
      <c r="D138" s="811">
        <f ca="1">'Análise ADM'!N15</f>
        <v>1.8276024788072266E-2</v>
      </c>
    </row>
    <row r="139" spans="2:16" x14ac:dyDescent="0.2">
      <c r="B139" s="462" t="str">
        <f>'Análise ADM'!K16</f>
        <v>Manutenção (benf, equip, util, maqui, impl)</v>
      </c>
      <c r="C139" s="803">
        <f ca="1">'Análise ADM'!M16</f>
        <v>24536.789322780751</v>
      </c>
      <c r="D139" s="811">
        <f ca="1">'Análise ADM'!N16</f>
        <v>1.7683402685968134E-2</v>
      </c>
      <c r="N139" s="2790" t="s">
        <v>1213</v>
      </c>
      <c r="O139" s="2791"/>
      <c r="P139" s="2792"/>
    </row>
    <row r="140" spans="2:16" x14ac:dyDescent="0.2">
      <c r="B140" s="462" t="str">
        <f>'Análise ADM'!K20</f>
        <v>Mão-de-obra (rebanho)</v>
      </c>
      <c r="C140" s="803">
        <f>'Análise ADM'!M20</f>
        <v>23002.155733333333</v>
      </c>
      <c r="D140" s="811">
        <f ca="1">'Análise ADM'!N20</f>
        <v>1.6577408605788456E-2</v>
      </c>
      <c r="N140" s="1101" t="s">
        <v>1214</v>
      </c>
      <c r="O140" s="1101"/>
      <c r="P140" s="1099">
        <f ca="1">'Análise TEC'!C7+'Análise TEC'!C8</f>
        <v>774</v>
      </c>
    </row>
    <row r="141" spans="2:16" x14ac:dyDescent="0.2">
      <c r="B141" s="462" t="str">
        <f>'Análise ADM'!K18</f>
        <v>Insumos (past e agric)</v>
      </c>
      <c r="C141" s="803">
        <f>'Análise ADM'!M18</f>
        <v>20317.5</v>
      </c>
      <c r="D141" s="811">
        <f ca="1">'Análise ADM'!N18</f>
        <v>1.4642605817159133E-2</v>
      </c>
      <c r="N141" s="1102" t="s">
        <v>1215</v>
      </c>
      <c r="O141" s="1102"/>
      <c r="P141" s="1100">
        <f>'Análise TEC'!C20</f>
        <v>10214.243185840989</v>
      </c>
    </row>
    <row r="142" spans="2:16" ht="13.5" thickBot="1" x14ac:dyDescent="0.25">
      <c r="B142" s="462" t="str">
        <f>'Análise ADM'!K19</f>
        <v>Mão-de-obra (diarista, past, agric)</v>
      </c>
      <c r="C142" s="803">
        <f>'Análise ADM'!M19</f>
        <v>6720</v>
      </c>
      <c r="D142" s="811">
        <f ca="1">'Análise ADM'!N19</f>
        <v>4.8430324149776978E-3</v>
      </c>
      <c r="N142" s="1093"/>
      <c r="O142" s="1103" t="s">
        <v>1217</v>
      </c>
      <c r="P142" s="1103" t="s">
        <v>1216</v>
      </c>
    </row>
    <row r="143" spans="2:16" x14ac:dyDescent="0.2">
      <c r="B143" s="462" t="str">
        <f>'Análise ADM'!K21</f>
        <v>Assist técnica</v>
      </c>
      <c r="C143" s="803">
        <f>'Análise ADM'!M21</f>
        <v>0</v>
      </c>
      <c r="D143" s="811">
        <f ca="1">'Análise ADM'!N21</f>
        <v>0</v>
      </c>
      <c r="N143" s="1089" t="str">
        <f t="shared" ref="N143:N148" si="2">B151</f>
        <v>Efetivos</v>
      </c>
      <c r="O143" s="1105">
        <f ca="1">D151/P140</f>
        <v>1792.7136964404647</v>
      </c>
      <c r="P143" s="1107">
        <f t="shared" ref="P143:P148" ca="1" si="3">D151/$P$141</f>
        <v>135.84563983833473</v>
      </c>
    </row>
    <row r="144" spans="2:16" ht="13.5" thickBot="1" x14ac:dyDescent="0.25">
      <c r="B144" s="812" t="str">
        <f>'Análise ADM'!K23</f>
        <v>Material de ordenha</v>
      </c>
      <c r="C144" s="804">
        <f>'Análise ADM'!M23</f>
        <v>0</v>
      </c>
      <c r="D144" s="813">
        <f ca="1">'Análise ADM'!N23</f>
        <v>0</v>
      </c>
      <c r="N144" s="1089" t="str">
        <f t="shared" si="2"/>
        <v>Depreciações</v>
      </c>
      <c r="O144" s="1105">
        <f ca="1">D152/P140</f>
        <v>352.71545406274328</v>
      </c>
      <c r="P144" s="1107">
        <f t="shared" ca="1" si="3"/>
        <v>26.727556459885257</v>
      </c>
    </row>
    <row r="145" spans="2:16" ht="13.5" thickBot="1" x14ac:dyDescent="0.25">
      <c r="B145" s="814" t="str">
        <f>'Análise ADM'!K27</f>
        <v>COE</v>
      </c>
      <c r="C145" s="815">
        <f ca="1">'Análise ADM'!M27</f>
        <v>1387560.4010449196</v>
      </c>
      <c r="D145" s="816"/>
      <c r="N145" s="1089" t="str">
        <f t="shared" si="2"/>
        <v>Remuneração e Oportunidade</v>
      </c>
      <c r="O145" s="1105">
        <f ca="1">D153/P140</f>
        <v>763.15323005874461</v>
      </c>
      <c r="P145" s="1107">
        <f t="shared" ca="1" si="3"/>
        <v>57.829110715150328</v>
      </c>
    </row>
    <row r="146" spans="2:16" x14ac:dyDescent="0.2">
      <c r="N146" s="1104" t="str">
        <f t="shared" si="2"/>
        <v>Remuneração de Capital</v>
      </c>
      <c r="O146" s="1105">
        <f ca="1">D154/P140</f>
        <v>303.79918284274305</v>
      </c>
      <c r="P146" s="1107">
        <f t="shared" ca="1" si="3"/>
        <v>23.020850712291203</v>
      </c>
    </row>
    <row r="147" spans="2:16" x14ac:dyDescent="0.2">
      <c r="N147" s="1104" t="str">
        <f t="shared" si="2"/>
        <v>Custo de Oportunidade da Terra</v>
      </c>
      <c r="O147" s="1105">
        <f ca="1">D155/P140</f>
        <v>459.35404721600162</v>
      </c>
      <c r="P147" s="1107">
        <f t="shared" ca="1" si="3"/>
        <v>34.808260002859122</v>
      </c>
    </row>
    <row r="148" spans="2:16" ht="13.5" thickBot="1" x14ac:dyDescent="0.25">
      <c r="N148" s="1093" t="str">
        <f t="shared" si="2"/>
        <v>Receita</v>
      </c>
      <c r="O148" s="1106">
        <f ca="1">D156/P140</f>
        <v>2256.12685841248</v>
      </c>
      <c r="P148" s="1108">
        <f t="shared" si="3"/>
        <v>170.96148550994997</v>
      </c>
    </row>
    <row r="149" spans="2:16" ht="13.5" thickBot="1" x14ac:dyDescent="0.25"/>
    <row r="150" spans="2:16" ht="13.5" thickBot="1" x14ac:dyDescent="0.25">
      <c r="B150" s="1084" t="s">
        <v>1038</v>
      </c>
      <c r="C150" s="1085"/>
      <c r="D150" s="1086"/>
    </row>
    <row r="151" spans="2:16" ht="13.5" thickBot="1" x14ac:dyDescent="0.25">
      <c r="B151" s="2785" t="s">
        <v>1037</v>
      </c>
      <c r="C151" s="2786"/>
      <c r="D151" s="817">
        <f ca="1">'Análise ADM'!C45</f>
        <v>1387560.4010449196</v>
      </c>
      <c r="G151" s="2787" t="s">
        <v>1211</v>
      </c>
      <c r="H151" s="2789"/>
      <c r="I151" s="1087"/>
    </row>
    <row r="152" spans="2:16" x14ac:dyDescent="0.2">
      <c r="B152" s="2785" t="s">
        <v>1036</v>
      </c>
      <c r="C152" s="2786"/>
      <c r="D152" s="817">
        <f ca="1">'Análise ADM'!C65</f>
        <v>273001.76144456328</v>
      </c>
      <c r="G152" s="1089" t="str">
        <f>'Análise ADM'!B5</f>
        <v>Receita Venda de Animais</v>
      </c>
      <c r="H152" s="1090">
        <f>'Análise ADM'!C5</f>
        <v>1746242.1884112596</v>
      </c>
      <c r="I152" s="1088"/>
    </row>
    <row r="153" spans="2:16" x14ac:dyDescent="0.2">
      <c r="B153" s="2785" t="s">
        <v>1209</v>
      </c>
      <c r="C153" s="2786"/>
      <c r="D153" s="817">
        <f ca="1">'Análise ADM'!C79</f>
        <v>590680.60006546834</v>
      </c>
      <c r="G153" s="1089" t="str">
        <f>'Análise ADM'!B6</f>
        <v>Receita Leite</v>
      </c>
      <c r="H153" s="1090">
        <f>'Análise ADM'!C6</f>
        <v>0</v>
      </c>
      <c r="I153" s="1088"/>
    </row>
    <row r="154" spans="2:16" x14ac:dyDescent="0.2">
      <c r="B154" s="2784" t="s">
        <v>1212</v>
      </c>
      <c r="C154" s="2784"/>
      <c r="D154" s="1095">
        <f ca="1">SUM('Análise ADM'!C69:C76,'Análise ADM'!C78)</f>
        <v>235140.5675202831</v>
      </c>
      <c r="G154" s="1089" t="str">
        <f>'Análise ADM'!B7</f>
        <v>Receita Agricultura</v>
      </c>
      <c r="H154" s="1090">
        <f>'Análise ADM'!C7</f>
        <v>0</v>
      </c>
      <c r="I154" s="1088"/>
    </row>
    <row r="155" spans="2:16" x14ac:dyDescent="0.2">
      <c r="B155" s="2784" t="str">
        <f>'Análise ADM'!B77</f>
        <v>Custo de Oportunidade da Terra</v>
      </c>
      <c r="C155" s="2784"/>
      <c r="D155" s="1095">
        <f ca="1">'Análise ADM'!C77</f>
        <v>355540.03254518524</v>
      </c>
      <c r="G155" s="1089" t="str">
        <f>'Análise ADM'!B8</f>
        <v>Outras Receitas</v>
      </c>
      <c r="H155" s="1090">
        <f>'Análise ADM'!C8</f>
        <v>0</v>
      </c>
      <c r="I155" s="1088"/>
    </row>
    <row r="156" spans="2:16" ht="13.5" thickBot="1" x14ac:dyDescent="0.25">
      <c r="B156" s="2793" t="s">
        <v>299</v>
      </c>
      <c r="C156" s="2794"/>
      <c r="D156" s="1094">
        <f>'Análise ADM'!C9</f>
        <v>1746242.1884112596</v>
      </c>
      <c r="G156" s="1091" t="str">
        <f>'Análise ADM'!B9</f>
        <v>Receita Total</v>
      </c>
      <c r="H156" s="1092">
        <f>'Análise ADM'!C9</f>
        <v>1746242.1884112596</v>
      </c>
      <c r="I156" s="1088"/>
    </row>
    <row r="163" spans="10:10" x14ac:dyDescent="0.2">
      <c r="J163" s="355"/>
    </row>
    <row r="179" spans="2:4" ht="13.5" thickBot="1" x14ac:dyDescent="0.25"/>
    <row r="180" spans="2:4" x14ac:dyDescent="0.2">
      <c r="B180" s="2781" t="s">
        <v>1191</v>
      </c>
      <c r="C180" s="2782"/>
      <c r="D180" s="2783"/>
    </row>
    <row r="181" spans="2:4" x14ac:dyDescent="0.2">
      <c r="B181" s="2747" t="str">
        <f>VLOOKUP(Rebanho!C79,Rebanho!$B$48:$D$65,2)</f>
        <v>Boi gordo</v>
      </c>
      <c r="C181" s="2748"/>
      <c r="D181" s="929">
        <f>Rebanho!I79</f>
        <v>1746242.1884112596</v>
      </c>
    </row>
    <row r="182" spans="2:4" x14ac:dyDescent="0.2">
      <c r="B182" s="2747">
        <f>VLOOKUP(Rebanho!C80,Rebanho!$B$48:$D$65,2)</f>
        <v>0</v>
      </c>
      <c r="C182" s="2748"/>
      <c r="D182" s="929">
        <f>Rebanho!I80</f>
        <v>0</v>
      </c>
    </row>
    <row r="183" spans="2:4" x14ac:dyDescent="0.2">
      <c r="B183" s="2747">
        <f>VLOOKUP(Rebanho!C81,Rebanho!$B$48:$D$65,2)</f>
        <v>0</v>
      </c>
      <c r="C183" s="2748"/>
      <c r="D183" s="929">
        <f>Rebanho!I81</f>
        <v>0</v>
      </c>
    </row>
    <row r="184" spans="2:4" x14ac:dyDescent="0.2">
      <c r="B184" s="2747">
        <f>VLOOKUP(Rebanho!C82,Rebanho!$B$48:$D$65,2)</f>
        <v>0</v>
      </c>
      <c r="C184" s="2748"/>
      <c r="D184" s="929">
        <f>Rebanho!I82</f>
        <v>0</v>
      </c>
    </row>
    <row r="185" spans="2:4" x14ac:dyDescent="0.2">
      <c r="B185" s="2747">
        <f>VLOOKUP(Rebanho!C83,Rebanho!$B$48:$D$65,2)</f>
        <v>0</v>
      </c>
      <c r="C185" s="2748"/>
      <c r="D185" s="929">
        <f>Rebanho!I83</f>
        <v>0</v>
      </c>
    </row>
    <row r="186" spans="2:4" x14ac:dyDescent="0.2">
      <c r="B186" s="2747">
        <f>VLOOKUP(Rebanho!C84,Rebanho!$B$48:$D$65,2)</f>
        <v>0</v>
      </c>
      <c r="C186" s="2748"/>
      <c r="D186" s="929">
        <f>Rebanho!I84</f>
        <v>0</v>
      </c>
    </row>
    <row r="187" spans="2:4" x14ac:dyDescent="0.2">
      <c r="B187" s="2747">
        <f>VLOOKUP(Rebanho!C85,Rebanho!$B$48:$D$65,2)</f>
        <v>0</v>
      </c>
      <c r="C187" s="2748"/>
      <c r="D187" s="929">
        <f>Rebanho!I85</f>
        <v>0</v>
      </c>
    </row>
    <row r="188" spans="2:4" x14ac:dyDescent="0.2">
      <c r="B188" s="2747">
        <f>VLOOKUP(Rebanho!C86,Rebanho!$B$48:$D$65,2)</f>
        <v>0</v>
      </c>
      <c r="C188" s="2748"/>
      <c r="D188" s="929">
        <f>Rebanho!I86</f>
        <v>0</v>
      </c>
    </row>
    <row r="189" spans="2:4" x14ac:dyDescent="0.2">
      <c r="B189" s="2747">
        <f>VLOOKUP(Rebanho!C87,Rebanho!$B$48:$D$65,2)</f>
        <v>0</v>
      </c>
      <c r="C189" s="2748"/>
      <c r="D189" s="929">
        <f>Rebanho!I87</f>
        <v>0</v>
      </c>
    </row>
    <row r="190" spans="2:4" x14ac:dyDescent="0.2">
      <c r="B190" s="2747" t="str">
        <f>VLOOKUP(Rebanho!C88,Rebanho!$B$48:$D$65,2)</f>
        <v>Touro</v>
      </c>
      <c r="C190" s="2748"/>
      <c r="D190" s="929">
        <f>Rebanho!I88</f>
        <v>0</v>
      </c>
    </row>
    <row r="191" spans="2:4" ht="13.5" thickBot="1" x14ac:dyDescent="0.25">
      <c r="B191" s="2797" t="str">
        <f>VLOOKUP(Rebanho!C89,Rebanho!$B$48:$D$65,2)</f>
        <v>Vacas solteiras secas</v>
      </c>
      <c r="C191" s="2798"/>
      <c r="D191" s="930">
        <f>Rebanho!I89</f>
        <v>0</v>
      </c>
    </row>
    <row r="192" spans="2:4" ht="13.5" thickBot="1" x14ac:dyDescent="0.25">
      <c r="B192" s="2795" t="s">
        <v>77</v>
      </c>
      <c r="C192" s="2796"/>
      <c r="D192" s="928">
        <f>SUM(D181:D191)</f>
        <v>1746242.1884112596</v>
      </c>
    </row>
  </sheetData>
  <autoFilter ref="B131:D131">
    <sortState ref="B132:D145">
      <sortCondition descending="1" ref="D131"/>
    </sortState>
  </autoFilter>
  <mergeCells count="38">
    <mergeCell ref="B185:C185"/>
    <mergeCell ref="B192:C192"/>
    <mergeCell ref="B186:C186"/>
    <mergeCell ref="B187:C187"/>
    <mergeCell ref="B188:C188"/>
    <mergeCell ref="B189:C189"/>
    <mergeCell ref="B190:C190"/>
    <mergeCell ref="B191:C191"/>
    <mergeCell ref="N5:O5"/>
    <mergeCell ref="G39:K39"/>
    <mergeCell ref="B183:C183"/>
    <mergeCell ref="B184:C184"/>
    <mergeCell ref="B182:C182"/>
    <mergeCell ref="B180:D180"/>
    <mergeCell ref="B181:C181"/>
    <mergeCell ref="B154:C154"/>
    <mergeCell ref="B153:C153"/>
    <mergeCell ref="B152:C152"/>
    <mergeCell ref="B130:D130"/>
    <mergeCell ref="N139:P139"/>
    <mergeCell ref="B156:C156"/>
    <mergeCell ref="B151:C151"/>
    <mergeCell ref="B155:C155"/>
    <mergeCell ref="G151:H151"/>
    <mergeCell ref="G1:K1"/>
    <mergeCell ref="G62:K62"/>
    <mergeCell ref="B21:C21"/>
    <mergeCell ref="B22:C22"/>
    <mergeCell ref="G85:K85"/>
    <mergeCell ref="B3:C3"/>
    <mergeCell ref="G3:K3"/>
    <mergeCell ref="B18:C18"/>
    <mergeCell ref="B17:C17"/>
    <mergeCell ref="G26:K26"/>
    <mergeCell ref="B19:C19"/>
    <mergeCell ref="B20:C20"/>
    <mergeCell ref="B23:C23"/>
    <mergeCell ref="B24:D24"/>
  </mergeCells>
  <phoneticPr fontId="35" type="noConversion"/>
  <conditionalFormatting sqref="B17:C23 B4:C15">
    <cfRule type="expression" dxfId="11" priority="34" stopIfTrue="1">
      <formula>$BX$6=4</formula>
    </cfRule>
    <cfRule type="expression" dxfId="10" priority="35" stopIfTrue="1">
      <formula>$BX$6=5</formula>
    </cfRule>
    <cfRule type="expression" dxfId="9" priority="36" stopIfTrue="1">
      <formula>$BX$6=6</formula>
    </cfRule>
  </conditionalFormatting>
  <conditionalFormatting sqref="B13:C13 B8:C9">
    <cfRule type="expression" dxfId="8" priority="31" stopIfTrue="1">
      <formula>$BX$6=1</formula>
    </cfRule>
    <cfRule type="expression" dxfId="7" priority="32" stopIfTrue="1">
      <formula>$BX$6=2</formula>
    </cfRule>
    <cfRule type="expression" dxfId="6" priority="33" stopIfTrue="1">
      <formula>$BX$6=3</formula>
    </cfRule>
  </conditionalFormatting>
  <conditionalFormatting sqref="B11:C12">
    <cfRule type="expression" dxfId="5" priority="28" stopIfTrue="1">
      <formula>$BX$6=8</formula>
    </cfRule>
    <cfRule type="expression" dxfId="4" priority="29" stopIfTrue="1">
      <formula>$BX$6=4</formula>
    </cfRule>
    <cfRule type="expression" dxfId="3" priority="30" stopIfTrue="1">
      <formula>$BX$6=5</formula>
    </cfRule>
  </conditionalFormatting>
  <conditionalFormatting sqref="D34:D38 D25 D27:D32">
    <cfRule type="expression" dxfId="2" priority="2" stopIfTrue="1">
      <formula>#REF!=7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>
    <tabColor theme="1" tint="4.9989318521683403E-2"/>
  </sheetPr>
  <dimension ref="A1:FA135"/>
  <sheetViews>
    <sheetView topLeftCell="A48" zoomScale="80" zoomScaleNormal="80" workbookViewId="0">
      <selection activeCell="B90" sqref="B90"/>
    </sheetView>
  </sheetViews>
  <sheetFormatPr defaultRowHeight="12.75" outlineLevelRow="1" x14ac:dyDescent="0.2"/>
  <cols>
    <col min="1" max="1" width="40.5703125" customWidth="1"/>
    <col min="2" max="2" width="18.85546875" bestFit="1" customWidth="1"/>
    <col min="3" max="10" width="17" bestFit="1" customWidth="1"/>
    <col min="11" max="16" width="17" style="1590" bestFit="1" customWidth="1"/>
    <col min="17" max="17" width="17" style="1585" bestFit="1" customWidth="1"/>
    <col min="18" max="22" width="17" style="1590" bestFit="1" customWidth="1"/>
    <col min="23" max="145" width="9.140625" style="1590"/>
    <col min="146" max="157" width="9.140625" style="1591"/>
    <col min="256" max="256" width="40.5703125" customWidth="1"/>
    <col min="257" max="257" width="17.7109375" bestFit="1" customWidth="1"/>
    <col min="258" max="278" width="17" bestFit="1" customWidth="1"/>
    <col min="512" max="512" width="40.5703125" customWidth="1"/>
    <col min="513" max="513" width="17.7109375" bestFit="1" customWidth="1"/>
    <col min="514" max="534" width="17" bestFit="1" customWidth="1"/>
    <col min="768" max="768" width="40.5703125" customWidth="1"/>
    <col min="769" max="769" width="17.7109375" bestFit="1" customWidth="1"/>
    <col min="770" max="790" width="17" bestFit="1" customWidth="1"/>
    <col min="1024" max="1024" width="40.5703125" customWidth="1"/>
    <col min="1025" max="1025" width="17.7109375" bestFit="1" customWidth="1"/>
    <col min="1026" max="1046" width="17" bestFit="1" customWidth="1"/>
    <col min="1280" max="1280" width="40.5703125" customWidth="1"/>
    <col min="1281" max="1281" width="17.7109375" bestFit="1" customWidth="1"/>
    <col min="1282" max="1302" width="17" bestFit="1" customWidth="1"/>
    <col min="1536" max="1536" width="40.5703125" customWidth="1"/>
    <col min="1537" max="1537" width="17.7109375" bestFit="1" customWidth="1"/>
    <col min="1538" max="1558" width="17" bestFit="1" customWidth="1"/>
    <col min="1792" max="1792" width="40.5703125" customWidth="1"/>
    <col min="1793" max="1793" width="17.7109375" bestFit="1" customWidth="1"/>
    <col min="1794" max="1814" width="17" bestFit="1" customWidth="1"/>
    <col min="2048" max="2048" width="40.5703125" customWidth="1"/>
    <col min="2049" max="2049" width="17.7109375" bestFit="1" customWidth="1"/>
    <col min="2050" max="2070" width="17" bestFit="1" customWidth="1"/>
    <col min="2304" max="2304" width="40.5703125" customWidth="1"/>
    <col min="2305" max="2305" width="17.7109375" bestFit="1" customWidth="1"/>
    <col min="2306" max="2326" width="17" bestFit="1" customWidth="1"/>
    <col min="2560" max="2560" width="40.5703125" customWidth="1"/>
    <col min="2561" max="2561" width="17.7109375" bestFit="1" customWidth="1"/>
    <col min="2562" max="2582" width="17" bestFit="1" customWidth="1"/>
    <col min="2816" max="2816" width="40.5703125" customWidth="1"/>
    <col min="2817" max="2817" width="17.7109375" bestFit="1" customWidth="1"/>
    <col min="2818" max="2838" width="17" bestFit="1" customWidth="1"/>
    <col min="3072" max="3072" width="40.5703125" customWidth="1"/>
    <col min="3073" max="3073" width="17.7109375" bestFit="1" customWidth="1"/>
    <col min="3074" max="3094" width="17" bestFit="1" customWidth="1"/>
    <col min="3328" max="3328" width="40.5703125" customWidth="1"/>
    <col min="3329" max="3329" width="17.7109375" bestFit="1" customWidth="1"/>
    <col min="3330" max="3350" width="17" bestFit="1" customWidth="1"/>
    <col min="3584" max="3584" width="40.5703125" customWidth="1"/>
    <col min="3585" max="3585" width="17.7109375" bestFit="1" customWidth="1"/>
    <col min="3586" max="3606" width="17" bestFit="1" customWidth="1"/>
    <col min="3840" max="3840" width="40.5703125" customWidth="1"/>
    <col min="3841" max="3841" width="17.7109375" bestFit="1" customWidth="1"/>
    <col min="3842" max="3862" width="17" bestFit="1" customWidth="1"/>
    <col min="4096" max="4096" width="40.5703125" customWidth="1"/>
    <col min="4097" max="4097" width="17.7109375" bestFit="1" customWidth="1"/>
    <col min="4098" max="4118" width="17" bestFit="1" customWidth="1"/>
    <col min="4352" max="4352" width="40.5703125" customWidth="1"/>
    <col min="4353" max="4353" width="17.7109375" bestFit="1" customWidth="1"/>
    <col min="4354" max="4374" width="17" bestFit="1" customWidth="1"/>
    <col min="4608" max="4608" width="40.5703125" customWidth="1"/>
    <col min="4609" max="4609" width="17.7109375" bestFit="1" customWidth="1"/>
    <col min="4610" max="4630" width="17" bestFit="1" customWidth="1"/>
    <col min="4864" max="4864" width="40.5703125" customWidth="1"/>
    <col min="4865" max="4865" width="17.7109375" bestFit="1" customWidth="1"/>
    <col min="4866" max="4886" width="17" bestFit="1" customWidth="1"/>
    <col min="5120" max="5120" width="40.5703125" customWidth="1"/>
    <col min="5121" max="5121" width="17.7109375" bestFit="1" customWidth="1"/>
    <col min="5122" max="5142" width="17" bestFit="1" customWidth="1"/>
    <col min="5376" max="5376" width="40.5703125" customWidth="1"/>
    <col min="5377" max="5377" width="17.7109375" bestFit="1" customWidth="1"/>
    <col min="5378" max="5398" width="17" bestFit="1" customWidth="1"/>
    <col min="5632" max="5632" width="40.5703125" customWidth="1"/>
    <col min="5633" max="5633" width="17.7109375" bestFit="1" customWidth="1"/>
    <col min="5634" max="5654" width="17" bestFit="1" customWidth="1"/>
    <col min="5888" max="5888" width="40.5703125" customWidth="1"/>
    <col min="5889" max="5889" width="17.7109375" bestFit="1" customWidth="1"/>
    <col min="5890" max="5910" width="17" bestFit="1" customWidth="1"/>
    <col min="6144" max="6144" width="40.5703125" customWidth="1"/>
    <col min="6145" max="6145" width="17.7109375" bestFit="1" customWidth="1"/>
    <col min="6146" max="6166" width="17" bestFit="1" customWidth="1"/>
    <col min="6400" max="6400" width="40.5703125" customWidth="1"/>
    <col min="6401" max="6401" width="17.7109375" bestFit="1" customWidth="1"/>
    <col min="6402" max="6422" width="17" bestFit="1" customWidth="1"/>
    <col min="6656" max="6656" width="40.5703125" customWidth="1"/>
    <col min="6657" max="6657" width="17.7109375" bestFit="1" customWidth="1"/>
    <col min="6658" max="6678" width="17" bestFit="1" customWidth="1"/>
    <col min="6912" max="6912" width="40.5703125" customWidth="1"/>
    <col min="6913" max="6913" width="17.7109375" bestFit="1" customWidth="1"/>
    <col min="6914" max="6934" width="17" bestFit="1" customWidth="1"/>
    <col min="7168" max="7168" width="40.5703125" customWidth="1"/>
    <col min="7169" max="7169" width="17.7109375" bestFit="1" customWidth="1"/>
    <col min="7170" max="7190" width="17" bestFit="1" customWidth="1"/>
    <col min="7424" max="7424" width="40.5703125" customWidth="1"/>
    <col min="7425" max="7425" width="17.7109375" bestFit="1" customWidth="1"/>
    <col min="7426" max="7446" width="17" bestFit="1" customWidth="1"/>
    <col min="7680" max="7680" width="40.5703125" customWidth="1"/>
    <col min="7681" max="7681" width="17.7109375" bestFit="1" customWidth="1"/>
    <col min="7682" max="7702" width="17" bestFit="1" customWidth="1"/>
    <col min="7936" max="7936" width="40.5703125" customWidth="1"/>
    <col min="7937" max="7937" width="17.7109375" bestFit="1" customWidth="1"/>
    <col min="7938" max="7958" width="17" bestFit="1" customWidth="1"/>
    <col min="8192" max="8192" width="40.5703125" customWidth="1"/>
    <col min="8193" max="8193" width="17.7109375" bestFit="1" customWidth="1"/>
    <col min="8194" max="8214" width="17" bestFit="1" customWidth="1"/>
    <col min="8448" max="8448" width="40.5703125" customWidth="1"/>
    <col min="8449" max="8449" width="17.7109375" bestFit="1" customWidth="1"/>
    <col min="8450" max="8470" width="17" bestFit="1" customWidth="1"/>
    <col min="8704" max="8704" width="40.5703125" customWidth="1"/>
    <col min="8705" max="8705" width="17.7109375" bestFit="1" customWidth="1"/>
    <col min="8706" max="8726" width="17" bestFit="1" customWidth="1"/>
    <col min="8960" max="8960" width="40.5703125" customWidth="1"/>
    <col min="8961" max="8961" width="17.7109375" bestFit="1" customWidth="1"/>
    <col min="8962" max="8982" width="17" bestFit="1" customWidth="1"/>
    <col min="9216" max="9216" width="40.5703125" customWidth="1"/>
    <col min="9217" max="9217" width="17.7109375" bestFit="1" customWidth="1"/>
    <col min="9218" max="9238" width="17" bestFit="1" customWidth="1"/>
    <col min="9472" max="9472" width="40.5703125" customWidth="1"/>
    <col min="9473" max="9473" width="17.7109375" bestFit="1" customWidth="1"/>
    <col min="9474" max="9494" width="17" bestFit="1" customWidth="1"/>
    <col min="9728" max="9728" width="40.5703125" customWidth="1"/>
    <col min="9729" max="9729" width="17.7109375" bestFit="1" customWidth="1"/>
    <col min="9730" max="9750" width="17" bestFit="1" customWidth="1"/>
    <col min="9984" max="9984" width="40.5703125" customWidth="1"/>
    <col min="9985" max="9985" width="17.7109375" bestFit="1" customWidth="1"/>
    <col min="9986" max="10006" width="17" bestFit="1" customWidth="1"/>
    <col min="10240" max="10240" width="40.5703125" customWidth="1"/>
    <col min="10241" max="10241" width="17.7109375" bestFit="1" customWidth="1"/>
    <col min="10242" max="10262" width="17" bestFit="1" customWidth="1"/>
    <col min="10496" max="10496" width="40.5703125" customWidth="1"/>
    <col min="10497" max="10497" width="17.7109375" bestFit="1" customWidth="1"/>
    <col min="10498" max="10518" width="17" bestFit="1" customWidth="1"/>
    <col min="10752" max="10752" width="40.5703125" customWidth="1"/>
    <col min="10753" max="10753" width="17.7109375" bestFit="1" customWidth="1"/>
    <col min="10754" max="10774" width="17" bestFit="1" customWidth="1"/>
    <col min="11008" max="11008" width="40.5703125" customWidth="1"/>
    <col min="11009" max="11009" width="17.7109375" bestFit="1" customWidth="1"/>
    <col min="11010" max="11030" width="17" bestFit="1" customWidth="1"/>
    <col min="11264" max="11264" width="40.5703125" customWidth="1"/>
    <col min="11265" max="11265" width="17.7109375" bestFit="1" customWidth="1"/>
    <col min="11266" max="11286" width="17" bestFit="1" customWidth="1"/>
    <col min="11520" max="11520" width="40.5703125" customWidth="1"/>
    <col min="11521" max="11521" width="17.7109375" bestFit="1" customWidth="1"/>
    <col min="11522" max="11542" width="17" bestFit="1" customWidth="1"/>
    <col min="11776" max="11776" width="40.5703125" customWidth="1"/>
    <col min="11777" max="11777" width="17.7109375" bestFit="1" customWidth="1"/>
    <col min="11778" max="11798" width="17" bestFit="1" customWidth="1"/>
    <col min="12032" max="12032" width="40.5703125" customWidth="1"/>
    <col min="12033" max="12033" width="17.7109375" bestFit="1" customWidth="1"/>
    <col min="12034" max="12054" width="17" bestFit="1" customWidth="1"/>
    <col min="12288" max="12288" width="40.5703125" customWidth="1"/>
    <col min="12289" max="12289" width="17.7109375" bestFit="1" customWidth="1"/>
    <col min="12290" max="12310" width="17" bestFit="1" customWidth="1"/>
    <col min="12544" max="12544" width="40.5703125" customWidth="1"/>
    <col min="12545" max="12545" width="17.7109375" bestFit="1" customWidth="1"/>
    <col min="12546" max="12566" width="17" bestFit="1" customWidth="1"/>
    <col min="12800" max="12800" width="40.5703125" customWidth="1"/>
    <col min="12801" max="12801" width="17.7109375" bestFit="1" customWidth="1"/>
    <col min="12802" max="12822" width="17" bestFit="1" customWidth="1"/>
    <col min="13056" max="13056" width="40.5703125" customWidth="1"/>
    <col min="13057" max="13057" width="17.7109375" bestFit="1" customWidth="1"/>
    <col min="13058" max="13078" width="17" bestFit="1" customWidth="1"/>
    <col min="13312" max="13312" width="40.5703125" customWidth="1"/>
    <col min="13313" max="13313" width="17.7109375" bestFit="1" customWidth="1"/>
    <col min="13314" max="13334" width="17" bestFit="1" customWidth="1"/>
    <col min="13568" max="13568" width="40.5703125" customWidth="1"/>
    <col min="13569" max="13569" width="17.7109375" bestFit="1" customWidth="1"/>
    <col min="13570" max="13590" width="17" bestFit="1" customWidth="1"/>
    <col min="13824" max="13824" width="40.5703125" customWidth="1"/>
    <col min="13825" max="13825" width="17.7109375" bestFit="1" customWidth="1"/>
    <col min="13826" max="13846" width="17" bestFit="1" customWidth="1"/>
    <col min="14080" max="14080" width="40.5703125" customWidth="1"/>
    <col min="14081" max="14081" width="17.7109375" bestFit="1" customWidth="1"/>
    <col min="14082" max="14102" width="17" bestFit="1" customWidth="1"/>
    <col min="14336" max="14336" width="40.5703125" customWidth="1"/>
    <col min="14337" max="14337" width="17.7109375" bestFit="1" customWidth="1"/>
    <col min="14338" max="14358" width="17" bestFit="1" customWidth="1"/>
    <col min="14592" max="14592" width="40.5703125" customWidth="1"/>
    <col min="14593" max="14593" width="17.7109375" bestFit="1" customWidth="1"/>
    <col min="14594" max="14614" width="17" bestFit="1" customWidth="1"/>
    <col min="14848" max="14848" width="40.5703125" customWidth="1"/>
    <col min="14849" max="14849" width="17.7109375" bestFit="1" customWidth="1"/>
    <col min="14850" max="14870" width="17" bestFit="1" customWidth="1"/>
    <col min="15104" max="15104" width="40.5703125" customWidth="1"/>
    <col min="15105" max="15105" width="17.7109375" bestFit="1" customWidth="1"/>
    <col min="15106" max="15126" width="17" bestFit="1" customWidth="1"/>
    <col min="15360" max="15360" width="40.5703125" customWidth="1"/>
    <col min="15361" max="15361" width="17.7109375" bestFit="1" customWidth="1"/>
    <col min="15362" max="15382" width="17" bestFit="1" customWidth="1"/>
    <col min="15616" max="15616" width="40.5703125" customWidth="1"/>
    <col min="15617" max="15617" width="17.7109375" bestFit="1" customWidth="1"/>
    <col min="15618" max="15638" width="17" bestFit="1" customWidth="1"/>
    <col min="15872" max="15872" width="40.5703125" customWidth="1"/>
    <col min="15873" max="15873" width="17.7109375" bestFit="1" customWidth="1"/>
    <col min="15874" max="15894" width="17" bestFit="1" customWidth="1"/>
    <col min="16128" max="16128" width="40.5703125" customWidth="1"/>
    <col min="16129" max="16129" width="17.7109375" bestFit="1" customWidth="1"/>
    <col min="16130" max="16150" width="17" bestFit="1" customWidth="1"/>
  </cols>
  <sheetData>
    <row r="1" spans="1:157" s="1555" customFormat="1" ht="18.75" x14ac:dyDescent="0.3">
      <c r="A1" s="1551"/>
      <c r="B1" s="2799" t="s">
        <v>1345</v>
      </c>
      <c r="C1" s="2799"/>
      <c r="D1" s="2799"/>
      <c r="E1" s="2799"/>
      <c r="F1" s="2799"/>
      <c r="G1" s="2799"/>
      <c r="H1" s="2799"/>
      <c r="I1" s="2799"/>
      <c r="J1" s="2799"/>
      <c r="K1" s="2799"/>
      <c r="L1" s="2799"/>
      <c r="M1" s="2799"/>
      <c r="N1" s="2799"/>
      <c r="O1" s="2799"/>
      <c r="P1" s="2799"/>
      <c r="Q1" s="2799"/>
      <c r="R1" s="2799"/>
      <c r="S1" s="2799"/>
      <c r="T1" s="2799"/>
      <c r="U1" s="2799"/>
      <c r="V1" s="2799"/>
      <c r="W1" s="1552"/>
      <c r="X1" s="1552"/>
      <c r="Y1" s="1552"/>
      <c r="Z1" s="1552"/>
      <c r="AA1" s="1552"/>
      <c r="AB1" s="1552"/>
      <c r="AC1" s="1552"/>
      <c r="AD1" s="1552"/>
      <c r="AE1" s="1552"/>
      <c r="AF1" s="1552"/>
      <c r="AG1" s="1552"/>
      <c r="AH1" s="1552"/>
      <c r="AI1" s="1552"/>
      <c r="AJ1" s="1552"/>
      <c r="AK1" s="1552"/>
      <c r="AL1" s="1552"/>
      <c r="AM1" s="1552"/>
      <c r="AN1" s="1552"/>
      <c r="AO1" s="1552"/>
      <c r="AP1" s="1552"/>
      <c r="AQ1" s="1552"/>
      <c r="AR1" s="1552"/>
      <c r="AS1" s="1552"/>
      <c r="AT1" s="1552"/>
      <c r="AU1" s="1552"/>
      <c r="AV1" s="1552"/>
      <c r="AW1" s="1552"/>
      <c r="AX1" s="1552"/>
      <c r="AY1" s="1552"/>
      <c r="AZ1" s="1552"/>
      <c r="BA1" s="1552"/>
      <c r="BB1" s="1552"/>
      <c r="BC1" s="1552"/>
      <c r="BD1" s="1552"/>
      <c r="BE1" s="1552"/>
      <c r="BF1" s="1552"/>
      <c r="BG1" s="1552"/>
      <c r="BH1" s="1552"/>
      <c r="BI1" s="1552"/>
      <c r="BJ1" s="1552"/>
      <c r="BK1" s="1552"/>
      <c r="BL1" s="1552"/>
      <c r="BM1" s="1552"/>
      <c r="BN1" s="1552"/>
      <c r="BO1" s="1552"/>
      <c r="BP1" s="1552"/>
      <c r="BQ1" s="1552"/>
      <c r="BR1" s="1552"/>
      <c r="BS1" s="1552"/>
      <c r="BT1" s="1552"/>
      <c r="BU1" s="1552"/>
      <c r="BV1" s="1552"/>
      <c r="BW1" s="1552"/>
      <c r="BX1" s="1553"/>
      <c r="BY1" s="1553"/>
      <c r="BZ1" s="1553"/>
      <c r="CA1" s="1553"/>
      <c r="CB1" s="1553"/>
      <c r="CC1" s="1553"/>
      <c r="CD1" s="1553"/>
      <c r="CE1" s="1553"/>
      <c r="CF1" s="1553"/>
      <c r="CG1" s="1553"/>
      <c r="CH1" s="1553"/>
      <c r="CI1" s="1553"/>
      <c r="CJ1" s="1553"/>
      <c r="CK1" s="1553"/>
      <c r="CL1" s="1553"/>
      <c r="CM1" s="1553"/>
      <c r="CN1" s="1553"/>
      <c r="CO1" s="1553"/>
      <c r="CP1" s="1553"/>
      <c r="CQ1" s="1553"/>
      <c r="CR1" s="1553"/>
      <c r="CS1" s="1553"/>
      <c r="CT1" s="1553"/>
      <c r="CU1" s="1553"/>
      <c r="CV1" s="1553"/>
      <c r="CW1" s="1553"/>
      <c r="CX1" s="1553"/>
      <c r="CY1" s="1553"/>
      <c r="CZ1" s="1553"/>
      <c r="DA1" s="1553"/>
      <c r="DB1" s="1553"/>
      <c r="DC1" s="1553"/>
      <c r="DD1" s="1553"/>
      <c r="DE1" s="1553"/>
      <c r="DF1" s="1553"/>
      <c r="DG1" s="1553"/>
      <c r="DH1" s="1553"/>
      <c r="DI1" s="1553"/>
      <c r="DJ1" s="1553"/>
      <c r="DK1" s="1553"/>
      <c r="DL1" s="1553"/>
      <c r="DM1" s="1553"/>
      <c r="DN1" s="1553"/>
      <c r="DO1" s="1553"/>
      <c r="DP1" s="1553"/>
      <c r="DQ1" s="1553"/>
      <c r="DR1" s="1553"/>
      <c r="DS1" s="1553"/>
      <c r="DT1" s="1553"/>
      <c r="DU1" s="1553"/>
      <c r="DV1" s="1553"/>
      <c r="DW1" s="1553"/>
      <c r="DX1" s="1553"/>
      <c r="DY1" s="1553"/>
      <c r="DZ1" s="1553"/>
      <c r="EA1" s="1553"/>
      <c r="EB1" s="1553"/>
      <c r="EC1" s="1553"/>
      <c r="ED1" s="1553"/>
      <c r="EE1" s="1553"/>
      <c r="EF1" s="1553"/>
      <c r="EG1" s="1553"/>
      <c r="EH1" s="1553"/>
      <c r="EI1" s="1553"/>
      <c r="EJ1" s="1553"/>
      <c r="EK1" s="1553"/>
      <c r="EL1" s="1553"/>
      <c r="EM1" s="1553"/>
      <c r="EN1" s="1553"/>
      <c r="EO1" s="1553"/>
      <c r="EP1" s="1554"/>
      <c r="EQ1" s="1554"/>
      <c r="ER1" s="1554"/>
      <c r="ES1" s="1554"/>
      <c r="ET1" s="1554"/>
      <c r="EU1" s="1554"/>
      <c r="EV1" s="1554"/>
      <c r="EW1" s="1554"/>
      <c r="EX1" s="1554"/>
      <c r="EY1" s="1554"/>
      <c r="EZ1" s="1554"/>
      <c r="FA1" s="1554"/>
    </row>
    <row r="2" spans="1:157" s="1557" customFormat="1" ht="15.75" x14ac:dyDescent="0.25">
      <c r="A2" s="1556"/>
      <c r="B2" s="1557">
        <v>0</v>
      </c>
      <c r="C2" s="1557">
        <v>1</v>
      </c>
      <c r="D2" s="1557">
        <v>2</v>
      </c>
      <c r="E2" s="1557">
        <v>3</v>
      </c>
      <c r="F2" s="1557">
        <v>4</v>
      </c>
      <c r="G2" s="1557">
        <v>5</v>
      </c>
      <c r="H2" s="1557">
        <v>6</v>
      </c>
      <c r="I2" s="1557">
        <v>7</v>
      </c>
      <c r="J2" s="1557">
        <v>8</v>
      </c>
      <c r="K2" s="1557">
        <v>9</v>
      </c>
      <c r="L2" s="1557">
        <v>10</v>
      </c>
      <c r="M2" s="1557">
        <v>11</v>
      </c>
      <c r="N2" s="1557">
        <v>12</v>
      </c>
      <c r="O2" s="1557">
        <v>13</v>
      </c>
      <c r="P2" s="1557">
        <v>14</v>
      </c>
      <c r="Q2" s="1557">
        <v>15</v>
      </c>
      <c r="R2" s="1557">
        <v>16</v>
      </c>
      <c r="S2" s="1557">
        <v>17</v>
      </c>
      <c r="T2" s="1557">
        <v>18</v>
      </c>
      <c r="U2" s="1557">
        <v>19</v>
      </c>
      <c r="V2" s="1557">
        <v>20</v>
      </c>
      <c r="W2" s="1558"/>
      <c r="X2" s="1558"/>
      <c r="Y2" s="1558"/>
      <c r="Z2" s="1558"/>
      <c r="AA2" s="1558"/>
      <c r="AB2" s="1558"/>
      <c r="AC2" s="1558"/>
      <c r="AD2" s="1558"/>
      <c r="AE2" s="1558"/>
      <c r="AF2" s="1558"/>
      <c r="AG2" s="1558"/>
      <c r="AH2" s="1558"/>
      <c r="AI2" s="1558"/>
      <c r="AJ2" s="1558"/>
      <c r="AK2" s="1558"/>
      <c r="AL2" s="1558"/>
      <c r="AM2" s="1558"/>
      <c r="AN2" s="1558"/>
      <c r="AO2" s="1558"/>
      <c r="AP2" s="1558"/>
      <c r="AQ2" s="1558"/>
      <c r="AR2" s="1558"/>
      <c r="AS2" s="1558"/>
      <c r="AT2" s="1558"/>
      <c r="AU2" s="1558"/>
      <c r="AV2" s="1558"/>
      <c r="AW2" s="1558"/>
      <c r="AX2" s="1558"/>
      <c r="AY2" s="1558"/>
      <c r="AZ2" s="1558"/>
      <c r="BA2" s="1558"/>
      <c r="BB2" s="1558"/>
      <c r="BC2" s="1558"/>
      <c r="BD2" s="1558"/>
      <c r="BE2" s="1558"/>
      <c r="BF2" s="1558"/>
      <c r="BG2" s="1558"/>
      <c r="BH2" s="1558"/>
      <c r="BI2" s="1558"/>
      <c r="BJ2" s="1558"/>
      <c r="BK2" s="1558"/>
      <c r="BL2" s="1558"/>
      <c r="BM2" s="1558"/>
      <c r="BN2" s="1558"/>
      <c r="BO2" s="1558"/>
      <c r="BP2" s="1558"/>
      <c r="BQ2" s="1558"/>
      <c r="BR2" s="1558"/>
      <c r="BS2" s="1558"/>
      <c r="BT2" s="1558"/>
      <c r="BU2" s="1558"/>
      <c r="BV2" s="1558"/>
      <c r="BW2" s="1558"/>
      <c r="BX2" s="1559"/>
      <c r="BY2" s="1559"/>
      <c r="BZ2" s="1559"/>
      <c r="CA2" s="1559"/>
      <c r="CB2" s="1559"/>
      <c r="CC2" s="1559"/>
      <c r="CD2" s="1559"/>
      <c r="CE2" s="1559"/>
      <c r="CF2" s="1559"/>
      <c r="CG2" s="1559"/>
      <c r="CH2" s="1559"/>
      <c r="CI2" s="1559"/>
      <c r="CJ2" s="1559"/>
      <c r="CK2" s="1559"/>
      <c r="CL2" s="1559"/>
      <c r="CM2" s="1559"/>
      <c r="CN2" s="1559"/>
      <c r="CO2" s="1559"/>
      <c r="CP2" s="1559"/>
      <c r="CQ2" s="1559"/>
      <c r="CR2" s="1559"/>
      <c r="CS2" s="1559"/>
      <c r="CT2" s="1559"/>
      <c r="CU2" s="1559"/>
      <c r="CV2" s="1559"/>
      <c r="CW2" s="1559"/>
      <c r="CX2" s="1559"/>
      <c r="CY2" s="1559"/>
      <c r="CZ2" s="1559"/>
      <c r="DA2" s="1559"/>
      <c r="DB2" s="1559"/>
      <c r="DC2" s="1559"/>
      <c r="DD2" s="1559"/>
      <c r="DE2" s="1559"/>
      <c r="DF2" s="1559"/>
      <c r="DG2" s="1559"/>
      <c r="DH2" s="1559"/>
      <c r="DI2" s="1559"/>
      <c r="DJ2" s="1559"/>
      <c r="DK2" s="1559"/>
      <c r="DL2" s="1559"/>
      <c r="DM2" s="1559"/>
      <c r="DN2" s="1559"/>
      <c r="DO2" s="1559"/>
      <c r="DP2" s="1559"/>
      <c r="DQ2" s="1559"/>
      <c r="DR2" s="1559"/>
      <c r="DS2" s="1559"/>
      <c r="DT2" s="1559"/>
      <c r="DU2" s="1559"/>
      <c r="DV2" s="1559"/>
      <c r="DW2" s="1559"/>
      <c r="DX2" s="1559"/>
      <c r="DY2" s="1559"/>
      <c r="DZ2" s="1559"/>
      <c r="EA2" s="1559"/>
      <c r="EB2" s="1559"/>
      <c r="EC2" s="1559"/>
      <c r="ED2" s="1559"/>
      <c r="EE2" s="1559"/>
      <c r="EF2" s="1559"/>
      <c r="EG2" s="1559"/>
      <c r="EH2" s="1559"/>
      <c r="EI2" s="1559"/>
      <c r="EJ2" s="1559"/>
      <c r="EK2" s="1559"/>
      <c r="EL2" s="1559"/>
      <c r="EM2" s="1559"/>
      <c r="EN2" s="1559"/>
      <c r="EO2" s="1559"/>
      <c r="EP2" s="1560"/>
      <c r="EQ2" s="1560"/>
      <c r="ER2" s="1560"/>
      <c r="ES2" s="1560"/>
      <c r="ET2" s="1560"/>
      <c r="EU2" s="1560"/>
      <c r="EV2" s="1560"/>
      <c r="EW2" s="1560"/>
      <c r="EX2" s="1560"/>
      <c r="EY2" s="1560"/>
      <c r="EZ2" s="1560"/>
      <c r="FA2" s="1560"/>
    </row>
    <row r="3" spans="1:157" s="1565" customFormat="1" ht="16.5" thickBot="1" x14ac:dyDescent="0.3">
      <c r="A3" s="1561" t="s">
        <v>1346</v>
      </c>
      <c r="B3" s="1562"/>
      <c r="C3" s="1563">
        <f>SUM(C4:C14)</f>
        <v>1747442.1884112596</v>
      </c>
      <c r="D3" s="1563">
        <f>SUM(D4:D14)</f>
        <v>1748342.1884112596</v>
      </c>
      <c r="E3" s="1563">
        <f t="shared" ref="E3:V3" si="0">SUM(E4:E14)</f>
        <v>1747442.1884112596</v>
      </c>
      <c r="F3" s="1563">
        <f t="shared" si="0"/>
        <v>1748342.1884112596</v>
      </c>
      <c r="G3" s="1563">
        <f t="shared" si="0"/>
        <v>1759442.1884112596</v>
      </c>
      <c r="H3" s="1563">
        <f t="shared" si="0"/>
        <v>1748342.1884112596</v>
      </c>
      <c r="I3" s="1563">
        <f t="shared" si="0"/>
        <v>1747442.1884112596</v>
      </c>
      <c r="J3" s="1563">
        <f t="shared" si="0"/>
        <v>1754150.1884112596</v>
      </c>
      <c r="K3" s="1563">
        <f t="shared" si="0"/>
        <v>1747442.1884112596</v>
      </c>
      <c r="L3" s="1563">
        <f t="shared" si="0"/>
        <v>1766522.1884112596</v>
      </c>
      <c r="M3" s="1563">
        <f t="shared" si="0"/>
        <v>1747442.1884112596</v>
      </c>
      <c r="N3" s="1563">
        <f t="shared" ca="1" si="0"/>
        <v>1873096.6214306636</v>
      </c>
      <c r="O3" s="1563">
        <f t="shared" si="0"/>
        <v>1747442.1884112596</v>
      </c>
      <c r="P3" s="1563">
        <f t="shared" si="0"/>
        <v>1748342.1884112596</v>
      </c>
      <c r="Q3" s="1563">
        <f t="shared" si="0"/>
        <v>1860242.1884112596</v>
      </c>
      <c r="R3" s="1563">
        <f t="shared" si="0"/>
        <v>1758950.1884112596</v>
      </c>
      <c r="S3" s="1563">
        <f t="shared" si="0"/>
        <v>1747442.1884112596</v>
      </c>
      <c r="T3" s="1563">
        <f t="shared" si="0"/>
        <v>1748342.1884112596</v>
      </c>
      <c r="U3" s="1563">
        <f t="shared" si="0"/>
        <v>1747442.1884112596</v>
      </c>
      <c r="V3" s="1563">
        <f t="shared" ca="1" si="0"/>
        <v>10353542.433019403</v>
      </c>
      <c r="W3" s="1558"/>
      <c r="X3" s="1558"/>
      <c r="Y3" s="1558"/>
      <c r="Z3" s="1558"/>
      <c r="AA3" s="1558"/>
      <c r="AB3" s="1558"/>
      <c r="AC3" s="1558"/>
      <c r="AD3" s="1558"/>
      <c r="AE3" s="1558"/>
      <c r="AF3" s="1558"/>
      <c r="AG3" s="1558"/>
      <c r="AH3" s="1558"/>
      <c r="AI3" s="1558"/>
      <c r="AJ3" s="1558"/>
      <c r="AK3" s="1558"/>
      <c r="AL3" s="1558"/>
      <c r="AM3" s="1558"/>
      <c r="AN3" s="1558"/>
      <c r="AO3" s="1558"/>
      <c r="AP3" s="1558"/>
      <c r="AQ3" s="1558"/>
      <c r="AR3" s="1558"/>
      <c r="AS3" s="1558"/>
      <c r="AT3" s="1558"/>
      <c r="AU3" s="1558"/>
      <c r="AV3" s="1558"/>
      <c r="AW3" s="1558"/>
      <c r="AX3" s="1558"/>
      <c r="AY3" s="1558"/>
      <c r="AZ3" s="1558"/>
      <c r="BA3" s="1558"/>
      <c r="BB3" s="1558"/>
      <c r="BC3" s="1558"/>
      <c r="BD3" s="1558"/>
      <c r="BE3" s="1558"/>
      <c r="BF3" s="1558"/>
      <c r="BG3" s="1558"/>
      <c r="BH3" s="1558"/>
      <c r="BI3" s="1558"/>
      <c r="BJ3" s="1558"/>
      <c r="BK3" s="1558"/>
      <c r="BL3" s="1558"/>
      <c r="BM3" s="1558"/>
      <c r="BN3" s="1558"/>
      <c r="BO3" s="1558"/>
      <c r="BP3" s="1558"/>
      <c r="BQ3" s="1558"/>
      <c r="BR3" s="1558"/>
      <c r="BS3" s="1558"/>
      <c r="BT3" s="1558"/>
      <c r="BU3" s="1558"/>
      <c r="BV3" s="1558"/>
      <c r="BW3" s="1558"/>
      <c r="BX3" s="1558"/>
      <c r="BY3" s="1558"/>
      <c r="BZ3" s="1558"/>
      <c r="CA3" s="1558"/>
      <c r="CB3" s="1558"/>
      <c r="CC3" s="1558"/>
      <c r="CD3" s="1558"/>
      <c r="CE3" s="1558"/>
      <c r="CF3" s="1558"/>
      <c r="CG3" s="1558"/>
      <c r="CH3" s="1558"/>
      <c r="CI3" s="1558"/>
      <c r="CJ3" s="1558"/>
      <c r="CK3" s="1558"/>
      <c r="CL3" s="1558"/>
      <c r="CM3" s="1558"/>
      <c r="CN3" s="1558"/>
      <c r="CO3" s="1558"/>
      <c r="CP3" s="1558"/>
      <c r="CQ3" s="1558"/>
      <c r="CR3" s="1558"/>
      <c r="CS3" s="1558"/>
      <c r="CT3" s="1558"/>
      <c r="CU3" s="1558"/>
      <c r="CV3" s="1558"/>
      <c r="CW3" s="1558"/>
      <c r="CX3" s="1558"/>
      <c r="CY3" s="1558"/>
      <c r="CZ3" s="1558"/>
      <c r="DA3" s="1558"/>
      <c r="DB3" s="1558"/>
      <c r="DC3" s="1558"/>
      <c r="DD3" s="1558"/>
      <c r="DE3" s="1558"/>
      <c r="DF3" s="1558"/>
      <c r="DG3" s="1558"/>
      <c r="DH3" s="1558"/>
      <c r="DI3" s="1558"/>
      <c r="DJ3" s="1558"/>
      <c r="DK3" s="1558"/>
      <c r="DL3" s="1558"/>
      <c r="DM3" s="1558"/>
      <c r="DN3" s="1558"/>
      <c r="DO3" s="1558"/>
      <c r="DP3" s="1558"/>
      <c r="DQ3" s="1558"/>
      <c r="DR3" s="1558"/>
      <c r="DS3" s="1558"/>
      <c r="DT3" s="1558"/>
      <c r="DU3" s="1558"/>
      <c r="DV3" s="1558"/>
      <c r="DW3" s="1558"/>
      <c r="DX3" s="1558"/>
      <c r="DY3" s="1558"/>
      <c r="DZ3" s="1558"/>
      <c r="EA3" s="1558"/>
      <c r="EB3" s="1558"/>
      <c r="EC3" s="1558"/>
      <c r="ED3" s="1558"/>
      <c r="EE3" s="1558"/>
      <c r="EF3" s="1558"/>
      <c r="EG3" s="1558"/>
      <c r="EH3" s="1558"/>
      <c r="EI3" s="1558"/>
      <c r="EJ3" s="1558"/>
      <c r="EK3" s="1558"/>
      <c r="EL3" s="1558"/>
      <c r="EM3" s="1558"/>
      <c r="EN3" s="1558"/>
      <c r="EO3" s="1558"/>
      <c r="EP3" s="1564"/>
      <c r="EQ3" s="1564"/>
      <c r="ER3" s="1564"/>
      <c r="ES3" s="1564"/>
      <c r="ET3" s="1564"/>
      <c r="EU3" s="1564"/>
      <c r="EV3" s="1564"/>
      <c r="EW3" s="1564"/>
      <c r="EX3" s="1564"/>
      <c r="EY3" s="1564"/>
      <c r="EZ3" s="1564"/>
      <c r="FA3" s="1564"/>
    </row>
    <row r="4" spans="1:157" s="1565" customFormat="1" ht="15" hidden="1" outlineLevel="1" x14ac:dyDescent="0.25">
      <c r="A4" s="1566" t="str">
        <f>'Análise ADM'!B5</f>
        <v>Receita Venda de Animais</v>
      </c>
      <c r="B4" s="1567"/>
      <c r="C4" s="1568">
        <f>'Análise ADM'!$C$5</f>
        <v>1746242.1884112596</v>
      </c>
      <c r="D4" s="1568">
        <f>'Análise ADM'!$C$5</f>
        <v>1746242.1884112596</v>
      </c>
      <c r="E4" s="1568">
        <f>'Análise ADM'!$C$5</f>
        <v>1746242.1884112596</v>
      </c>
      <c r="F4" s="1568">
        <f>'Análise ADM'!$C$5</f>
        <v>1746242.1884112596</v>
      </c>
      <c r="G4" s="1568">
        <f>'Análise ADM'!$C$5</f>
        <v>1746242.1884112596</v>
      </c>
      <c r="H4" s="1568">
        <f>'Análise ADM'!$C$5</f>
        <v>1746242.1884112596</v>
      </c>
      <c r="I4" s="1568">
        <f>'Análise ADM'!$C$5</f>
        <v>1746242.1884112596</v>
      </c>
      <c r="J4" s="1568">
        <f>'Análise ADM'!$C$5</f>
        <v>1746242.1884112596</v>
      </c>
      <c r="K4" s="1568">
        <f>'Análise ADM'!$C$5</f>
        <v>1746242.1884112596</v>
      </c>
      <c r="L4" s="1568">
        <f>'Análise ADM'!$C$5</f>
        <v>1746242.1884112596</v>
      </c>
      <c r="M4" s="1568">
        <f>'Análise ADM'!$C$5</f>
        <v>1746242.1884112596</v>
      </c>
      <c r="N4" s="1568">
        <f>'Análise ADM'!$C$5</f>
        <v>1746242.1884112596</v>
      </c>
      <c r="O4" s="1568">
        <f>'Análise ADM'!$C$5</f>
        <v>1746242.1884112596</v>
      </c>
      <c r="P4" s="1568">
        <f>'Análise ADM'!$C$5</f>
        <v>1746242.1884112596</v>
      </c>
      <c r="Q4" s="1568">
        <f>'Análise ADM'!$C$5</f>
        <v>1746242.1884112596</v>
      </c>
      <c r="R4" s="1568">
        <f>'Análise ADM'!$C$5</f>
        <v>1746242.1884112596</v>
      </c>
      <c r="S4" s="1568">
        <f>'Análise ADM'!$C$5</f>
        <v>1746242.1884112596</v>
      </c>
      <c r="T4" s="1568">
        <f>'Análise ADM'!$C$5</f>
        <v>1746242.1884112596</v>
      </c>
      <c r="U4" s="1568">
        <f>'Análise ADM'!$C$5</f>
        <v>1746242.1884112596</v>
      </c>
      <c r="V4" s="1568">
        <f>'Análise ADM'!$C$5</f>
        <v>1746242.1884112596</v>
      </c>
      <c r="W4" s="1558"/>
      <c r="X4" s="1558"/>
      <c r="Y4" s="1558"/>
      <c r="Z4" s="1558"/>
      <c r="AA4" s="1558"/>
      <c r="AB4" s="1558"/>
      <c r="AC4" s="1558"/>
      <c r="AD4" s="1558"/>
      <c r="AE4" s="1558"/>
      <c r="AF4" s="1558"/>
      <c r="AG4" s="1558"/>
      <c r="AH4" s="1558"/>
      <c r="AI4" s="1558"/>
      <c r="AJ4" s="1558"/>
      <c r="AK4" s="1558"/>
      <c r="AL4" s="1558"/>
      <c r="AM4" s="1558"/>
      <c r="AN4" s="1558"/>
      <c r="AO4" s="1558"/>
      <c r="AP4" s="1558"/>
      <c r="AQ4" s="1558"/>
      <c r="AR4" s="1558"/>
      <c r="AS4" s="1558"/>
      <c r="AT4" s="1558"/>
      <c r="AU4" s="1558"/>
      <c r="AV4" s="1558"/>
      <c r="AW4" s="1558"/>
      <c r="AX4" s="1558"/>
      <c r="AY4" s="1558"/>
      <c r="AZ4" s="1558"/>
      <c r="BA4" s="1558"/>
      <c r="BB4" s="1558"/>
      <c r="BC4" s="1558"/>
      <c r="BD4" s="1558"/>
      <c r="BE4" s="1558"/>
      <c r="BF4" s="1558"/>
      <c r="BG4" s="1558"/>
      <c r="BH4" s="1558"/>
      <c r="BI4" s="1558"/>
      <c r="BJ4" s="1558"/>
      <c r="BK4" s="1558"/>
      <c r="BL4" s="1558"/>
      <c r="BM4" s="1558"/>
      <c r="BN4" s="1558"/>
      <c r="BO4" s="1558"/>
      <c r="BP4" s="1558"/>
      <c r="BQ4" s="1558"/>
      <c r="BR4" s="1558"/>
      <c r="BS4" s="1558"/>
      <c r="BT4" s="1558"/>
      <c r="BU4" s="1558"/>
      <c r="BV4" s="1558"/>
      <c r="BW4" s="1558"/>
      <c r="BX4" s="1558"/>
      <c r="BY4" s="1558"/>
      <c r="BZ4" s="1558"/>
      <c r="CA4" s="1558"/>
      <c r="CB4" s="1558"/>
      <c r="CC4" s="1558"/>
      <c r="CD4" s="1558"/>
      <c r="CE4" s="1558"/>
      <c r="CF4" s="1558"/>
      <c r="CG4" s="1558"/>
      <c r="CH4" s="1558"/>
      <c r="CI4" s="1558"/>
      <c r="CJ4" s="1558"/>
      <c r="CK4" s="1558"/>
      <c r="CL4" s="1558"/>
      <c r="CM4" s="1558"/>
      <c r="CN4" s="1558"/>
      <c r="CO4" s="1558"/>
      <c r="CP4" s="1558"/>
      <c r="CQ4" s="1558"/>
      <c r="CR4" s="1558"/>
      <c r="CS4" s="1558"/>
      <c r="CT4" s="1558"/>
      <c r="CU4" s="1558"/>
      <c r="CV4" s="1558"/>
      <c r="CW4" s="1558"/>
      <c r="CX4" s="1558"/>
      <c r="CY4" s="1558"/>
      <c r="CZ4" s="1558"/>
      <c r="DA4" s="1558"/>
      <c r="DB4" s="1558"/>
      <c r="DC4" s="1558"/>
      <c r="DD4" s="1558"/>
      <c r="DE4" s="1558"/>
      <c r="DF4" s="1558"/>
      <c r="DG4" s="1558"/>
      <c r="DH4" s="1558"/>
      <c r="DI4" s="1558"/>
      <c r="DJ4" s="1558"/>
      <c r="DK4" s="1558"/>
      <c r="DL4" s="1558"/>
      <c r="DM4" s="1558"/>
      <c r="DN4" s="1558"/>
      <c r="DO4" s="1558"/>
      <c r="DP4" s="1558"/>
      <c r="DQ4" s="1558"/>
      <c r="DR4" s="1558"/>
      <c r="DS4" s="1558"/>
      <c r="DT4" s="1558"/>
      <c r="DU4" s="1558"/>
      <c r="DV4" s="1558"/>
      <c r="DW4" s="1558"/>
      <c r="DX4" s="1558"/>
      <c r="DY4" s="1558"/>
      <c r="DZ4" s="1558"/>
      <c r="EA4" s="1558"/>
      <c r="EB4" s="1558"/>
      <c r="EC4" s="1558"/>
      <c r="ED4" s="1558"/>
      <c r="EE4" s="1558"/>
      <c r="EF4" s="1558"/>
      <c r="EG4" s="1558"/>
      <c r="EH4" s="1558"/>
      <c r="EI4" s="1558"/>
      <c r="EJ4" s="1558"/>
      <c r="EK4" s="1558"/>
      <c r="EL4" s="1558"/>
      <c r="EM4" s="1558"/>
      <c r="EN4" s="1558"/>
      <c r="EO4" s="1558"/>
      <c r="EP4" s="1564"/>
      <c r="EQ4" s="1564"/>
      <c r="ER4" s="1564"/>
      <c r="ES4" s="1564"/>
      <c r="ET4" s="1564"/>
      <c r="EU4" s="1564"/>
      <c r="EV4" s="1564"/>
      <c r="EW4" s="1564"/>
      <c r="EX4" s="1564"/>
      <c r="EY4" s="1564"/>
      <c r="EZ4" s="1564"/>
      <c r="FA4" s="1564"/>
    </row>
    <row r="5" spans="1:157" s="1565" customFormat="1" ht="15" hidden="1" outlineLevel="1" x14ac:dyDescent="0.25">
      <c r="A5" s="1566" t="str">
        <f>'Análise ADM'!B6</f>
        <v>Receita Leite</v>
      </c>
      <c r="B5" s="1567"/>
      <c r="C5" s="1568">
        <f>'Análise ADM'!$C$6</f>
        <v>0</v>
      </c>
      <c r="D5" s="1568">
        <f>'Análise ADM'!$C$6</f>
        <v>0</v>
      </c>
      <c r="E5" s="1568">
        <f>'Análise ADM'!$C$6</f>
        <v>0</v>
      </c>
      <c r="F5" s="1568">
        <f>'Análise ADM'!$C$6</f>
        <v>0</v>
      </c>
      <c r="G5" s="1568">
        <f>'Análise ADM'!$C$6</f>
        <v>0</v>
      </c>
      <c r="H5" s="1568">
        <f>'Análise ADM'!$C$6</f>
        <v>0</v>
      </c>
      <c r="I5" s="1568">
        <f>'Análise ADM'!$C$6</f>
        <v>0</v>
      </c>
      <c r="J5" s="1568">
        <f>'Análise ADM'!$C$6</f>
        <v>0</v>
      </c>
      <c r="K5" s="1568">
        <f>'Análise ADM'!$C$6</f>
        <v>0</v>
      </c>
      <c r="L5" s="1568">
        <f>'Análise ADM'!$C$6</f>
        <v>0</v>
      </c>
      <c r="M5" s="1568">
        <f>'Análise ADM'!$C$6</f>
        <v>0</v>
      </c>
      <c r="N5" s="1568">
        <f>'Análise ADM'!$C$6</f>
        <v>0</v>
      </c>
      <c r="O5" s="1568">
        <f>'Análise ADM'!$C$6</f>
        <v>0</v>
      </c>
      <c r="P5" s="1568">
        <f>'Análise ADM'!$C$6</f>
        <v>0</v>
      </c>
      <c r="Q5" s="1568">
        <f>'Análise ADM'!$C$6</f>
        <v>0</v>
      </c>
      <c r="R5" s="1568">
        <f>'Análise ADM'!$C$6</f>
        <v>0</v>
      </c>
      <c r="S5" s="1568">
        <f>'Análise ADM'!$C$6</f>
        <v>0</v>
      </c>
      <c r="T5" s="1568">
        <f>'Análise ADM'!$C$6</f>
        <v>0</v>
      </c>
      <c r="U5" s="1568">
        <f>'Análise ADM'!$C$6</f>
        <v>0</v>
      </c>
      <c r="V5" s="1568">
        <f>'Análise ADM'!$C$6</f>
        <v>0</v>
      </c>
      <c r="W5" s="1558"/>
      <c r="X5" s="1558"/>
      <c r="Y5" s="1558"/>
      <c r="Z5" s="1558"/>
      <c r="AA5" s="1558"/>
      <c r="AB5" s="1558"/>
      <c r="AC5" s="1558"/>
      <c r="AD5" s="1558"/>
      <c r="AE5" s="1558"/>
      <c r="AF5" s="1558"/>
      <c r="AG5" s="1558"/>
      <c r="AH5" s="1558"/>
      <c r="AI5" s="1558"/>
      <c r="AJ5" s="1558"/>
      <c r="AK5" s="1558"/>
      <c r="AL5" s="1558"/>
      <c r="AM5" s="1558"/>
      <c r="AN5" s="1558"/>
      <c r="AO5" s="1558"/>
      <c r="AP5" s="1558"/>
      <c r="AQ5" s="1558"/>
      <c r="AR5" s="1558"/>
      <c r="AS5" s="1558"/>
      <c r="AT5" s="1558"/>
      <c r="AU5" s="1558"/>
      <c r="AV5" s="1558"/>
      <c r="AW5" s="1558"/>
      <c r="AX5" s="1558"/>
      <c r="AY5" s="1558"/>
      <c r="AZ5" s="1558"/>
      <c r="BA5" s="1558"/>
      <c r="BB5" s="1558"/>
      <c r="BC5" s="1558"/>
      <c r="BD5" s="1558"/>
      <c r="BE5" s="1558"/>
      <c r="BF5" s="1558"/>
      <c r="BG5" s="1558"/>
      <c r="BH5" s="1558"/>
      <c r="BI5" s="1558"/>
      <c r="BJ5" s="1558"/>
      <c r="BK5" s="1558"/>
      <c r="BL5" s="1558"/>
      <c r="BM5" s="1558"/>
      <c r="BN5" s="1558"/>
      <c r="BO5" s="1558"/>
      <c r="BP5" s="1558"/>
      <c r="BQ5" s="1558"/>
      <c r="BR5" s="1558"/>
      <c r="BS5" s="1558"/>
      <c r="BT5" s="1558"/>
      <c r="BU5" s="1558"/>
      <c r="BV5" s="1558"/>
      <c r="BW5" s="1558"/>
      <c r="BX5" s="1558"/>
      <c r="BY5" s="1558"/>
      <c r="BZ5" s="1558"/>
      <c r="CA5" s="1558"/>
      <c r="CB5" s="1558"/>
      <c r="CC5" s="1558"/>
      <c r="CD5" s="1558"/>
      <c r="CE5" s="1558"/>
      <c r="CF5" s="1558"/>
      <c r="CG5" s="1558"/>
      <c r="CH5" s="1558"/>
      <c r="CI5" s="1558"/>
      <c r="CJ5" s="1558"/>
      <c r="CK5" s="1558"/>
      <c r="CL5" s="1558"/>
      <c r="CM5" s="1558"/>
      <c r="CN5" s="1558"/>
      <c r="CO5" s="1558"/>
      <c r="CP5" s="1558"/>
      <c r="CQ5" s="1558"/>
      <c r="CR5" s="1558"/>
      <c r="CS5" s="1558"/>
      <c r="CT5" s="1558"/>
      <c r="CU5" s="1558"/>
      <c r="CV5" s="1558"/>
      <c r="CW5" s="1558"/>
      <c r="CX5" s="1558"/>
      <c r="CY5" s="1558"/>
      <c r="CZ5" s="1558"/>
      <c r="DA5" s="1558"/>
      <c r="DB5" s="1558"/>
      <c r="DC5" s="1558"/>
      <c r="DD5" s="1558"/>
      <c r="DE5" s="1558"/>
      <c r="DF5" s="1558"/>
      <c r="DG5" s="1558"/>
      <c r="DH5" s="1558"/>
      <c r="DI5" s="1558"/>
      <c r="DJ5" s="1558"/>
      <c r="DK5" s="1558"/>
      <c r="DL5" s="1558"/>
      <c r="DM5" s="1558"/>
      <c r="DN5" s="1558"/>
      <c r="DO5" s="1558"/>
      <c r="DP5" s="1558"/>
      <c r="DQ5" s="1558"/>
      <c r="DR5" s="1558"/>
      <c r="DS5" s="1558"/>
      <c r="DT5" s="1558"/>
      <c r="DU5" s="1558"/>
      <c r="DV5" s="1558"/>
      <c r="DW5" s="1558"/>
      <c r="DX5" s="1558"/>
      <c r="DY5" s="1558"/>
      <c r="DZ5" s="1558"/>
      <c r="EA5" s="1558"/>
      <c r="EB5" s="1558"/>
      <c r="EC5" s="1558"/>
      <c r="ED5" s="1558"/>
      <c r="EE5" s="1558"/>
      <c r="EF5" s="1558"/>
      <c r="EG5" s="1558"/>
      <c r="EH5" s="1558"/>
      <c r="EI5" s="1558"/>
      <c r="EJ5" s="1558"/>
      <c r="EK5" s="1558"/>
      <c r="EL5" s="1558"/>
      <c r="EM5" s="1558"/>
      <c r="EN5" s="1558"/>
      <c r="EO5" s="1558"/>
      <c r="EP5" s="1564"/>
      <c r="EQ5" s="1564"/>
      <c r="ER5" s="1564"/>
      <c r="ES5" s="1564"/>
      <c r="ET5" s="1564"/>
      <c r="EU5" s="1564"/>
      <c r="EV5" s="1564"/>
      <c r="EW5" s="1564"/>
      <c r="EX5" s="1564"/>
      <c r="EY5" s="1564"/>
      <c r="EZ5" s="1564"/>
      <c r="FA5" s="1564"/>
    </row>
    <row r="6" spans="1:157" s="1565" customFormat="1" ht="15" hidden="1" outlineLevel="1" x14ac:dyDescent="0.25">
      <c r="A6" s="1566" t="str">
        <f>'Análise ADM'!B7</f>
        <v>Receita Agricultura</v>
      </c>
      <c r="B6" s="1567"/>
      <c r="C6" s="1568">
        <f>'Análise ADM'!$C$7</f>
        <v>0</v>
      </c>
      <c r="D6" s="1568">
        <f>'Análise ADM'!$C$7</f>
        <v>0</v>
      </c>
      <c r="E6" s="1568">
        <f>'Análise ADM'!$C$7</f>
        <v>0</v>
      </c>
      <c r="F6" s="1568">
        <f>'Análise ADM'!$C$7</f>
        <v>0</v>
      </c>
      <c r="G6" s="1568">
        <f>'Análise ADM'!$C$7</f>
        <v>0</v>
      </c>
      <c r="H6" s="1568">
        <f>'Análise ADM'!$C$7</f>
        <v>0</v>
      </c>
      <c r="I6" s="1568">
        <f>'Análise ADM'!$C$7</f>
        <v>0</v>
      </c>
      <c r="J6" s="1568">
        <f>'Análise ADM'!$C$7</f>
        <v>0</v>
      </c>
      <c r="K6" s="1568">
        <f>'Análise ADM'!$C$7</f>
        <v>0</v>
      </c>
      <c r="L6" s="1568">
        <f>'Análise ADM'!$C$7</f>
        <v>0</v>
      </c>
      <c r="M6" s="1568">
        <f>'Análise ADM'!$C$7</f>
        <v>0</v>
      </c>
      <c r="N6" s="1568">
        <f>'Análise ADM'!$C$7</f>
        <v>0</v>
      </c>
      <c r="O6" s="1568">
        <f>'Análise ADM'!$C$7</f>
        <v>0</v>
      </c>
      <c r="P6" s="1568">
        <f>'Análise ADM'!$C$7</f>
        <v>0</v>
      </c>
      <c r="Q6" s="1568">
        <f>'Análise ADM'!$C$7</f>
        <v>0</v>
      </c>
      <c r="R6" s="1568">
        <f>'Análise ADM'!$C$7</f>
        <v>0</v>
      </c>
      <c r="S6" s="1568">
        <f>'Análise ADM'!$C$7</f>
        <v>0</v>
      </c>
      <c r="T6" s="1568">
        <f>'Análise ADM'!$C$7</f>
        <v>0</v>
      </c>
      <c r="U6" s="1568">
        <f>'Análise ADM'!$C$7</f>
        <v>0</v>
      </c>
      <c r="V6" s="1568">
        <f>'Análise ADM'!$C$7</f>
        <v>0</v>
      </c>
      <c r="W6" s="1558"/>
      <c r="X6" s="1558"/>
      <c r="Y6" s="1558"/>
      <c r="Z6" s="1558"/>
      <c r="AA6" s="1558"/>
      <c r="AB6" s="1558"/>
      <c r="AC6" s="1558"/>
      <c r="AD6" s="1558"/>
      <c r="AE6" s="1558"/>
      <c r="AF6" s="1558"/>
      <c r="AG6" s="1558"/>
      <c r="AH6" s="1558"/>
      <c r="AI6" s="1558"/>
      <c r="AJ6" s="1558"/>
      <c r="AK6" s="1558"/>
      <c r="AL6" s="1558"/>
      <c r="AM6" s="1558"/>
      <c r="AN6" s="1558"/>
      <c r="AO6" s="1558"/>
      <c r="AP6" s="1558"/>
      <c r="AQ6" s="1558"/>
      <c r="AR6" s="1558"/>
      <c r="AS6" s="1558"/>
      <c r="AT6" s="1558"/>
      <c r="AU6" s="1558"/>
      <c r="AV6" s="1558"/>
      <c r="AW6" s="1558"/>
      <c r="AX6" s="1558"/>
      <c r="AY6" s="1558"/>
      <c r="AZ6" s="1558"/>
      <c r="BA6" s="1558"/>
      <c r="BB6" s="1558"/>
      <c r="BC6" s="1558"/>
      <c r="BD6" s="1558"/>
      <c r="BE6" s="1558"/>
      <c r="BF6" s="1558"/>
      <c r="BG6" s="1558"/>
      <c r="BH6" s="1558"/>
      <c r="BI6" s="1558"/>
      <c r="BJ6" s="1558"/>
      <c r="BK6" s="1558"/>
      <c r="BL6" s="1558"/>
      <c r="BM6" s="1558"/>
      <c r="BN6" s="1558"/>
      <c r="BO6" s="1558"/>
      <c r="BP6" s="1558"/>
      <c r="BQ6" s="1558"/>
      <c r="BR6" s="1558"/>
      <c r="BS6" s="1558"/>
      <c r="BT6" s="1558"/>
      <c r="BU6" s="1558"/>
      <c r="BV6" s="1558"/>
      <c r="BW6" s="1558"/>
      <c r="BX6" s="1558"/>
      <c r="BY6" s="1558"/>
      <c r="BZ6" s="1558"/>
      <c r="CA6" s="1558"/>
      <c r="CB6" s="1558"/>
      <c r="CC6" s="1558"/>
      <c r="CD6" s="1558"/>
      <c r="CE6" s="1558"/>
      <c r="CF6" s="1558"/>
      <c r="CG6" s="1558"/>
      <c r="CH6" s="1558"/>
      <c r="CI6" s="1558"/>
      <c r="CJ6" s="1558"/>
      <c r="CK6" s="1558"/>
      <c r="CL6" s="1558"/>
      <c r="CM6" s="1558"/>
      <c r="CN6" s="1558"/>
      <c r="CO6" s="1558"/>
      <c r="CP6" s="1558"/>
      <c r="CQ6" s="1558"/>
      <c r="CR6" s="1558"/>
      <c r="CS6" s="1558"/>
      <c r="CT6" s="1558"/>
      <c r="CU6" s="1558"/>
      <c r="CV6" s="1558"/>
      <c r="CW6" s="1558"/>
      <c r="CX6" s="1558"/>
      <c r="CY6" s="1558"/>
      <c r="CZ6" s="1558"/>
      <c r="DA6" s="1558"/>
      <c r="DB6" s="1558"/>
      <c r="DC6" s="1558"/>
      <c r="DD6" s="1558"/>
      <c r="DE6" s="1558"/>
      <c r="DF6" s="1558"/>
      <c r="DG6" s="1558"/>
      <c r="DH6" s="1558"/>
      <c r="DI6" s="1558"/>
      <c r="DJ6" s="1558"/>
      <c r="DK6" s="1558"/>
      <c r="DL6" s="1558"/>
      <c r="DM6" s="1558"/>
      <c r="DN6" s="1558"/>
      <c r="DO6" s="1558"/>
      <c r="DP6" s="1558"/>
      <c r="DQ6" s="1558"/>
      <c r="DR6" s="1558"/>
      <c r="DS6" s="1558"/>
      <c r="DT6" s="1558"/>
      <c r="DU6" s="1558"/>
      <c r="DV6" s="1558"/>
      <c r="DW6" s="1558"/>
      <c r="DX6" s="1558"/>
      <c r="DY6" s="1558"/>
      <c r="DZ6" s="1558"/>
      <c r="EA6" s="1558"/>
      <c r="EB6" s="1558"/>
      <c r="EC6" s="1558"/>
      <c r="ED6" s="1558"/>
      <c r="EE6" s="1558"/>
      <c r="EF6" s="1558"/>
      <c r="EG6" s="1558"/>
      <c r="EH6" s="1558"/>
      <c r="EI6" s="1558"/>
      <c r="EJ6" s="1558"/>
      <c r="EK6" s="1558"/>
      <c r="EL6" s="1558"/>
      <c r="EM6" s="1558"/>
      <c r="EN6" s="1558"/>
      <c r="EO6" s="1558"/>
      <c r="EP6" s="1564"/>
      <c r="EQ6" s="1564"/>
      <c r="ER6" s="1564"/>
      <c r="ES6" s="1564"/>
      <c r="ET6" s="1564"/>
      <c r="EU6" s="1564"/>
      <c r="EV6" s="1564"/>
      <c r="EW6" s="1564"/>
      <c r="EX6" s="1564"/>
      <c r="EY6" s="1564"/>
      <c r="EZ6" s="1564"/>
      <c r="FA6" s="1564"/>
    </row>
    <row r="7" spans="1:157" s="1565" customFormat="1" ht="15" hidden="1" outlineLevel="1" x14ac:dyDescent="0.25">
      <c r="A7" s="1566" t="str">
        <f>'Análise ADM'!B8</f>
        <v>Outras Receitas</v>
      </c>
      <c r="B7" s="1567"/>
      <c r="C7" s="1568">
        <f>'Análise ADM'!$C$8</f>
        <v>0</v>
      </c>
      <c r="D7" s="1568">
        <f>'Análise ADM'!$C$8</f>
        <v>0</v>
      </c>
      <c r="E7" s="1568">
        <f>'Análise ADM'!$C$8</f>
        <v>0</v>
      </c>
      <c r="F7" s="1568">
        <f>'Análise ADM'!$C$8</f>
        <v>0</v>
      </c>
      <c r="G7" s="1568">
        <f>'Análise ADM'!$C$8</f>
        <v>0</v>
      </c>
      <c r="H7" s="1568">
        <f>'Análise ADM'!$C$8</f>
        <v>0</v>
      </c>
      <c r="I7" s="1568">
        <f>'Análise ADM'!$C$8</f>
        <v>0</v>
      </c>
      <c r="J7" s="1568">
        <f>'Análise ADM'!$C$8</f>
        <v>0</v>
      </c>
      <c r="K7" s="1568">
        <f>'Análise ADM'!$C$8</f>
        <v>0</v>
      </c>
      <c r="L7" s="1568">
        <f>'Análise ADM'!$C$8</f>
        <v>0</v>
      </c>
      <c r="M7" s="1568">
        <f>'Análise ADM'!$C$8</f>
        <v>0</v>
      </c>
      <c r="N7" s="1568">
        <f>'Análise ADM'!$C$8</f>
        <v>0</v>
      </c>
      <c r="O7" s="1568">
        <f>'Análise ADM'!$C$8</f>
        <v>0</v>
      </c>
      <c r="P7" s="1568">
        <f>'Análise ADM'!$C$8</f>
        <v>0</v>
      </c>
      <c r="Q7" s="1568">
        <f>'Análise ADM'!$C$8</f>
        <v>0</v>
      </c>
      <c r="R7" s="1568">
        <f>'Análise ADM'!$C$8</f>
        <v>0</v>
      </c>
      <c r="S7" s="1568">
        <f>'Análise ADM'!$C$8</f>
        <v>0</v>
      </c>
      <c r="T7" s="1568">
        <f>'Análise ADM'!$C$8</f>
        <v>0</v>
      </c>
      <c r="U7" s="1568">
        <f>'Análise ADM'!$C$8</f>
        <v>0</v>
      </c>
      <c r="V7" s="1568">
        <f>'Análise ADM'!$C$8</f>
        <v>0</v>
      </c>
      <c r="W7" s="1558"/>
      <c r="X7" s="1558"/>
      <c r="Y7" s="1558"/>
      <c r="Z7" s="1558"/>
      <c r="AA7" s="1558"/>
      <c r="AB7" s="1558"/>
      <c r="AC7" s="1558"/>
      <c r="AD7" s="1558"/>
      <c r="AE7" s="1558"/>
      <c r="AF7" s="1558"/>
      <c r="AG7" s="1558"/>
      <c r="AH7" s="1558"/>
      <c r="AI7" s="1558"/>
      <c r="AJ7" s="1558"/>
      <c r="AK7" s="1558"/>
      <c r="AL7" s="1558"/>
      <c r="AM7" s="1558"/>
      <c r="AN7" s="1558"/>
      <c r="AO7" s="1558"/>
      <c r="AP7" s="1558"/>
      <c r="AQ7" s="1558"/>
      <c r="AR7" s="1558"/>
      <c r="AS7" s="1558"/>
      <c r="AT7" s="1558"/>
      <c r="AU7" s="1558"/>
      <c r="AV7" s="1558"/>
      <c r="AW7" s="1558"/>
      <c r="AX7" s="1558"/>
      <c r="AY7" s="1558"/>
      <c r="AZ7" s="1558"/>
      <c r="BA7" s="1558"/>
      <c r="BB7" s="1558"/>
      <c r="BC7" s="1558"/>
      <c r="BD7" s="1558"/>
      <c r="BE7" s="1558"/>
      <c r="BF7" s="1558"/>
      <c r="BG7" s="1558"/>
      <c r="BH7" s="1558"/>
      <c r="BI7" s="1558"/>
      <c r="BJ7" s="1558"/>
      <c r="BK7" s="1558"/>
      <c r="BL7" s="1558"/>
      <c r="BM7" s="1558"/>
      <c r="BN7" s="1558"/>
      <c r="BO7" s="1558"/>
      <c r="BP7" s="1558"/>
      <c r="BQ7" s="1558"/>
      <c r="BR7" s="1558"/>
      <c r="BS7" s="1558"/>
      <c r="BT7" s="1558"/>
      <c r="BU7" s="1558"/>
      <c r="BV7" s="1558"/>
      <c r="BW7" s="1558"/>
      <c r="BX7" s="1558"/>
      <c r="BY7" s="1558"/>
      <c r="BZ7" s="1558"/>
      <c r="CA7" s="1558"/>
      <c r="CB7" s="1558"/>
      <c r="CC7" s="1558"/>
      <c r="CD7" s="1558"/>
      <c r="CE7" s="1558"/>
      <c r="CF7" s="1558"/>
      <c r="CG7" s="1558"/>
      <c r="CH7" s="1558"/>
      <c r="CI7" s="1558"/>
      <c r="CJ7" s="1558"/>
      <c r="CK7" s="1558"/>
      <c r="CL7" s="1558"/>
      <c r="CM7" s="1558"/>
      <c r="CN7" s="1558"/>
      <c r="CO7" s="1558"/>
      <c r="CP7" s="1558"/>
      <c r="CQ7" s="1558"/>
      <c r="CR7" s="1558"/>
      <c r="CS7" s="1558"/>
      <c r="CT7" s="1558"/>
      <c r="CU7" s="1558"/>
      <c r="CV7" s="1558"/>
      <c r="CW7" s="1558"/>
      <c r="CX7" s="1558"/>
      <c r="CY7" s="1558"/>
      <c r="CZ7" s="1558"/>
      <c r="DA7" s="1558"/>
      <c r="DB7" s="1558"/>
      <c r="DC7" s="1558"/>
      <c r="DD7" s="1558"/>
      <c r="DE7" s="1558"/>
      <c r="DF7" s="1558"/>
      <c r="DG7" s="1558"/>
      <c r="DH7" s="1558"/>
      <c r="DI7" s="1558"/>
      <c r="DJ7" s="1558"/>
      <c r="DK7" s="1558"/>
      <c r="DL7" s="1558"/>
      <c r="DM7" s="1558"/>
      <c r="DN7" s="1558"/>
      <c r="DO7" s="1558"/>
      <c r="DP7" s="1558"/>
      <c r="DQ7" s="1558"/>
      <c r="DR7" s="1558"/>
      <c r="DS7" s="1558"/>
      <c r="DT7" s="1558"/>
      <c r="DU7" s="1558"/>
      <c r="DV7" s="1558"/>
      <c r="DW7" s="1558"/>
      <c r="DX7" s="1558"/>
      <c r="DY7" s="1558"/>
      <c r="DZ7" s="1558"/>
      <c r="EA7" s="1558"/>
      <c r="EB7" s="1558"/>
      <c r="EC7" s="1558"/>
      <c r="ED7" s="1558"/>
      <c r="EE7" s="1558"/>
      <c r="EF7" s="1558"/>
      <c r="EG7" s="1558"/>
      <c r="EH7" s="1558"/>
      <c r="EI7" s="1558"/>
      <c r="EJ7" s="1558"/>
      <c r="EK7" s="1558"/>
      <c r="EL7" s="1558"/>
      <c r="EM7" s="1558"/>
      <c r="EN7" s="1558"/>
      <c r="EO7" s="1558"/>
      <c r="EP7" s="1564"/>
      <c r="EQ7" s="1564"/>
      <c r="ER7" s="1564"/>
      <c r="ES7" s="1564"/>
      <c r="ET7" s="1564"/>
      <c r="EU7" s="1564"/>
      <c r="EV7" s="1564"/>
      <c r="EW7" s="1564"/>
      <c r="EX7" s="1564"/>
      <c r="EY7" s="1564"/>
      <c r="EZ7" s="1564"/>
      <c r="FA7" s="1564"/>
    </row>
    <row r="8" spans="1:157" s="1565" customFormat="1" ht="15" hidden="1" outlineLevel="1" x14ac:dyDescent="0.25">
      <c r="A8" s="1569" t="s">
        <v>1347</v>
      </c>
      <c r="B8" s="1570"/>
      <c r="C8" s="1571"/>
      <c r="D8" s="1571"/>
      <c r="E8" s="1571"/>
      <c r="F8" s="1571"/>
      <c r="G8" s="1571"/>
      <c r="H8" s="1571"/>
      <c r="I8" s="1571"/>
      <c r="J8" s="1571"/>
      <c r="K8" s="1571"/>
      <c r="L8" s="1571"/>
      <c r="M8" s="1571"/>
      <c r="N8" s="1571"/>
      <c r="O8" s="1571"/>
      <c r="P8" s="1571"/>
      <c r="Q8" s="1571"/>
      <c r="R8" s="1571"/>
      <c r="S8" s="1571"/>
      <c r="T8" s="1571"/>
      <c r="U8" s="1571"/>
      <c r="V8" s="1571">
        <f>B17</f>
        <v>10000000</v>
      </c>
      <c r="W8" s="1558"/>
      <c r="X8" s="1558"/>
      <c r="Y8" s="1558"/>
      <c r="Z8" s="1558"/>
      <c r="AA8" s="1558"/>
      <c r="AB8" s="1558"/>
      <c r="AC8" s="1558"/>
      <c r="AD8" s="1558"/>
      <c r="AE8" s="1558"/>
      <c r="AF8" s="1558"/>
      <c r="AG8" s="1558"/>
      <c r="AH8" s="1558"/>
      <c r="AI8" s="1558"/>
      <c r="AJ8" s="1558"/>
      <c r="AK8" s="1558"/>
      <c r="AL8" s="1558"/>
      <c r="AM8" s="1558"/>
      <c r="AN8" s="1558"/>
      <c r="AO8" s="1558"/>
      <c r="AP8" s="1558"/>
      <c r="AQ8" s="1558"/>
      <c r="AR8" s="1558"/>
      <c r="AS8" s="1558"/>
      <c r="AT8" s="1558"/>
      <c r="AU8" s="1558"/>
      <c r="AV8" s="1558"/>
      <c r="AW8" s="1558"/>
      <c r="AX8" s="1558"/>
      <c r="AY8" s="1558"/>
      <c r="AZ8" s="1558"/>
      <c r="BA8" s="1558"/>
      <c r="BB8" s="1558"/>
      <c r="BC8" s="1558"/>
      <c r="BD8" s="1558"/>
      <c r="BE8" s="1558"/>
      <c r="BF8" s="1558"/>
      <c r="BG8" s="1558"/>
      <c r="BH8" s="1558"/>
      <c r="BI8" s="1558"/>
      <c r="BJ8" s="1558"/>
      <c r="BK8" s="1558"/>
      <c r="BL8" s="1558"/>
      <c r="BM8" s="1558"/>
      <c r="BN8" s="1558"/>
      <c r="BO8" s="1558"/>
      <c r="BP8" s="1558"/>
      <c r="BQ8" s="1558"/>
      <c r="BR8" s="1558"/>
      <c r="BS8" s="1558"/>
      <c r="BT8" s="1558"/>
      <c r="BU8" s="1558"/>
      <c r="BV8" s="1558"/>
      <c r="BW8" s="1558"/>
      <c r="BX8" s="1558"/>
      <c r="BY8" s="1558"/>
      <c r="BZ8" s="1558"/>
      <c r="CA8" s="1558"/>
      <c r="CB8" s="1558"/>
      <c r="CC8" s="1558"/>
      <c r="CD8" s="1558"/>
      <c r="CE8" s="1558"/>
      <c r="CF8" s="1558"/>
      <c r="CG8" s="1558"/>
      <c r="CH8" s="1558"/>
      <c r="CI8" s="1558"/>
      <c r="CJ8" s="1558"/>
      <c r="CK8" s="1558"/>
      <c r="CL8" s="1558"/>
      <c r="CM8" s="1558"/>
      <c r="CN8" s="1558"/>
      <c r="CO8" s="1558"/>
      <c r="CP8" s="1558"/>
      <c r="CQ8" s="1558"/>
      <c r="CR8" s="1558"/>
      <c r="CS8" s="1558"/>
      <c r="CT8" s="1558"/>
      <c r="CU8" s="1558"/>
      <c r="CV8" s="1558"/>
      <c r="CW8" s="1558"/>
      <c r="CX8" s="1558"/>
      <c r="CY8" s="1558"/>
      <c r="CZ8" s="1558"/>
      <c r="DA8" s="1558"/>
      <c r="DB8" s="1558"/>
      <c r="DC8" s="1558"/>
      <c r="DD8" s="1558"/>
      <c r="DE8" s="1558"/>
      <c r="DF8" s="1558"/>
      <c r="DG8" s="1558"/>
      <c r="DH8" s="1558"/>
      <c r="DI8" s="1558"/>
      <c r="DJ8" s="1558"/>
      <c r="DK8" s="1558"/>
      <c r="DL8" s="1558"/>
      <c r="DM8" s="1558"/>
      <c r="DN8" s="1558"/>
      <c r="DO8" s="1558"/>
      <c r="DP8" s="1558"/>
      <c r="DQ8" s="1558"/>
      <c r="DR8" s="1558"/>
      <c r="DS8" s="1558"/>
      <c r="DT8" s="1558"/>
      <c r="DU8" s="1558"/>
      <c r="DV8" s="1558"/>
      <c r="DW8" s="1558"/>
      <c r="DX8" s="1558"/>
      <c r="DY8" s="1558"/>
      <c r="DZ8" s="1558"/>
      <c r="EA8" s="1558"/>
      <c r="EB8" s="1558"/>
      <c r="EC8" s="1558"/>
      <c r="ED8" s="1558"/>
      <c r="EE8" s="1558"/>
      <c r="EF8" s="1558"/>
      <c r="EG8" s="1558"/>
      <c r="EH8" s="1558"/>
      <c r="EI8" s="1558"/>
      <c r="EJ8" s="1558"/>
      <c r="EK8" s="1558"/>
      <c r="EL8" s="1558"/>
      <c r="EM8" s="1558"/>
      <c r="EN8" s="1558"/>
      <c r="EO8" s="1558"/>
      <c r="EP8" s="1564"/>
      <c r="EQ8" s="1564"/>
      <c r="ER8" s="1564"/>
      <c r="ES8" s="1564"/>
      <c r="ET8" s="1564"/>
      <c r="EU8" s="1564"/>
      <c r="EV8" s="1564"/>
      <c r="EW8" s="1564"/>
      <c r="EX8" s="1564"/>
      <c r="EY8" s="1564"/>
      <c r="EZ8" s="1564"/>
      <c r="FA8" s="1564"/>
    </row>
    <row r="9" spans="1:157" s="1565" customFormat="1" ht="15" hidden="1" outlineLevel="1" x14ac:dyDescent="0.25">
      <c r="A9" s="1569" t="s">
        <v>1348</v>
      </c>
      <c r="B9" s="1570"/>
      <c r="C9" s="1571">
        <f>SUMIF(Inventário!$G$6:$G$25,"1",Inventário!$T$6:$T$25)*(AVERAGE(Inventário!$J$6:$J$25))</f>
        <v>1200.0000000000002</v>
      </c>
      <c r="D9" s="1571">
        <f>(SUMIF(Inventário!$G$6:$G$25,"1",Inventário!$T$6:$T$25)+SUMIF(Inventário!$G$6:$G$25,"2",Inventário!$T$6:$T$25))*(AVERAGE(Inventário!$J$6:$J$25))</f>
        <v>1200.0000000000002</v>
      </c>
      <c r="E9" s="1571">
        <f>(SUMIF(Inventário!$G$6:$G$25,"1",Inventário!$T$6:$T$25)+SUMIF(Inventário!$G$6:$G$25,"3",Inventário!$T$6:$T$25))*(AVERAGE(Inventário!$J$6:$J$25))</f>
        <v>1200.0000000000002</v>
      </c>
      <c r="F9" s="1571">
        <f>(SUMIF(Inventário!$G$6:$G$25,"1",Inventário!$T$6:$T$25)+SUMIF(Inventário!$G$6:$G$25,"2",Inventário!$T$6:$T$25)+SUMIF(Inventário!$G$6:$G$25,"4",Inventário!$T$6:$T$25))*(AVERAGE(Inventário!$J$6:$J$25))</f>
        <v>1200.0000000000002</v>
      </c>
      <c r="G9" s="1571">
        <f>(SUMIF(Inventário!$G$6:$G$25,"1",Inventário!$T$6:$T$25)+SUMIF(Inventário!$G$6:$G$25,"5",Inventário!$T$6:$T$25))*(AVERAGE(Inventário!$J$6:$J$25))</f>
        <v>13200.000000000002</v>
      </c>
      <c r="H9" s="1571">
        <f>(SUMIF(Inventário!$G$6:$G$25,"1",Inventário!$T$6:$T$25)+SUMIF(Inventário!$G$6:$G$25,"2",Inventário!$T$6:$T$25)+SUMIF(Inventário!$G$6:$G$25,"3",Inventário!$T$6:$T$25)+SUMIF(Inventário!$G$6:$G$25,"6",Inventário!$T$6:$T$25))*(AVERAGE(Inventário!$J$6:$J$25))</f>
        <v>1200.0000000000002</v>
      </c>
      <c r="I9" s="1571">
        <f>(SUMIF(Inventário!$G$6:$G$25,"1",Inventário!$T$6:$T$25)+SUMIF(Inventário!$G$6:$G$25,"7",Inventário!$T$6:$T$25))*(AVERAGE(Inventário!$J$6:$J$25))</f>
        <v>1200.0000000000002</v>
      </c>
      <c r="J9" s="1571">
        <f>(SUMIF(Inventário!$G$6:$G$25,"1",Inventário!$T$6:$T$25)+SUMIF(Inventário!$G$6:$G$25,"2",Inventário!$T$6:$T$25)+SUMIF(Inventário!$G$6:$G$25,"4",Inventário!$T$6:$T$25)+SUMIF(Inventário!$G$6:$G$25,"8",Inventário!$T$6:$T$25))*(AVERAGE(Inventário!$J$6:$J$25))</f>
        <v>1200.0000000000002</v>
      </c>
      <c r="K9" s="1571">
        <f>(SUMIF(Inventário!$G$6:$G$25,"1",Inventário!$T$6:$T$25)+SUMIF(Inventário!$G$6:$G$25,"3",Inventário!$T$6:$T$25)+SUMIF(Inventário!$G$6:$G$25,"9",Inventário!$T$6:$T$25))*(AVERAGE(Inventário!$J$6:$J$25))</f>
        <v>1200.0000000000002</v>
      </c>
      <c r="L9" s="1571">
        <f>(SUMIF(Inventário!$G$6:$G$25,"1",Inventário!$T$6:$T$25)+SUMIF(Inventário!$G$6:$G$25,"2",Inventário!$T$6:$T$25)+SUMIF(Inventário!$G$6:$G$25,"5",Inventário!$T$6:$T$25)+SUMIF(Inventário!$G$6:$G$25,"10",Inventário!$T$6:$T$25))*(AVERAGE(Inventário!$J$6:$J$25))</f>
        <v>13200.000000000002</v>
      </c>
      <c r="M9" s="1571">
        <f>(SUMIF(Inventário!$G$6:$G$25,"1",Inventário!$T$6:$T$25)+SUMIF(Inventário!$G$6:$G$25,"11",Inventário!$T$6:$T$25))*(AVERAGE(Inventário!$J$6:$J$25))</f>
        <v>1200.0000000000002</v>
      </c>
      <c r="N9" s="1571">
        <f ca="1">(SUMIF(Inventário!$G$6:$G$25,"1",Inventário!$T$6:$T$25)+SUMIF(Inventário!$G$6:$G$25,"2",Inventário!$T$6:$T$25)+SUMIF(Inventário!$G$6:$G$25,"3",Inventário!$T$6:$T$25)+SUMIF(Inventário!$G$6:$G$25,"4",Inventário!$T$6:$T$25)+SUMIF(Inventário!$G$6:$G$25,"6",Inventário!$T$6:$T$25)+SUMIF(Inventário!$G$6:$G$25,"12",Inventário!$T$6:$T$25))*(AVERAGE(Inventário!$J$6:$J$25))</f>
        <v>123954.4330194041</v>
      </c>
      <c r="O9" s="1571">
        <f>(SUMIF(Inventário!$G$6:$G$25,"1",Inventário!$T$6:$T$25)+SUMIF(Inventário!$G$6:$G$25,"13",Inventário!$T$6:$T$25))*(AVERAGE(Inventário!$J$6:$J$25))</f>
        <v>1200.0000000000002</v>
      </c>
      <c r="P9" s="1571">
        <f>(SUMIF(Inventário!$G$6:$G$25,"1",Inventário!$T$6:$T$25)+SUMIF(Inventário!$G$6:$G$25,"2",Inventário!$T$6:$T$25)+SUMIF(Inventário!$G$6:$G$25,"7",Inventário!$T$6:$T$25))*(AVERAGE(Inventário!$J$6:$J$25))</f>
        <v>1200.0000000000002</v>
      </c>
      <c r="Q9" s="1571">
        <f>(SUMIF(Inventário!$G$6:$G$25,"1",Inventário!$T$6:$T$25)+SUMIF(Inventário!$G$6:$G$25,"3",Inventário!$T$6:$T$25)+SUMIF(Inventário!$G$6:$G$25,"5",Inventário!$T$6:$T$25)+SUMIF(Inventário!$G$6:$G$25,"15",Inventário!$T$6:$T$25))*(AVERAGE(Inventário!$J$6:$J$25))</f>
        <v>43200.000000000007</v>
      </c>
      <c r="R9" s="1571">
        <f>(SUMIF(Inventário!$G$6:$G$25,"1",Inventário!$T$6:$T$25)+SUMIF(Inventário!$G$6:$G$25,"2",Inventário!$T$6:$T$25)+SUMIF(Inventário!$G$6:$G$25,"4",Inventário!$T$6:$T$25)+SUMIF(Inventário!$G$6:$G$25,"8",Inventário!$T$6:$T$25)+SUMIF(Inventário!$G$6:$G$25,"16",Inventário!$T$6:$T$25))*(AVERAGE(Inventário!$J$6:$J$25))</f>
        <v>1200.0000000000002</v>
      </c>
      <c r="S9" s="1571">
        <f>(SUMIF(Inventário!$G$6:$G$25,"1",Inventário!$T$6:$T$25)+SUMIF(Inventário!$G$6:$G$25,"17",Inventário!$T$6:$T$25))*(AVERAGE(Inventário!$J$6:$J$25))</f>
        <v>1200.0000000000002</v>
      </c>
      <c r="T9" s="1571">
        <f>(SUMIF(Inventário!$G$6:$G$25,"1",Inventário!$T$6:$T$25)+SUMIF(Inventário!$G$6:$G$25,"2",Inventário!$T$6:$T$25)+SUMIF(Inventário!$G$6:$G$25,"3",Inventário!$T$6:$T$25)+SUMIF(Inventário!$G$6:$G$25,"6",Inventário!$T$6:$T$25)+SUMIF(Inventário!$G$6:$G$25,"9",Inventário!$T$6:$T$25)+SUMIF(Inventário!$G$6:$G$25,"18",Inventário!$T$6:$T$25))*(AVERAGE(Inventário!$J$6:$J$25))</f>
        <v>1200.0000000000002</v>
      </c>
      <c r="U9" s="1571">
        <f>(SUMIF(Inventário!$G$6:$G$25,"1",Inventário!$T$6:$T$25)+SUMIF(Inventário!$G$6:$G$25,"19",Inventário!$T$6:$T$25))*(AVERAGE(Inventário!$J$6:$J$25))</f>
        <v>1200.0000000000002</v>
      </c>
      <c r="V9" s="1571">
        <f ca="1">(B20*AVERAGE(Inventário!J6:J25)-U9)</f>
        <v>257854.43301940412</v>
      </c>
      <c r="W9" s="1558"/>
      <c r="X9" s="1558"/>
      <c r="Y9" s="1558"/>
      <c r="Z9" s="1558"/>
      <c r="AA9" s="1558"/>
      <c r="AB9" s="1558"/>
      <c r="AC9" s="1558"/>
      <c r="AD9" s="1558"/>
      <c r="AE9" s="1558"/>
      <c r="AF9" s="1558"/>
      <c r="AG9" s="1558"/>
      <c r="AH9" s="1558"/>
      <c r="AI9" s="1558"/>
      <c r="AJ9" s="1558"/>
      <c r="AK9" s="1558"/>
      <c r="AL9" s="1558"/>
      <c r="AM9" s="1558"/>
      <c r="AN9" s="1558"/>
      <c r="AO9" s="1558"/>
      <c r="AP9" s="1558"/>
      <c r="AQ9" s="1558"/>
      <c r="AR9" s="1558"/>
      <c r="AS9" s="1558"/>
      <c r="AT9" s="1558"/>
      <c r="AU9" s="1558"/>
      <c r="AV9" s="1558"/>
      <c r="AW9" s="1558"/>
      <c r="AX9" s="1558"/>
      <c r="AY9" s="1558"/>
      <c r="AZ9" s="1558"/>
      <c r="BA9" s="1558"/>
      <c r="BB9" s="1558"/>
      <c r="BC9" s="1558"/>
      <c r="BD9" s="1558"/>
      <c r="BE9" s="1558"/>
      <c r="BF9" s="1558"/>
      <c r="BG9" s="1558"/>
      <c r="BH9" s="1558"/>
      <c r="BI9" s="1558"/>
      <c r="BJ9" s="1558"/>
      <c r="BK9" s="1558"/>
      <c r="BL9" s="1558"/>
      <c r="BM9" s="1558"/>
      <c r="BN9" s="1558"/>
      <c r="BO9" s="1558"/>
      <c r="BP9" s="1558"/>
      <c r="BQ9" s="1558"/>
      <c r="BR9" s="1558"/>
      <c r="BS9" s="1558"/>
      <c r="BT9" s="1558"/>
      <c r="BU9" s="1558"/>
      <c r="BV9" s="1558"/>
      <c r="BW9" s="1558"/>
      <c r="BX9" s="1558"/>
      <c r="BY9" s="1558"/>
      <c r="BZ9" s="1558"/>
      <c r="CA9" s="1558"/>
      <c r="CB9" s="1558"/>
      <c r="CC9" s="1558"/>
      <c r="CD9" s="1558"/>
      <c r="CE9" s="1558"/>
      <c r="CF9" s="1558"/>
      <c r="CG9" s="1558"/>
      <c r="CH9" s="1558"/>
      <c r="CI9" s="1558"/>
      <c r="CJ9" s="1558"/>
      <c r="CK9" s="1558"/>
      <c r="CL9" s="1558"/>
      <c r="CM9" s="1558"/>
      <c r="CN9" s="1558"/>
      <c r="CO9" s="1558"/>
      <c r="CP9" s="1558"/>
      <c r="CQ9" s="1558"/>
      <c r="CR9" s="1558"/>
      <c r="CS9" s="1558"/>
      <c r="CT9" s="1558"/>
      <c r="CU9" s="1558"/>
      <c r="CV9" s="1558"/>
      <c r="CW9" s="1558"/>
      <c r="CX9" s="1558"/>
      <c r="CY9" s="1558"/>
      <c r="CZ9" s="1558"/>
      <c r="DA9" s="1558"/>
      <c r="DB9" s="1558"/>
      <c r="DC9" s="1558"/>
      <c r="DD9" s="1558"/>
      <c r="DE9" s="1558"/>
      <c r="DF9" s="1558"/>
      <c r="DG9" s="1558"/>
      <c r="DH9" s="1558"/>
      <c r="DI9" s="1558"/>
      <c r="DJ9" s="1558"/>
      <c r="DK9" s="1558"/>
      <c r="DL9" s="1558"/>
      <c r="DM9" s="1558"/>
      <c r="DN9" s="1558"/>
      <c r="DO9" s="1558"/>
      <c r="DP9" s="1558"/>
      <c r="DQ9" s="1558"/>
      <c r="DR9" s="1558"/>
      <c r="DS9" s="1558"/>
      <c r="DT9" s="1558"/>
      <c r="DU9" s="1558"/>
      <c r="DV9" s="1558"/>
      <c r="DW9" s="1558"/>
      <c r="DX9" s="1558"/>
      <c r="DY9" s="1558"/>
      <c r="DZ9" s="1558"/>
      <c r="EA9" s="1558"/>
      <c r="EB9" s="1558"/>
      <c r="EC9" s="1558"/>
      <c r="ED9" s="1558"/>
      <c r="EE9" s="1558"/>
      <c r="EF9" s="1558"/>
      <c r="EG9" s="1558"/>
      <c r="EH9" s="1558"/>
      <c r="EI9" s="1558"/>
      <c r="EJ9" s="1558"/>
      <c r="EK9" s="1558"/>
      <c r="EL9" s="1558"/>
      <c r="EM9" s="1558"/>
      <c r="EN9" s="1558"/>
      <c r="EO9" s="1558"/>
      <c r="EP9" s="1564"/>
      <c r="EQ9" s="1564"/>
      <c r="ER9" s="1564"/>
      <c r="ES9" s="1564"/>
      <c r="ET9" s="1564"/>
      <c r="EU9" s="1564"/>
      <c r="EV9" s="1564"/>
      <c r="EW9" s="1564"/>
      <c r="EX9" s="1564"/>
      <c r="EY9" s="1564"/>
      <c r="EZ9" s="1564"/>
      <c r="FA9" s="1564"/>
    </row>
    <row r="10" spans="1:157" s="1565" customFormat="1" ht="15" hidden="1" outlineLevel="1" x14ac:dyDescent="0.25">
      <c r="A10" s="1569" t="s">
        <v>1349</v>
      </c>
      <c r="B10" s="1570"/>
      <c r="C10" s="1571">
        <f>SUMIF(Inventário!$G$33:$G$42,"1",Inventário!$T$33:$T$42)*AVERAGE(Inventário!$J$33:$J$42)</f>
        <v>0</v>
      </c>
      <c r="D10" s="1571">
        <f>(SUMIF(Inventário!$G$33:$G$42,"1",Inventário!$T$33:$T$42)+SUMIF(Inventário!$G$33:$G$42,"2",Inventário!$T$33:$T$42))*AVERAGE(Inventário!$J$33:$J$42)</f>
        <v>0</v>
      </c>
      <c r="E10" s="1571">
        <f>(SUMIF(Inventário!$G$33:$G$42,"1",Inventário!$T$33:$T$42)+SUMIF(Inventário!$G$33:$G$42,"3",Inventário!$T$33:$T$42))*AVERAGE(Inventário!$J$33:$J$42)</f>
        <v>0</v>
      </c>
      <c r="F10" s="1571">
        <f>(SUMIF(Inventário!$G$33:$G$42,"1",Inventário!$T$33:$T$42)+SUMIF(Inventário!$G$33:$G$42,"2",Inventário!$T$33:$T$42)+SUMIF(Inventário!$G$33:$G$42,"4",Inventário!$T$33:$T$42))*AVERAGE(Inventário!$J$33:$J$42)</f>
        <v>0</v>
      </c>
      <c r="G10" s="1571">
        <f>(SUMIF(Inventário!$G$33:$G$42,"1",Inventário!$T$33:$T$42)+SUMIF(Inventário!$G$33:$G$42,"5",Inventário!$T$33:$T$42))*AVERAGE(Inventário!$J$33:$J$42)</f>
        <v>0</v>
      </c>
      <c r="H10" s="1571">
        <f>(SUMIF(Inventário!$G$33:$G$42,"1",Inventário!$T$33:$T$42)+SUMIF(Inventário!$G$33:$G$42,"2",Inventário!$T$33:$T$42)+SUMIF(Inventário!$G$33:$G$42,"3",Inventário!$T$33:$T$42)+SUMIF(Inventário!$G$33:$G$42,"6",Inventário!$T$33:$T$42))*AVERAGE(Inventário!$J$33:$J$42)</f>
        <v>0</v>
      </c>
      <c r="I10" s="1571">
        <f>(SUMIF(Inventário!$G$33:$G$42,"1",Inventário!$T$33:$T$42)+SUMIF(Inventário!$G$33:$G$42,"7",Inventário!$T$33:$T$42))*AVERAGE(Inventário!$J$33:$J$42)</f>
        <v>0</v>
      </c>
      <c r="J10" s="1571">
        <f>(SUMIF(Inventário!$G$33:$G$42,"1",Inventário!$T$33:$T$42)+SUMIF(Inventário!$G$33:$G$42,"2",Inventário!$T$33:$T$42)+SUMIF(Inventário!$G$33:$G$42,"4",Inventário!$T$33:$T$42)+SUMIF(Inventário!$G$33:$G$42,"8",Inventário!$T$33:$T$42))*AVERAGE(Inventário!$J$33:$J$42)</f>
        <v>0</v>
      </c>
      <c r="K10" s="1571">
        <f>(SUMIF(Inventário!$G$33:$G$42,"1",Inventário!$T$33:$T$42)+SUMIF(Inventário!$G$33:$G$42,"3",Inventário!$T$33:$T$42)+SUMIF(Inventário!$G$33:$G$42,"9",Inventário!$T$33:$T$42))*AVERAGE(Inventário!$J$33:$J$42)</f>
        <v>0</v>
      </c>
      <c r="L10" s="1571">
        <f>(SUMIF(Inventário!$G$33:$G$42,"1",Inventário!$T$33:$T$42)+SUMIF(Inventário!$G$33:$G$42,"2",Inventário!$T$33:$T$42)+SUMIF(Inventário!$G$33:$G$42,"5",Inventário!$T$33:$T$42)+SUMIF(Inventário!$G$33:$G$42,"10",Inventário!$T$33:$T$42))*AVERAGE(Inventário!$J$33:$J$42)</f>
        <v>0</v>
      </c>
      <c r="M10" s="1571">
        <f>(SUMIF(Inventário!$G$33:$G$42,"1",Inventário!$T$33:$T$42)+SUMIF(Inventário!$G$33:$G$42,"11",Inventário!$T$33:$T$42))*AVERAGE(Inventário!$J$33:$J$42)</f>
        <v>0</v>
      </c>
      <c r="N10" s="1571">
        <f>(SUMIF(Inventário!$G$33:$G$42,"1",Inventário!$T$33:$T$42)+SUMIF(Inventário!$G$33:$G$42,"2",Inventário!$T$33:$T$42)+SUMIF(Inventário!$G$33:$G$42,"3",Inventário!$T$33:$T$42)+SUMIF(Inventário!$G$33:$G$42,"4",Inventário!$T$33:$T$42)+SUMIF(Inventário!$G$33:$G$42,"6",Inventário!$T$33:$T$42)+SUMIF(Inventário!$G$33:$G$42,"12",Inventário!$T$33:$T$42))*AVERAGE(Inventário!$J$33:$J$42)</f>
        <v>0</v>
      </c>
      <c r="O10" s="1571">
        <f>(SUMIF(Inventário!$G$33:$G$42,"1",Inventário!$T$33:$T$42)+SUMIF(Inventário!$G$33:$G$42,"13",Inventário!$T$33:$T$42))*AVERAGE(Inventário!$J$33:$J$42)</f>
        <v>0</v>
      </c>
      <c r="P10" s="1571">
        <f>(SUMIF(Inventário!$G$33:$G$42,"1",Inventário!$T$33:$T$42)+SUMIF(Inventário!$G$33:$G$42,"2",Inventário!$T$33:$T$42)+SUMIF(Inventário!$G$33:$G$42,"7",Inventário!$T$33:$T$42))*AVERAGE(Inventário!$J$33:$J$42)</f>
        <v>0</v>
      </c>
      <c r="Q10" s="1571">
        <f>(SUMIF(Inventário!$G$33:$G$42,"1",Inventário!$T$33:$T$42)+SUMIF(Inventário!$G$33:$G$42,"3",Inventário!$T$33:$T$42)+SUMIF(Inventário!$G$33:$G$42,"5",Inventário!$T$33:$T$42)+SUMIF(Inventário!$G$33:$G$42,"15",Inventário!$T$33:$T$42))*AVERAGE(Inventário!$J$33:$J$42)</f>
        <v>40900</v>
      </c>
      <c r="R10" s="1571">
        <f>(SUMIF(Inventário!$G$33:$G$42,"1",Inventário!$T$33:$T$42)+SUMIF(Inventário!$G$33:$G$42,"2",Inventário!$T$33:$T$42)+SUMIF(Inventário!$G$33:$G$42,"4",Inventário!$T$33:$T$42)+SUMIF(Inventário!$G$33:$G$42,"8",Inventário!$T$33:$T$42)+SUMIF(Inventário!$G$33:$G$42,"16",Inventário!$T$33:$T$42))*AVERAGE(Inventário!$J$33:$J$42)</f>
        <v>0</v>
      </c>
      <c r="S10" s="1571">
        <f>(SUMIF(Inventário!$G$33:$G$42,"1",Inventário!$T$33:$T$42)+SUMIF(Inventário!$G$33:$G$42,"17",Inventário!$T$33:$T$42))*AVERAGE(Inventário!$J$33:$J$42)</f>
        <v>0</v>
      </c>
      <c r="T10" s="1571">
        <f>(SUMIF(Inventário!$G$33:$G$42,"1",Inventário!$T$33:$T$42)+SUMIF(Inventário!$G$33:$G$42,"2",Inventário!$T$33:$T$42)+SUMIF(Inventário!$G$33:$G$42,"3",Inventário!$T$33:$T$42)+SUMIF(Inventário!$G$33:$G$42,"6",Inventário!$T$33:$T$42)+SUMIF(Inventário!$G$33:$G$42,"9",Inventário!$T$33:$T$42)+SUMIF(Inventário!$G$33:$G$42,"18",Inventário!$T$33:$T$42))*AVERAGE(Inventário!$J$33:$J$42)</f>
        <v>0</v>
      </c>
      <c r="U10" s="1571">
        <f>(SUMIF(Inventário!$G$33:$G$42,"1",Inventário!$T$33:$T$42)+SUMIF(Inventário!$G$33:$G$42,"19",Inventário!$T$33:$T$42))*AVERAGE(Inventário!$J$33:$J$42)</f>
        <v>0</v>
      </c>
      <c r="V10" s="1571">
        <f>B21*(AVERAGE(Inventário!J33:J42)-U10)</f>
        <v>40900</v>
      </c>
      <c r="W10" s="1558"/>
      <c r="X10" s="1558"/>
      <c r="Y10" s="1558"/>
      <c r="Z10" s="1558"/>
      <c r="AA10" s="1558"/>
      <c r="AB10" s="1558"/>
      <c r="AC10" s="1558"/>
      <c r="AD10" s="1558"/>
      <c r="AE10" s="1558"/>
      <c r="AF10" s="1558"/>
      <c r="AG10" s="1558"/>
      <c r="AH10" s="1558"/>
      <c r="AI10" s="1558"/>
      <c r="AJ10" s="1558"/>
      <c r="AK10" s="1558"/>
      <c r="AL10" s="1558"/>
      <c r="AM10" s="1558"/>
      <c r="AN10" s="1558"/>
      <c r="AO10" s="1558"/>
      <c r="AP10" s="1558"/>
      <c r="AQ10" s="1558"/>
      <c r="AR10" s="1558"/>
      <c r="AS10" s="1558"/>
      <c r="AT10" s="1558"/>
      <c r="AU10" s="1558"/>
      <c r="AV10" s="1558"/>
      <c r="AW10" s="1558"/>
      <c r="AX10" s="1558"/>
      <c r="AY10" s="1558"/>
      <c r="AZ10" s="1558"/>
      <c r="BA10" s="1558"/>
      <c r="BB10" s="1558"/>
      <c r="BC10" s="1558"/>
      <c r="BD10" s="1558"/>
      <c r="BE10" s="1558"/>
      <c r="BF10" s="1558"/>
      <c r="BG10" s="1558"/>
      <c r="BH10" s="1558"/>
      <c r="BI10" s="1558"/>
      <c r="BJ10" s="1558"/>
      <c r="BK10" s="1558"/>
      <c r="BL10" s="1558"/>
      <c r="BM10" s="1558"/>
      <c r="BN10" s="1558"/>
      <c r="BO10" s="1558"/>
      <c r="BP10" s="1558"/>
      <c r="BQ10" s="1558"/>
      <c r="BR10" s="1558"/>
      <c r="BS10" s="1558"/>
      <c r="BT10" s="1558"/>
      <c r="BU10" s="1558"/>
      <c r="BV10" s="1558"/>
      <c r="BW10" s="1558"/>
      <c r="BX10" s="1558"/>
      <c r="BY10" s="1558"/>
      <c r="BZ10" s="1558"/>
      <c r="CA10" s="1558"/>
      <c r="CB10" s="1558"/>
      <c r="CC10" s="1558"/>
      <c r="CD10" s="1558"/>
      <c r="CE10" s="1558"/>
      <c r="CF10" s="1558"/>
      <c r="CG10" s="1558"/>
      <c r="CH10" s="1558"/>
      <c r="CI10" s="1558"/>
      <c r="CJ10" s="1558"/>
      <c r="CK10" s="1558"/>
      <c r="CL10" s="1558"/>
      <c r="CM10" s="1558"/>
      <c r="CN10" s="1558"/>
      <c r="CO10" s="1558"/>
      <c r="CP10" s="1558"/>
      <c r="CQ10" s="1558"/>
      <c r="CR10" s="1558"/>
      <c r="CS10" s="1558"/>
      <c r="CT10" s="1558"/>
      <c r="CU10" s="1558"/>
      <c r="CV10" s="1558"/>
      <c r="CW10" s="1558"/>
      <c r="CX10" s="1558"/>
      <c r="CY10" s="1558"/>
      <c r="CZ10" s="1558"/>
      <c r="DA10" s="1558"/>
      <c r="DB10" s="1558"/>
      <c r="DC10" s="1558"/>
      <c r="DD10" s="1558"/>
      <c r="DE10" s="1558"/>
      <c r="DF10" s="1558"/>
      <c r="DG10" s="1558"/>
      <c r="DH10" s="1558"/>
      <c r="DI10" s="1558"/>
      <c r="DJ10" s="1558"/>
      <c r="DK10" s="1558"/>
      <c r="DL10" s="1558"/>
      <c r="DM10" s="1558"/>
      <c r="DN10" s="1558"/>
      <c r="DO10" s="1558"/>
      <c r="DP10" s="1558"/>
      <c r="DQ10" s="1558"/>
      <c r="DR10" s="1558"/>
      <c r="DS10" s="1558"/>
      <c r="DT10" s="1558"/>
      <c r="DU10" s="1558"/>
      <c r="DV10" s="1558"/>
      <c r="DW10" s="1558"/>
      <c r="DX10" s="1558"/>
      <c r="DY10" s="1558"/>
      <c r="DZ10" s="1558"/>
      <c r="EA10" s="1558"/>
      <c r="EB10" s="1558"/>
      <c r="EC10" s="1558"/>
      <c r="ED10" s="1558"/>
      <c r="EE10" s="1558"/>
      <c r="EF10" s="1558"/>
      <c r="EG10" s="1558"/>
      <c r="EH10" s="1558"/>
      <c r="EI10" s="1558"/>
      <c r="EJ10" s="1558"/>
      <c r="EK10" s="1558"/>
      <c r="EL10" s="1558"/>
      <c r="EM10" s="1558"/>
      <c r="EN10" s="1558"/>
      <c r="EO10" s="1558"/>
      <c r="EP10" s="1564"/>
      <c r="EQ10" s="1564"/>
      <c r="ER10" s="1564"/>
      <c r="ES10" s="1564"/>
      <c r="ET10" s="1564"/>
      <c r="EU10" s="1564"/>
      <c r="EV10" s="1564"/>
      <c r="EW10" s="1564"/>
      <c r="EX10" s="1564"/>
      <c r="EY10" s="1564"/>
      <c r="EZ10" s="1564"/>
      <c r="FA10" s="1564"/>
    </row>
    <row r="11" spans="1:157" s="1565" customFormat="1" ht="15" hidden="1" outlineLevel="1" x14ac:dyDescent="0.25">
      <c r="A11" s="1569" t="s">
        <v>1350</v>
      </c>
      <c r="B11" s="1570"/>
      <c r="C11" s="1571">
        <f>SUMIF(Inventário!$G$52:$G$71,"1",Inventário!$T$52:$T$71)*AVERAGE(Inventário!$J$52:$J$71)</f>
        <v>0</v>
      </c>
      <c r="D11" s="1571">
        <f>(SUMIF(Inventário!$G$52:$G$71,"2",Inventário!$T$52:$T$71)+SUMIF(Inventário!$G$52:$G$71,"2",Inventário!$T$52:$T$71))*AVERAGE(Inventário!$J$52:$J$71)</f>
        <v>0</v>
      </c>
      <c r="E11" s="1571">
        <f>(SUMIF(Inventário!$G$52:$G$71,"1",Inventário!$T$52:$T$71)+SUMIF(Inventário!$G$52:$G$71,"3",Inventário!$T$52:$T$71))*AVERAGE(Inventário!$J$52:$J$71)</f>
        <v>0</v>
      </c>
      <c r="F11" s="1571">
        <f>(SUMIF(Inventário!$G$52:$G$71,"1",Inventário!$T$52:$T$71)+SUMIF(Inventário!$G$52:$G$71,"2",Inventário!$T$52:$T$71)+SUMIF(Inventário!$G$52:$G$71,"4",Inventário!$T$52:$T$71))*AVERAGE(Inventário!$J$52:$J$71)</f>
        <v>0</v>
      </c>
      <c r="G11" s="1571">
        <f>(SUMIF(Inventário!$G$52:$G$71,"1",Inventário!$T$52:$T$71)+SUMIF(Inventário!$G$52:$G$71,"5",Inventário!$T$52:$T$71))*AVERAGE(Inventário!$J$52:$J$71)</f>
        <v>0</v>
      </c>
      <c r="H11" s="1571">
        <f>(SUMIF(Inventário!$G$52:$G$71,"1",Inventário!$T$52:$T$71)+SUMIF(Inventário!$G$52:$G$71,"2",Inventário!$T$52:$T$71)+SUMIF(Inventário!$G$52:$G$71,"3",Inventário!$T$52:$T$71)+SUMIF(Inventário!$G$52:$G$71,"6",Inventário!$T$52:$T$71))*AVERAGE(Inventário!$J$52:$J$71)</f>
        <v>0</v>
      </c>
      <c r="I11" s="1571">
        <f>(SUMIF(Inventário!$G$52:$G$71,"1",Inventário!$T$52:$T$71)+SUMIF(Inventário!$G$52:$G$71,"7",Inventário!$T$52:$T$71))*AVERAGE(Inventário!$J$52:$J$71)</f>
        <v>0</v>
      </c>
      <c r="J11" s="1571">
        <f>(SUMIF(Inventário!$G$52:$G$71,"1",Inventário!$T$52:$T$71)+SUMIF(Inventário!$G$52:$G$71,"2",Inventário!$T$52:$T$71)+SUMIF(Inventário!$G$52:$G$71,"4",Inventário!$T$52:$T$71)+SUMIF(Inventário!$G$52:$G$71,"8",Inventário!$T$52:$T$71))*AVERAGE(Inventário!$J$52:$J$71)</f>
        <v>4800.0000000000009</v>
      </c>
      <c r="K11" s="1571">
        <f>(SUMIF(Inventário!$G$52:$G$71,"1",Inventário!$T$52:$T$71)+SUMIF(Inventário!$G$52:$G$71,"3",Inventário!$T$52:$T$71)+SUMIF(Inventário!$G$52:$G$71,"9",Inventário!$T$52:$T$71))*AVERAGE(Inventário!$J$52:$J$71)</f>
        <v>0</v>
      </c>
      <c r="L11" s="1571">
        <f>(SUMIF(Inventário!$G$52:$G$71,"1",Inventário!$T$52:$T$71)+SUMIF(Inventário!$G$52:$G$71,"2",Inventário!$T$52:$T$71)+SUMIF(Inventário!$G$52:$G$71,"5",Inventário!$T$52:$T$71)+SUMIF(Inventário!$G$52:$G$71,"10",Inventário!$T$52:$T$71))*AVERAGE(Inventário!$J$52:$J$71)</f>
        <v>0</v>
      </c>
      <c r="M11" s="1571">
        <f>(SUMIF(Inventário!$G$52:$G$71,"1",Inventário!$T$52:$T$71)+SUMIF(Inventário!$G$52:$G$71,"11",Inventário!$T$52:$T$71))*AVERAGE(Inventário!$J$52:$J$71)</f>
        <v>0</v>
      </c>
      <c r="N11" s="1571">
        <f>(SUMIF(Inventário!$G$52:$G$71,"1",Inventário!$T$52:$T$71)+SUMIF(Inventário!$G$52:$G$71,"2",Inventário!$T$52:$T$71)+SUMIF(Inventário!$G$52:$G$71,"3",Inventário!$T$52:$T$71)+SUMIF(Inventário!$G$52:$G$71,"4",Inventário!$T$52:$T$71)+SUMIF(Inventário!$G$52:$G$71,"6",Inventário!$T$52:$T$71)+SUMIF(Inventário!$G$52:$G$71,"12",Inventário!$T$52:$T$71))*AVERAGE(Inventário!$J$52:$J$71)</f>
        <v>2000.0000000000005</v>
      </c>
      <c r="O11" s="1571">
        <f>(SUMIF(Inventário!$G$52:$G$71,"1",Inventário!$T$52:$T$71)+SUMIF(Inventário!$G$52:$G$71,"13",Inventário!$T$52:$T$71))*AVERAGE(Inventário!$J$52:$J$71)</f>
        <v>0</v>
      </c>
      <c r="P11" s="1571">
        <f>(SUMIF(Inventário!$G$52:$G$71,"1",Inventário!$T$52:$T$71)+SUMIF(Inventário!$G$52:$G$71,"2",Inventário!$T$52:$T$71)+SUMIF(Inventário!$G$52:$G$71,"7",Inventário!$T$52:$T$71))*AVERAGE(Inventário!$J$52:$J$71)</f>
        <v>0</v>
      </c>
      <c r="Q11" s="1571">
        <f>(SUMIF(Inventário!$G$52:$G$71,"1",Inventário!$T$52:$T$71)+SUMIF(Inventário!$G$52:$G$71,"3",Inventário!$T$52:$T$71)+SUMIF(Inventário!$G$52:$G$71,"5",Inventário!$T$52:$T$71)+SUMIF(Inventário!$G$52:$G$71,"15",Inventário!$T$52:$T$71))*AVERAGE(Inventário!$J$52:$J$71)</f>
        <v>2600.0000000000005</v>
      </c>
      <c r="R11" s="1571">
        <f>(SUMIF(Inventário!$G$52:$G$71,"1",Inventário!$T$52:$T$71)+SUMIF(Inventário!$G$52:$G$71,"2",Inventário!$T$52:$T$71)+SUMIF(Inventário!$G$52:$G$71,"4",Inventário!$T$52:$T$71)+SUMIF(Inventário!$G$52:$G$71,"8",Inventário!$T$52:$T$71)+SUMIF(Inventário!$G$52:$G$71,"8",Inventário!$T$52:$T$71))*AVERAGE(Inventário!$J$52:$J$71)</f>
        <v>9600.0000000000018</v>
      </c>
      <c r="S11" s="1571">
        <f>(SUMIF(Inventário!$G$52:$G$71,"1",Inventário!$T$52:$T$71)+SUMIF(Inventário!$G$52:$G$71,"17",Inventário!$T$52:$T$71))*AVERAGE(Inventário!$J$52:$J$71)</f>
        <v>0</v>
      </c>
      <c r="T11" s="1571">
        <f>(SUMIF(Inventário!$G$52:$G$71,"1",Inventário!$T$52:$T$71)+SUMIF(Inventário!$G$52:$G$71,"2",Inventário!$T$52:$T$71)+SUMIF(Inventário!$G$52:$G$71,"3",Inventário!$T$52:$T$71)+SUMIF(Inventário!$G$52:$G$71,"6",Inventário!$T$52:$T$71)+SUMIF(Inventário!$G$52:$G$71,"9",Inventário!$T$52:$T$71)+SUMIF(Inventário!$G$52:$G$71,"18",Inventário!$T$52:$T$71))*AVERAGE(Inventário!$J$52:$J$71)</f>
        <v>0</v>
      </c>
      <c r="U11" s="1571">
        <f>(SUMIF(Inventário!$G$52:$G$71,"1",Inventário!$T$52:$T$71)+SUMIF(Inventário!$G$52:$G$71,"19",Inventário!$T$52:$T$71))*AVERAGE(Inventário!$J$52:$J$71)</f>
        <v>0</v>
      </c>
      <c r="V11" s="1571">
        <f>B22*(AVERAGE(Inventário!J52:J71))-U11</f>
        <v>19400.000000000004</v>
      </c>
      <c r="W11" s="1558"/>
      <c r="X11" s="1558"/>
      <c r="Y11" s="1558"/>
      <c r="Z11" s="1558"/>
      <c r="AA11" s="1558"/>
      <c r="AB11" s="1558"/>
      <c r="AC11" s="1558"/>
      <c r="AD11" s="1558"/>
      <c r="AE11" s="1558"/>
      <c r="AF11" s="1558"/>
      <c r="AG11" s="1558"/>
      <c r="AH11" s="1558"/>
      <c r="AI11" s="1558"/>
      <c r="AJ11" s="1558"/>
      <c r="AK11" s="1558"/>
      <c r="AL11" s="1558"/>
      <c r="AM11" s="1558"/>
      <c r="AN11" s="1558"/>
      <c r="AO11" s="1558"/>
      <c r="AP11" s="1558"/>
      <c r="AQ11" s="1558"/>
      <c r="AR11" s="1558"/>
      <c r="AS11" s="1558"/>
      <c r="AT11" s="1558"/>
      <c r="AU11" s="1558"/>
      <c r="AV11" s="1558"/>
      <c r="AW11" s="1558"/>
      <c r="AX11" s="1558"/>
      <c r="AY11" s="1558"/>
      <c r="AZ11" s="1558"/>
      <c r="BA11" s="1558"/>
      <c r="BB11" s="1558"/>
      <c r="BC11" s="1558"/>
      <c r="BD11" s="1558"/>
      <c r="BE11" s="1558"/>
      <c r="BF11" s="1558"/>
      <c r="BG11" s="1558"/>
      <c r="BH11" s="1558"/>
      <c r="BI11" s="1558"/>
      <c r="BJ11" s="1558"/>
      <c r="BK11" s="1558"/>
      <c r="BL11" s="1558"/>
      <c r="BM11" s="1558"/>
      <c r="BN11" s="1558"/>
      <c r="BO11" s="1558"/>
      <c r="BP11" s="1558"/>
      <c r="BQ11" s="1558"/>
      <c r="BR11" s="1558"/>
      <c r="BS11" s="1558"/>
      <c r="BT11" s="1558"/>
      <c r="BU11" s="1558"/>
      <c r="BV11" s="1558"/>
      <c r="BW11" s="1558"/>
      <c r="BX11" s="1558"/>
      <c r="BY11" s="1558"/>
      <c r="BZ11" s="1558"/>
      <c r="CA11" s="1558"/>
      <c r="CB11" s="1558"/>
      <c r="CC11" s="1558"/>
      <c r="CD11" s="1558"/>
      <c r="CE11" s="1558"/>
      <c r="CF11" s="1558"/>
      <c r="CG11" s="1558"/>
      <c r="CH11" s="1558"/>
      <c r="CI11" s="1558"/>
      <c r="CJ11" s="1558"/>
      <c r="CK11" s="1558"/>
      <c r="CL11" s="1558"/>
      <c r="CM11" s="1558"/>
      <c r="CN11" s="1558"/>
      <c r="CO11" s="1558"/>
      <c r="CP11" s="1558"/>
      <c r="CQ11" s="1558"/>
      <c r="CR11" s="1558"/>
      <c r="CS11" s="1558"/>
      <c r="CT11" s="1558"/>
      <c r="CU11" s="1558"/>
      <c r="CV11" s="1558"/>
      <c r="CW11" s="1558"/>
      <c r="CX11" s="1558"/>
      <c r="CY11" s="1558"/>
      <c r="CZ11" s="1558"/>
      <c r="DA11" s="1558"/>
      <c r="DB11" s="1558"/>
      <c r="DC11" s="1558"/>
      <c r="DD11" s="1558"/>
      <c r="DE11" s="1558"/>
      <c r="DF11" s="1558"/>
      <c r="DG11" s="1558"/>
      <c r="DH11" s="1558"/>
      <c r="DI11" s="1558"/>
      <c r="DJ11" s="1558"/>
      <c r="DK11" s="1558"/>
      <c r="DL11" s="1558"/>
      <c r="DM11" s="1558"/>
      <c r="DN11" s="1558"/>
      <c r="DO11" s="1558"/>
      <c r="DP11" s="1558"/>
      <c r="DQ11" s="1558"/>
      <c r="DR11" s="1558"/>
      <c r="DS11" s="1558"/>
      <c r="DT11" s="1558"/>
      <c r="DU11" s="1558"/>
      <c r="DV11" s="1558"/>
      <c r="DW11" s="1558"/>
      <c r="DX11" s="1558"/>
      <c r="DY11" s="1558"/>
      <c r="DZ11" s="1558"/>
      <c r="EA11" s="1558"/>
      <c r="EB11" s="1558"/>
      <c r="EC11" s="1558"/>
      <c r="ED11" s="1558"/>
      <c r="EE11" s="1558"/>
      <c r="EF11" s="1558"/>
      <c r="EG11" s="1558"/>
      <c r="EH11" s="1558"/>
      <c r="EI11" s="1558"/>
      <c r="EJ11" s="1558"/>
      <c r="EK11" s="1558"/>
      <c r="EL11" s="1558"/>
      <c r="EM11" s="1558"/>
      <c r="EN11" s="1558"/>
      <c r="EO11" s="1558"/>
      <c r="EP11" s="1564"/>
      <c r="EQ11" s="1564"/>
      <c r="ER11" s="1564"/>
      <c r="ES11" s="1564"/>
      <c r="ET11" s="1564"/>
      <c r="EU11" s="1564"/>
      <c r="EV11" s="1564"/>
      <c r="EW11" s="1564"/>
      <c r="EX11" s="1564"/>
      <c r="EY11" s="1564"/>
      <c r="EZ11" s="1564"/>
      <c r="FA11" s="1564"/>
    </row>
    <row r="12" spans="1:157" s="1565" customFormat="1" ht="15" hidden="1" outlineLevel="1" x14ac:dyDescent="0.25">
      <c r="A12" s="1569" t="s">
        <v>1351</v>
      </c>
      <c r="B12" s="1570"/>
      <c r="C12" s="1571">
        <f>SUMIF(Inventário!$G$80:$G$99,"1",Inventário!$T$80:$T$99)*AVERAGE(Inventário!$J$80:$J$99)</f>
        <v>0</v>
      </c>
      <c r="D12" s="1571">
        <f>(SUMIF(Inventário!$G$80:$G$99,"1",Inventário!$T$80:$T$99)+SUMIF(Inventário!$G$80:$G$99,"2",Inventário!$T$80:$T$99))*AVERAGE(Inventário!$J$80:$J$99)</f>
        <v>899.99999999999977</v>
      </c>
      <c r="E12" s="1571">
        <f>(SUMIF(Inventário!$G$80:$G$99,"1",Inventário!$T$80:$T$99)+SUMIF(Inventário!$G$80:$G$99,"3",Inventário!$T$80:$T$99))*AVERAGE(Inventário!$J$80:$J$99)</f>
        <v>0</v>
      </c>
      <c r="F12" s="1571">
        <f>(SUMIF(Inventário!$G$80:$G$99,"1",Inventário!$T$80:$T$99)+SUMIF(Inventário!$G$80:$G$99,"2",Inventário!$T$80:$T$99)+SUMIF(Inventário!$G$80:$G$99,"4",Inventário!$T$80:$T$99))*AVERAGE(Inventário!$J$80:$J$99)</f>
        <v>899.99999999999977</v>
      </c>
      <c r="G12" s="1571">
        <f>(SUMIF(Inventário!$G$80:$G$99,"1",Inventário!$T$80:$T$99)+SUMIF(Inventário!$G$80:$G$99,"5",Inventário!$T$80:$T$99))*AVERAGE(Inventário!$J$80:$J$99)</f>
        <v>0</v>
      </c>
      <c r="H12" s="1571">
        <f>(SUMIF(Inventário!$G$80:$G$99,"1",Inventário!$T$80:$T$99)+SUMIF(Inventário!$G$80:$G$99,"2",Inventário!$T$80:$T$99)+SUMIF(Inventário!$G$80:$G$99,"3",Inventário!$T$80:$T$99)+SUMIF(Inventário!$G$80:$G$99,"6",Inventário!$T$80:$T$99))*AVERAGE(Inventário!$J$80:$J$99)</f>
        <v>899.99999999999977</v>
      </c>
      <c r="I12" s="1571">
        <f>(SUMIF(Inventário!$G$80:$G$99,"1",Inventário!$T$80:$T$99)+SUMIF(Inventário!$G$80:$G$99,"7",Inventário!$T$80:$T$99))*AVERAGE(Inventário!$J$80:$J$99)</f>
        <v>0</v>
      </c>
      <c r="J12" s="1571">
        <f>(SUMIF(Inventário!$G$80:$G$99,"1",Inventário!$T$80:$T$99)+SUMIF(Inventário!$G$80:$G$99,"2",Inventário!$T$80:$T$99)+SUMIF(Inventário!$G$80:$G$99,"4",Inventário!$T$80:$T$99)+SUMIF(Inventário!$G$80:$G$99,"8",Inventário!$T$80:$T$99))*AVERAGE(Inventário!$J$80:$J$99)</f>
        <v>1907.9999999999995</v>
      </c>
      <c r="K12" s="1571">
        <f>(SUMIF(Inventário!$G$80:$G$99,"1",Inventário!$T$80:$T$99)+SUMIF(Inventário!$G$80:$G$99,"3",Inventário!$T$80:$T$99)+SUMIF(Inventário!$G$80:$G$99,"9",Inventário!$T$80:$T$99))*AVERAGE(Inventário!$J$80:$J$99)</f>
        <v>0</v>
      </c>
      <c r="L12" s="1571">
        <f>(SUMIF(Inventário!$G$80:$G$99,"1",Inventário!$T$80:$T$99)+SUMIF(Inventário!$G$80:$G$99,"2",Inventário!$T$80:$T$99)+SUMIF(Inventário!$G$80:$G$99,"5",Inventário!$T$80:$T$99)+SUMIF(Inventário!$G$80:$G$99,"10",Inventário!$T$80:$T$99))*AVERAGE(Inventário!$J$80:$J$99)</f>
        <v>4079.9999999999991</v>
      </c>
      <c r="M12" s="1571">
        <f>(SUMIF(Inventário!$G$80:$G$99,"1",Inventário!$T$80:$T$99)+SUMIF(Inventário!$G$80:$G$99,"11",Inventário!$T$80:$T$99))*AVERAGE(Inventário!$J$80:$J$99)</f>
        <v>0</v>
      </c>
      <c r="N12" s="1571">
        <f>(SUMIF(Inventário!$G$80:$G$99,"1",Inventário!$T$80:$T$99)+SUMIF(Inventário!$G$80:$G$99,"2",Inventário!$T$80:$T$99)+SUMIF(Inventário!$G$80:$G$99,"3",Inventário!$T$80:$T$99)+SUMIF(Inventário!$G$80:$G$99,"4",Inventário!$T$80:$T$99)+SUMIF(Inventário!$G$80:$G$99,"6",Inventário!$T$80:$T$99)+SUMIF(Inventário!$G$80:$G$99,"12",Inventário!$T$80:$T$99))*AVERAGE(Inventário!$J$80:$J$99)</f>
        <v>899.99999999999977</v>
      </c>
      <c r="O12" s="1571">
        <f>(SUMIF(Inventário!$G$80:$G$99,"1",Inventário!$T$80:$T$99)+SUMIF(Inventário!$G$80:$G$99,"13",Inventário!$T$80:$T$99))*AVERAGE(Inventário!$J$80:$J$99)</f>
        <v>0</v>
      </c>
      <c r="P12" s="1571">
        <f>(SUMIF(Inventário!$G$80:$G$99,"1",Inventário!$T$80:$T$99)+SUMIF(Inventário!$G$80:$G$99,"2",Inventário!$T$80:$T$99)+SUMIF(Inventário!$G$80:$G$99,"7",Inventário!$T$80:$T$99))*AVERAGE(Inventário!$J$80:$J$99)</f>
        <v>899.99999999999977</v>
      </c>
      <c r="Q12" s="1571">
        <f>(SUMIF(Inventário!$G$80:$G$99,"1",Inventário!$T$80:$T$99)+SUMIF(Inventário!$G$80:$G$99,"3",Inventário!$T$80:$T$99)+SUMIF(Inventário!$G$80:$G$99,"5",Inventário!$T$80:$T$99)+SUMIF(Inventário!$G$80:$G$99,"15",Inventário!$T$80:$T$99))*AVERAGE(Inventário!$J$80:$J$99)</f>
        <v>0</v>
      </c>
      <c r="R12" s="1571">
        <f>(SUMIF(Inventário!$G$80:$G$99,"1",Inventário!$T$80:$T$99)+SUMIF(Inventário!$G$80:$G$99,"2",Inventário!$T$80:$T$99)+SUMIF(Inventário!$G$80:$G$99,"4",Inventário!$T$80:$T$99)+SUMIF(Inventário!$G$80:$G$99,"8",Inventário!$T$80:$T$99)+SUMIF(Inventário!$G$80:$G$99,"16",Inventário!$T$80:$T$99))*AVERAGE(Inventário!$J$80:$J$99)</f>
        <v>1907.9999999999995</v>
      </c>
      <c r="S12" s="1571">
        <f>(SUMIF(Inventário!$G$80:$G$99,"1",Inventário!$T$80:$T$99)+SUMIF(Inventário!$G$80:$G$99,"17",Inventário!$T$80:$T$99))*AVERAGE(Inventário!$J$80:$J$99)</f>
        <v>0</v>
      </c>
      <c r="T12" s="1571">
        <f>(SUMIF(Inventário!$G$80:$G$99,"1",Inventário!$T$80:$T$99)+SUMIF(Inventário!$G$80:$G$99,"2",Inventário!$T$80:$T$99)+SUMIF(Inventário!$G$80:$G$99,"3",Inventário!$T$80:$T$99)+SUMIF(Inventário!$G$80:$G$99,"6",Inventário!$T$80:$T$99)+SUMIF(Inventário!$G$80:$G$99,"9",Inventário!$T$80:$T$99)+SUMIF(Inventário!$G$80:$G$99,"18",Inventário!$T$80:$T$99))*AVERAGE(Inventário!$J$80:$J$99)</f>
        <v>899.99999999999977</v>
      </c>
      <c r="U12" s="1571">
        <f>(SUMIF(Inventário!$G$80:$G$99,"1",Inventário!$T$80:$T$99)+SUMIF(Inventário!$G$80:$G$99,"19",Inventário!$T$80:$T$99))*AVERAGE(Inventário!$J$80:$J$99)</f>
        <v>0</v>
      </c>
      <c r="V12" s="1571">
        <f>B23*AVERAGE(Inventário!J80:J99)-U12</f>
        <v>5087.9999999999991</v>
      </c>
      <c r="W12" s="1558"/>
      <c r="X12" s="1558"/>
      <c r="Y12" s="1558"/>
      <c r="Z12" s="1558"/>
      <c r="AA12" s="1558"/>
      <c r="AB12" s="1558"/>
      <c r="AC12" s="1558"/>
      <c r="AD12" s="1558"/>
      <c r="AE12" s="1558"/>
      <c r="AF12" s="1558"/>
      <c r="AG12" s="1558"/>
      <c r="AH12" s="1558"/>
      <c r="AI12" s="1558"/>
      <c r="AJ12" s="1558"/>
      <c r="AK12" s="1558"/>
      <c r="AL12" s="1558"/>
      <c r="AM12" s="1558"/>
      <c r="AN12" s="1558"/>
      <c r="AO12" s="1558"/>
      <c r="AP12" s="1558"/>
      <c r="AQ12" s="1558"/>
      <c r="AR12" s="1558"/>
      <c r="AS12" s="1558"/>
      <c r="AT12" s="1558"/>
      <c r="AU12" s="1558"/>
      <c r="AV12" s="1558"/>
      <c r="AW12" s="1558"/>
      <c r="AX12" s="1558"/>
      <c r="AY12" s="1558"/>
      <c r="AZ12" s="1558"/>
      <c r="BA12" s="1558"/>
      <c r="BB12" s="1558"/>
      <c r="BC12" s="1558"/>
      <c r="BD12" s="1558"/>
      <c r="BE12" s="1558"/>
      <c r="BF12" s="1558"/>
      <c r="BG12" s="1558"/>
      <c r="BH12" s="1558"/>
      <c r="BI12" s="1558"/>
      <c r="BJ12" s="1558"/>
      <c r="BK12" s="1558"/>
      <c r="BL12" s="1558"/>
      <c r="BM12" s="1558"/>
      <c r="BN12" s="1558"/>
      <c r="BO12" s="1558"/>
      <c r="BP12" s="1558"/>
      <c r="BQ12" s="1558"/>
      <c r="BR12" s="1558"/>
      <c r="BS12" s="1558"/>
      <c r="BT12" s="1558"/>
      <c r="BU12" s="1558"/>
      <c r="BV12" s="1558"/>
      <c r="BW12" s="1558"/>
      <c r="BX12" s="1558"/>
      <c r="BY12" s="1558"/>
      <c r="BZ12" s="1558"/>
      <c r="CA12" s="1558"/>
      <c r="CB12" s="1558"/>
      <c r="CC12" s="1558"/>
      <c r="CD12" s="1558"/>
      <c r="CE12" s="1558"/>
      <c r="CF12" s="1558"/>
      <c r="CG12" s="1558"/>
      <c r="CH12" s="1558"/>
      <c r="CI12" s="1558"/>
      <c r="CJ12" s="1558"/>
      <c r="CK12" s="1558"/>
      <c r="CL12" s="1558"/>
      <c r="CM12" s="1558"/>
      <c r="CN12" s="1558"/>
      <c r="CO12" s="1558"/>
      <c r="CP12" s="1558"/>
      <c r="CQ12" s="1558"/>
      <c r="CR12" s="1558"/>
      <c r="CS12" s="1558"/>
      <c r="CT12" s="1558"/>
      <c r="CU12" s="1558"/>
      <c r="CV12" s="1558"/>
      <c r="CW12" s="1558"/>
      <c r="CX12" s="1558"/>
      <c r="CY12" s="1558"/>
      <c r="CZ12" s="1558"/>
      <c r="DA12" s="1558"/>
      <c r="DB12" s="1558"/>
      <c r="DC12" s="1558"/>
      <c r="DD12" s="1558"/>
      <c r="DE12" s="1558"/>
      <c r="DF12" s="1558"/>
      <c r="DG12" s="1558"/>
      <c r="DH12" s="1558"/>
      <c r="DI12" s="1558"/>
      <c r="DJ12" s="1558"/>
      <c r="DK12" s="1558"/>
      <c r="DL12" s="1558"/>
      <c r="DM12" s="1558"/>
      <c r="DN12" s="1558"/>
      <c r="DO12" s="1558"/>
      <c r="DP12" s="1558"/>
      <c r="DQ12" s="1558"/>
      <c r="DR12" s="1558"/>
      <c r="DS12" s="1558"/>
      <c r="DT12" s="1558"/>
      <c r="DU12" s="1558"/>
      <c r="DV12" s="1558"/>
      <c r="DW12" s="1558"/>
      <c r="DX12" s="1558"/>
      <c r="DY12" s="1558"/>
      <c r="DZ12" s="1558"/>
      <c r="EA12" s="1558"/>
      <c r="EB12" s="1558"/>
      <c r="EC12" s="1558"/>
      <c r="ED12" s="1558"/>
      <c r="EE12" s="1558"/>
      <c r="EF12" s="1558"/>
      <c r="EG12" s="1558"/>
      <c r="EH12" s="1558"/>
      <c r="EI12" s="1558"/>
      <c r="EJ12" s="1558"/>
      <c r="EK12" s="1558"/>
      <c r="EL12" s="1558"/>
      <c r="EM12" s="1558"/>
      <c r="EN12" s="1558"/>
      <c r="EO12" s="1558"/>
      <c r="EP12" s="1564"/>
      <c r="EQ12" s="1564"/>
      <c r="ER12" s="1564"/>
      <c r="ES12" s="1564"/>
      <c r="ET12" s="1564"/>
      <c r="EU12" s="1564"/>
      <c r="EV12" s="1564"/>
      <c r="EW12" s="1564"/>
      <c r="EX12" s="1564"/>
      <c r="EY12" s="1564"/>
      <c r="EZ12" s="1564"/>
      <c r="FA12" s="1564"/>
    </row>
    <row r="13" spans="1:157" s="1565" customFormat="1" ht="15" hidden="1" outlineLevel="1" x14ac:dyDescent="0.25">
      <c r="A13" s="1569" t="s">
        <v>1352</v>
      </c>
      <c r="B13" s="1570"/>
      <c r="C13" s="1571">
        <f>SUMIF(Inventário!$G$105:$G$111,"1",Inventário!$T$105:$T$111)*AVERAGE(Inventário!$J$105:$J$111)</f>
        <v>0</v>
      </c>
      <c r="D13" s="1571">
        <f>(SUMIF(Inventário!$G$105:$G$111,"1",Inventário!$T$105:$T$111)+SUMIF(Inventário!$G$105:$G$111,"1",Inventário!$T$105:$T$111))*AVERAGE(Inventário!$J$105:$J$111)</f>
        <v>0</v>
      </c>
      <c r="E13" s="1571">
        <f>(SUMIF(Inventário!$G$105:$G$111,"1",Inventário!$T$105:$T$111)+SUMIF(Inventário!$G$105:$G$111,"3",Inventário!$T$105:$T$111))*AVERAGE(Inventário!$J$105:$J$111)</f>
        <v>0</v>
      </c>
      <c r="F13" s="1571">
        <f>(SUMIF(Inventário!$G$105:$G$111,"1",Inventário!$T$105:$T$111)+SUMIF(Inventário!$G$105:$G$111,"2",Inventário!$T$105:$T$111)+SUMIF(Inventário!$G$105:$G$111,"4",Inventário!$T$105:$T$111))*AVERAGE(Inventário!$J$105:$J$111)</f>
        <v>0</v>
      </c>
      <c r="G13" s="1571">
        <f>(SUMIF(Inventário!$G$105:$G$111,"1",Inventário!$T$105:$T$111)+SUMIF(Inventário!$G$105:$G$111,"5",Inventário!$T$105:$T$111))*AVERAGE(Inventário!$J$105:$J$111)</f>
        <v>0</v>
      </c>
      <c r="H13" s="1571">
        <f>(SUMIF(Inventário!$G$105:$G$111,"1",Inventário!$T$105:$T$111)+SUMIF(Inventário!$G$105:$G$111,"2",Inventário!$T$105:$T$111)+SUMIF(Inventário!$G$105:$G$111,"3",Inventário!$T$105:$T$111)+SUMIF(Inventário!$G$105:$G$111,"6",Inventário!$T$105:$T$111))*AVERAGE(Inventário!$J$105:$J$111)</f>
        <v>0</v>
      </c>
      <c r="I13" s="1571">
        <f>(SUMIF(Inventário!$G$105:$G$111,"1",Inventário!$T$105:$T$111)+SUMIF(Inventário!$G$105:$G$111,"7",Inventário!$T$105:$T$111))*AVERAGE(Inventário!$J$105:$J$111)</f>
        <v>0</v>
      </c>
      <c r="J13" s="1571">
        <f>(SUMIF(Inventário!$G$105:$G$111,"1",Inventário!$T$105:$T$111)+SUMIF(Inventário!$G$105:$G$111,"2",Inventário!$T$105:$T$111)+SUMIF(Inventário!$G$105:$G$111,"4",Inventário!$T$105:$T$111)+SUMIF(Inventário!$G$105:$G$111,"8",Inventário!$T$105:$T$111))*AVERAGE(Inventário!$J$105:$J$111)</f>
        <v>0</v>
      </c>
      <c r="K13" s="1571">
        <f>(SUMIF(Inventário!$G$105:$G$111,"1",Inventário!$T$105:$T$111)+SUMIF(Inventário!$G$105:$G$111,"3",Inventário!$T$105:$T$111)+SUMIF(Inventário!$G$105:$G$111,"9",Inventário!$T$105:$T$111))*AVERAGE(Inventário!$J$105:$J$111)</f>
        <v>0</v>
      </c>
      <c r="L13" s="1571">
        <f>(SUMIF(Inventário!$G$105:$G$111,"1",Inventário!$T$105:$T$111)+SUMIF(Inventário!$G$105:$G$111,"2",Inventário!$T$105:$T$111)+SUMIF(Inventário!$G$105:$G$111,"5",Inventário!$T$105:$T$111)+SUMIF(Inventário!$G$105:$G$111,"10",Inventário!$T$105:$T$111))*AVERAGE(Inventário!$J$105:$J$111)</f>
        <v>3000</v>
      </c>
      <c r="M13" s="1571">
        <f>(SUMIF(Inventário!$G$105:$G$111,"1",Inventário!$T$105:$T$111)+SUMIF(Inventário!$G$105:$G$111,"11",Inventário!$T$105:$T$111))*AVERAGE(Inventário!$J$105:$J$111)</f>
        <v>0</v>
      </c>
      <c r="N13" s="1571">
        <f>(SUMIF(Inventário!$G$105:$G$111,"1",Inventário!$T$105:$T$111)+SUMIF(Inventário!$G$105:$G$111,"2",Inventário!$T$105:$T$111)+SUMIF(Inventário!$G$105:$G$111,"3",Inventário!$T$105:$T$111)+SUMIF(Inventário!$G$105:$G$111,"4",Inventário!$T$105:$T$111)+SUMIF(Inventário!$G$105:$G$111,"6",Inventário!$T$105:$T$111)+SUMIF(Inventário!$G$105:$G$111,"12",Inventário!$T$105:$T$111))*AVERAGE(Inventário!$J$105:$J$111)</f>
        <v>0</v>
      </c>
      <c r="O13" s="1571">
        <f>(SUMIF(Inventário!$G$105:$G$111,"1",Inventário!$T$105:$T$111)+SUMIF(Inventário!$G$105:$G$111,"13",Inventário!$T$105:$T$111))*AVERAGE(Inventário!$J$105:$J$111)</f>
        <v>0</v>
      </c>
      <c r="P13" s="1571">
        <f>(SUMIF(Inventário!$G$105:$G$111,"1",Inventário!$T$105:$T$111)+SUMIF(Inventário!$G$105:$G$111,"2",Inventário!$T$105:$T$111)+SUMIF(Inventário!$G$105:$G$111,"7",Inventário!$T$105:$T$111))*AVERAGE(Inventário!$J$105:$J$111)</f>
        <v>0</v>
      </c>
      <c r="Q13" s="1571">
        <f>(SUMIF(Inventário!$G$105:$G$111,"1",Inventário!$T$105:$T$111)+SUMIF(Inventário!$G$105:$G$111,"3",Inventário!$T$105:$T$111)+SUMIF(Inventário!$G$105:$G$111,"5",Inventário!$T$105:$T$111)+SUMIF(Inventário!$G$105:$G$111,"15",Inventário!$T$105:$T$111))*AVERAGE(Inventário!$J$105:$J$111)</f>
        <v>27300</v>
      </c>
      <c r="R13" s="1571">
        <f>(SUMIF(Inventário!$G$105:$G$111,"1",Inventário!$T$105:$T$111)+SUMIF(Inventário!$G$105:$G$111,"2",Inventário!$T$105:$T$111)+SUMIF(Inventário!$G$105:$G$111,"4",Inventário!$T$105:$T$111)+SUMIF(Inventário!$G$105:$G$111,"8",Inventário!$T$105:$T$111)+SUMIF(Inventário!$G$105:$G$111,"16",Inventário!$T$105:$T$111))*AVERAGE(Inventário!$J$105:$J$111)</f>
        <v>0</v>
      </c>
      <c r="S13" s="1571">
        <f>(SUMIF(Inventário!$G$105:$G$111,"1",Inventário!$T$105:$T$111)+SUMIF(Inventário!$G$105:$G$111,"17",Inventário!$T$105:$T$111))*AVERAGE(Inventário!$J$105:$J$111)</f>
        <v>0</v>
      </c>
      <c r="T13" s="1571">
        <f>(SUMIF(Inventário!$G$105:$G$111,"1",Inventário!$T$105:$T$111)+SUMIF(Inventário!$G$105:$G$111,"2",Inventário!$T$105:$T$111)+SUMIF(Inventário!$G$105:$G$111,"3",Inventário!$T$105:$T$111)+SUMIF(Inventário!$G$105:$G$111,"6",Inventário!$T$105:$T$111)+SUMIF(Inventário!$G$105:$G$111,"9",Inventário!$T$105:$T$111)+SUMIF(Inventário!$G$105:$G$111,"18",Inventário!$T$105:$T$111))*AVERAGE(Inventário!$J$105:$J$111)</f>
        <v>0</v>
      </c>
      <c r="U13" s="1571">
        <f>(SUMIF(Inventário!$G$105:$G$111,"1",Inventário!$T$105:$T$111)+SUMIF(Inventário!$G$105:$G$111,"19",Inventário!$T$105:$T$111))*AVERAGE(Inventário!$J$105:$J$111)</f>
        <v>0</v>
      </c>
      <c r="V13" s="1571">
        <f>B24*AVERAGE(Inventário!J105:J111)-U13</f>
        <v>30300</v>
      </c>
      <c r="W13" s="1558"/>
      <c r="X13" s="1558"/>
      <c r="Y13" s="1558"/>
      <c r="Z13" s="1558"/>
      <c r="AA13" s="1558"/>
      <c r="AB13" s="1558"/>
      <c r="AC13" s="1558"/>
      <c r="AD13" s="1558"/>
      <c r="AE13" s="1558"/>
      <c r="AF13" s="1558"/>
      <c r="AG13" s="1558"/>
      <c r="AH13" s="1558"/>
      <c r="AI13" s="1558"/>
      <c r="AJ13" s="1558"/>
      <c r="AK13" s="1558"/>
      <c r="AL13" s="1558"/>
      <c r="AM13" s="1558"/>
      <c r="AN13" s="1558"/>
      <c r="AO13" s="1558"/>
      <c r="AP13" s="1558"/>
      <c r="AQ13" s="1558"/>
      <c r="AR13" s="1558"/>
      <c r="AS13" s="1558"/>
      <c r="AT13" s="1558"/>
      <c r="AU13" s="1558"/>
      <c r="AV13" s="1558"/>
      <c r="AW13" s="1558"/>
      <c r="AX13" s="1558"/>
      <c r="AY13" s="1558"/>
      <c r="AZ13" s="1558"/>
      <c r="BA13" s="1558"/>
      <c r="BB13" s="1558"/>
      <c r="BC13" s="1558"/>
      <c r="BD13" s="1558"/>
      <c r="BE13" s="1558"/>
      <c r="BF13" s="1558"/>
      <c r="BG13" s="1558"/>
      <c r="BH13" s="1558"/>
      <c r="BI13" s="1558"/>
      <c r="BJ13" s="1558"/>
      <c r="BK13" s="1558"/>
      <c r="BL13" s="1558"/>
      <c r="BM13" s="1558"/>
      <c r="BN13" s="1558"/>
      <c r="BO13" s="1558"/>
      <c r="BP13" s="1558"/>
      <c r="BQ13" s="1558"/>
      <c r="BR13" s="1558"/>
      <c r="BS13" s="1558"/>
      <c r="BT13" s="1558"/>
      <c r="BU13" s="1558"/>
      <c r="BV13" s="1558"/>
      <c r="BW13" s="1558"/>
      <c r="BX13" s="1558"/>
      <c r="BY13" s="1558"/>
      <c r="BZ13" s="1558"/>
      <c r="CA13" s="1558"/>
      <c r="CB13" s="1558"/>
      <c r="CC13" s="1558"/>
      <c r="CD13" s="1558"/>
      <c r="CE13" s="1558"/>
      <c r="CF13" s="1558"/>
      <c r="CG13" s="1558"/>
      <c r="CH13" s="1558"/>
      <c r="CI13" s="1558"/>
      <c r="CJ13" s="1558"/>
      <c r="CK13" s="1558"/>
      <c r="CL13" s="1558"/>
      <c r="CM13" s="1558"/>
      <c r="CN13" s="1558"/>
      <c r="CO13" s="1558"/>
      <c r="CP13" s="1558"/>
      <c r="CQ13" s="1558"/>
      <c r="CR13" s="1558"/>
      <c r="CS13" s="1558"/>
      <c r="CT13" s="1558"/>
      <c r="CU13" s="1558"/>
      <c r="CV13" s="1558"/>
      <c r="CW13" s="1558"/>
      <c r="CX13" s="1558"/>
      <c r="CY13" s="1558"/>
      <c r="CZ13" s="1558"/>
      <c r="DA13" s="1558"/>
      <c r="DB13" s="1558"/>
      <c r="DC13" s="1558"/>
      <c r="DD13" s="1558"/>
      <c r="DE13" s="1558"/>
      <c r="DF13" s="1558"/>
      <c r="DG13" s="1558"/>
      <c r="DH13" s="1558"/>
      <c r="DI13" s="1558"/>
      <c r="DJ13" s="1558"/>
      <c r="DK13" s="1558"/>
      <c r="DL13" s="1558"/>
      <c r="DM13" s="1558"/>
      <c r="DN13" s="1558"/>
      <c r="DO13" s="1558"/>
      <c r="DP13" s="1558"/>
      <c r="DQ13" s="1558"/>
      <c r="DR13" s="1558"/>
      <c r="DS13" s="1558"/>
      <c r="DT13" s="1558"/>
      <c r="DU13" s="1558"/>
      <c r="DV13" s="1558"/>
      <c r="DW13" s="1558"/>
      <c r="DX13" s="1558"/>
      <c r="DY13" s="1558"/>
      <c r="DZ13" s="1558"/>
      <c r="EA13" s="1558"/>
      <c r="EB13" s="1558"/>
      <c r="EC13" s="1558"/>
      <c r="ED13" s="1558"/>
      <c r="EE13" s="1558"/>
      <c r="EF13" s="1558"/>
      <c r="EG13" s="1558"/>
      <c r="EH13" s="1558"/>
      <c r="EI13" s="1558"/>
      <c r="EJ13" s="1558"/>
      <c r="EK13" s="1558"/>
      <c r="EL13" s="1558"/>
      <c r="EM13" s="1558"/>
      <c r="EN13" s="1558"/>
      <c r="EO13" s="1558"/>
      <c r="EP13" s="1564"/>
      <c r="EQ13" s="1564"/>
      <c r="ER13" s="1564"/>
      <c r="ES13" s="1564"/>
      <c r="ET13" s="1564"/>
      <c r="EU13" s="1564"/>
      <c r="EV13" s="1564"/>
      <c r="EW13" s="1564"/>
      <c r="EX13" s="1564"/>
      <c r="EY13" s="1564"/>
      <c r="EZ13" s="1564"/>
      <c r="FA13" s="1564"/>
    </row>
    <row r="14" spans="1:157" s="1565" customFormat="1" ht="15" hidden="1" outlineLevel="1" x14ac:dyDescent="0.25">
      <c r="A14" s="1569" t="s">
        <v>1353</v>
      </c>
      <c r="B14" s="1570"/>
      <c r="C14" s="1571"/>
      <c r="D14" s="1571"/>
      <c r="E14" s="1571"/>
      <c r="F14" s="1571"/>
      <c r="G14" s="1571"/>
      <c r="H14" s="1571"/>
      <c r="I14" s="1571"/>
      <c r="J14" s="1571"/>
      <c r="K14" s="1571"/>
      <c r="L14" s="1571"/>
      <c r="M14" s="1571"/>
      <c r="N14" s="1571"/>
      <c r="O14" s="1571"/>
      <c r="P14" s="1571"/>
      <c r="Q14" s="1571"/>
      <c r="R14" s="1571"/>
      <c r="S14" s="1571"/>
      <c r="T14" s="1571"/>
      <c r="U14" s="1571"/>
      <c r="V14" s="1571">
        <f>B27-U14-Rebanho!I90</f>
        <v>-1746242.1884112596</v>
      </c>
      <c r="W14" s="1558"/>
      <c r="X14" s="1558"/>
      <c r="Y14" s="1558"/>
      <c r="Z14" s="1558"/>
      <c r="AA14" s="1558"/>
      <c r="AB14" s="1558"/>
      <c r="AC14" s="1558"/>
      <c r="AD14" s="1558"/>
      <c r="AE14" s="1558"/>
      <c r="AF14" s="1558"/>
      <c r="AG14" s="1558"/>
      <c r="AH14" s="1558"/>
      <c r="AI14" s="1558"/>
      <c r="AJ14" s="1558"/>
      <c r="AK14" s="1558"/>
      <c r="AL14" s="1558"/>
      <c r="AM14" s="1558"/>
      <c r="AN14" s="1558"/>
      <c r="AO14" s="1558"/>
      <c r="AP14" s="1558"/>
      <c r="AQ14" s="1558"/>
      <c r="AR14" s="1558"/>
      <c r="AS14" s="1558"/>
      <c r="AT14" s="1558"/>
      <c r="AU14" s="1558"/>
      <c r="AV14" s="1558"/>
      <c r="AW14" s="1558"/>
      <c r="AX14" s="1558"/>
      <c r="AY14" s="1558"/>
      <c r="AZ14" s="1558"/>
      <c r="BA14" s="1558"/>
      <c r="BB14" s="1558"/>
      <c r="BC14" s="1558"/>
      <c r="BD14" s="1558"/>
      <c r="BE14" s="1558"/>
      <c r="BF14" s="1558"/>
      <c r="BG14" s="1558"/>
      <c r="BH14" s="1558"/>
      <c r="BI14" s="1558"/>
      <c r="BJ14" s="1558"/>
      <c r="BK14" s="1558"/>
      <c r="BL14" s="1558"/>
      <c r="BM14" s="1558"/>
      <c r="BN14" s="1558"/>
      <c r="BO14" s="1558"/>
      <c r="BP14" s="1558"/>
      <c r="BQ14" s="1558"/>
      <c r="BR14" s="1558"/>
      <c r="BS14" s="1558"/>
      <c r="BT14" s="1558"/>
      <c r="BU14" s="1558"/>
      <c r="BV14" s="1558"/>
      <c r="BW14" s="1558"/>
      <c r="BX14" s="1558"/>
      <c r="BY14" s="1558"/>
      <c r="BZ14" s="1558"/>
      <c r="CA14" s="1558"/>
      <c r="CB14" s="1558"/>
      <c r="CC14" s="1558"/>
      <c r="CD14" s="1558"/>
      <c r="CE14" s="1558"/>
      <c r="CF14" s="1558"/>
      <c r="CG14" s="1558"/>
      <c r="CH14" s="1558"/>
      <c r="CI14" s="1558"/>
      <c r="CJ14" s="1558"/>
      <c r="CK14" s="1558"/>
      <c r="CL14" s="1558"/>
      <c r="CM14" s="1558"/>
      <c r="CN14" s="1558"/>
      <c r="CO14" s="1558"/>
      <c r="CP14" s="1558"/>
      <c r="CQ14" s="1558"/>
      <c r="CR14" s="1558"/>
      <c r="CS14" s="1558"/>
      <c r="CT14" s="1558"/>
      <c r="CU14" s="1558"/>
      <c r="CV14" s="1558"/>
      <c r="CW14" s="1558"/>
      <c r="CX14" s="1558"/>
      <c r="CY14" s="1558"/>
      <c r="CZ14" s="1558"/>
      <c r="DA14" s="1558"/>
      <c r="DB14" s="1558"/>
      <c r="DC14" s="1558"/>
      <c r="DD14" s="1558"/>
      <c r="DE14" s="1558"/>
      <c r="DF14" s="1558"/>
      <c r="DG14" s="1558"/>
      <c r="DH14" s="1558"/>
      <c r="DI14" s="1558"/>
      <c r="DJ14" s="1558"/>
      <c r="DK14" s="1558"/>
      <c r="DL14" s="1558"/>
      <c r="DM14" s="1558"/>
      <c r="DN14" s="1558"/>
      <c r="DO14" s="1558"/>
      <c r="DP14" s="1558"/>
      <c r="DQ14" s="1558"/>
      <c r="DR14" s="1558"/>
      <c r="DS14" s="1558"/>
      <c r="DT14" s="1558"/>
      <c r="DU14" s="1558"/>
      <c r="DV14" s="1558"/>
      <c r="DW14" s="1558"/>
      <c r="DX14" s="1558"/>
      <c r="DY14" s="1558"/>
      <c r="DZ14" s="1558"/>
      <c r="EA14" s="1558"/>
      <c r="EB14" s="1558"/>
      <c r="EC14" s="1558"/>
      <c r="ED14" s="1558"/>
      <c r="EE14" s="1558"/>
      <c r="EF14" s="1558"/>
      <c r="EG14" s="1558"/>
      <c r="EH14" s="1558"/>
      <c r="EI14" s="1558"/>
      <c r="EJ14" s="1558"/>
      <c r="EK14" s="1558"/>
      <c r="EL14" s="1558"/>
      <c r="EM14" s="1558"/>
      <c r="EN14" s="1558"/>
      <c r="EO14" s="1558"/>
      <c r="EP14" s="1564"/>
      <c r="EQ14" s="1564"/>
      <c r="ER14" s="1564"/>
      <c r="ES14" s="1564"/>
      <c r="ET14" s="1564"/>
      <c r="EU14" s="1564"/>
      <c r="EV14" s="1564"/>
      <c r="EW14" s="1564"/>
      <c r="EX14" s="1564"/>
      <c r="EY14" s="1564"/>
      <c r="EZ14" s="1564"/>
      <c r="FA14" s="1564"/>
    </row>
    <row r="15" spans="1:157" s="1558" customFormat="1" ht="12.75" customHeight="1" collapsed="1" thickBot="1" x14ac:dyDescent="0.3">
      <c r="A15" s="1572"/>
      <c r="B15" s="1573"/>
      <c r="C15" s="1573"/>
      <c r="D15" s="1573"/>
      <c r="E15" s="1573"/>
      <c r="F15" s="1573"/>
      <c r="G15" s="1573"/>
      <c r="H15" s="1573"/>
      <c r="I15" s="1573"/>
      <c r="J15" s="1573"/>
      <c r="K15" s="1573"/>
      <c r="L15" s="1573"/>
      <c r="M15" s="1573"/>
      <c r="N15" s="1573"/>
      <c r="O15" s="1573"/>
      <c r="P15" s="1573"/>
      <c r="Q15" s="1573"/>
      <c r="R15" s="1573"/>
      <c r="S15" s="1573"/>
      <c r="T15" s="1573"/>
      <c r="U15" s="1573"/>
      <c r="V15" s="1573"/>
    </row>
    <row r="16" spans="1:157" s="1565" customFormat="1" ht="15.75" x14ac:dyDescent="0.25">
      <c r="A16" s="1574" t="s">
        <v>1354</v>
      </c>
      <c r="B16" s="1575">
        <f ca="1">-(B17+B19+B26+B28)</f>
        <v>-12738189.269097021</v>
      </c>
      <c r="C16" s="1575">
        <f>-(C17+C19+C26+C28)</f>
        <v>0</v>
      </c>
      <c r="D16" s="1575">
        <f>-(D17+D19+D26+D28)</f>
        <v>-6000</v>
      </c>
      <c r="E16" s="1575">
        <f t="shared" ref="E16:V16" si="1">-(E17+E19+E26+E28)</f>
        <v>-9000</v>
      </c>
      <c r="F16" s="1575">
        <f t="shared" si="1"/>
        <v>-6000</v>
      </c>
      <c r="G16" s="1575">
        <f t="shared" si="1"/>
        <v>-9000</v>
      </c>
      <c r="H16" s="1575">
        <f t="shared" si="1"/>
        <v>-66000</v>
      </c>
      <c r="I16" s="1575">
        <f t="shared" si="1"/>
        <v>-9000</v>
      </c>
      <c r="J16" s="1575">
        <f t="shared" si="1"/>
        <v>-6000</v>
      </c>
      <c r="K16" s="1575">
        <f t="shared" si="1"/>
        <v>-36360</v>
      </c>
      <c r="L16" s="1575">
        <f t="shared" si="1"/>
        <v>-6000</v>
      </c>
      <c r="M16" s="1575">
        <f t="shared" si="1"/>
        <v>-89600</v>
      </c>
      <c r="N16" s="1575">
        <f t="shared" si="1"/>
        <v>-6000</v>
      </c>
      <c r="O16" s="1575">
        <f t="shared" ca="1" si="1"/>
        <v>-632772.16509702033</v>
      </c>
      <c r="P16" s="1575">
        <f t="shared" si="1"/>
        <v>-6000</v>
      </c>
      <c r="Q16" s="1575">
        <f t="shared" si="1"/>
        <v>-9000</v>
      </c>
      <c r="R16" s="1575">
        <f t="shared" si="1"/>
        <v>-524500</v>
      </c>
      <c r="S16" s="1575">
        <f t="shared" si="1"/>
        <v>-60360</v>
      </c>
      <c r="T16" s="1575">
        <f t="shared" si="1"/>
        <v>-6000</v>
      </c>
      <c r="U16" s="1575">
        <f>-(U17+U19+U26+U28)</f>
        <v>-9000</v>
      </c>
      <c r="V16" s="1575">
        <f t="shared" si="1"/>
        <v>0</v>
      </c>
      <c r="W16" s="1558"/>
      <c r="X16" s="1558"/>
      <c r="Y16" s="1558"/>
      <c r="Z16" s="1558"/>
      <c r="AA16" s="1558"/>
      <c r="AB16" s="1558"/>
      <c r="AC16" s="1558"/>
      <c r="AD16" s="1558"/>
      <c r="AE16" s="1558"/>
      <c r="AF16" s="1558"/>
      <c r="AG16" s="1558"/>
      <c r="AH16" s="1558"/>
      <c r="AI16" s="1558"/>
      <c r="AJ16" s="1558"/>
      <c r="AK16" s="1558"/>
      <c r="AL16" s="1558"/>
      <c r="AM16" s="1558"/>
      <c r="AN16" s="1558"/>
      <c r="AO16" s="1558"/>
      <c r="AP16" s="1558"/>
      <c r="AQ16" s="1558"/>
      <c r="AR16" s="1558"/>
      <c r="AS16" s="1558"/>
      <c r="AT16" s="1558"/>
      <c r="AU16" s="1558"/>
      <c r="AV16" s="1558"/>
      <c r="AW16" s="1558"/>
      <c r="AX16" s="1558"/>
      <c r="AY16" s="1558"/>
      <c r="AZ16" s="1558"/>
      <c r="BA16" s="1558"/>
      <c r="BB16" s="1558"/>
      <c r="BC16" s="1558"/>
      <c r="BD16" s="1558"/>
      <c r="BE16" s="1558"/>
      <c r="BF16" s="1558"/>
      <c r="BG16" s="1558"/>
      <c r="BH16" s="1558"/>
      <c r="BI16" s="1558"/>
      <c r="BJ16" s="1558"/>
      <c r="BK16" s="1558"/>
      <c r="BL16" s="1558"/>
      <c r="BM16" s="1558"/>
      <c r="BN16" s="1558"/>
      <c r="BO16" s="1558"/>
      <c r="BP16" s="1558"/>
      <c r="BQ16" s="1558"/>
      <c r="BR16" s="1558"/>
      <c r="BS16" s="1558"/>
      <c r="BT16" s="1558"/>
      <c r="BU16" s="1558"/>
      <c r="BV16" s="1558"/>
      <c r="BW16" s="1558"/>
      <c r="BX16" s="1558"/>
      <c r="BY16" s="1558"/>
      <c r="BZ16" s="1558"/>
      <c r="CA16" s="1558"/>
      <c r="CB16" s="1558"/>
      <c r="CC16" s="1558"/>
      <c r="CD16" s="1558"/>
      <c r="CE16" s="1558"/>
      <c r="CF16" s="1558"/>
      <c r="CG16" s="1558"/>
      <c r="CH16" s="1558"/>
      <c r="CI16" s="1558"/>
      <c r="CJ16" s="1558"/>
      <c r="CK16" s="1558"/>
      <c r="CL16" s="1558"/>
      <c r="CM16" s="1558"/>
      <c r="CN16" s="1558"/>
      <c r="CO16" s="1558"/>
      <c r="CP16" s="1558"/>
      <c r="CQ16" s="1558"/>
      <c r="CR16" s="1558"/>
      <c r="CS16" s="1558"/>
      <c r="CT16" s="1558"/>
      <c r="CU16" s="1558"/>
      <c r="CV16" s="1558"/>
      <c r="CW16" s="1558"/>
      <c r="CX16" s="1558"/>
      <c r="CY16" s="1558"/>
      <c r="CZ16" s="1558"/>
      <c r="DA16" s="1558"/>
      <c r="DB16" s="1558"/>
      <c r="DC16" s="1558"/>
      <c r="DD16" s="1558"/>
      <c r="DE16" s="1558"/>
      <c r="DF16" s="1558"/>
      <c r="DG16" s="1558"/>
      <c r="DH16" s="1558"/>
      <c r="DI16" s="1558"/>
      <c r="DJ16" s="1558"/>
      <c r="DK16" s="1558"/>
      <c r="DL16" s="1558"/>
      <c r="DM16" s="1558"/>
      <c r="DN16" s="1558"/>
      <c r="DO16" s="1558"/>
      <c r="DP16" s="1558"/>
      <c r="DQ16" s="1558"/>
      <c r="DR16" s="1558"/>
      <c r="DS16" s="1558"/>
      <c r="DT16" s="1558"/>
      <c r="DU16" s="1558"/>
      <c r="DV16" s="1558"/>
      <c r="DW16" s="1558"/>
      <c r="DX16" s="1558"/>
      <c r="DY16" s="1558"/>
      <c r="DZ16" s="1558"/>
      <c r="EA16" s="1558"/>
      <c r="EB16" s="1558"/>
      <c r="EC16" s="1558"/>
      <c r="ED16" s="1558"/>
      <c r="EE16" s="1558"/>
      <c r="EF16" s="1558"/>
      <c r="EG16" s="1558"/>
      <c r="EH16" s="1558"/>
      <c r="EI16" s="1558"/>
      <c r="EJ16" s="1558"/>
      <c r="EK16" s="1558"/>
      <c r="EL16" s="1558"/>
      <c r="EM16" s="1558"/>
      <c r="EN16" s="1558"/>
      <c r="EO16" s="1558"/>
      <c r="EP16" s="1564"/>
      <c r="EQ16" s="1564"/>
      <c r="ER16" s="1564"/>
      <c r="ES16" s="1564"/>
      <c r="ET16" s="1564"/>
      <c r="EU16" s="1564"/>
      <c r="EV16" s="1564"/>
      <c r="EW16" s="1564"/>
      <c r="EX16" s="1564"/>
      <c r="EY16" s="1564"/>
      <c r="EZ16" s="1564"/>
      <c r="FA16" s="1564"/>
    </row>
    <row r="17" spans="1:157" s="1565" customFormat="1" ht="16.5" hidden="1" outlineLevel="1" thickBot="1" x14ac:dyDescent="0.3">
      <c r="A17" s="1576" t="s">
        <v>1347</v>
      </c>
      <c r="B17" s="1577">
        <f>B18</f>
        <v>10000000</v>
      </c>
      <c r="C17" s="1577">
        <f t="shared" ref="C17:V17" si="2">C18</f>
        <v>0</v>
      </c>
      <c r="D17" s="1577">
        <f t="shared" si="2"/>
        <v>0</v>
      </c>
      <c r="E17" s="1577">
        <f t="shared" si="2"/>
        <v>0</v>
      </c>
      <c r="F17" s="1577">
        <f t="shared" si="2"/>
        <v>0</v>
      </c>
      <c r="G17" s="1577">
        <f t="shared" si="2"/>
        <v>0</v>
      </c>
      <c r="H17" s="1577">
        <f t="shared" si="2"/>
        <v>0</v>
      </c>
      <c r="I17" s="1577">
        <f t="shared" si="2"/>
        <v>0</v>
      </c>
      <c r="J17" s="1577">
        <f t="shared" si="2"/>
        <v>0</v>
      </c>
      <c r="K17" s="1577">
        <f t="shared" si="2"/>
        <v>0</v>
      </c>
      <c r="L17" s="1577">
        <f t="shared" si="2"/>
        <v>0</v>
      </c>
      <c r="M17" s="1577">
        <f t="shared" si="2"/>
        <v>0</v>
      </c>
      <c r="N17" s="1577">
        <f t="shared" si="2"/>
        <v>0</v>
      </c>
      <c r="O17" s="1577">
        <f t="shared" si="2"/>
        <v>0</v>
      </c>
      <c r="P17" s="1577">
        <f t="shared" si="2"/>
        <v>0</v>
      </c>
      <c r="Q17" s="1577">
        <f t="shared" si="2"/>
        <v>0</v>
      </c>
      <c r="R17" s="1577">
        <f t="shared" si="2"/>
        <v>0</v>
      </c>
      <c r="S17" s="1577">
        <f t="shared" si="2"/>
        <v>0</v>
      </c>
      <c r="T17" s="1577">
        <f t="shared" si="2"/>
        <v>0</v>
      </c>
      <c r="U17" s="1577">
        <f t="shared" si="2"/>
        <v>0</v>
      </c>
      <c r="V17" s="1577">
        <f t="shared" si="2"/>
        <v>0</v>
      </c>
      <c r="W17" s="1558"/>
      <c r="X17" s="1558"/>
      <c r="Y17" s="1558"/>
      <c r="Z17" s="1558"/>
      <c r="AA17" s="1558"/>
      <c r="AB17" s="1558"/>
      <c r="AC17" s="1558"/>
      <c r="AD17" s="1558"/>
      <c r="AE17" s="1558"/>
      <c r="AF17" s="1558"/>
      <c r="AG17" s="1558"/>
      <c r="AH17" s="1558"/>
      <c r="AI17" s="1558"/>
      <c r="AJ17" s="1558"/>
      <c r="AK17" s="1558"/>
      <c r="AL17" s="1558"/>
      <c r="AM17" s="1558"/>
      <c r="AN17" s="1558"/>
      <c r="AO17" s="1558"/>
      <c r="AP17" s="1558"/>
      <c r="AQ17" s="1558"/>
      <c r="AR17" s="1558"/>
      <c r="AS17" s="1558"/>
      <c r="AT17" s="1558"/>
      <c r="AU17" s="1558"/>
      <c r="AV17" s="1558"/>
      <c r="AW17" s="1558"/>
      <c r="AX17" s="1558"/>
      <c r="AY17" s="1558"/>
      <c r="AZ17" s="1558"/>
      <c r="BA17" s="1558"/>
      <c r="BB17" s="1558"/>
      <c r="BC17" s="1558"/>
      <c r="BD17" s="1558"/>
      <c r="BE17" s="1558"/>
      <c r="BF17" s="1558"/>
      <c r="BG17" s="1558"/>
      <c r="BH17" s="1558"/>
      <c r="BI17" s="1558"/>
      <c r="BJ17" s="1558"/>
      <c r="BK17" s="1558"/>
      <c r="BL17" s="1558"/>
      <c r="BM17" s="1558"/>
      <c r="BN17" s="1558"/>
      <c r="BO17" s="1558"/>
      <c r="BP17" s="1558"/>
      <c r="BQ17" s="1558"/>
      <c r="BR17" s="1558"/>
      <c r="BS17" s="1558"/>
      <c r="BT17" s="1558"/>
      <c r="BU17" s="1558"/>
      <c r="BV17" s="1558"/>
      <c r="BW17" s="1558"/>
      <c r="BX17" s="1558"/>
      <c r="BY17" s="1558"/>
      <c r="BZ17" s="1558"/>
      <c r="CA17" s="1558"/>
      <c r="CB17" s="1558"/>
      <c r="CC17" s="1558"/>
      <c r="CD17" s="1558"/>
      <c r="CE17" s="1558"/>
      <c r="CF17" s="1558"/>
      <c r="CG17" s="1558"/>
      <c r="CH17" s="1558"/>
      <c r="CI17" s="1558"/>
      <c r="CJ17" s="1558"/>
      <c r="CK17" s="1558"/>
      <c r="CL17" s="1558"/>
      <c r="CM17" s="1558"/>
      <c r="CN17" s="1558"/>
      <c r="CO17" s="1558"/>
      <c r="CP17" s="1558"/>
      <c r="CQ17" s="1558"/>
      <c r="CR17" s="1558"/>
      <c r="CS17" s="1558"/>
      <c r="CT17" s="1558"/>
      <c r="CU17" s="1558"/>
      <c r="CV17" s="1558"/>
      <c r="CW17" s="1558"/>
      <c r="CX17" s="1558"/>
      <c r="CY17" s="1558"/>
      <c r="CZ17" s="1558"/>
      <c r="DA17" s="1558"/>
      <c r="DB17" s="1558"/>
      <c r="DC17" s="1558"/>
      <c r="DD17" s="1558"/>
      <c r="DE17" s="1558"/>
      <c r="DF17" s="1558"/>
      <c r="DG17" s="1558"/>
      <c r="DH17" s="1558"/>
      <c r="DI17" s="1558"/>
      <c r="DJ17" s="1558"/>
      <c r="DK17" s="1558"/>
      <c r="DL17" s="1558"/>
      <c r="DM17" s="1558"/>
      <c r="DN17" s="1558"/>
      <c r="DO17" s="1558"/>
      <c r="DP17" s="1558"/>
      <c r="DQ17" s="1558"/>
      <c r="DR17" s="1558"/>
      <c r="DS17" s="1558"/>
      <c r="DT17" s="1558"/>
      <c r="DU17" s="1558"/>
      <c r="DV17" s="1558"/>
      <c r="DW17" s="1558"/>
      <c r="DX17" s="1558"/>
      <c r="DY17" s="1558"/>
      <c r="DZ17" s="1558"/>
      <c r="EA17" s="1558"/>
      <c r="EB17" s="1558"/>
      <c r="EC17" s="1558"/>
      <c r="ED17" s="1558"/>
      <c r="EE17" s="1558"/>
      <c r="EF17" s="1558"/>
      <c r="EG17" s="1558"/>
      <c r="EH17" s="1558"/>
      <c r="EI17" s="1558"/>
      <c r="EJ17" s="1558"/>
      <c r="EK17" s="1558"/>
      <c r="EL17" s="1558"/>
      <c r="EM17" s="1558"/>
      <c r="EN17" s="1558"/>
      <c r="EO17" s="1558"/>
      <c r="EP17" s="1564"/>
      <c r="EQ17" s="1564"/>
      <c r="ER17" s="1564"/>
      <c r="ES17" s="1564"/>
      <c r="ET17" s="1564"/>
      <c r="EU17" s="1564"/>
      <c r="EV17" s="1564"/>
      <c r="EW17" s="1564"/>
      <c r="EX17" s="1564"/>
      <c r="EY17" s="1564"/>
      <c r="EZ17" s="1564"/>
      <c r="FA17" s="1564"/>
    </row>
    <row r="18" spans="1:157" s="1582" customFormat="1" ht="15.75" hidden="1" outlineLevel="1" x14ac:dyDescent="0.25">
      <c r="A18" s="1578" t="s">
        <v>1355</v>
      </c>
      <c r="B18" s="1579">
        <f>Relatórios!V40</f>
        <v>10000000</v>
      </c>
      <c r="C18" s="1580"/>
      <c r="D18" s="1581"/>
      <c r="E18" s="1581"/>
      <c r="F18" s="1581"/>
      <c r="G18" s="1581"/>
      <c r="H18" s="1581"/>
      <c r="I18" s="1581"/>
      <c r="J18" s="1581"/>
      <c r="K18" s="1581"/>
      <c r="L18" s="1581"/>
      <c r="M18" s="1581"/>
      <c r="N18" s="1581"/>
      <c r="O18" s="1581"/>
      <c r="P18" s="1581"/>
      <c r="Q18" s="1581"/>
      <c r="R18" s="1581"/>
      <c r="S18" s="1581"/>
      <c r="T18" s="1581"/>
      <c r="U18" s="1581"/>
      <c r="V18" s="1581"/>
      <c r="W18" s="1581"/>
      <c r="X18" s="1581"/>
      <c r="Y18" s="1581"/>
      <c r="Z18" s="1581"/>
      <c r="AA18" s="1581"/>
      <c r="AB18" s="1581"/>
      <c r="AC18" s="1581"/>
      <c r="AD18" s="1581"/>
      <c r="AE18" s="1581"/>
      <c r="AF18" s="1581"/>
      <c r="AG18" s="1581"/>
      <c r="AH18" s="1581"/>
      <c r="AI18" s="1581"/>
      <c r="AJ18" s="1581"/>
      <c r="AK18" s="1581"/>
      <c r="AL18" s="1581"/>
      <c r="AM18" s="1581"/>
      <c r="AN18" s="1581"/>
      <c r="AO18" s="1581"/>
      <c r="AP18" s="1581"/>
      <c r="AQ18" s="1581"/>
      <c r="AR18" s="1581"/>
      <c r="AS18" s="1581"/>
      <c r="AT18" s="1581"/>
      <c r="AU18" s="1581"/>
      <c r="AV18" s="1581"/>
      <c r="AW18" s="1581"/>
      <c r="AX18" s="1581"/>
      <c r="AY18" s="1581"/>
      <c r="AZ18" s="1581"/>
      <c r="BA18" s="1581"/>
      <c r="BB18" s="1581"/>
      <c r="BC18" s="1581"/>
      <c r="BD18" s="1581"/>
      <c r="BE18" s="1581"/>
      <c r="BF18" s="1581"/>
      <c r="BG18" s="1581"/>
      <c r="BH18" s="1581"/>
      <c r="BI18" s="1581"/>
      <c r="BJ18" s="1581"/>
      <c r="BK18" s="1581"/>
      <c r="BL18" s="1581"/>
      <c r="BM18" s="1581"/>
      <c r="BN18" s="1581"/>
      <c r="BO18" s="1581"/>
      <c r="BP18" s="1581"/>
      <c r="BQ18" s="1581"/>
      <c r="BR18" s="1581"/>
      <c r="BS18" s="1581"/>
      <c r="BT18" s="1581"/>
      <c r="BU18" s="1581"/>
      <c r="BV18" s="1581"/>
      <c r="BW18" s="1581"/>
      <c r="BX18" s="1581"/>
      <c r="BY18" s="1581"/>
      <c r="BZ18" s="1581"/>
      <c r="CA18" s="1581"/>
      <c r="CB18" s="1581"/>
      <c r="CC18" s="1581"/>
      <c r="CD18" s="1581"/>
      <c r="CE18" s="1581"/>
      <c r="CF18" s="1581"/>
      <c r="CG18" s="1581"/>
      <c r="CH18" s="1581"/>
      <c r="CI18" s="1581"/>
      <c r="CJ18" s="1581"/>
      <c r="CK18" s="1581"/>
      <c r="CL18" s="1581"/>
      <c r="CM18" s="1581"/>
      <c r="CN18" s="1581"/>
      <c r="CO18" s="1581"/>
      <c r="CP18" s="1581"/>
      <c r="CQ18" s="1581"/>
      <c r="CR18" s="1581"/>
      <c r="CS18" s="1581"/>
      <c r="CT18" s="1581"/>
      <c r="CU18" s="1581"/>
      <c r="CV18" s="1581"/>
      <c r="CW18" s="1581"/>
      <c r="CX18" s="1581"/>
      <c r="CY18" s="1581"/>
      <c r="CZ18" s="1581"/>
      <c r="DA18" s="1581"/>
      <c r="DB18" s="1581"/>
      <c r="DC18" s="1581"/>
      <c r="DD18" s="1581"/>
      <c r="DE18" s="1581"/>
      <c r="DF18" s="1581"/>
      <c r="DG18" s="1581"/>
      <c r="DH18" s="1581"/>
      <c r="DI18" s="1581"/>
      <c r="DJ18" s="1581"/>
      <c r="DK18" s="1581"/>
      <c r="DL18" s="1581"/>
      <c r="DM18" s="1581"/>
      <c r="DN18" s="1581"/>
      <c r="DO18" s="1581"/>
      <c r="DP18" s="1581"/>
      <c r="DQ18" s="1581"/>
      <c r="DR18" s="1581"/>
      <c r="DS18" s="1581"/>
      <c r="DT18" s="1581"/>
      <c r="DU18" s="1581"/>
      <c r="DV18" s="1581"/>
      <c r="DW18" s="1581"/>
      <c r="DX18" s="1581"/>
      <c r="DY18" s="1581"/>
      <c r="DZ18" s="1581"/>
      <c r="EA18" s="1581"/>
      <c r="EB18" s="1581"/>
      <c r="EC18" s="1581"/>
      <c r="ED18" s="1581"/>
      <c r="EE18" s="1581"/>
      <c r="EF18" s="1581"/>
      <c r="EG18" s="1581"/>
      <c r="EH18" s="1581"/>
      <c r="EI18" s="1581"/>
      <c r="EJ18" s="1581"/>
      <c r="EK18" s="1581"/>
      <c r="EL18" s="1581"/>
      <c r="EM18" s="1581"/>
      <c r="EN18" s="1581"/>
      <c r="EO18" s="1581"/>
    </row>
    <row r="19" spans="1:157" s="1565" customFormat="1" ht="15.75" hidden="1" customHeight="1" outlineLevel="1" x14ac:dyDescent="0.25">
      <c r="A19" s="1583" t="s">
        <v>1356</v>
      </c>
      <c r="B19" s="1584">
        <f ca="1">SUM(B20:B24)</f>
        <v>1714732.1650970203</v>
      </c>
      <c r="C19" s="1584">
        <f t="shared" ref="C19:V19" si="3">SUM(C20:C24)</f>
        <v>0</v>
      </c>
      <c r="D19" s="1584">
        <f t="shared" si="3"/>
        <v>6000</v>
      </c>
      <c r="E19" s="1584">
        <f t="shared" si="3"/>
        <v>9000</v>
      </c>
      <c r="F19" s="1584">
        <f t="shared" si="3"/>
        <v>6000</v>
      </c>
      <c r="G19" s="1584">
        <f t="shared" si="3"/>
        <v>9000</v>
      </c>
      <c r="H19" s="1584">
        <f t="shared" si="3"/>
        <v>66000</v>
      </c>
      <c r="I19" s="1584">
        <f t="shared" si="3"/>
        <v>9000</v>
      </c>
      <c r="J19" s="1584">
        <f t="shared" si="3"/>
        <v>6000</v>
      </c>
      <c r="K19" s="1584">
        <f t="shared" si="3"/>
        <v>36360</v>
      </c>
      <c r="L19" s="1584">
        <f t="shared" si="3"/>
        <v>6000</v>
      </c>
      <c r="M19" s="1584">
        <f t="shared" si="3"/>
        <v>89600</v>
      </c>
      <c r="N19" s="1584">
        <f t="shared" si="3"/>
        <v>6000</v>
      </c>
      <c r="O19" s="1584">
        <f t="shared" ca="1" si="3"/>
        <v>632772.16509702033</v>
      </c>
      <c r="P19" s="1584">
        <f t="shared" si="3"/>
        <v>6000</v>
      </c>
      <c r="Q19" s="1584">
        <f t="shared" si="3"/>
        <v>9000</v>
      </c>
      <c r="R19" s="1584">
        <f t="shared" si="3"/>
        <v>524500</v>
      </c>
      <c r="S19" s="1584">
        <f t="shared" si="3"/>
        <v>60360</v>
      </c>
      <c r="T19" s="1584">
        <f t="shared" si="3"/>
        <v>6000</v>
      </c>
      <c r="U19" s="1584">
        <f t="shared" si="3"/>
        <v>9000</v>
      </c>
      <c r="V19" s="1584">
        <f t="shared" si="3"/>
        <v>0</v>
      </c>
      <c r="W19" s="1558"/>
      <c r="X19" s="1558"/>
      <c r="Y19" s="1558"/>
      <c r="Z19" s="1558"/>
      <c r="AA19" s="1558"/>
      <c r="AB19" s="1558"/>
      <c r="AC19" s="1558"/>
      <c r="AD19" s="1558"/>
      <c r="AE19" s="1558"/>
      <c r="AF19" s="1558"/>
      <c r="AG19" s="1558"/>
      <c r="AH19" s="1558"/>
      <c r="AI19" s="1558"/>
      <c r="AJ19" s="1558"/>
      <c r="AK19" s="1558"/>
      <c r="AL19" s="1558"/>
      <c r="AM19" s="1558"/>
      <c r="AN19" s="1558"/>
      <c r="AO19" s="1558"/>
      <c r="AP19" s="1558"/>
      <c r="AQ19" s="1558"/>
      <c r="AR19" s="1558"/>
      <c r="AS19" s="1558"/>
      <c r="AT19" s="1558"/>
      <c r="AU19" s="1558"/>
      <c r="AV19" s="1558"/>
      <c r="AW19" s="1558"/>
      <c r="AX19" s="1558"/>
      <c r="AY19" s="1558"/>
      <c r="AZ19" s="1558"/>
      <c r="BA19" s="1558"/>
      <c r="BB19" s="1558"/>
      <c r="BC19" s="1558"/>
      <c r="BD19" s="1558"/>
      <c r="BE19" s="1558"/>
      <c r="BF19" s="1558"/>
      <c r="BG19" s="1558"/>
      <c r="BH19" s="1558"/>
      <c r="BI19" s="1558"/>
      <c r="BJ19" s="1558"/>
      <c r="BK19" s="1558"/>
      <c r="BL19" s="1558"/>
      <c r="BM19" s="1558"/>
      <c r="BN19" s="1558"/>
      <c r="BO19" s="1558"/>
      <c r="BP19" s="1558"/>
      <c r="BQ19" s="1558"/>
      <c r="BR19" s="1558"/>
      <c r="BS19" s="1558"/>
      <c r="BT19" s="1558"/>
      <c r="BU19" s="1558"/>
      <c r="BV19" s="1558"/>
      <c r="BW19" s="1558"/>
      <c r="BX19" s="1558"/>
      <c r="BY19" s="1558"/>
      <c r="BZ19" s="1558"/>
      <c r="CA19" s="1558"/>
      <c r="CB19" s="1558"/>
      <c r="CC19" s="1558"/>
      <c r="CD19" s="1558"/>
      <c r="CE19" s="1558"/>
      <c r="CF19" s="1558"/>
      <c r="CG19" s="1558"/>
      <c r="CH19" s="1558"/>
      <c r="CI19" s="1558"/>
      <c r="CJ19" s="1558"/>
      <c r="CK19" s="1558"/>
      <c r="CL19" s="1558"/>
      <c r="CM19" s="1558"/>
      <c r="CN19" s="1558"/>
      <c r="CO19" s="1558"/>
      <c r="CP19" s="1558"/>
      <c r="CQ19" s="1558"/>
      <c r="CR19" s="1558"/>
      <c r="CS19" s="1558"/>
      <c r="CT19" s="1558"/>
      <c r="CU19" s="1558"/>
      <c r="CV19" s="1558"/>
      <c r="CW19" s="1558"/>
      <c r="CX19" s="1558"/>
      <c r="CY19" s="1558"/>
      <c r="CZ19" s="1558"/>
      <c r="DA19" s="1558"/>
      <c r="DB19" s="1558"/>
      <c r="DC19" s="1558"/>
      <c r="DD19" s="1558"/>
      <c r="DE19" s="1558"/>
      <c r="DF19" s="1558"/>
      <c r="DG19" s="1558"/>
      <c r="DH19" s="1558"/>
      <c r="DI19" s="1558"/>
      <c r="DJ19" s="1558"/>
      <c r="DK19" s="1558"/>
      <c r="DL19" s="1558"/>
      <c r="DM19" s="1558"/>
      <c r="DN19" s="1558"/>
      <c r="DO19" s="1558"/>
      <c r="DP19" s="1558"/>
      <c r="DQ19" s="1558"/>
      <c r="DR19" s="1558"/>
      <c r="DS19" s="1558"/>
      <c r="DT19" s="1558"/>
      <c r="DU19" s="1558"/>
      <c r="DV19" s="1558"/>
      <c r="DW19" s="1558"/>
      <c r="DX19" s="1558"/>
      <c r="DY19" s="1558"/>
      <c r="DZ19" s="1558"/>
      <c r="EA19" s="1558"/>
      <c r="EB19" s="1558"/>
      <c r="EC19" s="1558"/>
      <c r="ED19" s="1558"/>
      <c r="EE19" s="1558"/>
      <c r="EF19" s="1558"/>
      <c r="EG19" s="1558"/>
      <c r="EH19" s="1558"/>
      <c r="EI19" s="1558"/>
      <c r="EJ19" s="1558"/>
      <c r="EK19" s="1558"/>
      <c r="EL19" s="1558"/>
      <c r="EM19" s="1558"/>
      <c r="EN19" s="1558"/>
      <c r="EO19" s="1558"/>
      <c r="EP19" s="1564"/>
      <c r="EQ19" s="1564"/>
      <c r="ER19" s="1564"/>
      <c r="ES19" s="1564"/>
      <c r="ET19" s="1564"/>
      <c r="EU19" s="1564"/>
      <c r="EV19" s="1564"/>
      <c r="EW19" s="1564"/>
      <c r="EX19" s="1564"/>
      <c r="EY19" s="1564"/>
      <c r="EZ19" s="1564"/>
      <c r="FA19" s="1564"/>
    </row>
    <row r="20" spans="1:157" s="1589" customFormat="1" hidden="1" outlineLevel="1" x14ac:dyDescent="0.2">
      <c r="A20" s="1585" t="str">
        <f>Relatórios!S31</f>
        <v>Benfeitorias</v>
      </c>
      <c r="B20" s="1586">
        <f ca="1">Relatórios!V31</f>
        <v>1295272.1650970203</v>
      </c>
      <c r="C20" s="1586"/>
      <c r="D20" s="1587">
        <f>SUMIF(Inventário!$G$6:$G$25,"1",Inventário!$T$6:$T$25)</f>
        <v>6000</v>
      </c>
      <c r="E20" s="1587">
        <f>SUMIF(Inventário!$G$6:$G$25,"1",Inventário!$T$6:$T$25)+SUMIF(Inventário!$G$6:$G$25,"2",Inventário!$T$6:$T$25)</f>
        <v>6000</v>
      </c>
      <c r="F20" s="1587">
        <f>SUMIF(Inventário!$G$6:$G$25,"1",Inventário!$T$6:$T$25)+SUMIF(Inventário!$G$6:$G$25,"3",Inventário!$T$6:$T$25)</f>
        <v>6000</v>
      </c>
      <c r="G20" s="1587">
        <f>SUMIF(Inventário!$G$6:$G$25,"1",Inventário!$T$6:$T$25)+SUMIF(Inventário!$G$6:$G$25,"2",Inventário!$T$6:$T$25)+SUMIF(Inventário!$G$6:$G$25,"4",Inventário!$T$6:$T$25)</f>
        <v>6000</v>
      </c>
      <c r="H20" s="1587">
        <f>SUMIF(Inventário!$G$6:$G$25,"1",Inventário!$T$6:$T$25)+SUMIF(Inventário!$G$6:$G$25,"5",Inventário!$T$6:$T$25)</f>
        <v>66000</v>
      </c>
      <c r="I20" s="1587">
        <f>SUMIF(Inventário!$G$6:$G$25,"1",Inventário!$T$6:$T$25)+SUMIF(Inventário!$G$6:$G$25,"2",Inventário!$T$6:$T$25)+SUMIF(Inventário!$G$6:$G$25,"3",Inventário!$T$6:$T$25)+SUMIF(Inventário!$G$6:$G$25,"6",Inventário!$T$6:$T$25)</f>
        <v>6000</v>
      </c>
      <c r="J20" s="1587">
        <f>SUMIF(Inventário!$G$6:$G$25,"1",Inventário!$T$6:$T$25)+SUMIF(Inventário!$G$6:$G$25,"7",Inventário!$T$6:$T$25)</f>
        <v>6000</v>
      </c>
      <c r="K20" s="1587">
        <f>SUMIF(Inventário!$G$6:$G$25,"1",Inventário!$T$6:$T$25)+SUMIF(Inventário!$G$6:$G$25,"2",Inventário!$T$6:$T$25)+SUMIF(Inventário!$G$6:$G$25,"4",Inventário!$T$6:$T$25)+SUMIF(Inventário!$G$6:$G$25,"8",Inventário!$T$6:$T$25)</f>
        <v>6000</v>
      </c>
      <c r="L20" s="1587">
        <f>SUMIF(Inventário!$G$6:$G$25,"1",Inventário!$T$6:$T$25)+SUMIF(Inventário!$G$6:$G$25,"3",Inventário!$T$6:$T$25)+SUMIF(Inventário!$G$6:$G$25,"9",Inventário!$T$6:$T$25)</f>
        <v>6000</v>
      </c>
      <c r="M20" s="1587">
        <f>SUMIF(Inventário!$G$6:$G$25,"1",Inventário!$T$6:$T$25)+SUMIF(Inventário!$G$6:$G$25,"2",Inventário!$T$6:$T$25)+SUMIF(Inventário!$G$6:$G$25,"5",Inventário!$T$6:$T$25)+SUMIF(Inventário!$G$6:$G$25,"10",Inventário!$T$6:$T$25)</f>
        <v>66000</v>
      </c>
      <c r="N20" s="1587">
        <f>SUMIF(Inventário!$G$6:$G$25,"1",Inventário!$T$6:$T$25)+SUMIF(Inventário!$G$6:$G$25,"11",Inventário!$T$6:$T$25)</f>
        <v>6000</v>
      </c>
      <c r="O20" s="1587">
        <f ca="1">SUMIF(Inventário!$G$6:$G$25,"1",Inventário!$T$6:$T$25)+SUMIF(Inventário!$G$6:$G$25,"2",Inventário!$T$6:$T$25)+SUMIF(Inventário!$G$6:$G$25,"3",Inventário!$T$6:$T$25)+SUMIF(Inventário!$G$6:$G$25,"4",Inventário!$T$6:$T$25)+SUMIF(Inventário!$G$6:$G$25,"6",Inventário!$T$6:$T$25)+SUMIF(Inventário!$G$6:$G$25,"12",Inventário!$T$6:$T$25)</f>
        <v>619772.16509702033</v>
      </c>
      <c r="P20" s="1587">
        <f>SUMIF(Inventário!$G$6:$G$25,"1",Inventário!$T$6:$T$25)+SUMIF(Inventário!$G$6:$G$25,"13",Inventário!$T$6:$T$25)</f>
        <v>6000</v>
      </c>
      <c r="Q20" s="1587">
        <f>(SUMIF(Inventário!$G$6:$G$25,"1",Inventário!$T$6:$T$25)+SUMIF(Inventário!$G$6:$G$25,"2",Inventário!$T$6:$T$25)+SUMIF(Inventário!$G$6:$G$25,"7",Inventário!$T$6:$T$25))</f>
        <v>6000</v>
      </c>
      <c r="R20" s="1587">
        <f>(SUMIF(Inventário!$G$6:$G$25,"1",Inventário!$T$6:$T$25)+SUMIF(Inventário!$G$6:$G$25,"3",Inventário!$T$6:$T$25)+SUMIF(Inventário!$G$6:$G$25,"5",Inventário!$T$6:$T$25)+SUMIF(Inventário!$G$6:$G$25,"15",Inventário!$T$6:$T$25))</f>
        <v>216000</v>
      </c>
      <c r="S20" s="1587">
        <f>(SUMIF(Inventário!$G$6:$G$25,"1",Inventário!$T$6:$T$25)+SUMIF(Inventário!$G$6:$G$25,"2",Inventário!$T$6:$T$25)+SUMIF(Inventário!$G$6:$G$25,"4",Inventário!$T$6:$T$25)+SUMIF(Inventário!$G$6:$G$25,"8",Inventário!$T$6:$T$25)+SUMIF(Inventário!$G$6:$G$25,"16",Inventário!$T$6:$T$25))</f>
        <v>6000</v>
      </c>
      <c r="T20" s="1587">
        <f>(SUMIF(Inventário!$G$6:$G$25,"1",Inventário!$T$6:$T$25)+SUMIF(Inventário!$G$6:$G$25,"17",Inventário!$T$6:$T$25))</f>
        <v>6000</v>
      </c>
      <c r="U20" s="1587">
        <f>(SUMIF(Inventário!$G$6:$G$25,"1",Inventário!$T$6:$T$25)+SUMIF(Inventário!$G$6:$G$25,"2",Inventário!$T$6:$T$25)+SUMIF(Inventário!$G$6:$G$25,"3",Inventário!$T$6:$T$25)+SUMIF(Inventário!$G$6:$G$25,"6",Inventário!$T$6:$T$25)+SUMIF(Inventário!$G$6:$G$25,"9",Inventário!$T$6:$T$25)+SUMIF(Inventário!$G$6:$G$25,"18",Inventário!$T$6:$T$25))</f>
        <v>6000</v>
      </c>
      <c r="V20" s="1587"/>
      <c r="W20" s="1585"/>
      <c r="X20" s="1585"/>
      <c r="Y20" s="1585"/>
      <c r="Z20" s="1585"/>
      <c r="AA20" s="1585"/>
      <c r="AB20" s="1585"/>
      <c r="AC20" s="1585"/>
      <c r="AD20" s="1585"/>
      <c r="AE20" s="1585"/>
      <c r="AF20" s="1585"/>
      <c r="AG20" s="1585"/>
      <c r="AH20" s="1585"/>
      <c r="AI20" s="1585"/>
      <c r="AJ20" s="1585"/>
      <c r="AK20" s="1585"/>
      <c r="AL20" s="1585"/>
      <c r="AM20" s="1585"/>
      <c r="AN20" s="1585"/>
      <c r="AO20" s="1585"/>
      <c r="AP20" s="1585"/>
      <c r="AQ20" s="1585"/>
      <c r="AR20" s="1585"/>
      <c r="AS20" s="1585"/>
      <c r="AT20" s="1585"/>
      <c r="AU20" s="1585"/>
      <c r="AV20" s="1585"/>
      <c r="AW20" s="1585"/>
      <c r="AX20" s="1585"/>
      <c r="AY20" s="1585"/>
      <c r="AZ20" s="1585"/>
      <c r="BA20" s="1585"/>
      <c r="BB20" s="1585"/>
      <c r="BC20" s="1585"/>
      <c r="BD20" s="1585"/>
      <c r="BE20" s="1585"/>
      <c r="BF20" s="1585"/>
      <c r="BG20" s="1585"/>
      <c r="BH20" s="1585"/>
      <c r="BI20" s="1585"/>
      <c r="BJ20" s="1585"/>
      <c r="BK20" s="1585"/>
      <c r="BL20" s="1585"/>
      <c r="BM20" s="1585"/>
      <c r="BN20" s="1585"/>
      <c r="BO20" s="1585"/>
      <c r="BP20" s="1585"/>
      <c r="BQ20" s="1585"/>
      <c r="BR20" s="1585"/>
      <c r="BS20" s="1585"/>
      <c r="BT20" s="1585"/>
      <c r="BU20" s="1585"/>
      <c r="BV20" s="1585"/>
      <c r="BW20" s="1585"/>
      <c r="BX20" s="1585"/>
      <c r="BY20" s="1585"/>
      <c r="BZ20" s="1585"/>
      <c r="CA20" s="1585"/>
      <c r="CB20" s="1585"/>
      <c r="CC20" s="1585"/>
      <c r="CD20" s="1585"/>
      <c r="CE20" s="1585"/>
      <c r="CF20" s="1585"/>
      <c r="CG20" s="1585"/>
      <c r="CH20" s="1585"/>
      <c r="CI20" s="1585"/>
      <c r="CJ20" s="1585"/>
      <c r="CK20" s="1585"/>
      <c r="CL20" s="1585"/>
      <c r="CM20" s="1585"/>
      <c r="CN20" s="1585"/>
      <c r="CO20" s="1585"/>
      <c r="CP20" s="1585"/>
      <c r="CQ20" s="1585"/>
      <c r="CR20" s="1585"/>
      <c r="CS20" s="1585"/>
      <c r="CT20" s="1585"/>
      <c r="CU20" s="1585"/>
      <c r="CV20" s="1585"/>
      <c r="CW20" s="1585"/>
      <c r="CX20" s="1585"/>
      <c r="CY20" s="1585"/>
      <c r="CZ20" s="1585"/>
      <c r="DA20" s="1585"/>
      <c r="DB20" s="1585"/>
      <c r="DC20" s="1585"/>
      <c r="DD20" s="1585"/>
      <c r="DE20" s="1585"/>
      <c r="DF20" s="1585"/>
      <c r="DG20" s="1585"/>
      <c r="DH20" s="1585"/>
      <c r="DI20" s="1585"/>
      <c r="DJ20" s="1585"/>
      <c r="DK20" s="1585"/>
      <c r="DL20" s="1585"/>
      <c r="DM20" s="1585"/>
      <c r="DN20" s="1585"/>
      <c r="DO20" s="1585"/>
      <c r="DP20" s="1585"/>
      <c r="DQ20" s="1585"/>
      <c r="DR20" s="1585"/>
      <c r="DS20" s="1585"/>
      <c r="DT20" s="1585"/>
      <c r="DU20" s="1585"/>
      <c r="DV20" s="1585"/>
      <c r="DW20" s="1585"/>
      <c r="DX20" s="1585"/>
      <c r="DY20" s="1585"/>
      <c r="DZ20" s="1585"/>
      <c r="EA20" s="1585"/>
      <c r="EB20" s="1585"/>
      <c r="EC20" s="1585"/>
      <c r="ED20" s="1585"/>
      <c r="EE20" s="1585"/>
      <c r="EF20" s="1585"/>
      <c r="EG20" s="1585"/>
      <c r="EH20" s="1585"/>
      <c r="EI20" s="1585"/>
      <c r="EJ20" s="1585"/>
      <c r="EK20" s="1585"/>
      <c r="EL20" s="1585"/>
      <c r="EM20" s="1585"/>
      <c r="EN20" s="1585"/>
      <c r="EO20" s="1585"/>
      <c r="EP20" s="1588"/>
      <c r="EQ20" s="1588"/>
      <c r="ER20" s="1588"/>
      <c r="ES20" s="1588"/>
      <c r="ET20" s="1588"/>
      <c r="EU20" s="1588"/>
      <c r="EV20" s="1588"/>
      <c r="EW20" s="1588"/>
      <c r="EX20" s="1588"/>
      <c r="EY20" s="1588"/>
      <c r="EZ20" s="1588"/>
      <c r="FA20" s="1588"/>
    </row>
    <row r="21" spans="1:157" s="1589" customFormat="1" hidden="1" outlineLevel="1" x14ac:dyDescent="0.2">
      <c r="A21" s="1585" t="str">
        <f>Relatórios!S32</f>
        <v>Máquinas</v>
      </c>
      <c r="B21" s="1586">
        <f>Relatórios!V32</f>
        <v>204500</v>
      </c>
      <c r="C21" s="1586"/>
      <c r="D21" s="1587">
        <f>SUMIF(Inventário!$G$33:$G$42,"1",Inventário!$T$33:$T$42)</f>
        <v>0</v>
      </c>
      <c r="E21" s="1587">
        <f>SUMIF(Inventário!$G$33:$G$42,"1",Inventário!$T$33:$T$42)+SUMIF(Inventário!$G$33:$G$42,"2",Inventário!$T$33:$T$42)</f>
        <v>0</v>
      </c>
      <c r="F21" s="1587">
        <f>SUMIF(Inventário!$G$33:$G$42,"1",Inventário!$T$33:$T$42)+SUMIF(Inventário!$G$33:$G$42,"3",Inventário!$T$33:$T$42)</f>
        <v>0</v>
      </c>
      <c r="G21" s="1587">
        <f>SUMIF(Inventário!$G$33:$G$42,"1",Inventário!$T$33:$T$42)+SUMIF(Inventário!$G$33:$G$42,"2",Inventário!$T$33:$T$42)+SUMIF(Inventário!$G$33:$G$42,"4",Inventário!$T$33:$T$42)</f>
        <v>0</v>
      </c>
      <c r="H21" s="1587">
        <f>SUMIF(Inventário!$G$33:$G$42,"1",Inventário!$T$33:$T$42)+SUMIF(Inventário!$G$33:$G$42,"5",Inventário!$T$33:$T$42)</f>
        <v>0</v>
      </c>
      <c r="I21" s="1587">
        <f>SUMIF(Inventário!$G$33:$G$42,"1",Inventário!$T$33:$T$42)+SUMIF(Inventário!$G$33:$G$42,"2",Inventário!$T$33:$T$42)+SUMIF(Inventário!$G$33:$G$42,"3",Inventário!$T$33:$T$42)+SUMIF(Inventário!$G$33:$G$42,"6",Inventário!$T$33:$T$42)</f>
        <v>0</v>
      </c>
      <c r="J21" s="1587">
        <f>SUMIF(Inventário!$G$33:$G$42,"1",Inventário!$T$33:$T$42)+SUMIF(Inventário!$G$33:$G$42,"7",Inventário!$T$33:$T$42)</f>
        <v>0</v>
      </c>
      <c r="K21" s="1587">
        <f>SUMIF(Inventário!$G$33:$G$42,"1",Inventário!$T$33:$T$42)+SUMIF(Inventário!$G$33:$G$42,"2",Inventário!$T$33:$T$42)+SUMIF(Inventário!$G$33:$G$42,"4",Inventário!$T$33:$T$42)+SUMIF(Inventário!$G$33:$G$42,"8",Inventário!$T$33:$T$42)</f>
        <v>0</v>
      </c>
      <c r="L21" s="1587">
        <f>SUMIF(Inventário!$G$33:$G$42,"1",Inventário!$T$33:$T$42)+SUMIF(Inventário!$G$33:$G$42,"3",Inventário!$T$33:$T$42)+SUMIF(Inventário!$G$33:$G$42,"9",Inventário!$T$33:$T$42)</f>
        <v>0</v>
      </c>
      <c r="M21" s="1587">
        <f>SUMIF(Inventário!$G$33:$G$42,"1",Inventário!$T$33:$T$42)+SUMIF(Inventário!$G$33:$G$42,"2",Inventário!$T$33:$T$42)+SUMIF(Inventário!$G$33:$G$42,"5",Inventário!$T$33:$T$42)+SUMIF(Inventário!$G$33:$G$42,"10",Inventário!$T$33:$T$42)</f>
        <v>0</v>
      </c>
      <c r="N21" s="1587">
        <f>SUMIF(Inventário!$G$33:$G$42,"1",Inventário!$T$33:$T$42)+SUMIF(Inventário!$G$33:$G$42,"11",Inventário!$T$33:$T$42)</f>
        <v>0</v>
      </c>
      <c r="O21" s="1587">
        <f>SUMIF(Inventário!$G$33:$G$42,"1",Inventário!$T$33:$T$42)+SUMIF(Inventário!$G$33:$G$42,"2",Inventário!$T$33:$T$42)+SUMIF(Inventário!$G$33:$G$42,"3",Inventário!$T$33:$T$42)+SUMIF(Inventário!$G$33:$G$42,"4",Inventário!$T$33:$T$42)+SUMIF(Inventário!$G$33:$G$42,"6",Inventário!$T$33:$T$42)+SUMIF(Inventário!$G$33:$G$42,"12",Inventário!$T$33:$T$42)</f>
        <v>0</v>
      </c>
      <c r="P21" s="1587">
        <f>SUMIF(Inventário!$G$33:$G$42,"1",Inventário!$T$33:$T$42)+SUMIF(Inventário!$G$33:$G$42,"13",Inventário!$T$33:$T$42)</f>
        <v>0</v>
      </c>
      <c r="Q21" s="1587">
        <f>(SUMIF(Inventário!$G$33:$G$42,"1",Inventário!$T$33:$T$42)+SUMIF(Inventário!$G$33:$G$42,"2",Inventário!$T$33:$T$42)+SUMIF(Inventário!$G$33:$G$42,"7",Inventário!$T$33:$T$42))</f>
        <v>0</v>
      </c>
      <c r="R21" s="1587">
        <f>(SUMIF(Inventário!$G$33:$G$42,"1",Inventário!$T$33:$T$42)+SUMIF(Inventário!$G$33:$G$42,"3",Inventário!$T$33:$T$42)+SUMIF(Inventário!$G$33:$G$42,"5",Inventário!$T$33:$T$42)+SUMIF(Inventário!$G$33:$G$42,"15",Inventário!$T$33:$T$42))</f>
        <v>204500</v>
      </c>
      <c r="S21" s="1587">
        <f>(SUMIF(Inventário!$G$33:$G$42,"1",Inventário!$T$33:$T$42)+SUMIF(Inventário!$G$33:$G$42,"2",Inventário!$T$33:$T$42)+SUMIF(Inventário!$G$33:$G$42,"4",Inventário!$T$33:$T$42)+SUMIF(Inventário!$G$33:$G$42,"8",Inventário!$T$33:$T$42)+SUMIF(Inventário!$G$33:$G$42,"16",Inventário!$T$33:$T$42))</f>
        <v>0</v>
      </c>
      <c r="T21" s="1587">
        <f>(SUMIF(Inventário!$G$33:$G$42,"1",Inventário!$T$33:$T$42)+SUMIF(Inventário!$G$33:$G$42,"17",Inventário!$T$33:$T$42))</f>
        <v>0</v>
      </c>
      <c r="U21" s="1587">
        <f>(SUMIF(Inventário!$G$33:$G$42,"1",Inventário!$T$33:$T$42)+SUMIF(Inventário!$G$33:$G$42,"2",Inventário!$T$33:$T$42)+SUMIF(Inventário!$G$33:$G$42,"3",Inventário!$T$33:$T$42)+SUMIF(Inventário!$G$33:$G$42,"6",Inventário!$T$33:$T$42)+SUMIF(Inventário!$G$33:$G$42,"9",Inventário!$T$33:$T$42)+SUMIF(Inventário!$G$33:$G$42,"18",Inventário!$T$33:$T$42))</f>
        <v>0</v>
      </c>
      <c r="V21" s="1587"/>
      <c r="W21" s="1585"/>
      <c r="X21" s="1585"/>
      <c r="Y21" s="1585"/>
      <c r="Z21" s="1585"/>
      <c r="AA21" s="1585"/>
      <c r="AB21" s="1585"/>
      <c r="AC21" s="1585"/>
      <c r="AD21" s="1585"/>
      <c r="AE21" s="1585"/>
      <c r="AF21" s="1585"/>
      <c r="AG21" s="1585"/>
      <c r="AH21" s="1585"/>
      <c r="AI21" s="1585"/>
      <c r="AJ21" s="1585"/>
      <c r="AK21" s="1585"/>
      <c r="AL21" s="1585"/>
      <c r="AM21" s="1585"/>
      <c r="AN21" s="1585"/>
      <c r="AO21" s="1585"/>
      <c r="AP21" s="1585"/>
      <c r="AQ21" s="1585"/>
      <c r="AR21" s="1585"/>
      <c r="AS21" s="1585"/>
      <c r="AT21" s="1585"/>
      <c r="AU21" s="1585"/>
      <c r="AV21" s="1585"/>
      <c r="AW21" s="1585"/>
      <c r="AX21" s="1585"/>
      <c r="AY21" s="1585"/>
      <c r="AZ21" s="1585"/>
      <c r="BA21" s="1585"/>
      <c r="BB21" s="1585"/>
      <c r="BC21" s="1585"/>
      <c r="BD21" s="1585"/>
      <c r="BE21" s="1585"/>
      <c r="BF21" s="1585"/>
      <c r="BG21" s="1585"/>
      <c r="BH21" s="1585"/>
      <c r="BI21" s="1585"/>
      <c r="BJ21" s="1585"/>
      <c r="BK21" s="1585"/>
      <c r="BL21" s="1585"/>
      <c r="BM21" s="1585"/>
      <c r="BN21" s="1585"/>
      <c r="BO21" s="1585"/>
      <c r="BP21" s="1585"/>
      <c r="BQ21" s="1585"/>
      <c r="BR21" s="1585"/>
      <c r="BS21" s="1585"/>
      <c r="BT21" s="1585"/>
      <c r="BU21" s="1585"/>
      <c r="BV21" s="1585"/>
      <c r="BW21" s="1585"/>
      <c r="BX21" s="1585"/>
      <c r="BY21" s="1585"/>
      <c r="BZ21" s="1585"/>
      <c r="CA21" s="1585"/>
      <c r="CB21" s="1585"/>
      <c r="CC21" s="1585"/>
      <c r="CD21" s="1585"/>
      <c r="CE21" s="1585"/>
      <c r="CF21" s="1585"/>
      <c r="CG21" s="1585"/>
      <c r="CH21" s="1585"/>
      <c r="CI21" s="1585"/>
      <c r="CJ21" s="1585"/>
      <c r="CK21" s="1585"/>
      <c r="CL21" s="1585"/>
      <c r="CM21" s="1585"/>
      <c r="CN21" s="1585"/>
      <c r="CO21" s="1585"/>
      <c r="CP21" s="1585"/>
      <c r="CQ21" s="1585"/>
      <c r="CR21" s="1585"/>
      <c r="CS21" s="1585"/>
      <c r="CT21" s="1585"/>
      <c r="CU21" s="1585"/>
      <c r="CV21" s="1585"/>
      <c r="CW21" s="1585"/>
      <c r="CX21" s="1585"/>
      <c r="CY21" s="1585"/>
      <c r="CZ21" s="1585"/>
      <c r="DA21" s="1585"/>
      <c r="DB21" s="1585"/>
      <c r="DC21" s="1585"/>
      <c r="DD21" s="1585"/>
      <c r="DE21" s="1585"/>
      <c r="DF21" s="1585"/>
      <c r="DG21" s="1585"/>
      <c r="DH21" s="1585"/>
      <c r="DI21" s="1585"/>
      <c r="DJ21" s="1585"/>
      <c r="DK21" s="1585"/>
      <c r="DL21" s="1585"/>
      <c r="DM21" s="1585"/>
      <c r="DN21" s="1585"/>
      <c r="DO21" s="1585"/>
      <c r="DP21" s="1585"/>
      <c r="DQ21" s="1585"/>
      <c r="DR21" s="1585"/>
      <c r="DS21" s="1585"/>
      <c r="DT21" s="1585"/>
      <c r="DU21" s="1585"/>
      <c r="DV21" s="1585"/>
      <c r="DW21" s="1585"/>
      <c r="DX21" s="1585"/>
      <c r="DY21" s="1585"/>
      <c r="DZ21" s="1585"/>
      <c r="EA21" s="1585"/>
      <c r="EB21" s="1585"/>
      <c r="EC21" s="1585"/>
      <c r="ED21" s="1585"/>
      <c r="EE21" s="1585"/>
      <c r="EF21" s="1585"/>
      <c r="EG21" s="1585"/>
      <c r="EH21" s="1585"/>
      <c r="EI21" s="1585"/>
      <c r="EJ21" s="1585"/>
      <c r="EK21" s="1585"/>
      <c r="EL21" s="1585"/>
      <c r="EM21" s="1585"/>
      <c r="EN21" s="1585"/>
      <c r="EO21" s="1585"/>
      <c r="EP21" s="1588"/>
      <c r="EQ21" s="1588"/>
      <c r="ER21" s="1588"/>
      <c r="ES21" s="1588"/>
      <c r="ET21" s="1588"/>
      <c r="EU21" s="1588"/>
      <c r="EV21" s="1588"/>
      <c r="EW21" s="1588"/>
      <c r="EX21" s="1588"/>
      <c r="EY21" s="1588"/>
      <c r="EZ21" s="1588"/>
      <c r="FA21" s="1588"/>
    </row>
    <row r="22" spans="1:157" s="1589" customFormat="1" hidden="1" outlineLevel="1" x14ac:dyDescent="0.2">
      <c r="A22" s="1585" t="str">
        <f>Relatórios!S33</f>
        <v>Implementos</v>
      </c>
      <c r="B22" s="1586">
        <f>Relatórios!V33</f>
        <v>97000</v>
      </c>
      <c r="C22" s="1586"/>
      <c r="D22" s="1587">
        <f>SUMIF(Inventário!$G$52:$G$71,"1",Inventário!$T$52:$T$71)</f>
        <v>0</v>
      </c>
      <c r="E22" s="1587">
        <f>SUMIF(Inventário!$G$52:$G$71,"2",Inventário!$T$52:$T$71)+SUMIF(Inventário!$G$52:$G$71,"2",Inventário!$T$52:$T$71)</f>
        <v>0</v>
      </c>
      <c r="F22" s="1587">
        <f>SUMIF(Inventário!$G$52:$G$71,"1",Inventário!$T$52:$T$71)+SUMIF(Inventário!$G$52:$G$71,"3",Inventário!$T$52:$T$71)</f>
        <v>0</v>
      </c>
      <c r="G22" s="1587">
        <f>SUMIF(Inventário!$G$52:$G$71,"1",Inventário!$T$52:$T$71)+SUMIF(Inventário!$G$52:$G$71,"2",Inventário!$T$52:$T$71)+SUMIF(Inventário!$G$52:$G$71,"4",Inventário!$T$52:$T$71)</f>
        <v>0</v>
      </c>
      <c r="H22" s="1587">
        <f>SUMIF(Inventário!$G$52:$G$71,"1",Inventário!$T$52:$T$71)+SUMIF(Inventário!$G$52:$G$71,"5",Inventário!$T$52:$T$71)</f>
        <v>0</v>
      </c>
      <c r="I22" s="1587">
        <f>SUMIF(Inventário!$G$52:$G$71,"1",Inventário!$T$52:$T$71)+SUMIF(Inventário!$G$52:$G$71,"2",Inventário!$T$52:$T$71)+SUMIF(Inventário!$G$52:$G$71,"3",Inventário!$T$52:$T$71)+SUMIF(Inventário!$G$52:$G$71,"6",Inventário!$T$52:$T$71)</f>
        <v>0</v>
      </c>
      <c r="J22" s="1587">
        <f>SUMIF(Inventário!$G$52:$G$71,"1",Inventário!$T$52:$T$71)+SUMIF(Inventário!$G$52:$G$71,"7",Inventário!$T$52:$T$71)</f>
        <v>0</v>
      </c>
      <c r="K22" s="1587">
        <f>SUMIF(Inventário!$G$52:$G$71,"1",Inventário!$T$52:$T$71)+SUMIF(Inventário!$G$52:$G$71,"2",Inventário!$T$52:$T$71)+SUMIF(Inventário!$G$52:$G$71,"4",Inventário!$T$52:$T$71)+SUMIF(Inventário!$G$52:$G$71,"8",Inventário!$T$52:$T$71)</f>
        <v>24000</v>
      </c>
      <c r="L22" s="1587">
        <f>SUMIF(Inventário!$G$52:$G$71,"1",Inventário!$T$52:$T$71)+SUMIF(Inventário!$G$52:$G$71,"3",Inventário!$T$52:$T$71)+SUMIF(Inventário!$G$52:$G$71,"9",Inventário!$T$52:$T$71)</f>
        <v>0</v>
      </c>
      <c r="M22" s="1587">
        <f>SUMIF(Inventário!$G$52:$G$71,"1",Inventário!$T$52:$T$71)+SUMIF(Inventário!$G$52:$G$71,"2",Inventário!$T$52:$T$71)+SUMIF(Inventário!$G$52:$G$71,"5",Inventário!$T$52:$T$71)+SUMIF(Inventário!$G$52:$G$71,"10",Inventário!$T$52:$T$71)</f>
        <v>0</v>
      </c>
      <c r="N22" s="1587">
        <f>SUMIF(Inventário!$G$52:$G$71,"1",Inventário!$T$52:$T$71)+SUMIF(Inventário!$G$52:$G$71,"11",Inventário!$T$52:$T$71)</f>
        <v>0</v>
      </c>
      <c r="O22" s="1587">
        <f>SUMIF(Inventário!$G$52:$G$71,"1",Inventário!$T$52:$T$71)+SUMIF(Inventário!$G$52:$G$71,"2",Inventário!$T$52:$T$71)+SUMIF(Inventário!$G$52:$G$71,"3",Inventário!$T$52:$T$71)+SUMIF(Inventário!$G$52:$G$71,"4",Inventário!$T$52:$T$71)+SUMIF(Inventário!$G$52:$G$71,"6",Inventário!$T$52:$T$71)+SUMIF(Inventário!$G$52:$G$71,"12",Inventário!$T$52:$T$71)</f>
        <v>10000</v>
      </c>
      <c r="P22" s="1587">
        <f>SUMIF(Inventário!$G$52:$G$71,"1",Inventário!$T$52:$T$71)+SUMIF(Inventário!$G$52:$G$71,"13",Inventário!$T$52:$T$71)</f>
        <v>0</v>
      </c>
      <c r="Q22" s="1587">
        <f>(SUMIF(Inventário!$G$52:$G$71,"1",Inventário!$T$52:$T$71)+SUMIF(Inventário!$G$52:$G$71,"2",Inventário!$T$52:$T$71)+SUMIF(Inventário!$G$52:$G$71,"7",Inventário!$T$52:$T$71))</f>
        <v>0</v>
      </c>
      <c r="R22" s="1587">
        <f>(SUMIF(Inventário!$G$52:$G$71,"1",Inventário!$T$52:$T$71)+SUMIF(Inventário!$G$52:$G$71,"3",Inventário!$T$52:$T$71)+SUMIF(Inventário!$G$52:$G$71,"5",Inventário!$T$52:$T$71)+SUMIF(Inventário!$G$52:$G$71,"15",Inventário!$T$52:$T$71))</f>
        <v>13000</v>
      </c>
      <c r="S22" s="1587">
        <f>(SUMIF(Inventário!$G$52:$G$71,"1",Inventário!$T$52:$T$71)+SUMIF(Inventário!$G$52:$G$71,"2",Inventário!$T$52:$T$71)+SUMIF(Inventário!$G$52:$G$71,"4",Inventário!$T$52:$T$71)+SUMIF(Inventário!$G$52:$G$71,"8",Inventário!$T$52:$T$71)+SUMIF(Inventário!$G$52:$G$71,"8",Inventário!$T$52:$T$71))</f>
        <v>48000</v>
      </c>
      <c r="T22" s="1587">
        <f>(SUMIF(Inventário!$G$52:$G$71,"1",Inventário!$T$52:$T$71)+SUMIF(Inventário!$G$52:$G$71,"17",Inventário!$T$52:$T$71))</f>
        <v>0</v>
      </c>
      <c r="U22" s="1587">
        <f>(SUMIF(Inventário!$G$52:$G$71,"1",Inventário!$T$52:$T$71)+SUMIF(Inventário!$G$52:$G$71,"2",Inventário!$T$52:$T$71)+SUMIF(Inventário!$G$52:$G$71,"3",Inventário!$T$52:$T$71)+SUMIF(Inventário!$G$52:$G$71,"6",Inventário!$T$52:$T$71)+SUMIF(Inventário!$G$52:$G$71,"9",Inventário!$T$52:$T$71)+SUMIF(Inventário!$G$52:$G$71,"18",Inventário!$T$52:$T$71))</f>
        <v>0</v>
      </c>
      <c r="V22" s="1587"/>
      <c r="W22" s="1585"/>
      <c r="X22" s="1585"/>
      <c r="Y22" s="1585"/>
      <c r="Z22" s="1585"/>
      <c r="AA22" s="1585"/>
      <c r="AB22" s="1585"/>
      <c r="AC22" s="1585"/>
      <c r="AD22" s="1585"/>
      <c r="AE22" s="1585"/>
      <c r="AF22" s="1585"/>
      <c r="AG22" s="1585"/>
      <c r="AH22" s="1585"/>
      <c r="AI22" s="1585"/>
      <c r="AJ22" s="1585"/>
      <c r="AK22" s="1585"/>
      <c r="AL22" s="1585"/>
      <c r="AM22" s="1585"/>
      <c r="AN22" s="1585"/>
      <c r="AO22" s="1585"/>
      <c r="AP22" s="1585"/>
      <c r="AQ22" s="1585"/>
      <c r="AR22" s="1585"/>
      <c r="AS22" s="1585"/>
      <c r="AT22" s="1585"/>
      <c r="AU22" s="1585"/>
      <c r="AV22" s="1585"/>
      <c r="AW22" s="1585"/>
      <c r="AX22" s="1585"/>
      <c r="AY22" s="1585"/>
      <c r="AZ22" s="1585"/>
      <c r="BA22" s="1585"/>
      <c r="BB22" s="1585"/>
      <c r="BC22" s="1585"/>
      <c r="BD22" s="1585"/>
      <c r="BE22" s="1585"/>
      <c r="BF22" s="1585"/>
      <c r="BG22" s="1585"/>
      <c r="BH22" s="1585"/>
      <c r="BI22" s="1585"/>
      <c r="BJ22" s="1585"/>
      <c r="BK22" s="1585"/>
      <c r="BL22" s="1585"/>
      <c r="BM22" s="1585"/>
      <c r="BN22" s="1585"/>
      <c r="BO22" s="1585"/>
      <c r="BP22" s="1585"/>
      <c r="BQ22" s="1585"/>
      <c r="BR22" s="1585"/>
      <c r="BS22" s="1585"/>
      <c r="BT22" s="1585"/>
      <c r="BU22" s="1585"/>
      <c r="BV22" s="1585"/>
      <c r="BW22" s="1585"/>
      <c r="BX22" s="1585"/>
      <c r="BY22" s="1585"/>
      <c r="BZ22" s="1585"/>
      <c r="CA22" s="1585"/>
      <c r="CB22" s="1585"/>
      <c r="CC22" s="1585"/>
      <c r="CD22" s="1585"/>
      <c r="CE22" s="1585"/>
      <c r="CF22" s="1585"/>
      <c r="CG22" s="1585"/>
      <c r="CH22" s="1585"/>
      <c r="CI22" s="1585"/>
      <c r="CJ22" s="1585"/>
      <c r="CK22" s="1585"/>
      <c r="CL22" s="1585"/>
      <c r="CM22" s="1585"/>
      <c r="CN22" s="1585"/>
      <c r="CO22" s="1585"/>
      <c r="CP22" s="1585"/>
      <c r="CQ22" s="1585"/>
      <c r="CR22" s="1585"/>
      <c r="CS22" s="1585"/>
      <c r="CT22" s="1585"/>
      <c r="CU22" s="1585"/>
      <c r="CV22" s="1585"/>
      <c r="CW22" s="1585"/>
      <c r="CX22" s="1585"/>
      <c r="CY22" s="1585"/>
      <c r="CZ22" s="1585"/>
      <c r="DA22" s="1585"/>
      <c r="DB22" s="1585"/>
      <c r="DC22" s="1585"/>
      <c r="DD22" s="1585"/>
      <c r="DE22" s="1585"/>
      <c r="DF22" s="1585"/>
      <c r="DG22" s="1585"/>
      <c r="DH22" s="1585"/>
      <c r="DI22" s="1585"/>
      <c r="DJ22" s="1585"/>
      <c r="DK22" s="1585"/>
      <c r="DL22" s="1585"/>
      <c r="DM22" s="1585"/>
      <c r="DN22" s="1585"/>
      <c r="DO22" s="1585"/>
      <c r="DP22" s="1585"/>
      <c r="DQ22" s="1585"/>
      <c r="DR22" s="1585"/>
      <c r="DS22" s="1585"/>
      <c r="DT22" s="1585"/>
      <c r="DU22" s="1585"/>
      <c r="DV22" s="1585"/>
      <c r="DW22" s="1585"/>
      <c r="DX22" s="1585"/>
      <c r="DY22" s="1585"/>
      <c r="DZ22" s="1585"/>
      <c r="EA22" s="1585"/>
      <c r="EB22" s="1585"/>
      <c r="EC22" s="1585"/>
      <c r="ED22" s="1585"/>
      <c r="EE22" s="1585"/>
      <c r="EF22" s="1585"/>
      <c r="EG22" s="1585"/>
      <c r="EH22" s="1585"/>
      <c r="EI22" s="1585"/>
      <c r="EJ22" s="1585"/>
      <c r="EK22" s="1585"/>
      <c r="EL22" s="1585"/>
      <c r="EM22" s="1585"/>
      <c r="EN22" s="1585"/>
      <c r="EO22" s="1585"/>
      <c r="EP22" s="1588"/>
      <c r="EQ22" s="1588"/>
      <c r="ER22" s="1588"/>
      <c r="ES22" s="1588"/>
      <c r="ET22" s="1588"/>
      <c r="EU22" s="1588"/>
      <c r="EV22" s="1588"/>
      <c r="EW22" s="1588"/>
      <c r="EX22" s="1588"/>
      <c r="EY22" s="1588"/>
      <c r="EZ22" s="1588"/>
      <c r="FA22" s="1588"/>
    </row>
    <row r="23" spans="1:157" s="1589" customFormat="1" hidden="1" outlineLevel="1" x14ac:dyDescent="0.2">
      <c r="A23" s="1585" t="str">
        <f>Relatórios!S34</f>
        <v>Equipamentos</v>
      </c>
      <c r="B23" s="1586">
        <f>Relatórios!V34</f>
        <v>16960</v>
      </c>
      <c r="C23" s="1586"/>
      <c r="D23" s="1587">
        <f>SUMIF(Inventário!$G$80:$G$99,"1",Inventário!$T$80:$T$99)</f>
        <v>0</v>
      </c>
      <c r="E23" s="1587">
        <f>SUMIF(Inventário!$G$80:$G$99,"1",Inventário!$T$80:$T$99)+SUMIF(Inventário!$G$80:$G$99,"2",Inventário!$T$80:$T$99)</f>
        <v>3000</v>
      </c>
      <c r="F23" s="1587">
        <f>SUMIF(Inventário!$G$80:$G$99,"1",Inventário!$T$80:$T$99)+SUMIF(Inventário!$G$80:$G$99,"3",Inventário!$T$80:$T$99)</f>
        <v>0</v>
      </c>
      <c r="G23" s="1587">
        <f>SUMIF(Inventário!$G$80:$G$99,"1",Inventário!$T$80:$T$99)+SUMIF(Inventário!$G$80:$G$99,"2",Inventário!$T$80:$T$99)+SUMIF(Inventário!$G$80:$G$99,"4",Inventário!$T$80:$T$99)</f>
        <v>3000</v>
      </c>
      <c r="H23" s="1587">
        <f>SUMIF(Inventário!$G$80:$G$99,"1",Inventário!$T$80:$T$99)+SUMIF(Inventário!$G$80:$G$99,"5",Inventário!$T$80:$T$99)</f>
        <v>0</v>
      </c>
      <c r="I23" s="1587">
        <f>SUMIF(Inventário!$G$80:$G$99,"1",Inventário!$T$80:$T$99)+SUMIF(Inventário!$G$80:$G$99,"2",Inventário!$T$80:$T$99)+SUMIF(Inventário!$G$80:$G$99,"3",Inventário!$T$80:$T$99)+SUMIF(Inventário!$G$80:$G$99,"6",Inventário!$T$80:$T$99)</f>
        <v>3000</v>
      </c>
      <c r="J23" s="1587">
        <f>SUMIF(Inventário!$G$80:$G$99,"1",Inventário!$T$80:$T$99)+SUMIF(Inventário!$G$80:$G$99,"7",Inventário!$T$80:$T$99)</f>
        <v>0</v>
      </c>
      <c r="K23" s="1587">
        <f>SUMIF(Inventário!$G$80:$G$99,"1",Inventário!$T$80:$T$99)+SUMIF(Inventário!$G$80:$G$99,"2",Inventário!$T$80:$T$99)+SUMIF(Inventário!$G$80:$G$99,"4",Inventário!$T$80:$T$99)+SUMIF(Inventário!$G$80:$G$99,"8",Inventário!$T$80:$T$99)</f>
        <v>6360</v>
      </c>
      <c r="L23" s="1587">
        <f>SUMIF(Inventário!$G$80:$G$99,"1",Inventário!$T$80:$T$99)+SUMIF(Inventário!$G$80:$G$99,"3",Inventário!$T$80:$T$99)+SUMIF(Inventário!$G$80:$G$99,"9",Inventário!$T$80:$T$99)</f>
        <v>0</v>
      </c>
      <c r="M23" s="1587">
        <f>SUMIF(Inventário!$G$80:$G$99,"1",Inventário!$T$80:$T$99)+SUMIF(Inventário!$G$80:$G$99,"2",Inventário!$T$80:$T$99)+SUMIF(Inventário!$G$80:$G$99,"5",Inventário!$T$80:$T$99)+SUMIF(Inventário!$G$80:$G$99,"10",Inventário!$T$80:$T$99)</f>
        <v>13600</v>
      </c>
      <c r="N23" s="1587">
        <f>SUMIF(Inventário!$G$80:$G$99,"1",Inventário!$T$80:$T$99)+SUMIF(Inventário!$G$80:$G$99,"11",Inventário!$T$80:$T$99)</f>
        <v>0</v>
      </c>
      <c r="O23" s="1587">
        <f>SUMIF(Inventário!$G$80:$G$99,"1",Inventário!$T$80:$T$99)+SUMIF(Inventário!$G$80:$G$99,"2",Inventário!$T$80:$T$99)+SUMIF(Inventário!$G$80:$G$99,"3",Inventário!$T$80:$T$99)+SUMIF(Inventário!$G$80:$G$99,"4",Inventário!$T$80:$T$99)+SUMIF(Inventário!$G$80:$G$99,"6",Inventário!$T$80:$T$99)+SUMIF(Inventário!$G$80:$G$99,"12",Inventário!$T$80:$T$99)</f>
        <v>3000</v>
      </c>
      <c r="P23" s="1587">
        <f>SUMIF(Inventário!$G$80:$G$99,"1",Inventário!$T$80:$T$99)+SUMIF(Inventário!$G$80:$G$99,"13",Inventário!$T$80:$T$99)</f>
        <v>0</v>
      </c>
      <c r="Q23" s="1587">
        <f>(SUMIF(Inventário!$G$80:$G$99,"1",Inventário!$T$80:$T$99)+SUMIF(Inventário!$G$80:$G$99,"2",Inventário!$T$80:$T$99)+SUMIF(Inventário!$G$80:$G$99,"7",Inventário!$T$80:$T$99))</f>
        <v>3000</v>
      </c>
      <c r="R23" s="1587">
        <f>(SUMIF(Inventário!$G$80:$G$99,"1",Inventário!$T$80:$T$99)+SUMIF(Inventário!$G$80:$G$99,"3",Inventário!$T$80:$T$99)+SUMIF(Inventário!$G$80:$G$99,"5",Inventário!$T$80:$T$99)+SUMIF(Inventário!$G$80:$G$99,"15",Inventário!$T$80:$T$99))</f>
        <v>0</v>
      </c>
      <c r="S23" s="1587">
        <f>(SUMIF(Inventário!$G$80:$G$99,"1",Inventário!$T$80:$T$99)+SUMIF(Inventário!$G$80:$G$99,"2",Inventário!$T$80:$T$99)+SUMIF(Inventário!$G$80:$G$99,"4",Inventário!$T$80:$T$99)+SUMIF(Inventário!$G$80:$G$99,"8",Inventário!$T$80:$T$99)+SUMIF(Inventário!$G$80:$G$99,"16",Inventário!$T$80:$T$99))</f>
        <v>6360</v>
      </c>
      <c r="T23" s="1587">
        <f>(SUMIF(Inventário!$G$80:$G$99,"1",Inventário!$T$80:$T$99)+SUMIF(Inventário!$G$80:$G$99,"17",Inventário!$T$80:$T$99))</f>
        <v>0</v>
      </c>
      <c r="U23" s="1587">
        <f>(SUMIF(Inventário!$G$80:$G$99,"1",Inventário!$T$80:$T$99)+SUMIF(Inventário!$G$80:$G$99,"2",Inventário!$T$80:$T$99)+SUMIF(Inventário!$G$80:$G$99,"3",Inventário!$T$80:$T$99)+SUMIF(Inventário!$G$80:$G$99,"6",Inventário!$T$80:$T$99)+SUMIF(Inventário!$G$80:$G$99,"9",Inventário!$T$80:$T$99)+SUMIF(Inventário!$G$80:$G$99,"18",Inventário!$T$80:$T$99))</f>
        <v>3000</v>
      </c>
      <c r="V23" s="1587"/>
      <c r="W23" s="1585"/>
      <c r="X23" s="1585"/>
      <c r="Y23" s="1585"/>
      <c r="Z23" s="1585"/>
      <c r="AA23" s="1585"/>
      <c r="AB23" s="1585"/>
      <c r="AC23" s="1585"/>
      <c r="AD23" s="1585"/>
      <c r="AE23" s="1585"/>
      <c r="AF23" s="1585"/>
      <c r="AG23" s="1585"/>
      <c r="AH23" s="1585"/>
      <c r="AI23" s="1585"/>
      <c r="AJ23" s="1585"/>
      <c r="AK23" s="1585"/>
      <c r="AL23" s="1585"/>
      <c r="AM23" s="1585"/>
      <c r="AN23" s="1585"/>
      <c r="AO23" s="1585"/>
      <c r="AP23" s="1585"/>
      <c r="AQ23" s="1585"/>
      <c r="AR23" s="1585"/>
      <c r="AS23" s="1585"/>
      <c r="AT23" s="1585"/>
      <c r="AU23" s="1585"/>
      <c r="AV23" s="1585"/>
      <c r="AW23" s="1585"/>
      <c r="AX23" s="1585"/>
      <c r="AY23" s="1585"/>
      <c r="AZ23" s="1585"/>
      <c r="BA23" s="1585"/>
      <c r="BB23" s="1585"/>
      <c r="BC23" s="1585"/>
      <c r="BD23" s="1585"/>
      <c r="BE23" s="1585"/>
      <c r="BF23" s="1585"/>
      <c r="BG23" s="1585"/>
      <c r="BH23" s="1585"/>
      <c r="BI23" s="1585"/>
      <c r="BJ23" s="1585"/>
      <c r="BK23" s="1585"/>
      <c r="BL23" s="1585"/>
      <c r="BM23" s="1585"/>
      <c r="BN23" s="1585"/>
      <c r="BO23" s="1585"/>
      <c r="BP23" s="1585"/>
      <c r="BQ23" s="1585"/>
      <c r="BR23" s="1585"/>
      <c r="BS23" s="1585"/>
      <c r="BT23" s="1585"/>
      <c r="BU23" s="1585"/>
      <c r="BV23" s="1585"/>
      <c r="BW23" s="1585"/>
      <c r="BX23" s="1585"/>
      <c r="BY23" s="1585"/>
      <c r="BZ23" s="1585"/>
      <c r="CA23" s="1585"/>
      <c r="CB23" s="1585"/>
      <c r="CC23" s="1585"/>
      <c r="CD23" s="1585"/>
      <c r="CE23" s="1585"/>
      <c r="CF23" s="1585"/>
      <c r="CG23" s="1585"/>
      <c r="CH23" s="1585"/>
      <c r="CI23" s="1585"/>
      <c r="CJ23" s="1585"/>
      <c r="CK23" s="1585"/>
      <c r="CL23" s="1585"/>
      <c r="CM23" s="1585"/>
      <c r="CN23" s="1585"/>
      <c r="CO23" s="1585"/>
      <c r="CP23" s="1585"/>
      <c r="CQ23" s="1585"/>
      <c r="CR23" s="1585"/>
      <c r="CS23" s="1585"/>
      <c r="CT23" s="1585"/>
      <c r="CU23" s="1585"/>
      <c r="CV23" s="1585"/>
      <c r="CW23" s="1585"/>
      <c r="CX23" s="1585"/>
      <c r="CY23" s="1585"/>
      <c r="CZ23" s="1585"/>
      <c r="DA23" s="1585"/>
      <c r="DB23" s="1585"/>
      <c r="DC23" s="1585"/>
      <c r="DD23" s="1585"/>
      <c r="DE23" s="1585"/>
      <c r="DF23" s="1585"/>
      <c r="DG23" s="1585"/>
      <c r="DH23" s="1585"/>
      <c r="DI23" s="1585"/>
      <c r="DJ23" s="1585"/>
      <c r="DK23" s="1585"/>
      <c r="DL23" s="1585"/>
      <c r="DM23" s="1585"/>
      <c r="DN23" s="1585"/>
      <c r="DO23" s="1585"/>
      <c r="DP23" s="1585"/>
      <c r="DQ23" s="1585"/>
      <c r="DR23" s="1585"/>
      <c r="DS23" s="1585"/>
      <c r="DT23" s="1585"/>
      <c r="DU23" s="1585"/>
      <c r="DV23" s="1585"/>
      <c r="DW23" s="1585"/>
      <c r="DX23" s="1585"/>
      <c r="DY23" s="1585"/>
      <c r="DZ23" s="1585"/>
      <c r="EA23" s="1585"/>
      <c r="EB23" s="1585"/>
      <c r="EC23" s="1585"/>
      <c r="ED23" s="1585"/>
      <c r="EE23" s="1585"/>
      <c r="EF23" s="1585"/>
      <c r="EG23" s="1585"/>
      <c r="EH23" s="1585"/>
      <c r="EI23" s="1585"/>
      <c r="EJ23" s="1585"/>
      <c r="EK23" s="1585"/>
      <c r="EL23" s="1585"/>
      <c r="EM23" s="1585"/>
      <c r="EN23" s="1585"/>
      <c r="EO23" s="1585"/>
      <c r="EP23" s="1588"/>
      <c r="EQ23" s="1588"/>
      <c r="ER23" s="1588"/>
      <c r="ES23" s="1588"/>
      <c r="ET23" s="1588"/>
      <c r="EU23" s="1588"/>
      <c r="EV23" s="1588"/>
      <c r="EW23" s="1588"/>
      <c r="EX23" s="1588"/>
      <c r="EY23" s="1588"/>
      <c r="EZ23" s="1588"/>
      <c r="FA23" s="1588"/>
    </row>
    <row r="24" spans="1:157" s="1589" customFormat="1" hidden="1" outlineLevel="1" x14ac:dyDescent="0.2">
      <c r="A24" s="1585" t="str">
        <f>Relatórios!S35</f>
        <v>Utilitário</v>
      </c>
      <c r="B24" s="1586">
        <f>Relatórios!V35</f>
        <v>101000</v>
      </c>
      <c r="C24" s="1586"/>
      <c r="D24" s="1587">
        <f>SUMIF(Inventário!$G$105:$G$111,"1",Inventário!$T$105:$T$111)</f>
        <v>0</v>
      </c>
      <c r="E24" s="1587">
        <f>SUMIF(Inventário!$G$105:$G$111,"1",Inventário!$T$105:$T$111)+SUMIF(Inventário!$G$105:$G$111,"1",Inventário!$T$105:$T$111)</f>
        <v>0</v>
      </c>
      <c r="F24" s="1587">
        <f>SUMIF(Inventário!$G$105:$G$111,"1",Inventário!$T$105:$T$111)+SUMIF(Inventário!$G$105:$G$111,"3",Inventário!$T$105:$T$111)</f>
        <v>0</v>
      </c>
      <c r="G24" s="1587">
        <f>SUMIF(Inventário!$G$105:$G$111,"1",Inventário!$T$105:$T$111)+SUMIF(Inventário!$G$105:$G$111,"2",Inventário!$T$105:$T$111)+SUMIF(Inventário!$G$105:$G$111,"4",Inventário!$T$105:$T$111)</f>
        <v>0</v>
      </c>
      <c r="H24" s="1587">
        <f>SUMIF(Inventário!$G$105:$G$111,"1",Inventário!$T$105:$T$111)+SUMIF(Inventário!$G$105:$G$111,"5",Inventário!$T$105:$T$111)</f>
        <v>0</v>
      </c>
      <c r="I24" s="1587">
        <f>SUMIF(Inventário!$G$105:$G$111,"1",Inventário!$T$105:$T$111)+SUMIF(Inventário!$G$105:$G$111,"2",Inventário!$T$105:$T$111)+SUMIF(Inventário!$G$105:$G$111,"3",Inventário!$T$105:$T$111)+SUMIF(Inventário!$G$105:$G$111,"6",Inventário!$T$105:$T$111)</f>
        <v>0</v>
      </c>
      <c r="J24" s="1587">
        <f>SUMIF(Inventário!$G$105:$G$111,"1",Inventário!$T$105:$T$111)+SUMIF(Inventário!$G$105:$G$111,"7",Inventário!$T$105:$T$111)</f>
        <v>0</v>
      </c>
      <c r="K24" s="1587">
        <f>SUMIF(Inventário!$G$105:$G$111,"1",Inventário!$T$105:$T$111)+SUMIF(Inventário!$G$105:$G$111,"2",Inventário!$T$105:$T$111)+SUMIF(Inventário!$G$105:$G$111,"4",Inventário!$T$105:$T$111)+SUMIF(Inventário!$G$105:$G$111,"8",Inventário!$T$105:$T$111)</f>
        <v>0</v>
      </c>
      <c r="L24" s="1587">
        <f>SUMIF(Inventário!$G$105:$G$111,"1",Inventário!$T$105:$T$111)+SUMIF(Inventário!$G$105:$G$111,"3",Inventário!$T$105:$T$111)+SUMIF(Inventário!$G$105:$G$111,"9",Inventário!$T$105:$T$111)</f>
        <v>0</v>
      </c>
      <c r="M24" s="1587">
        <f>SUMIF(Inventário!$G$105:$G$111,"1",Inventário!$T$105:$T$111)+SUMIF(Inventário!$G$105:$G$111,"2",Inventário!$T$105:$T$111)+SUMIF(Inventário!$G$105:$G$111,"5",Inventário!$T$105:$T$111)+SUMIF(Inventário!$G$105:$G$111,"10",Inventário!$T$105:$T$111)</f>
        <v>10000</v>
      </c>
      <c r="N24" s="1587">
        <f>SUMIF(Inventário!$G$105:$G$111,"1",Inventário!$T$105:$T$111)+SUMIF(Inventário!$G$105:$G$111,"11",Inventário!$T$105:$T$111)</f>
        <v>0</v>
      </c>
      <c r="O24" s="1587">
        <f>SUMIF(Inventário!$G$105:$G$111,"1",Inventário!$T$105:$T$111)+SUMIF(Inventário!$G$105:$G$111,"2",Inventário!$T$105:$T$111)+SUMIF(Inventário!$G$105:$G$111,"3",Inventário!$T$105:$T$111)+SUMIF(Inventário!$G$105:$G$111,"4",Inventário!$T$105:$T$111)+SUMIF(Inventário!$G$105:$G$111,"6",Inventário!$T$105:$T$111)+SUMIF(Inventário!$G$105:$G$111,"12",Inventário!$T$105:$T$111)</f>
        <v>0</v>
      </c>
      <c r="P24" s="1587">
        <f>SUMIF(Inventário!$G$105:$G$111,"1",Inventário!$T$105:$T$111)+SUMIF(Inventário!$G$105:$G$111,"13",Inventário!$T$105:$T$111)</f>
        <v>0</v>
      </c>
      <c r="Q24" s="1587">
        <f>(SUMIF(Inventário!$G$105:$G$111,"1",Inventário!$T$105:$T$111)+SUMIF(Inventário!$G$105:$G$111,"2",Inventário!$T$105:$T$111)+SUMIF(Inventário!$G$105:$G$111,"7",Inventário!$T$105:$T$111))</f>
        <v>0</v>
      </c>
      <c r="R24" s="1587">
        <f>(SUMIF(Inventário!$G$105:$G$111,"1",Inventário!$T$105:$T$111)+SUMIF(Inventário!$G$105:$G$111,"3",Inventário!$T$105:$T$111)+SUMIF(Inventário!$G$105:$G$111,"5",Inventário!$T$105:$T$111)+SUMIF(Inventário!$G$105:$G$111,"15",Inventário!$T$105:$T$111))</f>
        <v>91000</v>
      </c>
      <c r="S24" s="1587">
        <f>(SUMIF(Inventário!$G$105:$G$111,"1",Inventário!$T$105:$T$111)+SUMIF(Inventário!$G$105:$G$111,"2",Inventário!$T$105:$T$111)+SUMIF(Inventário!$G$105:$G$111,"4",Inventário!$T$105:$T$111)+SUMIF(Inventário!$G$105:$G$111,"8",Inventário!$T$105:$T$111)+SUMIF(Inventário!$G$105:$G$111,"16",Inventário!$T$105:$T$111))</f>
        <v>0</v>
      </c>
      <c r="T24" s="1587">
        <f>(SUMIF(Inventário!$G$105:$G$111,"1",Inventário!$T$105:$T$111)+SUMIF(Inventário!$G$105:$G$111,"17",Inventário!$T$105:$T$111))</f>
        <v>0</v>
      </c>
      <c r="U24" s="1587">
        <f>(SUMIF(Inventário!$G$105:$G$111,"1",Inventário!$T$105:$T$111)+SUMIF(Inventário!$G$105:$G$111,"2",Inventário!$T$105:$T$111)+SUMIF(Inventário!$G$105:$G$111,"3",Inventário!$T$105:$T$111)+SUMIF(Inventário!$G$105:$G$111,"6",Inventário!$T$105:$T$111)+SUMIF(Inventário!$G$105:$G$111,"9",Inventário!$T$105:$T$111)+SUMIF(Inventário!$G$105:$G$111,"18",Inventário!$T$105:$T$111))</f>
        <v>0</v>
      </c>
      <c r="V24" s="1587"/>
      <c r="W24" s="1585"/>
      <c r="X24" s="1585"/>
      <c r="Y24" s="1585"/>
      <c r="Z24" s="1585"/>
      <c r="AA24" s="1585"/>
      <c r="AB24" s="1585"/>
      <c r="AC24" s="1585"/>
      <c r="AD24" s="1585"/>
      <c r="AE24" s="1585"/>
      <c r="AF24" s="1585"/>
      <c r="AG24" s="1585"/>
      <c r="AH24" s="1585"/>
      <c r="AI24" s="1585"/>
      <c r="AJ24" s="1585"/>
      <c r="AK24" s="1585"/>
      <c r="AL24" s="1585"/>
      <c r="AM24" s="1585"/>
      <c r="AN24" s="1585"/>
      <c r="AO24" s="1585"/>
      <c r="AP24" s="1585"/>
      <c r="AQ24" s="1585"/>
      <c r="AR24" s="1585"/>
      <c r="AS24" s="1585"/>
      <c r="AT24" s="1585"/>
      <c r="AU24" s="1585"/>
      <c r="AV24" s="1585"/>
      <c r="AW24" s="1585"/>
      <c r="AX24" s="1585"/>
      <c r="AY24" s="1585"/>
      <c r="AZ24" s="1585"/>
      <c r="BA24" s="1585"/>
      <c r="BB24" s="1585"/>
      <c r="BC24" s="1585"/>
      <c r="BD24" s="1585"/>
      <c r="BE24" s="1585"/>
      <c r="BF24" s="1585"/>
      <c r="BG24" s="1585"/>
      <c r="BH24" s="1585"/>
      <c r="BI24" s="1585"/>
      <c r="BJ24" s="1585"/>
      <c r="BK24" s="1585"/>
      <c r="BL24" s="1585"/>
      <c r="BM24" s="1585"/>
      <c r="BN24" s="1585"/>
      <c r="BO24" s="1585"/>
      <c r="BP24" s="1585"/>
      <c r="BQ24" s="1585"/>
      <c r="BR24" s="1585"/>
      <c r="BS24" s="1585"/>
      <c r="BT24" s="1585"/>
      <c r="BU24" s="1585"/>
      <c r="BV24" s="1585"/>
      <c r="BW24" s="1585"/>
      <c r="BX24" s="1585"/>
      <c r="BY24" s="1585"/>
      <c r="BZ24" s="1585"/>
      <c r="CA24" s="1585"/>
      <c r="CB24" s="1585"/>
      <c r="CC24" s="1585"/>
      <c r="CD24" s="1585"/>
      <c r="CE24" s="1585"/>
      <c r="CF24" s="1585"/>
      <c r="CG24" s="1585"/>
      <c r="CH24" s="1585"/>
      <c r="CI24" s="1585"/>
      <c r="CJ24" s="1585"/>
      <c r="CK24" s="1585"/>
      <c r="CL24" s="1585"/>
      <c r="CM24" s="1585"/>
      <c r="CN24" s="1585"/>
      <c r="CO24" s="1585"/>
      <c r="CP24" s="1585"/>
      <c r="CQ24" s="1585"/>
      <c r="CR24" s="1585"/>
      <c r="CS24" s="1585"/>
      <c r="CT24" s="1585"/>
      <c r="CU24" s="1585"/>
      <c r="CV24" s="1585"/>
      <c r="CW24" s="1585"/>
      <c r="CX24" s="1585"/>
      <c r="CY24" s="1585"/>
      <c r="CZ24" s="1585"/>
      <c r="DA24" s="1585"/>
      <c r="DB24" s="1585"/>
      <c r="DC24" s="1585"/>
      <c r="DD24" s="1585"/>
      <c r="DE24" s="1585"/>
      <c r="DF24" s="1585"/>
      <c r="DG24" s="1585"/>
      <c r="DH24" s="1585"/>
      <c r="DI24" s="1585"/>
      <c r="DJ24" s="1585"/>
      <c r="DK24" s="1585"/>
      <c r="DL24" s="1585"/>
      <c r="DM24" s="1585"/>
      <c r="DN24" s="1585"/>
      <c r="DO24" s="1585"/>
      <c r="DP24" s="1585"/>
      <c r="DQ24" s="1585"/>
      <c r="DR24" s="1585"/>
      <c r="DS24" s="1585"/>
      <c r="DT24" s="1585"/>
      <c r="DU24" s="1585"/>
      <c r="DV24" s="1585"/>
      <c r="DW24" s="1585"/>
      <c r="DX24" s="1585"/>
      <c r="DY24" s="1585"/>
      <c r="DZ24" s="1585"/>
      <c r="EA24" s="1585"/>
      <c r="EB24" s="1585"/>
      <c r="EC24" s="1585"/>
      <c r="ED24" s="1585"/>
      <c r="EE24" s="1585"/>
      <c r="EF24" s="1585"/>
      <c r="EG24" s="1585"/>
      <c r="EH24" s="1585"/>
      <c r="EI24" s="1585"/>
      <c r="EJ24" s="1585"/>
      <c r="EK24" s="1585"/>
      <c r="EL24" s="1585"/>
      <c r="EM24" s="1585"/>
      <c r="EN24" s="1585"/>
      <c r="EO24" s="1585"/>
      <c r="EP24" s="1588"/>
      <c r="EQ24" s="1588"/>
      <c r="ER24" s="1588"/>
      <c r="ES24" s="1588"/>
      <c r="ET24" s="1588"/>
      <c r="EU24" s="1588"/>
      <c r="EV24" s="1588"/>
      <c r="EW24" s="1588"/>
      <c r="EX24" s="1588"/>
      <c r="EY24" s="1588"/>
      <c r="EZ24" s="1588"/>
      <c r="FA24" s="1588"/>
    </row>
    <row r="25" spans="1:157" ht="6" hidden="1" customHeight="1" outlineLevel="1" x14ac:dyDescent="0.2">
      <c r="A25" s="1590"/>
      <c r="B25" s="1586"/>
      <c r="C25" s="1586"/>
      <c r="D25" s="1590"/>
      <c r="E25" s="1590"/>
      <c r="F25" s="1590"/>
      <c r="G25" s="1590"/>
      <c r="H25" s="1590"/>
      <c r="I25" s="1590"/>
      <c r="J25" s="1590"/>
      <c r="Q25" s="1590"/>
    </row>
    <row r="26" spans="1:157" s="1565" customFormat="1" ht="15.75" hidden="1" customHeight="1" outlineLevel="1" x14ac:dyDescent="0.25">
      <c r="A26" s="1583" t="s">
        <v>1357</v>
      </c>
      <c r="B26" s="1584">
        <f>SUM(B27)</f>
        <v>0</v>
      </c>
      <c r="C26" s="1584">
        <f t="shared" ref="C26:V26" si="4">SUM(C27)</f>
        <v>0</v>
      </c>
      <c r="D26" s="1584">
        <f t="shared" si="4"/>
        <v>0</v>
      </c>
      <c r="E26" s="1584">
        <f t="shared" si="4"/>
        <v>0</v>
      </c>
      <c r="F26" s="1584">
        <f t="shared" si="4"/>
        <v>0</v>
      </c>
      <c r="G26" s="1584">
        <f t="shared" si="4"/>
        <v>0</v>
      </c>
      <c r="H26" s="1584">
        <f t="shared" si="4"/>
        <v>0</v>
      </c>
      <c r="I26" s="1584">
        <f t="shared" si="4"/>
        <v>0</v>
      </c>
      <c r="J26" s="1584">
        <f t="shared" si="4"/>
        <v>0</v>
      </c>
      <c r="K26" s="1584">
        <f t="shared" si="4"/>
        <v>0</v>
      </c>
      <c r="L26" s="1584">
        <f t="shared" si="4"/>
        <v>0</v>
      </c>
      <c r="M26" s="1584">
        <f t="shared" si="4"/>
        <v>0</v>
      </c>
      <c r="N26" s="1584">
        <f t="shared" si="4"/>
        <v>0</v>
      </c>
      <c r="O26" s="1584">
        <f t="shared" si="4"/>
        <v>0</v>
      </c>
      <c r="P26" s="1584">
        <f t="shared" si="4"/>
        <v>0</v>
      </c>
      <c r="Q26" s="1584">
        <f t="shared" si="4"/>
        <v>0</v>
      </c>
      <c r="R26" s="1584">
        <f t="shared" si="4"/>
        <v>0</v>
      </c>
      <c r="S26" s="1584">
        <f t="shared" si="4"/>
        <v>0</v>
      </c>
      <c r="T26" s="1584">
        <f t="shared" si="4"/>
        <v>0</v>
      </c>
      <c r="U26" s="1584">
        <f t="shared" si="4"/>
        <v>0</v>
      </c>
      <c r="V26" s="1584">
        <f t="shared" si="4"/>
        <v>0</v>
      </c>
      <c r="W26" s="1558"/>
      <c r="X26" s="1558"/>
      <c r="Y26" s="1558"/>
      <c r="Z26" s="1558"/>
      <c r="AA26" s="1558"/>
      <c r="AB26" s="1558"/>
      <c r="AC26" s="1558"/>
      <c r="AD26" s="1558"/>
      <c r="AE26" s="1558"/>
      <c r="AF26" s="1558"/>
      <c r="AG26" s="1558"/>
      <c r="AH26" s="1558"/>
      <c r="AI26" s="1558"/>
      <c r="AJ26" s="1558"/>
      <c r="AK26" s="1558"/>
      <c r="AL26" s="1558"/>
      <c r="AM26" s="1558"/>
      <c r="AN26" s="1558"/>
      <c r="AO26" s="1558"/>
      <c r="AP26" s="1558"/>
      <c r="AQ26" s="1558"/>
      <c r="AR26" s="1558"/>
      <c r="AS26" s="1558"/>
      <c r="AT26" s="1558"/>
      <c r="AU26" s="1558"/>
      <c r="AV26" s="1558"/>
      <c r="AW26" s="1558"/>
      <c r="AX26" s="1558"/>
      <c r="AY26" s="1558"/>
      <c r="AZ26" s="1558"/>
      <c r="BA26" s="1558"/>
      <c r="BB26" s="1558"/>
      <c r="BC26" s="1558"/>
      <c r="BD26" s="1558"/>
      <c r="BE26" s="1558"/>
      <c r="BF26" s="1558"/>
      <c r="BG26" s="1558"/>
      <c r="BH26" s="1558"/>
      <c r="BI26" s="1558"/>
      <c r="BJ26" s="1558"/>
      <c r="BK26" s="1558"/>
      <c r="BL26" s="1558"/>
      <c r="BM26" s="1558"/>
      <c r="BN26" s="1558"/>
      <c r="BO26" s="1558"/>
      <c r="BP26" s="1558"/>
      <c r="BQ26" s="1558"/>
      <c r="BR26" s="1558"/>
      <c r="BS26" s="1558"/>
      <c r="BT26" s="1558"/>
      <c r="BU26" s="1558"/>
      <c r="BV26" s="1558"/>
      <c r="BW26" s="1558"/>
      <c r="BX26" s="1558"/>
      <c r="BY26" s="1558"/>
      <c r="BZ26" s="1558"/>
      <c r="CA26" s="1558"/>
      <c r="CB26" s="1558"/>
      <c r="CC26" s="1558"/>
      <c r="CD26" s="1558"/>
      <c r="CE26" s="1558"/>
      <c r="CF26" s="1558"/>
      <c r="CG26" s="1558"/>
      <c r="CH26" s="1558"/>
      <c r="CI26" s="1558"/>
      <c r="CJ26" s="1558"/>
      <c r="CK26" s="1558"/>
      <c r="CL26" s="1558"/>
      <c r="CM26" s="1558"/>
      <c r="CN26" s="1558"/>
      <c r="CO26" s="1558"/>
      <c r="CP26" s="1558"/>
      <c r="CQ26" s="1558"/>
      <c r="CR26" s="1558"/>
      <c r="CS26" s="1558"/>
      <c r="CT26" s="1558"/>
      <c r="CU26" s="1558"/>
      <c r="CV26" s="1558"/>
      <c r="CW26" s="1558"/>
      <c r="CX26" s="1558"/>
      <c r="CY26" s="1558"/>
      <c r="CZ26" s="1558"/>
      <c r="DA26" s="1558"/>
      <c r="DB26" s="1558"/>
      <c r="DC26" s="1558"/>
      <c r="DD26" s="1558"/>
      <c r="DE26" s="1558"/>
      <c r="DF26" s="1558"/>
      <c r="DG26" s="1558"/>
      <c r="DH26" s="1558"/>
      <c r="DI26" s="1558"/>
      <c r="DJ26" s="1558"/>
      <c r="DK26" s="1558"/>
      <c r="DL26" s="1558"/>
      <c r="DM26" s="1558"/>
      <c r="DN26" s="1558"/>
      <c r="DO26" s="1558"/>
      <c r="DP26" s="1558"/>
      <c r="DQ26" s="1558"/>
      <c r="DR26" s="1558"/>
      <c r="DS26" s="1558"/>
      <c r="DT26" s="1558"/>
      <c r="DU26" s="1558"/>
      <c r="DV26" s="1558"/>
      <c r="DW26" s="1558"/>
      <c r="DX26" s="1558"/>
      <c r="DY26" s="1558"/>
      <c r="DZ26" s="1558"/>
      <c r="EA26" s="1558"/>
      <c r="EB26" s="1558"/>
      <c r="EC26" s="1558"/>
      <c r="ED26" s="1558"/>
      <c r="EE26" s="1558"/>
      <c r="EF26" s="1558"/>
      <c r="EG26" s="1558"/>
      <c r="EH26" s="1558"/>
      <c r="EI26" s="1558"/>
      <c r="EJ26" s="1558"/>
      <c r="EK26" s="1558"/>
      <c r="EL26" s="1558"/>
      <c r="EM26" s="1558"/>
      <c r="EN26" s="1558"/>
      <c r="EO26" s="1558"/>
      <c r="EP26" s="1564"/>
      <c r="EQ26" s="1564"/>
      <c r="ER26" s="1564"/>
      <c r="ES26" s="1564"/>
      <c r="ET26" s="1564"/>
      <c r="EU26" s="1564"/>
      <c r="EV26" s="1564"/>
      <c r="EW26" s="1564"/>
      <c r="EX26" s="1564"/>
      <c r="EY26" s="1564"/>
      <c r="EZ26" s="1564"/>
      <c r="FA26" s="1564"/>
    </row>
    <row r="27" spans="1:157" hidden="1" outlineLevel="1" x14ac:dyDescent="0.2">
      <c r="A27" s="1585" t="s">
        <v>1358</v>
      </c>
      <c r="B27" s="1586">
        <f>Rebanho!AK67</f>
        <v>0</v>
      </c>
      <c r="C27" s="1586"/>
      <c r="D27" s="1590"/>
      <c r="E27" s="1590"/>
      <c r="F27" s="1590"/>
      <c r="G27" s="1590"/>
      <c r="H27" s="1590"/>
      <c r="I27" s="1590"/>
      <c r="J27" s="1590"/>
      <c r="Q27" s="1590"/>
    </row>
    <row r="28" spans="1:157" ht="15.75" hidden="1" outlineLevel="1" x14ac:dyDescent="0.25">
      <c r="A28" s="1583" t="s">
        <v>1359</v>
      </c>
      <c r="B28" s="1584">
        <f>SUM(B29)</f>
        <v>1023457.1039999999</v>
      </c>
      <c r="C28" s="1584">
        <f t="shared" ref="C28:V28" si="5">SUM(C29)</f>
        <v>0</v>
      </c>
      <c r="D28" s="1584">
        <f t="shared" si="5"/>
        <v>0</v>
      </c>
      <c r="E28" s="1584">
        <f t="shared" si="5"/>
        <v>0</v>
      </c>
      <c r="F28" s="1584">
        <f t="shared" si="5"/>
        <v>0</v>
      </c>
      <c r="G28" s="1584">
        <f t="shared" si="5"/>
        <v>0</v>
      </c>
      <c r="H28" s="1584">
        <f t="shared" si="5"/>
        <v>0</v>
      </c>
      <c r="I28" s="1584">
        <f t="shared" si="5"/>
        <v>0</v>
      </c>
      <c r="J28" s="1584">
        <f t="shared" si="5"/>
        <v>0</v>
      </c>
      <c r="K28" s="1584">
        <f t="shared" si="5"/>
        <v>0</v>
      </c>
      <c r="L28" s="1584">
        <f t="shared" si="5"/>
        <v>0</v>
      </c>
      <c r="M28" s="1584">
        <f t="shared" si="5"/>
        <v>0</v>
      </c>
      <c r="N28" s="1584">
        <f t="shared" si="5"/>
        <v>0</v>
      </c>
      <c r="O28" s="1584">
        <f t="shared" si="5"/>
        <v>0</v>
      </c>
      <c r="P28" s="1584">
        <f t="shared" si="5"/>
        <v>0</v>
      </c>
      <c r="Q28" s="1584">
        <f t="shared" si="5"/>
        <v>0</v>
      </c>
      <c r="R28" s="1584">
        <f t="shared" si="5"/>
        <v>0</v>
      </c>
      <c r="S28" s="1584">
        <f t="shared" si="5"/>
        <v>0</v>
      </c>
      <c r="T28" s="1584">
        <f t="shared" si="5"/>
        <v>0</v>
      </c>
      <c r="U28" s="1584">
        <f t="shared" si="5"/>
        <v>0</v>
      </c>
      <c r="V28" s="1584">
        <f t="shared" si="5"/>
        <v>0</v>
      </c>
    </row>
    <row r="29" spans="1:157" hidden="1" outlineLevel="1" x14ac:dyDescent="0.2">
      <c r="A29" s="1585" t="s">
        <v>1360</v>
      </c>
      <c r="B29" s="1592">
        <f>Pastagem!C4*Pastagem!C6*20/Pastagem!C8</f>
        <v>1023457.1039999999</v>
      </c>
      <c r="C29" s="1592"/>
      <c r="D29" s="1590"/>
      <c r="E29" s="1593"/>
      <c r="F29" s="1593"/>
      <c r="G29" s="1590"/>
      <c r="H29" s="1593"/>
      <c r="I29" s="1590"/>
      <c r="J29" s="1593"/>
      <c r="K29" s="1593"/>
      <c r="N29" s="1593"/>
      <c r="Q29" s="1590"/>
    </row>
    <row r="30" spans="1:157" s="1590" customFormat="1" ht="13.5" customHeight="1" collapsed="1" x14ac:dyDescent="0.2">
      <c r="A30" s="1585"/>
      <c r="B30" s="1586"/>
      <c r="C30" s="1586"/>
    </row>
    <row r="31" spans="1:157" s="1596" customFormat="1" ht="15.75" thickBot="1" x14ac:dyDescent="0.3">
      <c r="A31" s="1594" t="s">
        <v>1361</v>
      </c>
      <c r="B31" s="1595"/>
      <c r="C31" s="1595"/>
      <c r="D31" s="1595"/>
      <c r="E31" s="1595"/>
      <c r="F31" s="1595"/>
      <c r="G31" s="1595"/>
      <c r="H31" s="1595"/>
      <c r="I31" s="1595"/>
      <c r="J31" s="1595"/>
      <c r="K31" s="1595"/>
      <c r="L31" s="1595"/>
      <c r="M31" s="1595"/>
      <c r="N31" s="1595"/>
      <c r="O31" s="1595"/>
      <c r="P31" s="1595"/>
      <c r="Q31" s="1595"/>
      <c r="R31" s="1595"/>
      <c r="S31" s="1595"/>
      <c r="T31" s="1595"/>
      <c r="U31" s="1595"/>
      <c r="V31" s="1595"/>
      <c r="W31" s="1590"/>
      <c r="X31" s="1590"/>
      <c r="Y31" s="1590"/>
      <c r="Z31" s="1590"/>
      <c r="AA31" s="1590"/>
      <c r="AB31" s="1590"/>
      <c r="AC31" s="1590"/>
      <c r="AD31" s="1590"/>
      <c r="AE31" s="1590"/>
      <c r="AF31" s="1590"/>
      <c r="AG31" s="1590"/>
      <c r="AH31" s="1590"/>
      <c r="AI31" s="1590"/>
      <c r="AJ31" s="1590"/>
      <c r="AK31" s="1590"/>
      <c r="AL31" s="1590"/>
      <c r="AM31" s="1590"/>
      <c r="AN31" s="1590"/>
      <c r="AO31" s="1590"/>
      <c r="AP31" s="1590"/>
      <c r="AQ31" s="1590"/>
      <c r="AR31" s="1590"/>
      <c r="AS31" s="1590"/>
      <c r="AT31" s="1590"/>
      <c r="AU31" s="1590"/>
      <c r="AV31" s="1590"/>
      <c r="AW31" s="1590"/>
      <c r="AX31" s="1590"/>
      <c r="AY31" s="1590"/>
      <c r="AZ31" s="1590"/>
      <c r="BA31" s="1590"/>
      <c r="BB31" s="1590"/>
      <c r="BC31" s="1590"/>
      <c r="BD31" s="1590"/>
      <c r="BE31" s="1590"/>
      <c r="BF31" s="1590"/>
      <c r="BG31" s="1590"/>
      <c r="BH31" s="1590"/>
      <c r="BI31" s="1590"/>
      <c r="BJ31" s="1590"/>
      <c r="BK31" s="1590"/>
      <c r="BL31" s="1590"/>
      <c r="BM31" s="1590"/>
      <c r="BN31" s="1590"/>
      <c r="BO31" s="1590"/>
      <c r="BP31" s="1590"/>
      <c r="BQ31" s="1590"/>
      <c r="BR31" s="1590"/>
      <c r="BS31" s="1590"/>
      <c r="BT31" s="1590"/>
      <c r="BU31" s="1590"/>
      <c r="BV31" s="1590"/>
      <c r="BW31" s="1590"/>
      <c r="BX31" s="1590"/>
      <c r="BY31" s="1590"/>
      <c r="BZ31" s="1590"/>
      <c r="CA31" s="1590"/>
      <c r="CB31" s="1590"/>
      <c r="CC31" s="1590"/>
      <c r="CD31" s="1590"/>
      <c r="CE31" s="1590"/>
      <c r="CF31" s="1590"/>
      <c r="CG31" s="1590"/>
      <c r="CH31" s="1590"/>
      <c r="CI31" s="1590"/>
      <c r="CJ31" s="1590"/>
      <c r="CK31" s="1590"/>
      <c r="CL31" s="1590"/>
      <c r="CM31" s="1590"/>
      <c r="CN31" s="1590"/>
      <c r="CO31" s="1590"/>
      <c r="CP31" s="1590"/>
      <c r="CQ31" s="1590"/>
      <c r="CR31" s="1590"/>
      <c r="CS31" s="1590"/>
      <c r="CT31" s="1590"/>
      <c r="CU31" s="1590"/>
      <c r="CV31" s="1590"/>
      <c r="CW31" s="1590"/>
      <c r="CX31" s="1590"/>
      <c r="CY31" s="1590"/>
      <c r="CZ31" s="1590"/>
      <c r="DA31" s="1590"/>
      <c r="DB31" s="1590"/>
      <c r="DC31" s="1590"/>
      <c r="DD31" s="1590"/>
      <c r="DE31" s="1590"/>
      <c r="DF31" s="1590"/>
      <c r="DG31" s="1590"/>
      <c r="DH31" s="1590"/>
      <c r="DI31" s="1590"/>
      <c r="DJ31" s="1590"/>
      <c r="DK31" s="1590"/>
      <c r="DL31" s="1590"/>
      <c r="DM31" s="1590"/>
      <c r="DN31" s="1590"/>
      <c r="DO31" s="1590"/>
      <c r="DP31" s="1590"/>
      <c r="DQ31" s="1590"/>
      <c r="DR31" s="1590"/>
      <c r="DS31" s="1590"/>
      <c r="DT31" s="1590"/>
      <c r="DU31" s="1590"/>
      <c r="DV31" s="1590"/>
      <c r="DW31" s="1590"/>
      <c r="DX31" s="1590"/>
      <c r="DY31" s="1590"/>
      <c r="DZ31" s="1590"/>
      <c r="EA31" s="1590"/>
      <c r="EB31" s="1590"/>
      <c r="EC31" s="1590"/>
      <c r="ED31" s="1590"/>
      <c r="EE31" s="1590"/>
      <c r="EF31" s="1590"/>
      <c r="EG31" s="1590"/>
      <c r="EH31" s="1590"/>
      <c r="EI31" s="1590"/>
      <c r="EJ31" s="1590"/>
      <c r="EK31" s="1590"/>
      <c r="EL31" s="1590"/>
      <c r="EM31" s="1590"/>
      <c r="EN31" s="1590"/>
      <c r="EO31" s="1590"/>
      <c r="EP31" s="1591"/>
      <c r="EQ31" s="1591"/>
      <c r="ER31" s="1591"/>
      <c r="ES31" s="1591"/>
      <c r="ET31" s="1591"/>
      <c r="EU31" s="1591"/>
      <c r="EV31" s="1591"/>
      <c r="EW31" s="1591"/>
      <c r="EX31" s="1591"/>
      <c r="EY31" s="1591"/>
      <c r="EZ31" s="1591"/>
      <c r="FA31" s="1591"/>
    </row>
    <row r="32" spans="1:157" s="1596" customFormat="1" ht="18.75" customHeight="1" thickBot="1" x14ac:dyDescent="0.3">
      <c r="A32" s="1597" t="s">
        <v>1362</v>
      </c>
      <c r="B32" s="1598">
        <f t="shared" ref="B32:U32" si="6">-SUM(B33:B45)</f>
        <v>0</v>
      </c>
      <c r="C32" s="1598">
        <f t="shared" ca="1" si="6"/>
        <v>-1387560.4010449196</v>
      </c>
      <c r="D32" s="1598">
        <f t="shared" ca="1" si="6"/>
        <v>-1387560.4010449196</v>
      </c>
      <c r="E32" s="1598">
        <f t="shared" ca="1" si="6"/>
        <v>-1387560.4010449196</v>
      </c>
      <c r="F32" s="1598">
        <f t="shared" ca="1" si="6"/>
        <v>-1387560.4010449196</v>
      </c>
      <c r="G32" s="1598">
        <f t="shared" ca="1" si="6"/>
        <v>-1387560.4010449196</v>
      </c>
      <c r="H32" s="1598">
        <f t="shared" ca="1" si="6"/>
        <v>-1387560.4010449196</v>
      </c>
      <c r="I32" s="1598">
        <f t="shared" ca="1" si="6"/>
        <v>-1387560.4010449196</v>
      </c>
      <c r="J32" s="1598">
        <f t="shared" ca="1" si="6"/>
        <v>-1387560.4010449196</v>
      </c>
      <c r="K32" s="1598">
        <f t="shared" ca="1" si="6"/>
        <v>-1387560.4010449196</v>
      </c>
      <c r="L32" s="1598">
        <f t="shared" ca="1" si="6"/>
        <v>-1387560.4010449196</v>
      </c>
      <c r="M32" s="1598">
        <f t="shared" ca="1" si="6"/>
        <v>-1387560.4010449196</v>
      </c>
      <c r="N32" s="1598">
        <f t="shared" ca="1" si="6"/>
        <v>-1387560.4010449196</v>
      </c>
      <c r="O32" s="1598">
        <f t="shared" ca="1" si="6"/>
        <v>-1387560.4010449196</v>
      </c>
      <c r="P32" s="1598">
        <f t="shared" ca="1" si="6"/>
        <v>-1387560.4010449196</v>
      </c>
      <c r="Q32" s="1598">
        <f t="shared" ca="1" si="6"/>
        <v>-1387560.4010449196</v>
      </c>
      <c r="R32" s="1598">
        <f t="shared" ca="1" si="6"/>
        <v>-1387560.4010449196</v>
      </c>
      <c r="S32" s="1598">
        <f t="shared" ca="1" si="6"/>
        <v>-1387560.4010449196</v>
      </c>
      <c r="T32" s="1598">
        <f t="shared" ca="1" si="6"/>
        <v>-1387560.4010449196</v>
      </c>
      <c r="U32" s="1598">
        <f t="shared" ca="1" si="6"/>
        <v>-1387560.4010449196</v>
      </c>
      <c r="V32" s="1598"/>
      <c r="W32" s="1590"/>
      <c r="X32" s="1590"/>
      <c r="Y32" s="1590"/>
      <c r="Z32" s="1590"/>
      <c r="AA32" s="1590"/>
      <c r="AB32" s="1590"/>
      <c r="AC32" s="1590"/>
      <c r="AD32" s="1590"/>
      <c r="AE32" s="1590"/>
      <c r="AF32" s="1590"/>
      <c r="AG32" s="1590"/>
      <c r="AH32" s="1590"/>
      <c r="AI32" s="1590"/>
      <c r="AJ32" s="1590"/>
      <c r="AK32" s="1590"/>
      <c r="AL32" s="1590"/>
      <c r="AM32" s="1590"/>
      <c r="AN32" s="1590"/>
      <c r="AO32" s="1590"/>
      <c r="AP32" s="1590"/>
      <c r="AQ32" s="1590"/>
      <c r="AR32" s="1590"/>
      <c r="AS32" s="1590"/>
      <c r="AT32" s="1590"/>
      <c r="AU32" s="1590"/>
      <c r="AV32" s="1590"/>
      <c r="AW32" s="1590"/>
      <c r="AX32" s="1590"/>
      <c r="AY32" s="1590"/>
      <c r="AZ32" s="1590"/>
      <c r="BA32" s="1590"/>
      <c r="BB32" s="1590"/>
      <c r="BC32" s="1590"/>
      <c r="BD32" s="1590"/>
      <c r="BE32" s="1590"/>
      <c r="BF32" s="1590"/>
      <c r="BG32" s="1590"/>
      <c r="BH32" s="1590"/>
      <c r="BI32" s="1590"/>
      <c r="BJ32" s="1590"/>
      <c r="BK32" s="1590"/>
      <c r="BL32" s="1590"/>
      <c r="BM32" s="1590"/>
      <c r="BN32" s="1590"/>
      <c r="BO32" s="1590"/>
      <c r="BP32" s="1590"/>
      <c r="BQ32" s="1590"/>
      <c r="BR32" s="1590"/>
      <c r="BS32" s="1590"/>
      <c r="BT32" s="1590"/>
      <c r="BU32" s="1590"/>
      <c r="BV32" s="1590"/>
      <c r="BW32" s="1590"/>
      <c r="BX32" s="1590"/>
      <c r="BY32" s="1590"/>
      <c r="BZ32" s="1590"/>
      <c r="CA32" s="1590"/>
      <c r="CB32" s="1590"/>
      <c r="CC32" s="1590"/>
      <c r="CD32" s="1590"/>
      <c r="CE32" s="1590"/>
      <c r="CF32" s="1590"/>
      <c r="CG32" s="1590"/>
      <c r="CH32" s="1590"/>
      <c r="CI32" s="1590"/>
      <c r="CJ32" s="1590"/>
      <c r="CK32" s="1590"/>
      <c r="CL32" s="1590"/>
      <c r="CM32" s="1590"/>
      <c r="CN32" s="1590"/>
      <c r="CO32" s="1590"/>
      <c r="CP32" s="1590"/>
      <c r="CQ32" s="1590"/>
      <c r="CR32" s="1590"/>
      <c r="CS32" s="1590"/>
      <c r="CT32" s="1590"/>
      <c r="CU32" s="1590"/>
      <c r="CV32" s="1590"/>
      <c r="CW32" s="1590"/>
      <c r="CX32" s="1590"/>
      <c r="CY32" s="1590"/>
      <c r="CZ32" s="1590"/>
      <c r="DA32" s="1590"/>
      <c r="DB32" s="1590"/>
      <c r="DC32" s="1590"/>
      <c r="DD32" s="1590"/>
      <c r="DE32" s="1590"/>
      <c r="DF32" s="1590"/>
      <c r="DG32" s="1590"/>
      <c r="DH32" s="1590"/>
      <c r="DI32" s="1590"/>
      <c r="DJ32" s="1590"/>
      <c r="DK32" s="1590"/>
      <c r="DL32" s="1590"/>
      <c r="DM32" s="1590"/>
      <c r="DN32" s="1590"/>
      <c r="DO32" s="1590"/>
      <c r="DP32" s="1590"/>
      <c r="DQ32" s="1590"/>
      <c r="DR32" s="1590"/>
      <c r="DS32" s="1590"/>
      <c r="DT32" s="1590"/>
      <c r="DU32" s="1590"/>
      <c r="DV32" s="1590"/>
      <c r="DW32" s="1590"/>
      <c r="DX32" s="1590"/>
      <c r="DY32" s="1590"/>
      <c r="DZ32" s="1590"/>
      <c r="EA32" s="1590"/>
      <c r="EB32" s="1590"/>
      <c r="EC32" s="1590"/>
      <c r="ED32" s="1590"/>
      <c r="EE32" s="1590"/>
      <c r="EF32" s="1590"/>
      <c r="EG32" s="1590"/>
      <c r="EH32" s="1590"/>
      <c r="EI32" s="1590"/>
      <c r="EJ32" s="1590"/>
      <c r="EK32" s="1590"/>
      <c r="EL32" s="1590"/>
      <c r="EM32" s="1590"/>
      <c r="EN32" s="1590"/>
      <c r="EO32" s="1590"/>
      <c r="EP32" s="1591"/>
      <c r="EQ32" s="1591"/>
      <c r="ER32" s="1591"/>
      <c r="ES32" s="1591"/>
      <c r="ET32" s="1591"/>
      <c r="EU32" s="1591"/>
      <c r="EV32" s="1591"/>
      <c r="EW32" s="1591"/>
      <c r="EX32" s="1591"/>
      <c r="EY32" s="1591"/>
      <c r="EZ32" s="1591"/>
      <c r="FA32" s="1591"/>
    </row>
    <row r="33" spans="1:22" hidden="1" outlineLevel="1" x14ac:dyDescent="0.2">
      <c r="A33" s="1599" t="str">
        <f>'Análise ADM'!K14</f>
        <v>Administrativos, Impostos fixos, energia e juros</v>
      </c>
      <c r="B33" s="1600"/>
      <c r="C33" s="1601">
        <f>'Análise ADM'!$M$14</f>
        <v>39058</v>
      </c>
      <c r="D33" s="1601">
        <f>'Análise ADM'!$M$14</f>
        <v>39058</v>
      </c>
      <c r="E33" s="1601">
        <f>'Análise ADM'!$M$14</f>
        <v>39058</v>
      </c>
      <c r="F33" s="1601">
        <f>'Análise ADM'!$M$14</f>
        <v>39058</v>
      </c>
      <c r="G33" s="1601">
        <f>'Análise ADM'!$M$14</f>
        <v>39058</v>
      </c>
      <c r="H33" s="1601">
        <f>'Análise ADM'!$M$14</f>
        <v>39058</v>
      </c>
      <c r="I33" s="1601">
        <f>'Análise ADM'!$M$14</f>
        <v>39058</v>
      </c>
      <c r="J33" s="1601">
        <f>'Análise ADM'!$M$14</f>
        <v>39058</v>
      </c>
      <c r="K33" s="1601">
        <f>'Análise ADM'!$M$14</f>
        <v>39058</v>
      </c>
      <c r="L33" s="1601">
        <f>'Análise ADM'!$M$14</f>
        <v>39058</v>
      </c>
      <c r="M33" s="1601">
        <f>'Análise ADM'!$M$14</f>
        <v>39058</v>
      </c>
      <c r="N33" s="1601">
        <f>'Análise ADM'!$M$14</f>
        <v>39058</v>
      </c>
      <c r="O33" s="1601">
        <f>'Análise ADM'!$M$14</f>
        <v>39058</v>
      </c>
      <c r="P33" s="1601">
        <f>'Análise ADM'!$M$14</f>
        <v>39058</v>
      </c>
      <c r="Q33" s="1601">
        <f>'Análise ADM'!$M$14</f>
        <v>39058</v>
      </c>
      <c r="R33" s="1601">
        <f>'Análise ADM'!$M$14</f>
        <v>39058</v>
      </c>
      <c r="S33" s="1601">
        <f>'Análise ADM'!$M$14</f>
        <v>39058</v>
      </c>
      <c r="T33" s="1601">
        <f>'Análise ADM'!$M$14</f>
        <v>39058</v>
      </c>
      <c r="U33" s="1601">
        <f>'Análise ADM'!$M$14</f>
        <v>39058</v>
      </c>
      <c r="V33" s="1601"/>
    </row>
    <row r="34" spans="1:22" hidden="1" outlineLevel="1" x14ac:dyDescent="0.2">
      <c r="A34" s="1599" t="str">
        <f>'Análise ADM'!K15</f>
        <v>Comercialização (gastos, impostos e taxas)</v>
      </c>
      <c r="B34" s="1602"/>
      <c r="C34" s="1601">
        <f>'Análise ADM'!$M$15</f>
        <v>25359.088284444446</v>
      </c>
      <c r="D34" s="1601">
        <f>'Análise ADM'!$M$15</f>
        <v>25359.088284444446</v>
      </c>
      <c r="E34" s="1601">
        <f>'Análise ADM'!$M$15</f>
        <v>25359.088284444446</v>
      </c>
      <c r="F34" s="1601">
        <f>'Análise ADM'!$M$15</f>
        <v>25359.088284444446</v>
      </c>
      <c r="G34" s="1601">
        <f>'Análise ADM'!$M$15</f>
        <v>25359.088284444446</v>
      </c>
      <c r="H34" s="1601">
        <f>'Análise ADM'!$M$15</f>
        <v>25359.088284444446</v>
      </c>
      <c r="I34" s="1601">
        <f>'Análise ADM'!$M$15</f>
        <v>25359.088284444446</v>
      </c>
      <c r="J34" s="1601">
        <f>'Análise ADM'!$M$15</f>
        <v>25359.088284444446</v>
      </c>
      <c r="K34" s="1601">
        <f>'Análise ADM'!$M$15</f>
        <v>25359.088284444446</v>
      </c>
      <c r="L34" s="1601">
        <f>'Análise ADM'!$M$15</f>
        <v>25359.088284444446</v>
      </c>
      <c r="M34" s="1601">
        <f>'Análise ADM'!$M$15</f>
        <v>25359.088284444446</v>
      </c>
      <c r="N34" s="1601">
        <f>'Análise ADM'!$M$15</f>
        <v>25359.088284444446</v>
      </c>
      <c r="O34" s="1601">
        <f>'Análise ADM'!$M$15</f>
        <v>25359.088284444446</v>
      </c>
      <c r="P34" s="1601">
        <f>'Análise ADM'!$M$15</f>
        <v>25359.088284444446</v>
      </c>
      <c r="Q34" s="1601">
        <f>'Análise ADM'!$M$15</f>
        <v>25359.088284444446</v>
      </c>
      <c r="R34" s="1601">
        <f>'Análise ADM'!$M$15</f>
        <v>25359.088284444446</v>
      </c>
      <c r="S34" s="1601">
        <f>'Análise ADM'!$M$15</f>
        <v>25359.088284444446</v>
      </c>
      <c r="T34" s="1601">
        <f>'Análise ADM'!$M$15</f>
        <v>25359.088284444446</v>
      </c>
      <c r="U34" s="1601">
        <f>'Análise ADM'!$M$15</f>
        <v>25359.088284444446</v>
      </c>
      <c r="V34" s="1601"/>
    </row>
    <row r="35" spans="1:22" hidden="1" outlineLevel="1" x14ac:dyDescent="0.2">
      <c r="A35" s="1599" t="str">
        <f>'Análise ADM'!K16</f>
        <v>Manutenção (benf, equip, util, maqui, impl)</v>
      </c>
      <c r="B35" s="1602"/>
      <c r="C35" s="1601">
        <f ca="1">'Análise ADM'!$M$16</f>
        <v>24536.789322780751</v>
      </c>
      <c r="D35" s="1601">
        <f ca="1">'Análise ADM'!$M$16</f>
        <v>24536.789322780751</v>
      </c>
      <c r="E35" s="1601">
        <f ca="1">'Análise ADM'!$M$16</f>
        <v>24536.789322780751</v>
      </c>
      <c r="F35" s="1601">
        <f ca="1">'Análise ADM'!$M$16</f>
        <v>24536.789322780751</v>
      </c>
      <c r="G35" s="1601">
        <f ca="1">'Análise ADM'!$M$16</f>
        <v>24536.789322780751</v>
      </c>
      <c r="H35" s="1601">
        <f ca="1">'Análise ADM'!$M$16</f>
        <v>24536.789322780751</v>
      </c>
      <c r="I35" s="1601">
        <f ca="1">'Análise ADM'!$M$16</f>
        <v>24536.789322780751</v>
      </c>
      <c r="J35" s="1601">
        <f ca="1">'Análise ADM'!$M$16</f>
        <v>24536.789322780751</v>
      </c>
      <c r="K35" s="1601">
        <f ca="1">'Análise ADM'!$M$16</f>
        <v>24536.789322780751</v>
      </c>
      <c r="L35" s="1601">
        <f ca="1">'Análise ADM'!$M$16</f>
        <v>24536.789322780751</v>
      </c>
      <c r="M35" s="1601">
        <f ca="1">'Análise ADM'!$M$16</f>
        <v>24536.789322780751</v>
      </c>
      <c r="N35" s="1601">
        <f ca="1">'Análise ADM'!$M$16</f>
        <v>24536.789322780751</v>
      </c>
      <c r="O35" s="1601">
        <f ca="1">'Análise ADM'!$M$16</f>
        <v>24536.789322780751</v>
      </c>
      <c r="P35" s="1601">
        <f ca="1">'Análise ADM'!$M$16</f>
        <v>24536.789322780751</v>
      </c>
      <c r="Q35" s="1601">
        <f ca="1">'Análise ADM'!$M$16</f>
        <v>24536.789322780751</v>
      </c>
      <c r="R35" s="1601">
        <f ca="1">'Análise ADM'!$M$16</f>
        <v>24536.789322780751</v>
      </c>
      <c r="S35" s="1601">
        <f ca="1">'Análise ADM'!$M$16</f>
        <v>24536.789322780751</v>
      </c>
      <c r="T35" s="1601">
        <f ca="1">'Análise ADM'!$M$16</f>
        <v>24536.789322780751</v>
      </c>
      <c r="U35" s="1601">
        <f ca="1">'Análise ADM'!$M$16</f>
        <v>24536.789322780751</v>
      </c>
      <c r="V35" s="1601"/>
    </row>
    <row r="36" spans="1:22" hidden="1" outlineLevel="1" x14ac:dyDescent="0.2">
      <c r="A36" s="1599" t="str">
        <f>'Análise ADM'!K17</f>
        <v>Combustível</v>
      </c>
      <c r="B36" s="1602"/>
      <c r="C36" s="1601">
        <f>'Análise ADM'!$M$17</f>
        <v>38052.422999999995</v>
      </c>
      <c r="D36" s="1601">
        <f>'Análise ADM'!$M$17</f>
        <v>38052.422999999995</v>
      </c>
      <c r="E36" s="1601">
        <f>'Análise ADM'!$M$17</f>
        <v>38052.422999999995</v>
      </c>
      <c r="F36" s="1601">
        <f>'Análise ADM'!$M$17</f>
        <v>38052.422999999995</v>
      </c>
      <c r="G36" s="1601">
        <f>'Análise ADM'!$M$17</f>
        <v>38052.422999999995</v>
      </c>
      <c r="H36" s="1601">
        <f>'Análise ADM'!$M$17</f>
        <v>38052.422999999995</v>
      </c>
      <c r="I36" s="1601">
        <f>'Análise ADM'!$M$17</f>
        <v>38052.422999999995</v>
      </c>
      <c r="J36" s="1601">
        <f>'Análise ADM'!$M$17</f>
        <v>38052.422999999995</v>
      </c>
      <c r="K36" s="1601">
        <f>'Análise ADM'!$M$17</f>
        <v>38052.422999999995</v>
      </c>
      <c r="L36" s="1601">
        <f>'Análise ADM'!$M$17</f>
        <v>38052.422999999995</v>
      </c>
      <c r="M36" s="1601">
        <f>'Análise ADM'!$M$17</f>
        <v>38052.422999999995</v>
      </c>
      <c r="N36" s="1601">
        <f>'Análise ADM'!$M$17</f>
        <v>38052.422999999995</v>
      </c>
      <c r="O36" s="1601">
        <f>'Análise ADM'!$M$17</f>
        <v>38052.422999999995</v>
      </c>
      <c r="P36" s="1601">
        <f>'Análise ADM'!$M$17</f>
        <v>38052.422999999995</v>
      </c>
      <c r="Q36" s="1601">
        <f>'Análise ADM'!$M$17</f>
        <v>38052.422999999995</v>
      </c>
      <c r="R36" s="1601">
        <f>'Análise ADM'!$M$17</f>
        <v>38052.422999999995</v>
      </c>
      <c r="S36" s="1601">
        <f>'Análise ADM'!$M$17</f>
        <v>38052.422999999995</v>
      </c>
      <c r="T36" s="1601">
        <f>'Análise ADM'!$M$17</f>
        <v>38052.422999999995</v>
      </c>
      <c r="U36" s="1601">
        <f>'Análise ADM'!$M$17</f>
        <v>38052.422999999995</v>
      </c>
      <c r="V36" s="1601"/>
    </row>
    <row r="37" spans="1:22" hidden="1" outlineLevel="1" x14ac:dyDescent="0.2">
      <c r="A37" s="1599" t="str">
        <f>'Análise ADM'!K18</f>
        <v>Insumos (past e agric)</v>
      </c>
      <c r="B37" s="1602"/>
      <c r="C37" s="1601">
        <f>'Análise ADM'!$M$18</f>
        <v>20317.5</v>
      </c>
      <c r="D37" s="1601">
        <f>'Análise ADM'!$M$18</f>
        <v>20317.5</v>
      </c>
      <c r="E37" s="1601">
        <f>'Análise ADM'!$M$18</f>
        <v>20317.5</v>
      </c>
      <c r="F37" s="1601">
        <f>'Análise ADM'!$M$18</f>
        <v>20317.5</v>
      </c>
      <c r="G37" s="1601">
        <f>'Análise ADM'!$M$18</f>
        <v>20317.5</v>
      </c>
      <c r="H37" s="1601">
        <f>'Análise ADM'!$M$18</f>
        <v>20317.5</v>
      </c>
      <c r="I37" s="1601">
        <f>'Análise ADM'!$M$18</f>
        <v>20317.5</v>
      </c>
      <c r="J37" s="1601">
        <f>'Análise ADM'!$M$18</f>
        <v>20317.5</v>
      </c>
      <c r="K37" s="1601">
        <f>'Análise ADM'!$M$18</f>
        <v>20317.5</v>
      </c>
      <c r="L37" s="1601">
        <f>'Análise ADM'!$M$18</f>
        <v>20317.5</v>
      </c>
      <c r="M37" s="1601">
        <f>'Análise ADM'!$M$18</f>
        <v>20317.5</v>
      </c>
      <c r="N37" s="1601">
        <f>'Análise ADM'!$M$18</f>
        <v>20317.5</v>
      </c>
      <c r="O37" s="1601">
        <f>'Análise ADM'!$M$18</f>
        <v>20317.5</v>
      </c>
      <c r="P37" s="1601">
        <f>'Análise ADM'!$M$18</f>
        <v>20317.5</v>
      </c>
      <c r="Q37" s="1601">
        <f>'Análise ADM'!$M$18</f>
        <v>20317.5</v>
      </c>
      <c r="R37" s="1601">
        <f>'Análise ADM'!$M$18</f>
        <v>20317.5</v>
      </c>
      <c r="S37" s="1601">
        <f>'Análise ADM'!$M$18</f>
        <v>20317.5</v>
      </c>
      <c r="T37" s="1601">
        <f>'Análise ADM'!$M$18</f>
        <v>20317.5</v>
      </c>
      <c r="U37" s="1601">
        <f>'Análise ADM'!$M$18</f>
        <v>20317.5</v>
      </c>
      <c r="V37" s="1601"/>
    </row>
    <row r="38" spans="1:22" hidden="1" outlineLevel="1" x14ac:dyDescent="0.2">
      <c r="A38" s="1599" t="str">
        <f>'Análise ADM'!K19</f>
        <v>Mão-de-obra (diarista, past, agric)</v>
      </c>
      <c r="B38" s="1602"/>
      <c r="C38" s="1601">
        <f>'Análise ADM'!$M$19</f>
        <v>6720</v>
      </c>
      <c r="D38" s="1601">
        <f>'Análise ADM'!$M$19</f>
        <v>6720</v>
      </c>
      <c r="E38" s="1601">
        <f>'Análise ADM'!$M$19</f>
        <v>6720</v>
      </c>
      <c r="F38" s="1601">
        <f>'Análise ADM'!$M$19</f>
        <v>6720</v>
      </c>
      <c r="G38" s="1601">
        <f>'Análise ADM'!$M$19</f>
        <v>6720</v>
      </c>
      <c r="H38" s="1601">
        <f>'Análise ADM'!$M$19</f>
        <v>6720</v>
      </c>
      <c r="I38" s="1601">
        <f>'Análise ADM'!$M$19</f>
        <v>6720</v>
      </c>
      <c r="J38" s="1601">
        <f>'Análise ADM'!$M$19</f>
        <v>6720</v>
      </c>
      <c r="K38" s="1601">
        <f>'Análise ADM'!$M$19</f>
        <v>6720</v>
      </c>
      <c r="L38" s="1601">
        <f>'Análise ADM'!$M$19</f>
        <v>6720</v>
      </c>
      <c r="M38" s="1601">
        <f>'Análise ADM'!$M$19</f>
        <v>6720</v>
      </c>
      <c r="N38" s="1601">
        <f>'Análise ADM'!$M$19</f>
        <v>6720</v>
      </c>
      <c r="O38" s="1601">
        <f>'Análise ADM'!$M$19</f>
        <v>6720</v>
      </c>
      <c r="P38" s="1601">
        <f>'Análise ADM'!$M$19</f>
        <v>6720</v>
      </c>
      <c r="Q38" s="1601">
        <f>'Análise ADM'!$M$19</f>
        <v>6720</v>
      </c>
      <c r="R38" s="1601">
        <f>'Análise ADM'!$M$19</f>
        <v>6720</v>
      </c>
      <c r="S38" s="1601">
        <f>'Análise ADM'!$M$19</f>
        <v>6720</v>
      </c>
      <c r="T38" s="1601">
        <f>'Análise ADM'!$M$19</f>
        <v>6720</v>
      </c>
      <c r="U38" s="1601">
        <f>'Análise ADM'!$M$19</f>
        <v>6720</v>
      </c>
      <c r="V38" s="1601"/>
    </row>
    <row r="39" spans="1:22" hidden="1" outlineLevel="1" x14ac:dyDescent="0.2">
      <c r="A39" s="1599" t="str">
        <f>'Análise ADM'!K20</f>
        <v>Mão-de-obra (rebanho)</v>
      </c>
      <c r="B39" s="1602"/>
      <c r="C39" s="1601">
        <f>'Análise ADM'!$M$20</f>
        <v>23002.155733333333</v>
      </c>
      <c r="D39" s="1601">
        <f>'Análise ADM'!$M$20</f>
        <v>23002.155733333333</v>
      </c>
      <c r="E39" s="1601">
        <f>'Análise ADM'!$M$20</f>
        <v>23002.155733333333</v>
      </c>
      <c r="F39" s="1601">
        <f>'Análise ADM'!$M$20</f>
        <v>23002.155733333333</v>
      </c>
      <c r="G39" s="1601">
        <f>'Análise ADM'!$M$20</f>
        <v>23002.155733333333</v>
      </c>
      <c r="H39" s="1601">
        <f>'Análise ADM'!$M$20</f>
        <v>23002.155733333333</v>
      </c>
      <c r="I39" s="1601">
        <f>'Análise ADM'!$M$20</f>
        <v>23002.155733333333</v>
      </c>
      <c r="J39" s="1601">
        <f>'Análise ADM'!$M$20</f>
        <v>23002.155733333333</v>
      </c>
      <c r="K39" s="1601">
        <f>'Análise ADM'!$M$20</f>
        <v>23002.155733333333</v>
      </c>
      <c r="L39" s="1601">
        <f>'Análise ADM'!$M$20</f>
        <v>23002.155733333333</v>
      </c>
      <c r="M39" s="1601">
        <f>'Análise ADM'!$M$20</f>
        <v>23002.155733333333</v>
      </c>
      <c r="N39" s="1601">
        <f>'Análise ADM'!$M$20</f>
        <v>23002.155733333333</v>
      </c>
      <c r="O39" s="1601">
        <f>'Análise ADM'!$M$20</f>
        <v>23002.155733333333</v>
      </c>
      <c r="P39" s="1601">
        <f>'Análise ADM'!$M$20</f>
        <v>23002.155733333333</v>
      </c>
      <c r="Q39" s="1601">
        <f>'Análise ADM'!$M$20</f>
        <v>23002.155733333333</v>
      </c>
      <c r="R39" s="1601">
        <f>'Análise ADM'!$M$20</f>
        <v>23002.155733333333</v>
      </c>
      <c r="S39" s="1601">
        <f>'Análise ADM'!$M$20</f>
        <v>23002.155733333333</v>
      </c>
      <c r="T39" s="1601">
        <f>'Análise ADM'!$M$20</f>
        <v>23002.155733333333</v>
      </c>
      <c r="U39" s="1601">
        <f>'Análise ADM'!$M$20</f>
        <v>23002.155733333333</v>
      </c>
      <c r="V39" s="1601"/>
    </row>
    <row r="40" spans="1:22" hidden="1" outlineLevel="1" x14ac:dyDescent="0.2">
      <c r="A40" s="1599" t="str">
        <f>'Análise ADM'!K21</f>
        <v>Assist técnica</v>
      </c>
      <c r="B40" s="1602"/>
      <c r="C40" s="1601">
        <f>'Análise ADM'!$M$21</f>
        <v>0</v>
      </c>
      <c r="D40" s="1601">
        <f>'Análise ADM'!$M$21</f>
        <v>0</v>
      </c>
      <c r="E40" s="1601">
        <f>'Análise ADM'!$M$21</f>
        <v>0</v>
      </c>
      <c r="F40" s="1601">
        <f>'Análise ADM'!$M$21</f>
        <v>0</v>
      </c>
      <c r="G40" s="1601">
        <f>'Análise ADM'!$M$21</f>
        <v>0</v>
      </c>
      <c r="H40" s="1601">
        <f>'Análise ADM'!$M$21</f>
        <v>0</v>
      </c>
      <c r="I40" s="1601">
        <f>'Análise ADM'!$M$21</f>
        <v>0</v>
      </c>
      <c r="J40" s="1601">
        <f>'Análise ADM'!$M$21</f>
        <v>0</v>
      </c>
      <c r="K40" s="1601">
        <f>'Análise ADM'!$M$21</f>
        <v>0</v>
      </c>
      <c r="L40" s="1601">
        <f>'Análise ADM'!$M$21</f>
        <v>0</v>
      </c>
      <c r="M40" s="1601">
        <f>'Análise ADM'!$M$21</f>
        <v>0</v>
      </c>
      <c r="N40" s="1601">
        <f>'Análise ADM'!$M$21</f>
        <v>0</v>
      </c>
      <c r="O40" s="1601">
        <f>'Análise ADM'!$M$21</f>
        <v>0</v>
      </c>
      <c r="P40" s="1601">
        <f>'Análise ADM'!$M$21</f>
        <v>0</v>
      </c>
      <c r="Q40" s="1601">
        <f>'Análise ADM'!$M$21</f>
        <v>0</v>
      </c>
      <c r="R40" s="1601">
        <f>'Análise ADM'!$M$21</f>
        <v>0</v>
      </c>
      <c r="S40" s="1601">
        <f>'Análise ADM'!$M$21</f>
        <v>0</v>
      </c>
      <c r="T40" s="1601">
        <f>'Análise ADM'!$M$21</f>
        <v>0</v>
      </c>
      <c r="U40" s="1601">
        <f>'Análise ADM'!$M$21</f>
        <v>0</v>
      </c>
      <c r="V40" s="1601"/>
    </row>
    <row r="41" spans="1:22" hidden="1" outlineLevel="1" x14ac:dyDescent="0.2">
      <c r="A41" s="1599" t="str">
        <f>'Análise ADM'!K22</f>
        <v>Medicamentos, identificação e inseminação</v>
      </c>
      <c r="B41" s="1602"/>
      <c r="C41" s="1601">
        <f>'Análise ADM'!$M$22</f>
        <v>29929.271818998521</v>
      </c>
      <c r="D41" s="1601">
        <f>'Análise ADM'!$M$22</f>
        <v>29929.271818998521</v>
      </c>
      <c r="E41" s="1601">
        <f>'Análise ADM'!$M$22</f>
        <v>29929.271818998521</v>
      </c>
      <c r="F41" s="1601">
        <f>'Análise ADM'!$M$22</f>
        <v>29929.271818998521</v>
      </c>
      <c r="G41" s="1601">
        <f>'Análise ADM'!$M$22</f>
        <v>29929.271818998521</v>
      </c>
      <c r="H41" s="1601">
        <f>'Análise ADM'!$M$22</f>
        <v>29929.271818998521</v>
      </c>
      <c r="I41" s="1601">
        <f>'Análise ADM'!$M$22</f>
        <v>29929.271818998521</v>
      </c>
      <c r="J41" s="1601">
        <f>'Análise ADM'!$M$22</f>
        <v>29929.271818998521</v>
      </c>
      <c r="K41" s="1601">
        <f>'Análise ADM'!$M$22</f>
        <v>29929.271818998521</v>
      </c>
      <c r="L41" s="1601">
        <f>'Análise ADM'!$M$22</f>
        <v>29929.271818998521</v>
      </c>
      <c r="M41" s="1601">
        <f>'Análise ADM'!$M$22</f>
        <v>29929.271818998521</v>
      </c>
      <c r="N41" s="1601">
        <f>'Análise ADM'!$M$22</f>
        <v>29929.271818998521</v>
      </c>
      <c r="O41" s="1601">
        <f>'Análise ADM'!$M$22</f>
        <v>29929.271818998521</v>
      </c>
      <c r="P41" s="1601">
        <f>'Análise ADM'!$M$22</f>
        <v>29929.271818998521</v>
      </c>
      <c r="Q41" s="1601">
        <f>'Análise ADM'!$M$22</f>
        <v>29929.271818998521</v>
      </c>
      <c r="R41" s="1601">
        <f>'Análise ADM'!$M$22</f>
        <v>29929.271818998521</v>
      </c>
      <c r="S41" s="1601">
        <f>'Análise ADM'!$M$22</f>
        <v>29929.271818998521</v>
      </c>
      <c r="T41" s="1601">
        <f>'Análise ADM'!$M$22</f>
        <v>29929.271818998521</v>
      </c>
      <c r="U41" s="1601">
        <f>'Análise ADM'!$M$22</f>
        <v>29929.271818998521</v>
      </c>
      <c r="V41" s="1601"/>
    </row>
    <row r="42" spans="1:22" hidden="1" outlineLevel="1" x14ac:dyDescent="0.2">
      <c r="A42" s="1599" t="str">
        <f>'Análise ADM'!K23</f>
        <v>Material de ordenha</v>
      </c>
      <c r="B42" s="1602"/>
      <c r="C42" s="1601">
        <f>'Análise ADM'!$M$23</f>
        <v>0</v>
      </c>
      <c r="D42" s="1601">
        <f>'Análise ADM'!$M$23</f>
        <v>0</v>
      </c>
      <c r="E42" s="1601">
        <f>'Análise ADM'!$M$23</f>
        <v>0</v>
      </c>
      <c r="F42" s="1601">
        <f>'Análise ADM'!$M$23</f>
        <v>0</v>
      </c>
      <c r="G42" s="1601">
        <f>'Análise ADM'!$M$23</f>
        <v>0</v>
      </c>
      <c r="H42" s="1601">
        <f>'Análise ADM'!$M$23</f>
        <v>0</v>
      </c>
      <c r="I42" s="1601">
        <f>'Análise ADM'!$M$23</f>
        <v>0</v>
      </c>
      <c r="J42" s="1601">
        <f>'Análise ADM'!$M$23</f>
        <v>0</v>
      </c>
      <c r="K42" s="1601">
        <f>'Análise ADM'!$M$23</f>
        <v>0</v>
      </c>
      <c r="L42" s="1601">
        <f>'Análise ADM'!$M$23</f>
        <v>0</v>
      </c>
      <c r="M42" s="1601">
        <f>'Análise ADM'!$M$23</f>
        <v>0</v>
      </c>
      <c r="N42" s="1601">
        <f>'Análise ADM'!$M$23</f>
        <v>0</v>
      </c>
      <c r="O42" s="1601">
        <f>'Análise ADM'!$M$23</f>
        <v>0</v>
      </c>
      <c r="P42" s="1601">
        <f>'Análise ADM'!$M$23</f>
        <v>0</v>
      </c>
      <c r="Q42" s="1601">
        <f>'Análise ADM'!$M$23</f>
        <v>0</v>
      </c>
      <c r="R42" s="1601">
        <f>'Análise ADM'!$M$23</f>
        <v>0</v>
      </c>
      <c r="S42" s="1601">
        <f>'Análise ADM'!$M$23</f>
        <v>0</v>
      </c>
      <c r="T42" s="1601">
        <f>'Análise ADM'!$M$23</f>
        <v>0</v>
      </c>
      <c r="U42" s="1601">
        <f>'Análise ADM'!$M$23</f>
        <v>0</v>
      </c>
      <c r="V42" s="1601"/>
    </row>
    <row r="43" spans="1:22" hidden="1" outlineLevel="1" x14ac:dyDescent="0.2">
      <c r="A43" s="1599" t="str">
        <f>'Análise ADM'!K24</f>
        <v>Suplementação</v>
      </c>
      <c r="B43" s="1602"/>
      <c r="C43" s="1601">
        <f>'Análise ADM'!$M$24</f>
        <v>89643.665792029264</v>
      </c>
      <c r="D43" s="1601">
        <f>'Análise ADM'!$M$24</f>
        <v>89643.665792029264</v>
      </c>
      <c r="E43" s="1601">
        <f>'Análise ADM'!$M$24</f>
        <v>89643.665792029264</v>
      </c>
      <c r="F43" s="1601">
        <f>'Análise ADM'!$M$24</f>
        <v>89643.665792029264</v>
      </c>
      <c r="G43" s="1601">
        <f>'Análise ADM'!$M$24</f>
        <v>89643.665792029264</v>
      </c>
      <c r="H43" s="1601">
        <f>'Análise ADM'!$M$24</f>
        <v>89643.665792029264</v>
      </c>
      <c r="I43" s="1601">
        <f>'Análise ADM'!$M$24</f>
        <v>89643.665792029264</v>
      </c>
      <c r="J43" s="1601">
        <f>'Análise ADM'!$M$24</f>
        <v>89643.665792029264</v>
      </c>
      <c r="K43" s="1601">
        <f>'Análise ADM'!$M$24</f>
        <v>89643.665792029264</v>
      </c>
      <c r="L43" s="1601">
        <f>'Análise ADM'!$M$24</f>
        <v>89643.665792029264</v>
      </c>
      <c r="M43" s="1601">
        <f>'Análise ADM'!$M$24</f>
        <v>89643.665792029264</v>
      </c>
      <c r="N43" s="1601">
        <f>'Análise ADM'!$M$24</f>
        <v>89643.665792029264</v>
      </c>
      <c r="O43" s="1601">
        <f>'Análise ADM'!$M$24</f>
        <v>89643.665792029264</v>
      </c>
      <c r="P43" s="1601">
        <f>'Análise ADM'!$M$24</f>
        <v>89643.665792029264</v>
      </c>
      <c r="Q43" s="1601">
        <f>'Análise ADM'!$M$24</f>
        <v>89643.665792029264</v>
      </c>
      <c r="R43" s="1601">
        <f>'Análise ADM'!$M$24</f>
        <v>89643.665792029264</v>
      </c>
      <c r="S43" s="1601">
        <f>'Análise ADM'!$M$24</f>
        <v>89643.665792029264</v>
      </c>
      <c r="T43" s="1601">
        <f>'Análise ADM'!$M$24</f>
        <v>89643.665792029264</v>
      </c>
      <c r="U43" s="1601">
        <f>'Análise ADM'!$M$24</f>
        <v>89643.665792029264</v>
      </c>
      <c r="V43" s="1601"/>
    </row>
    <row r="44" spans="1:22" hidden="1" outlineLevel="1" x14ac:dyDescent="0.2">
      <c r="A44" s="1599" t="str">
        <f>'Análise ADM'!K25</f>
        <v>Alimentação</v>
      </c>
      <c r="B44" s="1602"/>
      <c r="C44" s="1601">
        <f>'Análise ADM'!$M$25</f>
        <v>210941.50709333335</v>
      </c>
      <c r="D44" s="1601">
        <f>'Análise ADM'!$M$25</f>
        <v>210941.50709333335</v>
      </c>
      <c r="E44" s="1601">
        <f>'Análise ADM'!$M$25</f>
        <v>210941.50709333335</v>
      </c>
      <c r="F44" s="1601">
        <f>'Análise ADM'!$M$25</f>
        <v>210941.50709333335</v>
      </c>
      <c r="G44" s="1601">
        <f>'Análise ADM'!$M$25</f>
        <v>210941.50709333335</v>
      </c>
      <c r="H44" s="1601">
        <f>'Análise ADM'!$M$25</f>
        <v>210941.50709333335</v>
      </c>
      <c r="I44" s="1601">
        <f>'Análise ADM'!$M$25</f>
        <v>210941.50709333335</v>
      </c>
      <c r="J44" s="1601">
        <f>'Análise ADM'!$M$25</f>
        <v>210941.50709333335</v>
      </c>
      <c r="K44" s="1601">
        <f>'Análise ADM'!$M$25</f>
        <v>210941.50709333335</v>
      </c>
      <c r="L44" s="1601">
        <f>'Análise ADM'!$M$25</f>
        <v>210941.50709333335</v>
      </c>
      <c r="M44" s="1601">
        <f>'Análise ADM'!$M$25</f>
        <v>210941.50709333335</v>
      </c>
      <c r="N44" s="1601">
        <f>'Análise ADM'!$M$25</f>
        <v>210941.50709333335</v>
      </c>
      <c r="O44" s="1601">
        <f>'Análise ADM'!$M$25</f>
        <v>210941.50709333335</v>
      </c>
      <c r="P44" s="1601">
        <f>'Análise ADM'!$M$25</f>
        <v>210941.50709333335</v>
      </c>
      <c r="Q44" s="1601">
        <f>'Análise ADM'!$M$25</f>
        <v>210941.50709333335</v>
      </c>
      <c r="R44" s="1601">
        <f>'Análise ADM'!$M$25</f>
        <v>210941.50709333335</v>
      </c>
      <c r="S44" s="1601">
        <f>'Análise ADM'!$M$25</f>
        <v>210941.50709333335</v>
      </c>
      <c r="T44" s="1601">
        <f>'Análise ADM'!$M$25</f>
        <v>210941.50709333335</v>
      </c>
      <c r="U44" s="1601">
        <f>'Análise ADM'!$M$25</f>
        <v>210941.50709333335</v>
      </c>
      <c r="V44" s="1601"/>
    </row>
    <row r="45" spans="1:22" hidden="1" outlineLevel="1" x14ac:dyDescent="0.2">
      <c r="A45" s="1599" t="str">
        <f>'Análise ADM'!K26</f>
        <v>Reposição de Animais</v>
      </c>
      <c r="B45" s="1602"/>
      <c r="C45" s="1601">
        <f>'Análise ADM'!$M$26</f>
        <v>880000</v>
      </c>
      <c r="D45" s="1601">
        <f>'Análise ADM'!$M$26</f>
        <v>880000</v>
      </c>
      <c r="E45" s="1601">
        <f>'Análise ADM'!$M$26</f>
        <v>880000</v>
      </c>
      <c r="F45" s="1601">
        <f>'Análise ADM'!$M$26</f>
        <v>880000</v>
      </c>
      <c r="G45" s="1601">
        <f>'Análise ADM'!$M$26</f>
        <v>880000</v>
      </c>
      <c r="H45" s="1601">
        <f>'Análise ADM'!$M$26</f>
        <v>880000</v>
      </c>
      <c r="I45" s="1601">
        <f>'Análise ADM'!$M$26</f>
        <v>880000</v>
      </c>
      <c r="J45" s="1601">
        <f>'Análise ADM'!$M$26</f>
        <v>880000</v>
      </c>
      <c r="K45" s="1601">
        <f>'Análise ADM'!$M$26</f>
        <v>880000</v>
      </c>
      <c r="L45" s="1601">
        <f>'Análise ADM'!$M$26</f>
        <v>880000</v>
      </c>
      <c r="M45" s="1601">
        <f>'Análise ADM'!$M$26</f>
        <v>880000</v>
      </c>
      <c r="N45" s="1601">
        <f>'Análise ADM'!$M$26</f>
        <v>880000</v>
      </c>
      <c r="O45" s="1601">
        <f>'Análise ADM'!$M$26</f>
        <v>880000</v>
      </c>
      <c r="P45" s="1601">
        <f>'Análise ADM'!$M$26</f>
        <v>880000</v>
      </c>
      <c r="Q45" s="1601">
        <f>'Análise ADM'!$M$26</f>
        <v>880000</v>
      </c>
      <c r="R45" s="1601">
        <f>'Análise ADM'!$M$26</f>
        <v>880000</v>
      </c>
      <c r="S45" s="1601">
        <f>'Análise ADM'!$M$26</f>
        <v>880000</v>
      </c>
      <c r="T45" s="1601">
        <f>'Análise ADM'!$M$26</f>
        <v>880000</v>
      </c>
      <c r="U45" s="1601">
        <f>'Análise ADM'!$M$26</f>
        <v>880000</v>
      </c>
      <c r="V45" s="1601"/>
    </row>
    <row r="46" spans="1:22" hidden="1" outlineLevel="1" x14ac:dyDescent="0.2">
      <c r="A46" s="1600"/>
      <c r="B46" s="1602"/>
      <c r="C46" s="1601"/>
      <c r="D46" s="1601"/>
      <c r="E46" s="1601"/>
      <c r="F46" s="1601"/>
      <c r="G46" s="1601"/>
      <c r="H46" s="1601"/>
      <c r="I46" s="1601"/>
      <c r="J46" s="1601"/>
      <c r="K46" s="1601"/>
      <c r="L46" s="1601"/>
      <c r="M46" s="1601"/>
      <c r="N46" s="1601"/>
      <c r="O46" s="1601"/>
      <c r="P46" s="1601"/>
      <c r="Q46" s="1601"/>
      <c r="R46" s="1601"/>
      <c r="S46" s="1601"/>
      <c r="T46" s="1601"/>
      <c r="U46" s="1601"/>
      <c r="V46" s="1601"/>
    </row>
    <row r="47" spans="1:22" s="1590" customFormat="1" ht="12.75" hidden="1" customHeight="1" outlineLevel="1" thickBot="1" x14ac:dyDescent="0.25">
      <c r="A47" s="1603"/>
      <c r="B47" s="1604"/>
      <c r="C47" s="1604"/>
      <c r="D47" s="1604"/>
      <c r="E47" s="1604"/>
      <c r="F47" s="1604"/>
      <c r="G47" s="1604"/>
      <c r="H47" s="1604"/>
      <c r="I47" s="1604"/>
      <c r="J47" s="1604"/>
      <c r="K47" s="1604"/>
      <c r="L47" s="1604"/>
      <c r="M47" s="1604"/>
      <c r="N47" s="1604"/>
      <c r="O47" s="1604"/>
      <c r="P47" s="1604"/>
      <c r="Q47" s="1604"/>
      <c r="R47" s="1604"/>
      <c r="S47" s="1604"/>
      <c r="T47" s="1604"/>
      <c r="U47" s="1604"/>
      <c r="V47" s="1604"/>
    </row>
    <row r="48" spans="1:22" ht="15.75" collapsed="1" thickBot="1" x14ac:dyDescent="0.3">
      <c r="A48" s="1605" t="s">
        <v>1363</v>
      </c>
      <c r="B48" s="1606">
        <f>SUM(B49:B58)</f>
        <v>0</v>
      </c>
      <c r="C48" s="1606">
        <f ca="1">-SUM(C49:C57)</f>
        <v>-273001.76144456328</v>
      </c>
      <c r="D48" s="1606">
        <f t="shared" ref="D48:U48" ca="1" si="7">-SUM(D49:D57)</f>
        <v>-140716.50104566276</v>
      </c>
      <c r="E48" s="1606">
        <f t="shared" si="7"/>
        <v>-140716.4552</v>
      </c>
      <c r="F48" s="1606">
        <f t="shared" ca="1" si="7"/>
        <v>-140716.50104566276</v>
      </c>
      <c r="G48" s="1606">
        <f t="shared" ca="1" si="7"/>
        <v>-140716.48901668747</v>
      </c>
      <c r="H48" s="1606">
        <f t="shared" ca="1" si="7"/>
        <v>-140723.90847593304</v>
      </c>
      <c r="I48" s="1606">
        <f t="shared" ca="1" si="7"/>
        <v>-140721.46876624122</v>
      </c>
      <c r="J48" s="1606">
        <f t="shared" si="7"/>
        <v>-140716.4552</v>
      </c>
      <c r="K48" s="1606">
        <f t="shared" si="7"/>
        <v>-140716.4552</v>
      </c>
      <c r="L48" s="1606">
        <f t="shared" si="7"/>
        <v>-140716.4552</v>
      </c>
      <c r="M48" s="1606">
        <f t="shared" si="7"/>
        <v>-140716.4552</v>
      </c>
      <c r="N48" s="1606">
        <f t="shared" si="7"/>
        <v>-140716.4552</v>
      </c>
      <c r="O48" s="1606">
        <f t="shared" si="7"/>
        <v>-140716.4552</v>
      </c>
      <c r="P48" s="1606">
        <f t="shared" si="7"/>
        <v>-140716.4552</v>
      </c>
      <c r="Q48" s="1606">
        <f t="shared" si="7"/>
        <v>-140716.4552</v>
      </c>
      <c r="R48" s="1606">
        <f t="shared" si="7"/>
        <v>-140716.4552</v>
      </c>
      <c r="S48" s="1606">
        <f t="shared" si="7"/>
        <v>-140716.4552</v>
      </c>
      <c r="T48" s="1606">
        <f t="shared" si="7"/>
        <v>-140716.4552</v>
      </c>
      <c r="U48" s="1606">
        <f t="shared" si="7"/>
        <v>-140716.4552</v>
      </c>
      <c r="V48" s="1606"/>
    </row>
    <row r="49" spans="1:22" hidden="1" outlineLevel="1" x14ac:dyDescent="0.2">
      <c r="A49" s="1599" t="str">
        <f>'Análise ADM'!B48</f>
        <v>Benfeitorias</v>
      </c>
      <c r="B49" s="1602"/>
      <c r="C49" s="1602">
        <f ca="1">'Análise ADM'!$C$48</f>
        <v>76129.57291122993</v>
      </c>
      <c r="D49" s="1634">
        <f ca="1">'Análise ADM'!D48</f>
        <v>4.584566277067155E-2</v>
      </c>
      <c r="E49" s="1634">
        <f>'Análise ADM'!E48</f>
        <v>0</v>
      </c>
      <c r="F49" s="1634">
        <f ca="1">'Análise ADM'!F48</f>
        <v>4.584566277067155E-2</v>
      </c>
      <c r="G49" s="1634">
        <f ca="1">'Análise ADM'!G48</f>
        <v>3.3816687465917691E-2</v>
      </c>
      <c r="H49" s="1602">
        <f ca="1">'Análise ADM'!H48</f>
        <v>7.4532759330383813</v>
      </c>
      <c r="I49" s="1602">
        <f ca="1">'Análise ADM'!I48</f>
        <v>5.0135662412077551</v>
      </c>
      <c r="J49" s="1602">
        <f>'Análise ADM'!J48</f>
        <v>0</v>
      </c>
      <c r="K49" s="1602">
        <f>'Análise ADM'!K48</f>
        <v>0</v>
      </c>
      <c r="L49" s="1602">
        <f>'Análise ADM'!L48</f>
        <v>0</v>
      </c>
      <c r="M49" s="1602">
        <f>'Análise ADM'!M48</f>
        <v>0</v>
      </c>
      <c r="N49" s="1602">
        <f>'Análise ADM'!N48</f>
        <v>0</v>
      </c>
      <c r="O49" s="1602">
        <f>'Análise ADM'!O48</f>
        <v>0</v>
      </c>
      <c r="P49" s="1602">
        <f>'Análise ADM'!P48</f>
        <v>0</v>
      </c>
      <c r="Q49" s="1602">
        <f>'Análise ADM'!Q48</f>
        <v>0</v>
      </c>
      <c r="R49" s="1602">
        <f>'Análise ADM'!R48</f>
        <v>0</v>
      </c>
      <c r="S49" s="1602">
        <f>'Análise ADM'!S48</f>
        <v>0</v>
      </c>
      <c r="T49" s="1602">
        <f>'Análise ADM'!T48</f>
        <v>0</v>
      </c>
      <c r="U49" s="1602">
        <f>'Análise ADM'!U48</f>
        <v>0</v>
      </c>
      <c r="V49" s="1602"/>
    </row>
    <row r="50" spans="1:22" hidden="1" outlineLevel="1" x14ac:dyDescent="0.2">
      <c r="A50" s="1599" t="str">
        <f>'Análise ADM'!B49</f>
        <v>Máquinas</v>
      </c>
      <c r="B50" s="1602"/>
      <c r="C50" s="1602">
        <f>'Análise ADM'!$C$49</f>
        <v>10906.666666666668</v>
      </c>
      <c r="D50" s="1602">
        <f>'Análise ADM'!$C$53</f>
        <v>2000</v>
      </c>
      <c r="E50" s="1602">
        <f>'Análise ADM'!$C$53</f>
        <v>2000</v>
      </c>
      <c r="F50" s="1602">
        <f>'Análise ADM'!$C$53</f>
        <v>2000</v>
      </c>
      <c r="G50" s="1602">
        <f>'Análise ADM'!$C$53</f>
        <v>2000</v>
      </c>
      <c r="H50" s="1602">
        <f>'Análise ADM'!$C$53</f>
        <v>2000</v>
      </c>
      <c r="I50" s="1602">
        <f>'Análise ADM'!$C$53</f>
        <v>2000</v>
      </c>
      <c r="J50" s="1602">
        <f>'Análise ADM'!$C$53</f>
        <v>2000</v>
      </c>
      <c r="K50" s="1602">
        <f>'Análise ADM'!$C$53</f>
        <v>2000</v>
      </c>
      <c r="L50" s="1602">
        <f>'Análise ADM'!$C$53</f>
        <v>2000</v>
      </c>
      <c r="M50" s="1602">
        <f>'Análise ADM'!$C$53</f>
        <v>2000</v>
      </c>
      <c r="N50" s="1602">
        <f>'Análise ADM'!$C$53</f>
        <v>2000</v>
      </c>
      <c r="O50" s="1602">
        <f>'Análise ADM'!$C$53</f>
        <v>2000</v>
      </c>
      <c r="P50" s="1602">
        <f>'Análise ADM'!$C$53</f>
        <v>2000</v>
      </c>
      <c r="Q50" s="1602">
        <f>'Análise ADM'!$C$53</f>
        <v>2000</v>
      </c>
      <c r="R50" s="1602">
        <f>'Análise ADM'!$C$53</f>
        <v>2000</v>
      </c>
      <c r="S50" s="1602">
        <f>'Análise ADM'!$C$53</f>
        <v>2000</v>
      </c>
      <c r="T50" s="1602">
        <f>'Análise ADM'!$C$53</f>
        <v>2000</v>
      </c>
      <c r="U50" s="1602">
        <f>'Análise ADM'!$C$53</f>
        <v>2000</v>
      </c>
      <c r="V50" s="1602"/>
    </row>
    <row r="51" spans="1:22" hidden="1" outlineLevel="1" x14ac:dyDescent="0.2">
      <c r="A51" s="1599" t="str">
        <f>'Análise ADM'!B50</f>
        <v>Implementos</v>
      </c>
      <c r="B51" s="1602"/>
      <c r="C51" s="1602">
        <f>'Análise ADM'!$C$50</f>
        <v>5760</v>
      </c>
      <c r="D51" s="1602">
        <f>'Análise ADM'!$C$54</f>
        <v>120000</v>
      </c>
      <c r="E51" s="1602">
        <f>'Análise ADM'!$C$54</f>
        <v>120000</v>
      </c>
      <c r="F51" s="1602">
        <f>'Análise ADM'!$C$54</f>
        <v>120000</v>
      </c>
      <c r="G51" s="1602">
        <f>'Análise ADM'!$C$54</f>
        <v>120000</v>
      </c>
      <c r="H51" s="1602">
        <f>'Análise ADM'!$C$54</f>
        <v>120000</v>
      </c>
      <c r="I51" s="1602">
        <f>'Análise ADM'!$C$54</f>
        <v>120000</v>
      </c>
      <c r="J51" s="1602">
        <f>'Análise ADM'!$C$54</f>
        <v>120000</v>
      </c>
      <c r="K51" s="1602">
        <f>'Análise ADM'!$C$54</f>
        <v>120000</v>
      </c>
      <c r="L51" s="1602">
        <f>'Análise ADM'!$C$54</f>
        <v>120000</v>
      </c>
      <c r="M51" s="1602">
        <f>'Análise ADM'!$C$54</f>
        <v>120000</v>
      </c>
      <c r="N51" s="1602">
        <f>'Análise ADM'!$C$54</f>
        <v>120000</v>
      </c>
      <c r="O51" s="1602">
        <f>'Análise ADM'!$C$54</f>
        <v>120000</v>
      </c>
      <c r="P51" s="1602">
        <f>'Análise ADM'!$C$54</f>
        <v>120000</v>
      </c>
      <c r="Q51" s="1602">
        <f>'Análise ADM'!$C$54</f>
        <v>120000</v>
      </c>
      <c r="R51" s="1602">
        <f>'Análise ADM'!$C$54</f>
        <v>120000</v>
      </c>
      <c r="S51" s="1602">
        <f>'Análise ADM'!$C$54</f>
        <v>120000</v>
      </c>
      <c r="T51" s="1602">
        <f>'Análise ADM'!$C$54</f>
        <v>120000</v>
      </c>
      <c r="U51" s="1602">
        <f>'Análise ADM'!$C$54</f>
        <v>120000</v>
      </c>
      <c r="V51" s="1602"/>
    </row>
    <row r="52" spans="1:22" hidden="1" outlineLevel="1" x14ac:dyDescent="0.2">
      <c r="A52" s="1599" t="str">
        <f>'Análise ADM'!B51</f>
        <v>Equipamentos</v>
      </c>
      <c r="B52" s="1602"/>
      <c r="C52" s="1602">
        <f>'Análise ADM'!$C$51</f>
        <v>2086</v>
      </c>
      <c r="D52" s="1602">
        <f>'Análise ADM'!$C$55</f>
        <v>6966</v>
      </c>
      <c r="E52" s="1602">
        <f>'Análise ADM'!$C$55</f>
        <v>6966</v>
      </c>
      <c r="F52" s="1602">
        <f>'Análise ADM'!$C$55</f>
        <v>6966</v>
      </c>
      <c r="G52" s="1602">
        <f>'Análise ADM'!$C$55</f>
        <v>6966</v>
      </c>
      <c r="H52" s="1602">
        <f>'Análise ADM'!$C$55</f>
        <v>6966</v>
      </c>
      <c r="I52" s="1602">
        <f>'Análise ADM'!$C$55</f>
        <v>6966</v>
      </c>
      <c r="J52" s="1602">
        <f>'Análise ADM'!$C$55</f>
        <v>6966</v>
      </c>
      <c r="K52" s="1602">
        <f>'Análise ADM'!$C$55</f>
        <v>6966</v>
      </c>
      <c r="L52" s="1602">
        <f>'Análise ADM'!$C$55</f>
        <v>6966</v>
      </c>
      <c r="M52" s="1602">
        <f>'Análise ADM'!$C$55</f>
        <v>6966</v>
      </c>
      <c r="N52" s="1602">
        <f>'Análise ADM'!$C$55</f>
        <v>6966</v>
      </c>
      <c r="O52" s="1602">
        <f>'Análise ADM'!$C$55</f>
        <v>6966</v>
      </c>
      <c r="P52" s="1602">
        <f>'Análise ADM'!$C$55</f>
        <v>6966</v>
      </c>
      <c r="Q52" s="1602">
        <f>'Análise ADM'!$C$55</f>
        <v>6966</v>
      </c>
      <c r="R52" s="1602">
        <f>'Análise ADM'!$C$55</f>
        <v>6966</v>
      </c>
      <c r="S52" s="1602">
        <f>'Análise ADM'!$C$55</f>
        <v>6966</v>
      </c>
      <c r="T52" s="1602">
        <f>'Análise ADM'!$C$55</f>
        <v>6966</v>
      </c>
      <c r="U52" s="1602">
        <f>'Análise ADM'!$C$55</f>
        <v>6966</v>
      </c>
      <c r="V52" s="1602"/>
    </row>
    <row r="53" spans="1:22" hidden="1" outlineLevel="1" x14ac:dyDescent="0.2">
      <c r="A53" s="1599" t="str">
        <f>'Análise ADM'!B52</f>
        <v>Utilitários</v>
      </c>
      <c r="B53" s="1602"/>
      <c r="C53" s="1602">
        <f>'Análise ADM'!$C$52</f>
        <v>4946.666666666667</v>
      </c>
      <c r="D53" s="1602">
        <f>'Análise ADM'!$C$56</f>
        <v>1042.32</v>
      </c>
      <c r="E53" s="1602">
        <f>'Análise ADM'!$C$56</f>
        <v>1042.32</v>
      </c>
      <c r="F53" s="1602">
        <f>'Análise ADM'!$C$56</f>
        <v>1042.32</v>
      </c>
      <c r="G53" s="1602">
        <f>'Análise ADM'!$C$56</f>
        <v>1042.32</v>
      </c>
      <c r="H53" s="1602">
        <f>'Análise ADM'!$C$56</f>
        <v>1042.32</v>
      </c>
      <c r="I53" s="1602">
        <f>'Análise ADM'!$C$56</f>
        <v>1042.32</v>
      </c>
      <c r="J53" s="1602">
        <f>'Análise ADM'!$C$56</f>
        <v>1042.32</v>
      </c>
      <c r="K53" s="1602">
        <f>'Análise ADM'!$C$56</f>
        <v>1042.32</v>
      </c>
      <c r="L53" s="1602">
        <f>'Análise ADM'!$C$56</f>
        <v>1042.32</v>
      </c>
      <c r="M53" s="1602">
        <f>'Análise ADM'!$C$56</f>
        <v>1042.32</v>
      </c>
      <c r="N53" s="1602">
        <f>'Análise ADM'!$C$56</f>
        <v>1042.32</v>
      </c>
      <c r="O53" s="1602">
        <f>'Análise ADM'!$C$56</f>
        <v>1042.32</v>
      </c>
      <c r="P53" s="1602">
        <f>'Análise ADM'!$C$56</f>
        <v>1042.32</v>
      </c>
      <c r="Q53" s="1602">
        <f>'Análise ADM'!$C$56</f>
        <v>1042.32</v>
      </c>
      <c r="R53" s="1602">
        <f>'Análise ADM'!$C$56</f>
        <v>1042.32</v>
      </c>
      <c r="S53" s="1602">
        <f>'Análise ADM'!$C$56</f>
        <v>1042.32</v>
      </c>
      <c r="T53" s="1602">
        <f>'Análise ADM'!$C$56</f>
        <v>1042.32</v>
      </c>
      <c r="U53" s="1602">
        <f>'Análise ADM'!$C$56</f>
        <v>1042.32</v>
      </c>
      <c r="V53" s="1602"/>
    </row>
    <row r="54" spans="1:22" hidden="1" outlineLevel="1" x14ac:dyDescent="0.2">
      <c r="A54" s="1599" t="str">
        <f>'Análise ADM'!B53</f>
        <v>Animais de Serviço</v>
      </c>
      <c r="B54" s="1602"/>
      <c r="C54" s="1602">
        <f>'Análise ADM'!$C$53</f>
        <v>2000</v>
      </c>
      <c r="D54" s="1602">
        <f>'Análise ADM'!$C$57</f>
        <v>0</v>
      </c>
      <c r="E54" s="1602">
        <f>'Análise ADM'!$C$57</f>
        <v>0</v>
      </c>
      <c r="F54" s="1602">
        <f>'Análise ADM'!$C$57</f>
        <v>0</v>
      </c>
      <c r="G54" s="1602">
        <f>'Análise ADM'!$C$57</f>
        <v>0</v>
      </c>
      <c r="H54" s="1602">
        <f>'Análise ADM'!$C$57</f>
        <v>0</v>
      </c>
      <c r="I54" s="1602">
        <f>'Análise ADM'!$C$57</f>
        <v>0</v>
      </c>
      <c r="J54" s="1602">
        <f>'Análise ADM'!$C$57</f>
        <v>0</v>
      </c>
      <c r="K54" s="1602">
        <f>'Análise ADM'!$C$57</f>
        <v>0</v>
      </c>
      <c r="L54" s="1602">
        <f>'Análise ADM'!$C$57</f>
        <v>0</v>
      </c>
      <c r="M54" s="1602">
        <f>'Análise ADM'!$C$57</f>
        <v>0</v>
      </c>
      <c r="N54" s="1602">
        <f>'Análise ADM'!$C$57</f>
        <v>0</v>
      </c>
      <c r="O54" s="1602">
        <f>'Análise ADM'!$C$57</f>
        <v>0</v>
      </c>
      <c r="P54" s="1602">
        <f>'Análise ADM'!$C$57</f>
        <v>0</v>
      </c>
      <c r="Q54" s="1602">
        <f>'Análise ADM'!$C$57</f>
        <v>0</v>
      </c>
      <c r="R54" s="1602">
        <f>'Análise ADM'!$C$57</f>
        <v>0</v>
      </c>
      <c r="S54" s="1602">
        <f>'Análise ADM'!$C$57</f>
        <v>0</v>
      </c>
      <c r="T54" s="1602">
        <f>'Análise ADM'!$C$57</f>
        <v>0</v>
      </c>
      <c r="U54" s="1602">
        <f>'Análise ADM'!$C$57</f>
        <v>0</v>
      </c>
      <c r="V54" s="1602"/>
    </row>
    <row r="55" spans="1:22" hidden="1" outlineLevel="1" x14ac:dyDescent="0.2">
      <c r="A55" s="1599" t="str">
        <f>'Análise ADM'!B54</f>
        <v>Pro-labore</v>
      </c>
      <c r="B55" s="1602"/>
      <c r="C55" s="1602">
        <f>'Análise ADM'!$C$54</f>
        <v>120000</v>
      </c>
      <c r="D55" s="1602">
        <f>'Análise ADM'!$C$58</f>
        <v>0</v>
      </c>
      <c r="E55" s="1602">
        <f>'Análise ADM'!$C$58</f>
        <v>0</v>
      </c>
      <c r="F55" s="1602">
        <f>'Análise ADM'!$C$58</f>
        <v>0</v>
      </c>
      <c r="G55" s="1602">
        <f>'Análise ADM'!$C$58</f>
        <v>0</v>
      </c>
      <c r="H55" s="1602">
        <f>'Análise ADM'!$C$58</f>
        <v>0</v>
      </c>
      <c r="I55" s="1602">
        <f>'Análise ADM'!$C$58</f>
        <v>0</v>
      </c>
      <c r="J55" s="1602">
        <f>'Análise ADM'!$C$58</f>
        <v>0</v>
      </c>
      <c r="K55" s="1602">
        <f>'Análise ADM'!$C$58</f>
        <v>0</v>
      </c>
      <c r="L55" s="1602">
        <f>'Análise ADM'!$C$58</f>
        <v>0</v>
      </c>
      <c r="M55" s="1602">
        <f>'Análise ADM'!$C$58</f>
        <v>0</v>
      </c>
      <c r="N55" s="1602">
        <f>'Análise ADM'!$C$58</f>
        <v>0</v>
      </c>
      <c r="O55" s="1602">
        <f>'Análise ADM'!$C$58</f>
        <v>0</v>
      </c>
      <c r="P55" s="1602">
        <f>'Análise ADM'!$C$58</f>
        <v>0</v>
      </c>
      <c r="Q55" s="1602">
        <f>'Análise ADM'!$C$58</f>
        <v>0</v>
      </c>
      <c r="R55" s="1602">
        <f>'Análise ADM'!$C$58</f>
        <v>0</v>
      </c>
      <c r="S55" s="1602">
        <f>'Análise ADM'!$C$58</f>
        <v>0</v>
      </c>
      <c r="T55" s="1602">
        <f>'Análise ADM'!$C$58</f>
        <v>0</v>
      </c>
      <c r="U55" s="1602">
        <f>'Análise ADM'!$C$58</f>
        <v>0</v>
      </c>
      <c r="V55" s="1602"/>
    </row>
    <row r="56" spans="1:22" hidden="1" outlineLevel="1" x14ac:dyDescent="0.2">
      <c r="A56" s="1599" t="s">
        <v>1364</v>
      </c>
      <c r="B56" s="1602"/>
      <c r="C56" s="1602">
        <f>SUM('Análise ADM'!$C$55,'Análise ADM'!$C$59,'Análise ADM'!$C$61,'Análise ADM'!$C$63,'Análise ADM'!$C$56)</f>
        <v>51172.855199999998</v>
      </c>
      <c r="D56" s="1602">
        <f>'Análise ADM'!$C$59</f>
        <v>10708.135200000001</v>
      </c>
      <c r="E56" s="1602">
        <f>'Análise ADM'!$C$59</f>
        <v>10708.135200000001</v>
      </c>
      <c r="F56" s="1602">
        <f>'Análise ADM'!$C$59</f>
        <v>10708.135200000001</v>
      </c>
      <c r="G56" s="1602">
        <f>'Análise ADM'!$C$59</f>
        <v>10708.135200000001</v>
      </c>
      <c r="H56" s="1602">
        <f>'Análise ADM'!$C$59</f>
        <v>10708.135200000001</v>
      </c>
      <c r="I56" s="1602">
        <f>'Análise ADM'!$C$59</f>
        <v>10708.135200000001</v>
      </c>
      <c r="J56" s="1602">
        <f>'Análise ADM'!$C$59</f>
        <v>10708.135200000001</v>
      </c>
      <c r="K56" s="1602">
        <f>'Análise ADM'!$C$59</f>
        <v>10708.135200000001</v>
      </c>
      <c r="L56" s="1602">
        <f>'Análise ADM'!$C$59</f>
        <v>10708.135200000001</v>
      </c>
      <c r="M56" s="1602">
        <f>'Análise ADM'!$C$59</f>
        <v>10708.135200000001</v>
      </c>
      <c r="N56" s="1602">
        <f>'Análise ADM'!$C$59</f>
        <v>10708.135200000001</v>
      </c>
      <c r="O56" s="1602">
        <f>'Análise ADM'!$C$59</f>
        <v>10708.135200000001</v>
      </c>
      <c r="P56" s="1602">
        <f>'Análise ADM'!$C$59</f>
        <v>10708.135200000001</v>
      </c>
      <c r="Q56" s="1602">
        <f>'Análise ADM'!$C$59</f>
        <v>10708.135200000001</v>
      </c>
      <c r="R56" s="1602">
        <f>'Análise ADM'!$C$59</f>
        <v>10708.135200000001</v>
      </c>
      <c r="S56" s="1602">
        <f>'Análise ADM'!$C$59</f>
        <v>10708.135200000001</v>
      </c>
      <c r="T56" s="1602">
        <f>'Análise ADM'!$C$59</f>
        <v>10708.135200000001</v>
      </c>
      <c r="U56" s="1602">
        <f>'Análise ADM'!$C$59</f>
        <v>10708.135200000001</v>
      </c>
      <c r="V56" s="1602"/>
    </row>
    <row r="57" spans="1:22" hidden="1" outlineLevel="1" x14ac:dyDescent="0.2">
      <c r="A57" s="1599" t="s">
        <v>1365</v>
      </c>
      <c r="B57" s="1602"/>
      <c r="C57" s="1602">
        <f>SUM('Análise ADM'!$C$57,'Análise ADM'!$C$58,'Análise ADM'!$C$60,'Análise ADM'!$C$62,'Análise ADM'!$C$64)</f>
        <v>0</v>
      </c>
      <c r="D57" s="1602">
        <f>'Análise ADM'!$C$60</f>
        <v>0</v>
      </c>
      <c r="E57" s="1602">
        <f>'Análise ADM'!$C$60</f>
        <v>0</v>
      </c>
      <c r="F57" s="1602">
        <f>'Análise ADM'!$C$60</f>
        <v>0</v>
      </c>
      <c r="G57" s="1602">
        <f>'Análise ADM'!$C$60</f>
        <v>0</v>
      </c>
      <c r="H57" s="1602">
        <f>'Análise ADM'!$C$60</f>
        <v>0</v>
      </c>
      <c r="I57" s="1602">
        <f>'Análise ADM'!$C$60</f>
        <v>0</v>
      </c>
      <c r="J57" s="1602">
        <f>'Análise ADM'!$C$60</f>
        <v>0</v>
      </c>
      <c r="K57" s="1602">
        <f>'Análise ADM'!$C$60</f>
        <v>0</v>
      </c>
      <c r="L57" s="1602">
        <f>'Análise ADM'!$C$60</f>
        <v>0</v>
      </c>
      <c r="M57" s="1602">
        <f>'Análise ADM'!$C$60</f>
        <v>0</v>
      </c>
      <c r="N57" s="1602">
        <f>'Análise ADM'!$C$60</f>
        <v>0</v>
      </c>
      <c r="O57" s="1602">
        <f>'Análise ADM'!$C$60</f>
        <v>0</v>
      </c>
      <c r="P57" s="1602">
        <f>'Análise ADM'!$C$60</f>
        <v>0</v>
      </c>
      <c r="Q57" s="1602">
        <f>'Análise ADM'!$C$60</f>
        <v>0</v>
      </c>
      <c r="R57" s="1602">
        <f>'Análise ADM'!$C$60</f>
        <v>0</v>
      </c>
      <c r="S57" s="1602">
        <f>'Análise ADM'!$C$60</f>
        <v>0</v>
      </c>
      <c r="T57" s="1602">
        <f>'Análise ADM'!$C$60</f>
        <v>0</v>
      </c>
      <c r="U57" s="1602">
        <f>'Análise ADM'!$C$60</f>
        <v>0</v>
      </c>
      <c r="V57" s="1602"/>
    </row>
    <row r="58" spans="1:22" hidden="1" outlineLevel="1" x14ac:dyDescent="0.2">
      <c r="A58" s="1600"/>
      <c r="B58" s="1602"/>
      <c r="C58" s="1602"/>
      <c r="D58" s="1602"/>
      <c r="E58" s="1602"/>
      <c r="F58" s="1602"/>
      <c r="G58" s="1602"/>
      <c r="H58" s="1602"/>
      <c r="I58" s="1602"/>
      <c r="J58" s="1602"/>
      <c r="K58" s="1602"/>
      <c r="L58" s="1602"/>
      <c r="M58" s="1602"/>
      <c r="N58" s="1602"/>
      <c r="O58" s="1602"/>
      <c r="P58" s="1602"/>
      <c r="Q58" s="1602"/>
      <c r="R58" s="1602"/>
      <c r="S58" s="1602"/>
      <c r="T58" s="1602"/>
      <c r="U58" s="1602"/>
      <c r="V58" s="1602"/>
    </row>
    <row r="59" spans="1:22" s="1590" customFormat="1" ht="13.5" hidden="1" customHeight="1" outlineLevel="1" x14ac:dyDescent="0.2">
      <c r="A59" s="1600"/>
      <c r="B59" s="1602"/>
      <c r="C59" s="1602"/>
      <c r="D59" s="1602"/>
      <c r="E59" s="1602"/>
      <c r="F59" s="1602"/>
      <c r="G59" s="1602"/>
      <c r="H59" s="1602"/>
      <c r="I59" s="1602"/>
      <c r="J59" s="1602"/>
      <c r="K59" s="1602"/>
      <c r="L59" s="1602"/>
      <c r="M59" s="1602"/>
      <c r="N59" s="1602"/>
      <c r="O59" s="1602"/>
      <c r="P59" s="1602"/>
      <c r="Q59" s="1602"/>
      <c r="R59" s="1602"/>
      <c r="S59" s="1602"/>
      <c r="T59" s="1602"/>
      <c r="U59" s="1602"/>
      <c r="V59" s="1602"/>
    </row>
    <row r="60" spans="1:22" ht="15.75" collapsed="1" thickBot="1" x14ac:dyDescent="0.3">
      <c r="A60" s="1607" t="s">
        <v>1379</v>
      </c>
      <c r="B60" s="1608">
        <f>SUM(B61:B72)</f>
        <v>0</v>
      </c>
      <c r="C60" s="1608">
        <f ca="1">-SUM(C61:C70)</f>
        <v>-590680.60006546834</v>
      </c>
      <c r="D60" s="1608">
        <f t="shared" ref="D60:U60" ca="1" si="8">-SUM(D61:D70)</f>
        <v>-590680.60006546834</v>
      </c>
      <c r="E60" s="1608">
        <f t="shared" ca="1" si="8"/>
        <v>-590680.60006546834</v>
      </c>
      <c r="F60" s="1608">
        <f t="shared" ca="1" si="8"/>
        <v>-590680.60006546834</v>
      </c>
      <c r="G60" s="1608">
        <f t="shared" ca="1" si="8"/>
        <v>-590680.60006546834</v>
      </c>
      <c r="H60" s="1608">
        <f t="shared" ca="1" si="8"/>
        <v>-590680.60006546834</v>
      </c>
      <c r="I60" s="1608">
        <f t="shared" ca="1" si="8"/>
        <v>-590680.60006546834</v>
      </c>
      <c r="J60" s="1608">
        <f t="shared" ca="1" si="8"/>
        <v>-590680.60006546834</v>
      </c>
      <c r="K60" s="1608">
        <f t="shared" ca="1" si="8"/>
        <v>-590680.60006546834</v>
      </c>
      <c r="L60" s="1608">
        <f t="shared" ca="1" si="8"/>
        <v>-590680.60006546834</v>
      </c>
      <c r="M60" s="1608">
        <f t="shared" ca="1" si="8"/>
        <v>-590680.60006546834</v>
      </c>
      <c r="N60" s="1608">
        <f t="shared" ca="1" si="8"/>
        <v>-590680.60006546834</v>
      </c>
      <c r="O60" s="1608">
        <f t="shared" ca="1" si="8"/>
        <v>-590680.60006546834</v>
      </c>
      <c r="P60" s="1608">
        <f t="shared" ca="1" si="8"/>
        <v>-590680.60006546834</v>
      </c>
      <c r="Q60" s="1608">
        <f t="shared" ca="1" si="8"/>
        <v>-590680.60006546834</v>
      </c>
      <c r="R60" s="1608">
        <f t="shared" ca="1" si="8"/>
        <v>-590680.60006546834</v>
      </c>
      <c r="S60" s="1608">
        <f t="shared" ca="1" si="8"/>
        <v>-590680.60006546834</v>
      </c>
      <c r="T60" s="1608">
        <f t="shared" ca="1" si="8"/>
        <v>-590680.60006546834</v>
      </c>
      <c r="U60" s="1608">
        <f t="shared" ca="1" si="8"/>
        <v>-590680.60006546834</v>
      </c>
      <c r="V60" s="1608"/>
    </row>
    <row r="61" spans="1:22" hidden="1" outlineLevel="1" x14ac:dyDescent="0.2">
      <c r="A61" s="1599" t="str">
        <f>'Análise ADM'!B69</f>
        <v>Remuneração de Capital - Benfeitorias</v>
      </c>
      <c r="B61" s="1602"/>
      <c r="C61" s="1602">
        <f ca="1">'Análise ADM'!$C$69</f>
        <v>46629.797943492733</v>
      </c>
      <c r="D61" s="1602">
        <f ca="1">'Análise ADM'!$C$69</f>
        <v>46629.797943492733</v>
      </c>
      <c r="E61" s="1602">
        <f ca="1">'Análise ADM'!$C$69</f>
        <v>46629.797943492733</v>
      </c>
      <c r="F61" s="1602">
        <f ca="1">'Análise ADM'!$C$69</f>
        <v>46629.797943492733</v>
      </c>
      <c r="G61" s="1602">
        <f ca="1">'Análise ADM'!$C$69</f>
        <v>46629.797943492733</v>
      </c>
      <c r="H61" s="1602">
        <f ca="1">'Análise ADM'!$C$69</f>
        <v>46629.797943492733</v>
      </c>
      <c r="I61" s="1602">
        <f ca="1">'Análise ADM'!$C$69</f>
        <v>46629.797943492733</v>
      </c>
      <c r="J61" s="1602">
        <f ca="1">'Análise ADM'!$C$69</f>
        <v>46629.797943492733</v>
      </c>
      <c r="K61" s="1602">
        <f ca="1">'Análise ADM'!$C$69</f>
        <v>46629.797943492733</v>
      </c>
      <c r="L61" s="1602">
        <f ca="1">'Análise ADM'!$C$69</f>
        <v>46629.797943492733</v>
      </c>
      <c r="M61" s="1602">
        <f ca="1">'Análise ADM'!$C$69</f>
        <v>46629.797943492733</v>
      </c>
      <c r="N61" s="1602">
        <f ca="1">'Análise ADM'!$C$69</f>
        <v>46629.797943492733</v>
      </c>
      <c r="O61" s="1602">
        <f ca="1">'Análise ADM'!$C$69</f>
        <v>46629.797943492733</v>
      </c>
      <c r="P61" s="1602">
        <f ca="1">'Análise ADM'!$C$69</f>
        <v>46629.797943492733</v>
      </c>
      <c r="Q61" s="1602">
        <f ca="1">'Análise ADM'!$C$69</f>
        <v>46629.797943492733</v>
      </c>
      <c r="R61" s="1602">
        <f ca="1">'Análise ADM'!$C$69</f>
        <v>46629.797943492733</v>
      </c>
      <c r="S61" s="1602">
        <f ca="1">'Análise ADM'!$C$69</f>
        <v>46629.797943492733</v>
      </c>
      <c r="T61" s="1602">
        <f ca="1">'Análise ADM'!$C$69</f>
        <v>46629.797943492733</v>
      </c>
      <c r="U61" s="1602">
        <f ca="1">'Análise ADM'!$C$69</f>
        <v>46629.797943492733</v>
      </c>
      <c r="V61" s="1602"/>
    </row>
    <row r="62" spans="1:22" hidden="1" outlineLevel="1" x14ac:dyDescent="0.2">
      <c r="A62" s="1599" t="str">
        <f>'Análise ADM'!B70</f>
        <v>Remuneração de Capital - Máquinas</v>
      </c>
      <c r="B62" s="1602"/>
      <c r="C62" s="1602">
        <f>'Análise ADM'!$C$70</f>
        <v>7362</v>
      </c>
      <c r="D62" s="1602">
        <f>'Análise ADM'!$C$70</f>
        <v>7362</v>
      </c>
      <c r="E62" s="1602">
        <f>'Análise ADM'!$C$70</f>
        <v>7362</v>
      </c>
      <c r="F62" s="1602">
        <f>'Análise ADM'!$C$70</f>
        <v>7362</v>
      </c>
      <c r="G62" s="1602">
        <f>'Análise ADM'!$C$70</f>
        <v>7362</v>
      </c>
      <c r="H62" s="1602">
        <f>'Análise ADM'!$C$70</f>
        <v>7362</v>
      </c>
      <c r="I62" s="1602">
        <f>'Análise ADM'!$C$70</f>
        <v>7362</v>
      </c>
      <c r="J62" s="1602">
        <f>'Análise ADM'!$C$70</f>
        <v>7362</v>
      </c>
      <c r="K62" s="1602">
        <f>'Análise ADM'!$C$70</f>
        <v>7362</v>
      </c>
      <c r="L62" s="1602">
        <f>'Análise ADM'!$C$70</f>
        <v>7362</v>
      </c>
      <c r="M62" s="1602">
        <f>'Análise ADM'!$C$70</f>
        <v>7362</v>
      </c>
      <c r="N62" s="1602">
        <f>'Análise ADM'!$C$70</f>
        <v>7362</v>
      </c>
      <c r="O62" s="1602">
        <f>'Análise ADM'!$C$70</f>
        <v>7362</v>
      </c>
      <c r="P62" s="1602">
        <f>'Análise ADM'!$C$70</f>
        <v>7362</v>
      </c>
      <c r="Q62" s="1602">
        <f>'Análise ADM'!$C$70</f>
        <v>7362</v>
      </c>
      <c r="R62" s="1602">
        <f>'Análise ADM'!$C$70</f>
        <v>7362</v>
      </c>
      <c r="S62" s="1602">
        <f>'Análise ADM'!$C$70</f>
        <v>7362</v>
      </c>
      <c r="T62" s="1602">
        <f>'Análise ADM'!$C$70</f>
        <v>7362</v>
      </c>
      <c r="U62" s="1602">
        <f>'Análise ADM'!$C$70</f>
        <v>7362</v>
      </c>
      <c r="V62" s="1602"/>
    </row>
    <row r="63" spans="1:22" hidden="1" outlineLevel="1" x14ac:dyDescent="0.2">
      <c r="A63" s="1599" t="str">
        <f>'Análise ADM'!B71</f>
        <v>Remuneração de Capital - Implementos</v>
      </c>
      <c r="B63" s="1602"/>
      <c r="C63" s="1602">
        <f>'Análise ADM'!$C$71</f>
        <v>3492</v>
      </c>
      <c r="D63" s="1602">
        <f>'Análise ADM'!$C$71</f>
        <v>3492</v>
      </c>
      <c r="E63" s="1602">
        <f>'Análise ADM'!$C$71</f>
        <v>3492</v>
      </c>
      <c r="F63" s="1602">
        <f>'Análise ADM'!$C$71</f>
        <v>3492</v>
      </c>
      <c r="G63" s="1602">
        <f>'Análise ADM'!$C$71</f>
        <v>3492</v>
      </c>
      <c r="H63" s="1602">
        <f>'Análise ADM'!$C$71</f>
        <v>3492</v>
      </c>
      <c r="I63" s="1602">
        <f>'Análise ADM'!$C$71</f>
        <v>3492</v>
      </c>
      <c r="J63" s="1602">
        <f>'Análise ADM'!$C$71</f>
        <v>3492</v>
      </c>
      <c r="K63" s="1602">
        <f>'Análise ADM'!$C$71</f>
        <v>3492</v>
      </c>
      <c r="L63" s="1602">
        <f>'Análise ADM'!$C$71</f>
        <v>3492</v>
      </c>
      <c r="M63" s="1602">
        <f>'Análise ADM'!$C$71</f>
        <v>3492</v>
      </c>
      <c r="N63" s="1602">
        <f>'Análise ADM'!$C$71</f>
        <v>3492</v>
      </c>
      <c r="O63" s="1602">
        <f>'Análise ADM'!$C$71</f>
        <v>3492</v>
      </c>
      <c r="P63" s="1602">
        <f>'Análise ADM'!$C$71</f>
        <v>3492</v>
      </c>
      <c r="Q63" s="1602">
        <f>'Análise ADM'!$C$71</f>
        <v>3492</v>
      </c>
      <c r="R63" s="1602">
        <f>'Análise ADM'!$C$71</f>
        <v>3492</v>
      </c>
      <c r="S63" s="1602">
        <f>'Análise ADM'!$C$71</f>
        <v>3492</v>
      </c>
      <c r="T63" s="1602">
        <f>'Análise ADM'!$C$71</f>
        <v>3492</v>
      </c>
      <c r="U63" s="1602">
        <f>'Análise ADM'!$C$71</f>
        <v>3492</v>
      </c>
      <c r="V63" s="1602"/>
    </row>
    <row r="64" spans="1:22" hidden="1" outlineLevel="1" x14ac:dyDescent="0.2">
      <c r="A64" s="1599" t="str">
        <f>'Análise ADM'!B72</f>
        <v>Remuneração de Capital - Equipamentos</v>
      </c>
      <c r="B64" s="1602"/>
      <c r="C64" s="1602">
        <f>'Análise ADM'!$C$72</f>
        <v>661.43999999999994</v>
      </c>
      <c r="D64" s="1602">
        <f>'Análise ADM'!$C$72</f>
        <v>661.43999999999994</v>
      </c>
      <c r="E64" s="1602">
        <f>'Análise ADM'!$C$72</f>
        <v>661.43999999999994</v>
      </c>
      <c r="F64" s="1602">
        <f>'Análise ADM'!$C$72</f>
        <v>661.43999999999994</v>
      </c>
      <c r="G64" s="1602">
        <f>'Análise ADM'!$C$72</f>
        <v>661.43999999999994</v>
      </c>
      <c r="H64" s="1602">
        <f>'Análise ADM'!$C$72</f>
        <v>661.43999999999994</v>
      </c>
      <c r="I64" s="1602">
        <f>'Análise ADM'!$C$72</f>
        <v>661.43999999999994</v>
      </c>
      <c r="J64" s="1602">
        <f>'Análise ADM'!$C$72</f>
        <v>661.43999999999994</v>
      </c>
      <c r="K64" s="1602">
        <f>'Análise ADM'!$C$72</f>
        <v>661.43999999999994</v>
      </c>
      <c r="L64" s="1602">
        <f>'Análise ADM'!$C$72</f>
        <v>661.43999999999994</v>
      </c>
      <c r="M64" s="1602">
        <f>'Análise ADM'!$C$72</f>
        <v>661.43999999999994</v>
      </c>
      <c r="N64" s="1602">
        <f>'Análise ADM'!$C$72</f>
        <v>661.43999999999994</v>
      </c>
      <c r="O64" s="1602">
        <f>'Análise ADM'!$C$72</f>
        <v>661.43999999999994</v>
      </c>
      <c r="P64" s="1602">
        <f>'Análise ADM'!$C$72</f>
        <v>661.43999999999994</v>
      </c>
      <c r="Q64" s="1602">
        <f>'Análise ADM'!$C$72</f>
        <v>661.43999999999994</v>
      </c>
      <c r="R64" s="1602">
        <f>'Análise ADM'!$C$72</f>
        <v>661.43999999999994</v>
      </c>
      <c r="S64" s="1602">
        <f>'Análise ADM'!$C$72</f>
        <v>661.43999999999994</v>
      </c>
      <c r="T64" s="1602">
        <f>'Análise ADM'!$C$72</f>
        <v>661.43999999999994</v>
      </c>
      <c r="U64" s="1602">
        <f>'Análise ADM'!$C$72</f>
        <v>661.43999999999994</v>
      </c>
      <c r="V64" s="1602"/>
    </row>
    <row r="65" spans="1:22" hidden="1" outlineLevel="1" x14ac:dyDescent="0.2">
      <c r="A65" s="1599" t="str">
        <f>'Análise ADM'!B73</f>
        <v>Remuneração de Capital - Utilitários</v>
      </c>
      <c r="B65" s="1602"/>
      <c r="C65" s="1602">
        <f>'Análise ADM'!$C$73</f>
        <v>3939</v>
      </c>
      <c r="D65" s="1602">
        <f>'Análise ADM'!$C$73</f>
        <v>3939</v>
      </c>
      <c r="E65" s="1602">
        <f>'Análise ADM'!$C$73</f>
        <v>3939</v>
      </c>
      <c r="F65" s="1602">
        <f>'Análise ADM'!$C$73</f>
        <v>3939</v>
      </c>
      <c r="G65" s="1602">
        <f>'Análise ADM'!$C$73</f>
        <v>3939</v>
      </c>
      <c r="H65" s="1602">
        <f>'Análise ADM'!$C$73</f>
        <v>3939</v>
      </c>
      <c r="I65" s="1602">
        <f>'Análise ADM'!$C$73</f>
        <v>3939</v>
      </c>
      <c r="J65" s="1602">
        <f>'Análise ADM'!$C$73</f>
        <v>3939</v>
      </c>
      <c r="K65" s="1602">
        <f>'Análise ADM'!$C$73</f>
        <v>3939</v>
      </c>
      <c r="L65" s="1602">
        <f>'Análise ADM'!$C$73</f>
        <v>3939</v>
      </c>
      <c r="M65" s="1602">
        <f>'Análise ADM'!$C$73</f>
        <v>3939</v>
      </c>
      <c r="N65" s="1602">
        <f>'Análise ADM'!$C$73</f>
        <v>3939</v>
      </c>
      <c r="O65" s="1602">
        <f>'Análise ADM'!$C$73</f>
        <v>3939</v>
      </c>
      <c r="P65" s="1602">
        <f>'Análise ADM'!$C$73</f>
        <v>3939</v>
      </c>
      <c r="Q65" s="1602">
        <f>'Análise ADM'!$C$73</f>
        <v>3939</v>
      </c>
      <c r="R65" s="1602">
        <f>'Análise ADM'!$C$73</f>
        <v>3939</v>
      </c>
      <c r="S65" s="1602">
        <f>'Análise ADM'!$C$73</f>
        <v>3939</v>
      </c>
      <c r="T65" s="1602">
        <f>'Análise ADM'!$C$73</f>
        <v>3939</v>
      </c>
      <c r="U65" s="1602">
        <f>'Análise ADM'!$C$73</f>
        <v>3939</v>
      </c>
      <c r="V65" s="1602"/>
    </row>
    <row r="66" spans="1:22" hidden="1" outlineLevel="1" x14ac:dyDescent="0.2">
      <c r="A66" s="1599" t="str">
        <f>'Análise ADM'!B74</f>
        <v>Remuneração de Capital - Animais</v>
      </c>
      <c r="B66" s="1602"/>
      <c r="C66" s="1602">
        <f>'Análise ADM'!$C$74</f>
        <v>129201.54623344277</v>
      </c>
      <c r="D66" s="1602">
        <f>'Análise ADM'!$C$74</f>
        <v>129201.54623344277</v>
      </c>
      <c r="E66" s="1602">
        <f>'Análise ADM'!$C$74</f>
        <v>129201.54623344277</v>
      </c>
      <c r="F66" s="1602">
        <f>'Análise ADM'!$C$74</f>
        <v>129201.54623344277</v>
      </c>
      <c r="G66" s="1602">
        <f>'Análise ADM'!$C$74</f>
        <v>129201.54623344277</v>
      </c>
      <c r="H66" s="1602">
        <f>'Análise ADM'!$C$74</f>
        <v>129201.54623344277</v>
      </c>
      <c r="I66" s="1602">
        <f>'Análise ADM'!$C$74</f>
        <v>129201.54623344277</v>
      </c>
      <c r="J66" s="1602">
        <f>'Análise ADM'!$C$74</f>
        <v>129201.54623344277</v>
      </c>
      <c r="K66" s="1602">
        <f>'Análise ADM'!$C$74</f>
        <v>129201.54623344277</v>
      </c>
      <c r="L66" s="1602">
        <f>'Análise ADM'!$C$74</f>
        <v>129201.54623344277</v>
      </c>
      <c r="M66" s="1602">
        <f>'Análise ADM'!$C$74</f>
        <v>129201.54623344277</v>
      </c>
      <c r="N66" s="1602">
        <f>'Análise ADM'!$C$74</f>
        <v>129201.54623344277</v>
      </c>
      <c r="O66" s="1602">
        <f>'Análise ADM'!$C$74</f>
        <v>129201.54623344277</v>
      </c>
      <c r="P66" s="1602">
        <f>'Análise ADM'!$C$74</f>
        <v>129201.54623344277</v>
      </c>
      <c r="Q66" s="1602">
        <f>'Análise ADM'!$C$74</f>
        <v>129201.54623344277</v>
      </c>
      <c r="R66" s="1602">
        <f>'Análise ADM'!$C$74</f>
        <v>129201.54623344277</v>
      </c>
      <c r="S66" s="1602">
        <f>'Análise ADM'!$C$74</f>
        <v>129201.54623344277</v>
      </c>
      <c r="T66" s="1602">
        <f>'Análise ADM'!$C$74</f>
        <v>129201.54623344277</v>
      </c>
      <c r="U66" s="1602">
        <f>'Análise ADM'!$C$74</f>
        <v>129201.54623344277</v>
      </c>
      <c r="V66" s="1602"/>
    </row>
    <row r="67" spans="1:22" hidden="1" outlineLevel="1" x14ac:dyDescent="0.2">
      <c r="A67" s="1599" t="str">
        <f>'Análise ADM'!B75</f>
        <v>Remuneração de Capital - Agricultura Perene</v>
      </c>
      <c r="B67" s="1602"/>
      <c r="C67" s="1602">
        <f>'Análise ADM'!$C$75</f>
        <v>0</v>
      </c>
      <c r="D67" s="1602">
        <f>'Análise ADM'!$C$75</f>
        <v>0</v>
      </c>
      <c r="E67" s="1602">
        <f>'Análise ADM'!$C$75</f>
        <v>0</v>
      </c>
      <c r="F67" s="1602">
        <f>'Análise ADM'!$C$75</f>
        <v>0</v>
      </c>
      <c r="G67" s="1602">
        <f>'Análise ADM'!$C$75</f>
        <v>0</v>
      </c>
      <c r="H67" s="1602">
        <f>'Análise ADM'!$C$75</f>
        <v>0</v>
      </c>
      <c r="I67" s="1602">
        <f>'Análise ADM'!$C$75</f>
        <v>0</v>
      </c>
      <c r="J67" s="1602">
        <f>'Análise ADM'!$C$75</f>
        <v>0</v>
      </c>
      <c r="K67" s="1602">
        <f>'Análise ADM'!$C$75</f>
        <v>0</v>
      </c>
      <c r="L67" s="1602">
        <f>'Análise ADM'!$C$75</f>
        <v>0</v>
      </c>
      <c r="M67" s="1602">
        <f>'Análise ADM'!$C$75</f>
        <v>0</v>
      </c>
      <c r="N67" s="1602">
        <f>'Análise ADM'!$C$75</f>
        <v>0</v>
      </c>
      <c r="O67" s="1602">
        <f>'Análise ADM'!$C$75</f>
        <v>0</v>
      </c>
      <c r="P67" s="1602">
        <f>'Análise ADM'!$C$75</f>
        <v>0</v>
      </c>
      <c r="Q67" s="1602">
        <f>'Análise ADM'!$C$75</f>
        <v>0</v>
      </c>
      <c r="R67" s="1602">
        <f>'Análise ADM'!$C$75</f>
        <v>0</v>
      </c>
      <c r="S67" s="1602">
        <f>'Análise ADM'!$C$75</f>
        <v>0</v>
      </c>
      <c r="T67" s="1602">
        <f>'Análise ADM'!$C$75</f>
        <v>0</v>
      </c>
      <c r="U67" s="1602">
        <f>'Análise ADM'!$C$75</f>
        <v>0</v>
      </c>
      <c r="V67" s="1602"/>
    </row>
    <row r="68" spans="1:22" hidden="1" outlineLevel="1" x14ac:dyDescent="0.2">
      <c r="A68" s="1599" t="str">
        <f>'Análise ADM'!B76</f>
        <v>Remuneração de Capital - Pastagem</v>
      </c>
      <c r="B68" s="1602"/>
      <c r="C68" s="1602">
        <f>'Análise ADM'!$C$76</f>
        <v>3070.3713120000002</v>
      </c>
      <c r="D68" s="1602">
        <f>'Análise ADM'!$C$76</f>
        <v>3070.3713120000002</v>
      </c>
      <c r="E68" s="1602">
        <f>'Análise ADM'!$C$76</f>
        <v>3070.3713120000002</v>
      </c>
      <c r="F68" s="1602">
        <f>'Análise ADM'!$C$76</f>
        <v>3070.3713120000002</v>
      </c>
      <c r="G68" s="1602">
        <f>'Análise ADM'!$C$76</f>
        <v>3070.3713120000002</v>
      </c>
      <c r="H68" s="1602">
        <f>'Análise ADM'!$C$76</f>
        <v>3070.3713120000002</v>
      </c>
      <c r="I68" s="1602">
        <f>'Análise ADM'!$C$76</f>
        <v>3070.3713120000002</v>
      </c>
      <c r="J68" s="1602">
        <f>'Análise ADM'!$C$76</f>
        <v>3070.3713120000002</v>
      </c>
      <c r="K68" s="1602">
        <f>'Análise ADM'!$C$76</f>
        <v>3070.3713120000002</v>
      </c>
      <c r="L68" s="1602">
        <f>'Análise ADM'!$C$76</f>
        <v>3070.3713120000002</v>
      </c>
      <c r="M68" s="1602">
        <f>'Análise ADM'!$C$76</f>
        <v>3070.3713120000002</v>
      </c>
      <c r="N68" s="1602">
        <f>'Análise ADM'!$C$76</f>
        <v>3070.3713120000002</v>
      </c>
      <c r="O68" s="1602">
        <f>'Análise ADM'!$C$76</f>
        <v>3070.3713120000002</v>
      </c>
      <c r="P68" s="1602">
        <f>'Análise ADM'!$C$76</f>
        <v>3070.3713120000002</v>
      </c>
      <c r="Q68" s="1602">
        <f>'Análise ADM'!$C$76</f>
        <v>3070.3713120000002</v>
      </c>
      <c r="R68" s="1602">
        <f>'Análise ADM'!$C$76</f>
        <v>3070.3713120000002</v>
      </c>
      <c r="S68" s="1602">
        <f>'Análise ADM'!$C$76</f>
        <v>3070.3713120000002</v>
      </c>
      <c r="T68" s="1602">
        <f>'Análise ADM'!$C$76</f>
        <v>3070.3713120000002</v>
      </c>
      <c r="U68" s="1602">
        <f>'Análise ADM'!$C$76</f>
        <v>3070.3713120000002</v>
      </c>
      <c r="V68" s="1602"/>
    </row>
    <row r="69" spans="1:22" hidden="1" outlineLevel="1" x14ac:dyDescent="0.2">
      <c r="A69" s="1599" t="str">
        <f>'Análise ADM'!B77</f>
        <v>Custo de Oportunidade da Terra</v>
      </c>
      <c r="B69" s="1602"/>
      <c r="C69" s="1602">
        <f ca="1">'Análise ADM'!$C$77</f>
        <v>355540.03254518524</v>
      </c>
      <c r="D69" s="1602">
        <f ca="1">'Análise ADM'!$C$77</f>
        <v>355540.03254518524</v>
      </c>
      <c r="E69" s="1602">
        <f ca="1">'Análise ADM'!$C$77</f>
        <v>355540.03254518524</v>
      </c>
      <c r="F69" s="1602">
        <f ca="1">'Análise ADM'!$C$77</f>
        <v>355540.03254518524</v>
      </c>
      <c r="G69" s="1602">
        <f ca="1">'Análise ADM'!$C$77</f>
        <v>355540.03254518524</v>
      </c>
      <c r="H69" s="1602">
        <f ca="1">'Análise ADM'!$C$77</f>
        <v>355540.03254518524</v>
      </c>
      <c r="I69" s="1602">
        <f ca="1">'Análise ADM'!$C$77</f>
        <v>355540.03254518524</v>
      </c>
      <c r="J69" s="1602">
        <f ca="1">'Análise ADM'!$C$77</f>
        <v>355540.03254518524</v>
      </c>
      <c r="K69" s="1602">
        <f ca="1">'Análise ADM'!$C$77</f>
        <v>355540.03254518524</v>
      </c>
      <c r="L69" s="1602">
        <f ca="1">'Análise ADM'!$C$77</f>
        <v>355540.03254518524</v>
      </c>
      <c r="M69" s="1602">
        <f ca="1">'Análise ADM'!$C$77</f>
        <v>355540.03254518524</v>
      </c>
      <c r="N69" s="1602">
        <f ca="1">'Análise ADM'!$C$77</f>
        <v>355540.03254518524</v>
      </c>
      <c r="O69" s="1602">
        <f ca="1">'Análise ADM'!$C$77</f>
        <v>355540.03254518524</v>
      </c>
      <c r="P69" s="1602">
        <f ca="1">'Análise ADM'!$C$77</f>
        <v>355540.03254518524</v>
      </c>
      <c r="Q69" s="1602">
        <f ca="1">'Análise ADM'!$C$77</f>
        <v>355540.03254518524</v>
      </c>
      <c r="R69" s="1602">
        <f ca="1">'Análise ADM'!$C$77</f>
        <v>355540.03254518524</v>
      </c>
      <c r="S69" s="1602">
        <f ca="1">'Análise ADM'!$C$77</f>
        <v>355540.03254518524</v>
      </c>
      <c r="T69" s="1602">
        <f ca="1">'Análise ADM'!$C$77</f>
        <v>355540.03254518524</v>
      </c>
      <c r="U69" s="1602">
        <f ca="1">'Análise ADM'!$C$77</f>
        <v>355540.03254518524</v>
      </c>
      <c r="V69" s="1602"/>
    </row>
    <row r="70" spans="1:22" hidden="1" outlineLevel="1" x14ac:dyDescent="0.2">
      <c r="A70" s="1599" t="str">
        <f>'Análise ADM'!B78</f>
        <v>Remuneração do Capital Circulante</v>
      </c>
      <c r="B70" s="1602"/>
      <c r="C70" s="1602">
        <f ca="1">'Análise ADM'!$C$78</f>
        <v>40784.412031347587</v>
      </c>
      <c r="D70" s="1602">
        <f ca="1">'Análise ADM'!$C$78</f>
        <v>40784.412031347587</v>
      </c>
      <c r="E70" s="1602">
        <f ca="1">'Análise ADM'!$C$78</f>
        <v>40784.412031347587</v>
      </c>
      <c r="F70" s="1602">
        <f ca="1">'Análise ADM'!$C$78</f>
        <v>40784.412031347587</v>
      </c>
      <c r="G70" s="1602">
        <f ca="1">'Análise ADM'!$C$78</f>
        <v>40784.412031347587</v>
      </c>
      <c r="H70" s="1602">
        <f ca="1">'Análise ADM'!$C$78</f>
        <v>40784.412031347587</v>
      </c>
      <c r="I70" s="1602">
        <f ca="1">'Análise ADM'!$C$78</f>
        <v>40784.412031347587</v>
      </c>
      <c r="J70" s="1602">
        <f ca="1">'Análise ADM'!$C$78</f>
        <v>40784.412031347587</v>
      </c>
      <c r="K70" s="1602">
        <f ca="1">'Análise ADM'!$C$78</f>
        <v>40784.412031347587</v>
      </c>
      <c r="L70" s="1602">
        <f ca="1">'Análise ADM'!$C$78</f>
        <v>40784.412031347587</v>
      </c>
      <c r="M70" s="1602">
        <f ca="1">'Análise ADM'!$C$78</f>
        <v>40784.412031347587</v>
      </c>
      <c r="N70" s="1602">
        <f ca="1">'Análise ADM'!$C$78</f>
        <v>40784.412031347587</v>
      </c>
      <c r="O70" s="1602">
        <f ca="1">'Análise ADM'!$C$78</f>
        <v>40784.412031347587</v>
      </c>
      <c r="P70" s="1602">
        <f ca="1">'Análise ADM'!$C$78</f>
        <v>40784.412031347587</v>
      </c>
      <c r="Q70" s="1602">
        <f ca="1">'Análise ADM'!$C$78</f>
        <v>40784.412031347587</v>
      </c>
      <c r="R70" s="1602">
        <f ca="1">'Análise ADM'!$C$78</f>
        <v>40784.412031347587</v>
      </c>
      <c r="S70" s="1602">
        <f ca="1">'Análise ADM'!$C$78</f>
        <v>40784.412031347587</v>
      </c>
      <c r="T70" s="1602">
        <f ca="1">'Análise ADM'!$C$78</f>
        <v>40784.412031347587</v>
      </c>
      <c r="U70" s="1602">
        <f ca="1">'Análise ADM'!$C$78</f>
        <v>40784.412031347587</v>
      </c>
      <c r="V70" s="1602"/>
    </row>
    <row r="71" spans="1:22" hidden="1" outlineLevel="1" x14ac:dyDescent="0.2">
      <c r="A71" s="1600"/>
      <c r="B71" s="1602"/>
      <c r="C71" s="1602"/>
      <c r="D71" s="1602"/>
      <c r="E71" s="1602"/>
      <c r="F71" s="1602"/>
      <c r="G71" s="1602"/>
      <c r="H71" s="1602"/>
      <c r="I71" s="1602"/>
      <c r="J71" s="1602"/>
      <c r="K71" s="1602"/>
      <c r="L71" s="1602"/>
      <c r="M71" s="1602"/>
      <c r="N71" s="1602"/>
      <c r="O71" s="1602"/>
      <c r="P71" s="1602"/>
      <c r="Q71" s="1602"/>
      <c r="R71" s="1602"/>
      <c r="S71" s="1602"/>
      <c r="T71" s="1602"/>
      <c r="U71" s="1602"/>
      <c r="V71" s="1602"/>
    </row>
    <row r="72" spans="1:22" s="1590" customFormat="1" ht="12.75" customHeight="1" collapsed="1" x14ac:dyDescent="0.2">
      <c r="A72" s="1585"/>
      <c r="B72" s="1586"/>
      <c r="C72" s="1586"/>
    </row>
    <row r="73" spans="1:22" ht="16.5" thickBot="1" x14ac:dyDescent="0.3">
      <c r="A73" s="1609" t="s">
        <v>1366</v>
      </c>
      <c r="B73" s="1610"/>
      <c r="C73" s="1610"/>
      <c r="D73" s="1610"/>
      <c r="E73" s="1610"/>
      <c r="F73" s="1610"/>
      <c r="G73" s="1610"/>
      <c r="H73" s="1610"/>
      <c r="I73" s="1610"/>
      <c r="J73" s="1610"/>
      <c r="K73" s="1611"/>
      <c r="L73" s="1611"/>
      <c r="M73" s="1611"/>
      <c r="N73" s="1611"/>
      <c r="O73" s="1611"/>
      <c r="P73" s="1611"/>
      <c r="Q73" s="1611"/>
      <c r="R73" s="1611"/>
      <c r="S73" s="1611"/>
      <c r="T73" s="1611"/>
      <c r="U73" s="1611"/>
      <c r="V73" s="1611"/>
    </row>
    <row r="74" spans="1:22" s="1590" customFormat="1" x14ac:dyDescent="0.2">
      <c r="A74" s="1612" t="s">
        <v>1366</v>
      </c>
      <c r="B74" s="1613">
        <f ca="1">B32+B16+B3</f>
        <v>-12738189.269097021</v>
      </c>
      <c r="C74" s="1613">
        <f t="shared" ref="C74:V74" ca="1" si="9">C32+C3</f>
        <v>359881.78736633994</v>
      </c>
      <c r="D74" s="1613">
        <f t="shared" ca="1" si="9"/>
        <v>360781.78736633994</v>
      </c>
      <c r="E74" s="1613">
        <f t="shared" ca="1" si="9"/>
        <v>359881.78736633994</v>
      </c>
      <c r="F74" s="1613">
        <f t="shared" ca="1" si="9"/>
        <v>360781.78736633994</v>
      </c>
      <c r="G74" s="1613">
        <f t="shared" ca="1" si="9"/>
        <v>371881.78736633994</v>
      </c>
      <c r="H74" s="1613">
        <f t="shared" ca="1" si="9"/>
        <v>360781.78736633994</v>
      </c>
      <c r="I74" s="1613">
        <f t="shared" ca="1" si="9"/>
        <v>359881.78736633994</v>
      </c>
      <c r="J74" s="1613">
        <f t="shared" ca="1" si="9"/>
        <v>366589.78736633994</v>
      </c>
      <c r="K74" s="1613">
        <f t="shared" ca="1" si="9"/>
        <v>359881.78736633994</v>
      </c>
      <c r="L74" s="1613">
        <f t="shared" ca="1" si="9"/>
        <v>378961.78736633994</v>
      </c>
      <c r="M74" s="1613">
        <f t="shared" ca="1" si="9"/>
        <v>359881.78736633994</v>
      </c>
      <c r="N74" s="1613">
        <f t="shared" ca="1" si="9"/>
        <v>485536.220385744</v>
      </c>
      <c r="O74" s="1613">
        <f t="shared" ca="1" si="9"/>
        <v>359881.78736633994</v>
      </c>
      <c r="P74" s="1613">
        <f t="shared" ca="1" si="9"/>
        <v>360781.78736633994</v>
      </c>
      <c r="Q74" s="1613">
        <f t="shared" ca="1" si="9"/>
        <v>472681.78736633994</v>
      </c>
      <c r="R74" s="1613">
        <f t="shared" ca="1" si="9"/>
        <v>371389.78736633994</v>
      </c>
      <c r="S74" s="1613">
        <f t="shared" ca="1" si="9"/>
        <v>359881.78736633994</v>
      </c>
      <c r="T74" s="1613">
        <f t="shared" ca="1" si="9"/>
        <v>360781.78736633994</v>
      </c>
      <c r="U74" s="1613">
        <f t="shared" ca="1" si="9"/>
        <v>359881.78736633994</v>
      </c>
      <c r="V74" s="1613">
        <f t="shared" ca="1" si="9"/>
        <v>10353542.433019403</v>
      </c>
    </row>
    <row r="75" spans="1:22" s="1590" customFormat="1" ht="13.5" customHeight="1" x14ac:dyDescent="0.2">
      <c r="A75" s="1600" t="s">
        <v>1367</v>
      </c>
      <c r="B75" s="1614">
        <f t="shared" ref="B75:V75" ca="1" si="10">B74/(1+$B$90)^B2</f>
        <v>-12738189.269097021</v>
      </c>
      <c r="C75" s="1614">
        <f t="shared" ca="1" si="10"/>
        <v>339511.12015692447</v>
      </c>
      <c r="D75" s="1614">
        <f t="shared" ca="1" si="10"/>
        <v>321094.50637801702</v>
      </c>
      <c r="E75" s="1614">
        <f t="shared" ca="1" si="10"/>
        <v>302163.68828490959</v>
      </c>
      <c r="F75" s="1614">
        <f t="shared" ca="1" si="10"/>
        <v>285772.96758456476</v>
      </c>
      <c r="G75" s="1614">
        <f t="shared" ca="1" si="10"/>
        <v>277891.70494953467</v>
      </c>
      <c r="H75" s="1614">
        <f t="shared" ca="1" si="10"/>
        <v>254336.92380256738</v>
      </c>
      <c r="I75" s="1614">
        <f t="shared" ca="1" si="10"/>
        <v>239341.94275110532</v>
      </c>
      <c r="J75" s="1614">
        <f t="shared" ca="1" si="10"/>
        <v>230002.96780121129</v>
      </c>
      <c r="K75" s="1614">
        <f t="shared" ca="1" si="10"/>
        <v>213013.47699457576</v>
      </c>
      <c r="L75" s="1614">
        <f t="shared" ca="1" si="10"/>
        <v>211610.28271578174</v>
      </c>
      <c r="M75" s="1614">
        <f t="shared" ca="1" si="10"/>
        <v>189581.23620022758</v>
      </c>
      <c r="N75" s="1614">
        <f t="shared" ca="1" si="10"/>
        <v>241296.62643868546</v>
      </c>
      <c r="O75" s="1614">
        <f t="shared" ca="1" si="10"/>
        <v>168726.62531170127</v>
      </c>
      <c r="P75" s="1614">
        <f t="shared" ca="1" si="10"/>
        <v>159574.13248275424</v>
      </c>
      <c r="Q75" s="1614">
        <f t="shared" ca="1" si="10"/>
        <v>197233.5947139996</v>
      </c>
      <c r="R75" s="1614">
        <f t="shared" ca="1" si="10"/>
        <v>146196.20960563706</v>
      </c>
      <c r="S75" s="1614">
        <f t="shared" ca="1" si="10"/>
        <v>133647.29072893437</v>
      </c>
      <c r="T75" s="1614">
        <f t="shared" ca="1" si="10"/>
        <v>126397.659156294</v>
      </c>
      <c r="U75" s="1614">
        <f t="shared" ca="1" si="10"/>
        <v>118945.61296629973</v>
      </c>
      <c r="V75" s="1614">
        <f t="shared" ca="1" si="10"/>
        <v>3228283.4706310998</v>
      </c>
    </row>
    <row r="76" spans="1:22" s="1590" customFormat="1" x14ac:dyDescent="0.2">
      <c r="A76" s="1615" t="s">
        <v>1368</v>
      </c>
      <c r="B76" s="1616">
        <f ca="1">B74</f>
        <v>-12738189.269097021</v>
      </c>
      <c r="C76" s="1616">
        <f t="shared" ref="C76:V76" ca="1" si="11">B76+C74</f>
        <v>-12378307.481730681</v>
      </c>
      <c r="D76" s="1616">
        <f t="shared" ca="1" si="11"/>
        <v>-12017525.694364341</v>
      </c>
      <c r="E76" s="1616">
        <f t="shared" ca="1" si="11"/>
        <v>-11657643.906998001</v>
      </c>
      <c r="F76" s="1616">
        <f t="shared" ca="1" si="11"/>
        <v>-11296862.119631661</v>
      </c>
      <c r="G76" s="1616">
        <f t="shared" ca="1" si="11"/>
        <v>-10924980.332265321</v>
      </c>
      <c r="H76" s="1616">
        <f t="shared" ca="1" si="11"/>
        <v>-10564198.544898981</v>
      </c>
      <c r="I76" s="1616">
        <f t="shared" ca="1" si="11"/>
        <v>-10204316.757532641</v>
      </c>
      <c r="J76" s="1616">
        <f t="shared" ca="1" si="11"/>
        <v>-9837726.9701663014</v>
      </c>
      <c r="K76" s="1616">
        <f t="shared" ca="1" si="11"/>
        <v>-9477845.1827999614</v>
      </c>
      <c r="L76" s="1616">
        <f t="shared" ca="1" si="11"/>
        <v>-9098883.3954336215</v>
      </c>
      <c r="M76" s="1616">
        <f t="shared" ca="1" si="11"/>
        <v>-8739001.6080672815</v>
      </c>
      <c r="N76" s="1616">
        <f t="shared" ca="1" si="11"/>
        <v>-8253465.3876815373</v>
      </c>
      <c r="O76" s="1616">
        <f t="shared" ca="1" si="11"/>
        <v>-7893583.6003151974</v>
      </c>
      <c r="P76" s="1616">
        <f t="shared" ca="1" si="11"/>
        <v>-7532801.8129488574</v>
      </c>
      <c r="Q76" s="1616">
        <f t="shared" ca="1" si="11"/>
        <v>-7060120.0255825175</v>
      </c>
      <c r="R76" s="1616">
        <f t="shared" ca="1" si="11"/>
        <v>-6688730.2382161776</v>
      </c>
      <c r="S76" s="1616">
        <f t="shared" ca="1" si="11"/>
        <v>-6328848.4508498376</v>
      </c>
      <c r="T76" s="1616">
        <f t="shared" ca="1" si="11"/>
        <v>-5968066.6634834977</v>
      </c>
      <c r="U76" s="1616">
        <f t="shared" ca="1" si="11"/>
        <v>-5608184.8761171577</v>
      </c>
      <c r="V76" s="1616">
        <f t="shared" ca="1" si="11"/>
        <v>4745357.5569022456</v>
      </c>
    </row>
    <row r="77" spans="1:22" s="1590" customFormat="1" x14ac:dyDescent="0.2">
      <c r="Q77" s="1585"/>
    </row>
    <row r="78" spans="1:22" s="1590" customFormat="1" ht="16.5" thickBot="1" x14ac:dyDescent="0.3">
      <c r="A78" s="1617" t="s">
        <v>1369</v>
      </c>
      <c r="B78" s="1618"/>
      <c r="C78" s="1618"/>
      <c r="D78" s="1618"/>
      <c r="E78" s="1618"/>
      <c r="F78" s="1618"/>
      <c r="G78" s="1618"/>
      <c r="H78" s="1618"/>
      <c r="I78" s="1618"/>
      <c r="J78" s="1618"/>
      <c r="K78" s="1619"/>
      <c r="L78" s="1619"/>
      <c r="M78" s="1619"/>
      <c r="N78" s="1619"/>
      <c r="O78" s="1619"/>
      <c r="P78" s="1619"/>
      <c r="Q78" s="1619"/>
      <c r="R78" s="1619"/>
      <c r="S78" s="1619"/>
      <c r="T78" s="1619"/>
      <c r="U78" s="1619"/>
      <c r="V78" s="1619"/>
    </row>
    <row r="79" spans="1:22" s="1590" customFormat="1" x14ac:dyDescent="0.2">
      <c r="A79" s="1612" t="s">
        <v>1369</v>
      </c>
      <c r="B79" s="1613">
        <f ca="1">B74</f>
        <v>-12738189.269097021</v>
      </c>
      <c r="C79" s="1613">
        <f t="shared" ref="C79:V79" ca="1" si="12">C48+C32+C3</f>
        <v>86880.025921776658</v>
      </c>
      <c r="D79" s="1613">
        <f t="shared" ca="1" si="12"/>
        <v>220065.28632067726</v>
      </c>
      <c r="E79" s="1613">
        <f t="shared" ca="1" si="12"/>
        <v>219165.33216633997</v>
      </c>
      <c r="F79" s="1613">
        <f t="shared" ca="1" si="12"/>
        <v>220065.28632067726</v>
      </c>
      <c r="G79" s="1613">
        <f t="shared" ca="1" si="12"/>
        <v>231165.29834965244</v>
      </c>
      <c r="H79" s="1613">
        <f t="shared" ca="1" si="12"/>
        <v>220057.87889040681</v>
      </c>
      <c r="I79" s="1613">
        <f t="shared" ca="1" si="12"/>
        <v>219160.3186000986</v>
      </c>
      <c r="J79" s="1613">
        <f t="shared" ca="1" si="12"/>
        <v>225873.33216633997</v>
      </c>
      <c r="K79" s="1613">
        <f t="shared" ca="1" si="12"/>
        <v>219165.33216633997</v>
      </c>
      <c r="L79" s="1613">
        <f t="shared" ca="1" si="12"/>
        <v>238245.33216633997</v>
      </c>
      <c r="M79" s="1613">
        <f t="shared" ca="1" si="12"/>
        <v>219165.33216633997</v>
      </c>
      <c r="N79" s="1613">
        <f t="shared" ca="1" si="12"/>
        <v>344819.76518574404</v>
      </c>
      <c r="O79" s="1613">
        <f t="shared" ca="1" si="12"/>
        <v>219165.33216633997</v>
      </c>
      <c r="P79" s="1613">
        <f t="shared" ca="1" si="12"/>
        <v>220065.33216633997</v>
      </c>
      <c r="Q79" s="1613">
        <f t="shared" ca="1" si="12"/>
        <v>331965.33216633997</v>
      </c>
      <c r="R79" s="1613">
        <f t="shared" ca="1" si="12"/>
        <v>230673.33216633997</v>
      </c>
      <c r="S79" s="1613">
        <f t="shared" ca="1" si="12"/>
        <v>219165.33216633997</v>
      </c>
      <c r="T79" s="1613">
        <f t="shared" ca="1" si="12"/>
        <v>220065.33216633997</v>
      </c>
      <c r="U79" s="1613">
        <f t="shared" ca="1" si="12"/>
        <v>219165.33216633997</v>
      </c>
      <c r="V79" s="1613">
        <f t="shared" ca="1" si="12"/>
        <v>10353542.433019403</v>
      </c>
    </row>
    <row r="80" spans="1:22" s="1590" customFormat="1" x14ac:dyDescent="0.2">
      <c r="A80" s="1600" t="s">
        <v>1370</v>
      </c>
      <c r="B80" s="1614">
        <f ca="1">B79/(1+$B$90)^B2</f>
        <v>-12738189.269097021</v>
      </c>
      <c r="C80" s="1614">
        <f ca="1">C79/(1+$B$90)^C2</f>
        <v>81962.288605449678</v>
      </c>
      <c r="D80" s="1614">
        <f t="shared" ref="D80:V80" ca="1" si="13">D79/(1+$B$90)^D2</f>
        <v>195857.32139611716</v>
      </c>
      <c r="E80" s="1614">
        <f t="shared" ca="1" si="13"/>
        <v>184015.43905903859</v>
      </c>
      <c r="F80" s="1614">
        <f t="shared" ca="1" si="13"/>
        <v>174312.31879326908</v>
      </c>
      <c r="G80" s="1614">
        <f t="shared" ca="1" si="13"/>
        <v>172740.1584747982</v>
      </c>
      <c r="H80" s="1614">
        <f t="shared" ca="1" si="13"/>
        <v>155132.12123059001</v>
      </c>
      <c r="I80" s="1614">
        <f t="shared" ca="1" si="13"/>
        <v>145754.12890873314</v>
      </c>
      <c r="J80" s="1614">
        <f t="shared" ca="1" si="13"/>
        <v>141715.72295736341</v>
      </c>
      <c r="K80" s="1614">
        <f t="shared" ca="1" si="13"/>
        <v>129723.62336830419</v>
      </c>
      <c r="L80" s="1614">
        <f t="shared" ca="1" si="13"/>
        <v>133034.94910609158</v>
      </c>
      <c r="M80" s="1614">
        <f t="shared" ca="1" si="13"/>
        <v>115453.56298353877</v>
      </c>
      <c r="N80" s="1614">
        <f t="shared" ca="1" si="13"/>
        <v>171364.85925312998</v>
      </c>
      <c r="O80" s="1614">
        <f t="shared" ca="1" si="13"/>
        <v>102753.26004230932</v>
      </c>
      <c r="P80" s="1614">
        <f t="shared" ca="1" si="13"/>
        <v>97335.108643705214</v>
      </c>
      <c r="Q80" s="1614">
        <f t="shared" ca="1" si="13"/>
        <v>138517.53448848167</v>
      </c>
      <c r="R80" s="1614">
        <f t="shared" ca="1" si="13"/>
        <v>90803.699958922021</v>
      </c>
      <c r="S80" s="1614">
        <f t="shared" ca="1" si="13"/>
        <v>81390.206156561704</v>
      </c>
      <c r="T80" s="1614">
        <f t="shared" ca="1" si="13"/>
        <v>77098.522767263174</v>
      </c>
      <c r="U80" s="1614">
        <f t="shared" ca="1" si="13"/>
        <v>72436.993731364986</v>
      </c>
      <c r="V80" s="1614">
        <f t="shared" ca="1" si="13"/>
        <v>3228283.4706310998</v>
      </c>
    </row>
    <row r="81" spans="1:22" s="1590" customFormat="1" x14ac:dyDescent="0.2">
      <c r="A81" s="1615" t="s">
        <v>1371</v>
      </c>
      <c r="B81" s="1616">
        <f ca="1">B79</f>
        <v>-12738189.269097021</v>
      </c>
      <c r="C81" s="1616">
        <f ca="1">B81+C79</f>
        <v>-12651309.243175244</v>
      </c>
      <c r="D81" s="1616">
        <f ca="1">C81+D79</f>
        <v>-12431243.956854567</v>
      </c>
      <c r="E81" s="1616">
        <f t="shared" ref="E81:V81" ca="1" si="14">D81+E79</f>
        <v>-12212078.624688227</v>
      </c>
      <c r="F81" s="1616">
        <f t="shared" ca="1" si="14"/>
        <v>-11992013.33836755</v>
      </c>
      <c r="G81" s="1616">
        <f t="shared" ca="1" si="14"/>
        <v>-11760848.040017897</v>
      </c>
      <c r="H81" s="1616">
        <f t="shared" ca="1" si="14"/>
        <v>-11540790.161127491</v>
      </c>
      <c r="I81" s="1616">
        <f t="shared" ca="1" si="14"/>
        <v>-11321629.842527393</v>
      </c>
      <c r="J81" s="1616">
        <f t="shared" ca="1" si="14"/>
        <v>-11095756.510361053</v>
      </c>
      <c r="K81" s="1616">
        <f t="shared" ca="1" si="14"/>
        <v>-10876591.178194713</v>
      </c>
      <c r="L81" s="1616">
        <f t="shared" ca="1" si="14"/>
        <v>-10638345.846028373</v>
      </c>
      <c r="M81" s="1616">
        <f t="shared" ca="1" si="14"/>
        <v>-10419180.513862032</v>
      </c>
      <c r="N81" s="1616">
        <f t="shared" ca="1" si="14"/>
        <v>-10074360.748676289</v>
      </c>
      <c r="O81" s="1616">
        <f t="shared" ca="1" si="14"/>
        <v>-9855195.4165099487</v>
      </c>
      <c r="P81" s="1616">
        <f t="shared" ca="1" si="14"/>
        <v>-9635130.0843436085</v>
      </c>
      <c r="Q81" s="1616">
        <f t="shared" ca="1" si="14"/>
        <v>-9303164.7521772683</v>
      </c>
      <c r="R81" s="1616">
        <f t="shared" ca="1" si="14"/>
        <v>-9072491.4200109281</v>
      </c>
      <c r="S81" s="1616">
        <f t="shared" ca="1" si="14"/>
        <v>-8853326.0878445879</v>
      </c>
      <c r="T81" s="1616">
        <f t="shared" ca="1" si="14"/>
        <v>-8633260.7556782477</v>
      </c>
      <c r="U81" s="1616">
        <f t="shared" ca="1" si="14"/>
        <v>-8414095.4235119075</v>
      </c>
      <c r="V81" s="1616">
        <f t="shared" ca="1" si="14"/>
        <v>1939447.0095074959</v>
      </c>
    </row>
    <row r="82" spans="1:22" s="1590" customFormat="1" x14ac:dyDescent="0.2">
      <c r="Q82" s="1585"/>
    </row>
    <row r="83" spans="1:22" s="1552" customFormat="1" ht="16.5" thickBot="1" x14ac:dyDescent="0.3">
      <c r="A83" s="1620" t="s">
        <v>1372</v>
      </c>
      <c r="B83" s="1621"/>
      <c r="C83" s="1621"/>
      <c r="D83" s="1621"/>
      <c r="E83" s="1621"/>
      <c r="F83" s="1621"/>
      <c r="G83" s="1621"/>
      <c r="H83" s="1621"/>
      <c r="I83" s="1621"/>
      <c r="J83" s="1621"/>
      <c r="K83" s="1622"/>
      <c r="L83" s="1622"/>
      <c r="M83" s="1622"/>
      <c r="N83" s="1622"/>
      <c r="O83" s="1622"/>
      <c r="P83" s="1622"/>
      <c r="Q83" s="1622"/>
      <c r="R83" s="1622"/>
      <c r="S83" s="1622"/>
      <c r="T83" s="1622"/>
      <c r="U83" s="1622"/>
      <c r="V83" s="1622"/>
    </row>
    <row r="84" spans="1:22" s="1590" customFormat="1" x14ac:dyDescent="0.2">
      <c r="A84" s="1612" t="s">
        <v>1372</v>
      </c>
      <c r="B84" s="1613">
        <f ca="1">B32+B16+B3+B48+B60</f>
        <v>-12738189.269097021</v>
      </c>
      <c r="C84" s="1613">
        <f t="shared" ref="C84:V84" ca="1" si="15">C32+C3+C48+C60</f>
        <v>-503800.57414369169</v>
      </c>
      <c r="D84" s="1613">
        <f t="shared" ca="1" si="15"/>
        <v>-370615.3137447912</v>
      </c>
      <c r="E84" s="1613">
        <f t="shared" ca="1" si="15"/>
        <v>-371515.26789912838</v>
      </c>
      <c r="F84" s="1613">
        <f t="shared" ca="1" si="15"/>
        <v>-370615.3137447912</v>
      </c>
      <c r="G84" s="1613">
        <f t="shared" ca="1" si="15"/>
        <v>-359515.30171581591</v>
      </c>
      <c r="H84" s="1613">
        <f t="shared" ca="1" si="15"/>
        <v>-370622.72117506142</v>
      </c>
      <c r="I84" s="1613">
        <f t="shared" ca="1" si="15"/>
        <v>-371520.28146536963</v>
      </c>
      <c r="J84" s="1613">
        <f t="shared" ca="1" si="15"/>
        <v>-364807.26789912838</v>
      </c>
      <c r="K84" s="1613">
        <f t="shared" ca="1" si="15"/>
        <v>-371515.26789912838</v>
      </c>
      <c r="L84" s="1613">
        <f t="shared" ca="1" si="15"/>
        <v>-352435.26789912838</v>
      </c>
      <c r="M84" s="1613">
        <f t="shared" ca="1" si="15"/>
        <v>-371515.26789912838</v>
      </c>
      <c r="N84" s="1613">
        <f t="shared" ca="1" si="15"/>
        <v>-245860.83487972431</v>
      </c>
      <c r="O84" s="1613">
        <f t="shared" ca="1" si="15"/>
        <v>-371515.26789912838</v>
      </c>
      <c r="P84" s="1613">
        <f t="shared" ca="1" si="15"/>
        <v>-370615.26789912838</v>
      </c>
      <c r="Q84" s="1613">
        <f t="shared" ca="1" si="15"/>
        <v>-258715.26789912838</v>
      </c>
      <c r="R84" s="1613">
        <f t="shared" ca="1" si="15"/>
        <v>-360007.26789912838</v>
      </c>
      <c r="S84" s="1613">
        <f t="shared" ca="1" si="15"/>
        <v>-371515.26789912838</v>
      </c>
      <c r="T84" s="1613">
        <f t="shared" ca="1" si="15"/>
        <v>-370615.26789912838</v>
      </c>
      <c r="U84" s="1613">
        <f t="shared" ca="1" si="15"/>
        <v>-371515.26789912838</v>
      </c>
      <c r="V84" s="1613">
        <f t="shared" ca="1" si="15"/>
        <v>10353542.433019403</v>
      </c>
    </row>
    <row r="85" spans="1:22" s="1590" customFormat="1" x14ac:dyDescent="0.2">
      <c r="A85" s="1600" t="s">
        <v>1373</v>
      </c>
      <c r="B85" s="1614">
        <f ca="1">B84/(1+$B$90)^B2</f>
        <v>-12738189.269097021</v>
      </c>
      <c r="C85" s="1614">
        <f ca="1">C84/(1+$B$90)^C2</f>
        <v>-475283.56051291665</v>
      </c>
      <c r="D85" s="1614">
        <f ca="1">D84/(1+$B$90)^D2</f>
        <v>-329846.30984762474</v>
      </c>
      <c r="E85" s="1614">
        <f ca="1">E84/(1+$B$90)^E2</f>
        <v>-311931.38286901964</v>
      </c>
      <c r="F85" s="1614">
        <f t="shared" ref="F85:V85" ca="1" si="16">F84/(1+$B$90)^F2</f>
        <v>-293562.04151621991</v>
      </c>
      <c r="G85" s="1614">
        <f ca="1">G84/(1+$B$90)^G2</f>
        <v>-268650.74747754977</v>
      </c>
      <c r="H85" s="1614">
        <f t="shared" ca="1" si="16"/>
        <v>-261274.39381879475</v>
      </c>
      <c r="I85" s="1614">
        <f t="shared" ca="1" si="16"/>
        <v>-247082.20604351658</v>
      </c>
      <c r="J85" s="1614">
        <f t="shared" ca="1" si="16"/>
        <v>-228884.59303532512</v>
      </c>
      <c r="K85" s="1614">
        <f t="shared" ca="1" si="16"/>
        <v>-219899.31624743971</v>
      </c>
      <c r="L85" s="1614">
        <f t="shared" ca="1" si="16"/>
        <v>-196798.0127955536</v>
      </c>
      <c r="M85" s="1614">
        <f t="shared" ca="1" si="16"/>
        <v>-195709.60862178681</v>
      </c>
      <c r="N85" s="1614">
        <f t="shared" ca="1" si="16"/>
        <v>-122185.3026386866</v>
      </c>
      <c r="O85" s="1614">
        <f t="shared" ca="1" si="16"/>
        <v>-174180.85494997044</v>
      </c>
      <c r="P85" s="1614">
        <f t="shared" ca="1" si="16"/>
        <v>-163923.4904056153</v>
      </c>
      <c r="Q85" s="1614">
        <f t="shared" ca="1" si="16"/>
        <v>-107952.84197314139</v>
      </c>
      <c r="R85" s="1614">
        <f t="shared" ca="1" si="16"/>
        <v>-141715.52311808092</v>
      </c>
      <c r="S85" s="1614">
        <f t="shared" ca="1" si="16"/>
        <v>-137967.55146325237</v>
      </c>
      <c r="T85" s="1614">
        <f t="shared" ca="1" si="16"/>
        <v>-129842.75800614634</v>
      </c>
      <c r="U85" s="1614">
        <f t="shared" ca="1" si="16"/>
        <v>-122790.62963977605</v>
      </c>
      <c r="V85" s="1614">
        <f t="shared" ca="1" si="16"/>
        <v>3228283.4706310998</v>
      </c>
    </row>
    <row r="86" spans="1:22" s="1590" customFormat="1" x14ac:dyDescent="0.2">
      <c r="A86" s="1615" t="s">
        <v>1374</v>
      </c>
      <c r="B86" s="1616">
        <f ca="1">B84</f>
        <v>-12738189.269097021</v>
      </c>
      <c r="C86" s="1616">
        <f t="shared" ref="C86:V86" ca="1" si="17">B86+C84</f>
        <v>-13241989.843240712</v>
      </c>
      <c r="D86" s="1616">
        <f t="shared" ca="1" si="17"/>
        <v>-13612605.156985503</v>
      </c>
      <c r="E86" s="1616">
        <f t="shared" ca="1" si="17"/>
        <v>-13984120.42488463</v>
      </c>
      <c r="F86" s="1616">
        <f t="shared" ca="1" si="17"/>
        <v>-14354735.738629421</v>
      </c>
      <c r="G86" s="1616">
        <f t="shared" ca="1" si="17"/>
        <v>-14714251.040345237</v>
      </c>
      <c r="H86" s="1616">
        <f t="shared" ca="1" si="17"/>
        <v>-15084873.761520298</v>
      </c>
      <c r="I86" s="1616">
        <f t="shared" ca="1" si="17"/>
        <v>-15456394.042985668</v>
      </c>
      <c r="J86" s="1616">
        <f t="shared" ca="1" si="17"/>
        <v>-15821201.310884796</v>
      </c>
      <c r="K86" s="1616">
        <f t="shared" ca="1" si="17"/>
        <v>-16192716.578783924</v>
      </c>
      <c r="L86" s="1616">
        <f t="shared" ca="1" si="17"/>
        <v>-16545151.846683051</v>
      </c>
      <c r="M86" s="1616">
        <f t="shared" ca="1" si="17"/>
        <v>-16916667.114582181</v>
      </c>
      <c r="N86" s="1616">
        <f t="shared" ca="1" si="17"/>
        <v>-17162527.949461907</v>
      </c>
      <c r="O86" s="1616">
        <f t="shared" ca="1" si="17"/>
        <v>-17534043.217361037</v>
      </c>
      <c r="P86" s="1616">
        <f t="shared" ca="1" si="17"/>
        <v>-17904658.485260166</v>
      </c>
      <c r="Q86" s="1616">
        <f t="shared" ca="1" si="17"/>
        <v>-18163373.753159296</v>
      </c>
      <c r="R86" s="1616">
        <f t="shared" ca="1" si="17"/>
        <v>-18523381.021058425</v>
      </c>
      <c r="S86" s="1616">
        <f t="shared" ca="1" si="17"/>
        <v>-18894896.288957555</v>
      </c>
      <c r="T86" s="1616">
        <f t="shared" ca="1" si="17"/>
        <v>-19265511.556856684</v>
      </c>
      <c r="U86" s="1616">
        <f t="shared" ca="1" si="17"/>
        <v>-19637026.824755814</v>
      </c>
      <c r="V86" s="1616">
        <f t="shared" ca="1" si="17"/>
        <v>-9283484.3917364106</v>
      </c>
    </row>
    <row r="87" spans="1:22" s="1590" customFormat="1" x14ac:dyDescent="0.2">
      <c r="Q87" s="1585"/>
    </row>
    <row r="88" spans="1:22" s="1590" customFormat="1" x14ac:dyDescent="0.2">
      <c r="Q88" s="1585"/>
    </row>
    <row r="89" spans="1:22" s="1590" customFormat="1" ht="13.5" thickBot="1" x14ac:dyDescent="0.25">
      <c r="Q89" s="1585"/>
    </row>
    <row r="90" spans="1:22" s="1558" customFormat="1" ht="15.75" thickBot="1" x14ac:dyDescent="0.3">
      <c r="A90" s="1639" t="s">
        <v>1375</v>
      </c>
      <c r="B90" s="1640">
        <f>Descrição!C21</f>
        <v>0.06</v>
      </c>
      <c r="Q90" s="1581"/>
    </row>
    <row r="91" spans="1:22" s="1558" customFormat="1" ht="15.75" thickBot="1" x14ac:dyDescent="0.3">
      <c r="B91" s="1623"/>
      <c r="Q91" s="1581"/>
    </row>
    <row r="92" spans="1:22" s="1552" customFormat="1" ht="13.5" thickBot="1" x14ac:dyDescent="0.25">
      <c r="A92" s="1637" t="s">
        <v>1366</v>
      </c>
      <c r="B92" s="1638"/>
      <c r="C92" s="1624"/>
      <c r="D92" s="1624"/>
      <c r="E92" s="1624"/>
      <c r="F92" s="1624"/>
      <c r="G92" s="1624"/>
      <c r="H92" s="1624"/>
      <c r="I92" s="1624"/>
      <c r="J92" s="1624"/>
      <c r="Q92" s="1600"/>
    </row>
    <row r="93" spans="1:22" s="1552" customFormat="1" x14ac:dyDescent="0.2">
      <c r="A93" s="1635" t="s">
        <v>1376</v>
      </c>
      <c r="B93" s="1636">
        <f ca="1">NPV(B90,B74,C74:V74)*(1+B90)</f>
        <v>-5353567.2294421932</v>
      </c>
      <c r="C93" s="1624"/>
      <c r="D93" s="1624"/>
      <c r="E93" s="1624"/>
      <c r="F93" s="1624"/>
      <c r="G93" s="1624"/>
      <c r="H93" s="1624"/>
      <c r="I93" s="1624"/>
      <c r="J93" s="1624"/>
      <c r="Q93" s="1600"/>
    </row>
    <row r="94" spans="1:22" s="1552" customFormat="1" x14ac:dyDescent="0.2">
      <c r="A94" s="1625" t="s">
        <v>1377</v>
      </c>
      <c r="B94" s="1626">
        <f ca="1">IRR(B74:V74)</f>
        <v>2.0520424238319901E-2</v>
      </c>
      <c r="C94" s="1627"/>
      <c r="Q94" s="1600"/>
    </row>
    <row r="95" spans="1:22" s="1552" customFormat="1" ht="13.5" thickBot="1" x14ac:dyDescent="0.25">
      <c r="A95" s="1628" t="s">
        <v>1378</v>
      </c>
      <c r="B95" s="1629">
        <f ca="1">B93/-B16</f>
        <v>-0.42027694174948421</v>
      </c>
      <c r="C95" s="1630"/>
      <c r="D95" s="1630"/>
      <c r="E95" s="1630"/>
      <c r="F95" s="1630"/>
      <c r="G95" s="1630"/>
      <c r="H95" s="1630"/>
      <c r="I95" s="1630"/>
      <c r="J95" s="1630"/>
      <c r="Q95" s="1600"/>
    </row>
    <row r="96" spans="1:22" s="1552" customFormat="1" ht="13.5" thickBot="1" x14ac:dyDescent="0.25">
      <c r="A96" s="1600"/>
      <c r="B96" s="1631"/>
      <c r="C96" s="1630"/>
      <c r="D96" s="1630"/>
      <c r="E96" s="1630"/>
      <c r="F96" s="1630"/>
      <c r="G96" s="1630"/>
      <c r="H96" s="1630"/>
      <c r="I96" s="1630"/>
      <c r="J96" s="1630"/>
      <c r="Q96" s="1600"/>
    </row>
    <row r="97" spans="1:17" s="1552" customFormat="1" ht="13.5" thickBot="1" x14ac:dyDescent="0.25">
      <c r="A97" s="1641" t="s">
        <v>1369</v>
      </c>
      <c r="B97" s="1642"/>
      <c r="Q97" s="1600"/>
    </row>
    <row r="98" spans="1:17" s="1552" customFormat="1" x14ac:dyDescent="0.2">
      <c r="A98" s="1635" t="s">
        <v>1376</v>
      </c>
      <c r="B98" s="1636">
        <f ca="1">NPV(B90,B79,C79:V79)*(1+B90)</f>
        <v>-7048503.9785408909</v>
      </c>
      <c r="C98" s="1630"/>
      <c r="Q98" s="1600"/>
    </row>
    <row r="99" spans="1:17" s="1552" customFormat="1" x14ac:dyDescent="0.2">
      <c r="A99" s="1625" t="s">
        <v>1377</v>
      </c>
      <c r="B99" s="1626">
        <f ca="1">IRR(B79:V79)</f>
        <v>8.3341782065096126E-3</v>
      </c>
      <c r="C99" s="1632"/>
      <c r="D99" s="1632"/>
      <c r="Q99" s="1600"/>
    </row>
    <row r="100" spans="1:17" s="1552" customFormat="1" ht="13.5" thickBot="1" x14ac:dyDescent="0.25">
      <c r="A100" s="1628" t="s">
        <v>1378</v>
      </c>
      <c r="B100" s="1629">
        <f ca="1">B98/-B16</f>
        <v>-0.55333641459077976</v>
      </c>
      <c r="C100" s="1633"/>
      <c r="Q100" s="1600"/>
    </row>
    <row r="101" spans="1:17" s="1552" customFormat="1" ht="13.5" thickBot="1" x14ac:dyDescent="0.25">
      <c r="A101" s="1600"/>
      <c r="B101" s="1631"/>
      <c r="C101" s="1633"/>
      <c r="Q101" s="1600"/>
    </row>
    <row r="102" spans="1:17" s="1552" customFormat="1" ht="13.5" thickBot="1" x14ac:dyDescent="0.25">
      <c r="A102" s="1643" t="s">
        <v>1372</v>
      </c>
      <c r="B102" s="1644"/>
      <c r="Q102" s="1600"/>
    </row>
    <row r="103" spans="1:17" s="1590" customFormat="1" x14ac:dyDescent="0.2">
      <c r="A103" s="1635" t="s">
        <v>1376</v>
      </c>
      <c r="B103" s="1636">
        <f ca="1">NPV(B90,B84,C84:V84)*(1+B90)</f>
        <v>-13639386.923446339</v>
      </c>
      <c r="Q103" s="1585"/>
    </row>
    <row r="104" spans="1:17" s="1590" customFormat="1" x14ac:dyDescent="0.2">
      <c r="A104" s="1625" t="s">
        <v>1377</v>
      </c>
      <c r="B104" s="1626">
        <f ca="1">IRR(B84:V84)</f>
        <v>-3.9567651357781064E-2</v>
      </c>
      <c r="Q104" s="1585"/>
    </row>
    <row r="105" spans="1:17" s="1590" customFormat="1" ht="13.5" thickBot="1" x14ac:dyDescent="0.25">
      <c r="A105" s="1628" t="s">
        <v>1378</v>
      </c>
      <c r="B105" s="1629">
        <f ca="1">B103/-B16</f>
        <v>-1.0707477048198391</v>
      </c>
      <c r="Q105" s="1585"/>
    </row>
    <row r="106" spans="1:17" s="1590" customFormat="1" x14ac:dyDescent="0.2">
      <c r="Q106" s="1585"/>
    </row>
    <row r="107" spans="1:17" s="1590" customFormat="1" x14ac:dyDescent="0.2">
      <c r="Q107" s="1585"/>
    </row>
    <row r="108" spans="1:17" s="1590" customFormat="1" x14ac:dyDescent="0.2">
      <c r="Q108" s="1585"/>
    </row>
    <row r="109" spans="1:17" s="1590" customFormat="1" x14ac:dyDescent="0.2">
      <c r="Q109" s="1585"/>
    </row>
    <row r="110" spans="1:17" s="1590" customFormat="1" x14ac:dyDescent="0.2">
      <c r="Q110" s="1585"/>
    </row>
    <row r="111" spans="1:17" s="1590" customFormat="1" x14ac:dyDescent="0.2">
      <c r="Q111" s="1585"/>
    </row>
    <row r="112" spans="1:17" s="1590" customFormat="1" x14ac:dyDescent="0.2">
      <c r="Q112" s="1585"/>
    </row>
    <row r="113" spans="17:17" s="1590" customFormat="1" x14ac:dyDescent="0.2">
      <c r="Q113" s="1585"/>
    </row>
    <row r="114" spans="17:17" s="1590" customFormat="1" x14ac:dyDescent="0.2">
      <c r="Q114" s="1585"/>
    </row>
    <row r="115" spans="17:17" s="1590" customFormat="1" x14ac:dyDescent="0.2">
      <c r="Q115" s="1585"/>
    </row>
    <row r="116" spans="17:17" s="1590" customFormat="1" x14ac:dyDescent="0.2">
      <c r="Q116" s="1585"/>
    </row>
    <row r="117" spans="17:17" s="1590" customFormat="1" x14ac:dyDescent="0.2">
      <c r="Q117" s="1585"/>
    </row>
    <row r="118" spans="17:17" s="1590" customFormat="1" x14ac:dyDescent="0.2">
      <c r="Q118" s="1585"/>
    </row>
    <row r="119" spans="17:17" s="1590" customFormat="1" x14ac:dyDescent="0.2">
      <c r="Q119" s="1585"/>
    </row>
    <row r="120" spans="17:17" s="1590" customFormat="1" x14ac:dyDescent="0.2">
      <c r="Q120" s="1585"/>
    </row>
    <row r="121" spans="17:17" s="1590" customFormat="1" x14ac:dyDescent="0.2">
      <c r="Q121" s="1585"/>
    </row>
    <row r="122" spans="17:17" s="1590" customFormat="1" x14ac:dyDescent="0.2">
      <c r="Q122" s="1585"/>
    </row>
    <row r="123" spans="17:17" s="1590" customFormat="1" x14ac:dyDescent="0.2">
      <c r="Q123" s="1585"/>
    </row>
    <row r="124" spans="17:17" s="1590" customFormat="1" x14ac:dyDescent="0.2">
      <c r="Q124" s="1585"/>
    </row>
    <row r="125" spans="17:17" s="1590" customFormat="1" x14ac:dyDescent="0.2">
      <c r="Q125" s="1585"/>
    </row>
    <row r="126" spans="17:17" s="1590" customFormat="1" x14ac:dyDescent="0.2">
      <c r="Q126" s="1585"/>
    </row>
    <row r="127" spans="17:17" s="1590" customFormat="1" x14ac:dyDescent="0.2">
      <c r="Q127" s="1585"/>
    </row>
    <row r="128" spans="17:17" s="1590" customFormat="1" x14ac:dyDescent="0.2">
      <c r="Q128" s="1585"/>
    </row>
    <row r="129" spans="17:17" s="1590" customFormat="1" x14ac:dyDescent="0.2">
      <c r="Q129" s="1585"/>
    </row>
    <row r="130" spans="17:17" s="1590" customFormat="1" x14ac:dyDescent="0.2">
      <c r="Q130" s="1585"/>
    </row>
    <row r="131" spans="17:17" s="1590" customFormat="1" x14ac:dyDescent="0.2">
      <c r="Q131" s="1585"/>
    </row>
    <row r="132" spans="17:17" s="1590" customFormat="1" x14ac:dyDescent="0.2">
      <c r="Q132" s="1585"/>
    </row>
    <row r="133" spans="17:17" s="1590" customFormat="1" x14ac:dyDescent="0.2">
      <c r="Q133" s="1585"/>
    </row>
    <row r="134" spans="17:17" s="1590" customFormat="1" x14ac:dyDescent="0.2">
      <c r="Q134" s="1585"/>
    </row>
    <row r="135" spans="17:17" s="1590" customFormat="1" x14ac:dyDescent="0.2">
      <c r="Q135" s="1585"/>
    </row>
  </sheetData>
  <mergeCells count="1">
    <mergeCell ref="B1:V1"/>
  </mergeCells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B2:S16"/>
  <sheetViews>
    <sheetView zoomScale="90" zoomScaleNormal="90" workbookViewId="0">
      <selection activeCell="A4" sqref="A4"/>
    </sheetView>
  </sheetViews>
  <sheetFormatPr defaultColWidth="9.140625" defaultRowHeight="15.75" customHeight="1" x14ac:dyDescent="0.2"/>
  <cols>
    <col min="1" max="1" width="14.7109375" style="938" customWidth="1"/>
    <col min="2" max="2" width="14.28515625" style="938" customWidth="1"/>
    <col min="3" max="3" width="25" style="938" customWidth="1"/>
    <col min="4" max="5" width="10.5703125" style="938" customWidth="1"/>
    <col min="6" max="6" width="9.140625" style="938"/>
    <col min="7" max="7" width="23.5703125" style="938" customWidth="1"/>
    <col min="8" max="12" width="9" style="938" customWidth="1"/>
    <col min="13" max="13" width="9.140625" style="938"/>
    <col min="14" max="14" width="16.28515625" style="938" bestFit="1" customWidth="1"/>
    <col min="15" max="15" width="9.85546875" style="938" bestFit="1" customWidth="1"/>
    <col min="16" max="16" width="18.140625" style="938" bestFit="1" customWidth="1"/>
    <col min="17" max="17" width="8.5703125" style="938" customWidth="1"/>
    <col min="18" max="18" width="19.7109375" style="938" bestFit="1" customWidth="1"/>
    <col min="19" max="19" width="10.7109375" style="938" bestFit="1" customWidth="1"/>
    <col min="20" max="16384" width="9.140625" style="938"/>
  </cols>
  <sheetData>
    <row r="2" spans="2:19" ht="15.75" customHeight="1" thickBot="1" x14ac:dyDescent="0.25"/>
    <row r="3" spans="2:19" ht="15.75" customHeight="1" thickBot="1" x14ac:dyDescent="0.25">
      <c r="B3" s="2800" t="s">
        <v>1100</v>
      </c>
      <c r="C3" s="2801"/>
      <c r="D3" s="2801"/>
      <c r="E3" s="2802"/>
      <c r="G3" s="2800" t="s">
        <v>1101</v>
      </c>
      <c r="H3" s="2801"/>
      <c r="I3" s="2801"/>
      <c r="J3" s="2801"/>
      <c r="K3" s="2801"/>
      <c r="L3" s="2802"/>
      <c r="N3" s="2803" t="s">
        <v>1102</v>
      </c>
      <c r="O3" s="2804"/>
      <c r="P3" s="2804"/>
      <c r="Q3" s="2804"/>
      <c r="R3" s="2804"/>
      <c r="S3" s="2805"/>
    </row>
    <row r="4" spans="2:19" ht="15.75" customHeight="1" x14ac:dyDescent="0.2">
      <c r="B4" s="2806" t="s">
        <v>1103</v>
      </c>
      <c r="C4" s="2807"/>
      <c r="D4" s="2807"/>
      <c r="E4" s="2808"/>
      <c r="G4" s="2806" t="s">
        <v>1104</v>
      </c>
      <c r="H4" s="2807"/>
      <c r="I4" s="2807"/>
      <c r="J4" s="2807"/>
      <c r="K4" s="2807"/>
      <c r="L4" s="2808"/>
      <c r="N4" s="2806" t="s">
        <v>1105</v>
      </c>
      <c r="O4" s="2807"/>
      <c r="P4" s="2807"/>
      <c r="Q4" s="2807"/>
      <c r="R4" s="2807"/>
      <c r="S4" s="2808"/>
    </row>
    <row r="5" spans="2:19" ht="15.75" customHeight="1" thickBot="1" x14ac:dyDescent="0.25">
      <c r="B5" s="2809"/>
      <c r="C5" s="2810"/>
      <c r="D5" s="2810"/>
      <c r="E5" s="2811"/>
      <c r="G5" s="2809"/>
      <c r="H5" s="2810"/>
      <c r="I5" s="2810"/>
      <c r="J5" s="2810"/>
      <c r="K5" s="2810"/>
      <c r="L5" s="2811"/>
      <c r="N5" s="2809"/>
      <c r="O5" s="2810"/>
      <c r="P5" s="2810"/>
      <c r="Q5" s="2810"/>
      <c r="R5" s="2810"/>
      <c r="S5" s="2811"/>
    </row>
    <row r="6" spans="2:19" ht="15.75" customHeight="1" thickBot="1" x14ac:dyDescent="0.25">
      <c r="B6" s="2815" t="s">
        <v>1106</v>
      </c>
      <c r="C6" s="2818" t="s">
        <v>1107</v>
      </c>
      <c r="D6" s="2821" t="s">
        <v>1108</v>
      </c>
      <c r="E6" s="2824" t="s">
        <v>1109</v>
      </c>
      <c r="G6" s="939"/>
      <c r="H6" s="2826" t="s">
        <v>1110</v>
      </c>
      <c r="I6" s="2827"/>
      <c r="J6" s="2827"/>
      <c r="K6" s="2827"/>
      <c r="L6" s="2828"/>
      <c r="N6" s="2829" t="s">
        <v>1111</v>
      </c>
      <c r="O6" s="2830"/>
      <c r="P6" s="940" t="s">
        <v>1112</v>
      </c>
      <c r="Q6" s="941">
        <v>0.02</v>
      </c>
      <c r="R6" s="942" t="s">
        <v>1113</v>
      </c>
      <c r="S6" s="941">
        <v>0.03</v>
      </c>
    </row>
    <row r="7" spans="2:19" ht="15.75" customHeight="1" x14ac:dyDescent="0.2">
      <c r="B7" s="2816"/>
      <c r="C7" s="2819"/>
      <c r="D7" s="2822"/>
      <c r="E7" s="2825"/>
      <c r="G7" s="2831" t="s">
        <v>1114</v>
      </c>
      <c r="H7" s="2831" t="s">
        <v>1115</v>
      </c>
      <c r="I7" s="2831" t="s">
        <v>1116</v>
      </c>
      <c r="J7" s="2831" t="s">
        <v>1117</v>
      </c>
      <c r="K7" s="2831" t="s">
        <v>1118</v>
      </c>
      <c r="L7" s="2833" t="s">
        <v>1119</v>
      </c>
      <c r="N7" s="943" t="s">
        <v>1120</v>
      </c>
      <c r="O7" s="944">
        <v>0.03</v>
      </c>
      <c r="P7" s="943" t="s">
        <v>1121</v>
      </c>
      <c r="Q7" s="945">
        <v>2.5000000000000001E-2</v>
      </c>
      <c r="R7" s="946" t="s">
        <v>1122</v>
      </c>
      <c r="S7" s="945">
        <v>0.03</v>
      </c>
    </row>
    <row r="8" spans="2:19" ht="15.75" customHeight="1" thickBot="1" x14ac:dyDescent="0.25">
      <c r="B8" s="2817"/>
      <c r="C8" s="2820"/>
      <c r="D8" s="2823"/>
      <c r="E8" s="947" t="s">
        <v>1123</v>
      </c>
      <c r="G8" s="2832"/>
      <c r="H8" s="2832"/>
      <c r="I8" s="2832"/>
      <c r="J8" s="2832"/>
      <c r="K8" s="2832"/>
      <c r="L8" s="2832"/>
      <c r="N8" s="943" t="s">
        <v>1124</v>
      </c>
      <c r="O8" s="944">
        <v>0.02</v>
      </c>
      <c r="P8" s="943" t="s">
        <v>1125</v>
      </c>
      <c r="Q8" s="945">
        <v>2.5000000000000001E-2</v>
      </c>
      <c r="R8" s="946" t="s">
        <v>1126</v>
      </c>
      <c r="S8" s="945">
        <v>0.03</v>
      </c>
    </row>
    <row r="9" spans="2:19" ht="15.75" customHeight="1" thickBot="1" x14ac:dyDescent="0.25">
      <c r="B9" s="948">
        <v>1</v>
      </c>
      <c r="C9" s="949" t="s">
        <v>1127</v>
      </c>
      <c r="D9" s="950" t="s">
        <v>1128</v>
      </c>
      <c r="E9" s="951" t="s">
        <v>1129</v>
      </c>
      <c r="G9" s="952" t="s">
        <v>1130</v>
      </c>
      <c r="H9" s="953">
        <v>1</v>
      </c>
      <c r="I9" s="953">
        <v>0.7</v>
      </c>
      <c r="J9" s="953">
        <v>0.4</v>
      </c>
      <c r="K9" s="953">
        <v>0.2</v>
      </c>
      <c r="L9" s="953">
        <v>0.03</v>
      </c>
      <c r="N9" s="943" t="s">
        <v>1131</v>
      </c>
      <c r="O9" s="944">
        <v>2.5000000000000001E-2</v>
      </c>
      <c r="P9" s="943" t="s">
        <v>1132</v>
      </c>
      <c r="Q9" s="945">
        <v>0.02</v>
      </c>
      <c r="R9" s="946" t="s">
        <v>1133</v>
      </c>
      <c r="S9" s="945">
        <v>0.03</v>
      </c>
    </row>
    <row r="10" spans="2:19" ht="15.75" customHeight="1" thickBot="1" x14ac:dyDescent="0.25">
      <c r="B10" s="948">
        <v>2</v>
      </c>
      <c r="C10" s="949" t="s">
        <v>1134</v>
      </c>
      <c r="D10" s="954">
        <v>8.0000000000000002E-3</v>
      </c>
      <c r="E10" s="951" t="s">
        <v>1129</v>
      </c>
      <c r="G10" s="955" t="s">
        <v>1135</v>
      </c>
      <c r="H10" s="956">
        <v>2</v>
      </c>
      <c r="I10" s="956">
        <v>1.4</v>
      </c>
      <c r="J10" s="956">
        <v>0.8</v>
      </c>
      <c r="K10" s="956">
        <v>0.4</v>
      </c>
      <c r="L10" s="956">
        <v>7.0000000000000007E-2</v>
      </c>
      <c r="N10" s="2814" t="s">
        <v>1136</v>
      </c>
      <c r="O10" s="2812"/>
      <c r="P10" s="943" t="s">
        <v>1137</v>
      </c>
      <c r="Q10" s="945">
        <v>2.5000000000000001E-2</v>
      </c>
      <c r="R10" s="946" t="s">
        <v>1138</v>
      </c>
      <c r="S10" s="945">
        <v>0.02</v>
      </c>
    </row>
    <row r="11" spans="2:19" ht="15.75" customHeight="1" thickBot="1" x14ac:dyDescent="0.25">
      <c r="B11" s="948">
        <v>3</v>
      </c>
      <c r="C11" s="949" t="s">
        <v>1139</v>
      </c>
      <c r="D11" s="954">
        <v>2E-3</v>
      </c>
      <c r="E11" s="951">
        <v>37.11</v>
      </c>
      <c r="G11" s="955" t="s">
        <v>1140</v>
      </c>
      <c r="H11" s="956">
        <v>3.3</v>
      </c>
      <c r="I11" s="956">
        <v>2.2999999999999998</v>
      </c>
      <c r="J11" s="956">
        <v>1.3</v>
      </c>
      <c r="K11" s="956">
        <v>0.6</v>
      </c>
      <c r="L11" s="956">
        <v>0.1</v>
      </c>
      <c r="N11" s="943" t="s">
        <v>1141</v>
      </c>
      <c r="O11" s="944">
        <v>0.04</v>
      </c>
      <c r="P11" s="943" t="s">
        <v>1142</v>
      </c>
      <c r="Q11" s="945">
        <v>2.5000000000000001E-2</v>
      </c>
      <c r="R11" s="2812" t="s">
        <v>1143</v>
      </c>
      <c r="S11" s="2813"/>
    </row>
    <row r="12" spans="2:19" ht="15.75" customHeight="1" thickBot="1" x14ac:dyDescent="0.25">
      <c r="B12" s="948">
        <v>4</v>
      </c>
      <c r="C12" s="949" t="s">
        <v>1144</v>
      </c>
      <c r="D12" s="954">
        <v>1E-3</v>
      </c>
      <c r="E12" s="951">
        <v>98.97</v>
      </c>
      <c r="G12" s="955" t="s">
        <v>1145</v>
      </c>
      <c r="H12" s="956">
        <v>4.7</v>
      </c>
      <c r="I12" s="956">
        <v>3.3</v>
      </c>
      <c r="J12" s="956">
        <v>1.9</v>
      </c>
      <c r="K12" s="956">
        <v>0.85</v>
      </c>
      <c r="L12" s="956">
        <v>0.15</v>
      </c>
      <c r="N12" s="943" t="s">
        <v>1146</v>
      </c>
      <c r="O12" s="944">
        <v>0.04</v>
      </c>
      <c r="P12" s="943" t="s">
        <v>1147</v>
      </c>
      <c r="Q12" s="945">
        <v>2.5000000000000001E-2</v>
      </c>
      <c r="R12" s="946" t="s">
        <v>1148</v>
      </c>
      <c r="S12" s="945">
        <v>0.03</v>
      </c>
    </row>
    <row r="13" spans="2:19" ht="15.75" customHeight="1" thickBot="1" x14ac:dyDescent="0.25">
      <c r="B13" s="948">
        <v>5</v>
      </c>
      <c r="C13" s="949" t="s">
        <v>1149</v>
      </c>
      <c r="D13" s="954">
        <v>2.0000000000000001E-4</v>
      </c>
      <c r="E13" s="957">
        <v>5047.45</v>
      </c>
      <c r="G13" s="955" t="s">
        <v>1150</v>
      </c>
      <c r="H13" s="956">
        <v>8.6</v>
      </c>
      <c r="I13" s="956">
        <v>6</v>
      </c>
      <c r="J13" s="956">
        <v>3.4</v>
      </c>
      <c r="K13" s="956">
        <v>1.6</v>
      </c>
      <c r="L13" s="956">
        <v>0.3</v>
      </c>
      <c r="N13" s="943" t="s">
        <v>1151</v>
      </c>
      <c r="O13" s="944">
        <v>0.04</v>
      </c>
      <c r="P13" s="943" t="s">
        <v>1152</v>
      </c>
      <c r="Q13" s="945">
        <v>2.5000000000000001E-2</v>
      </c>
      <c r="R13" s="946" t="s">
        <v>1153</v>
      </c>
      <c r="S13" s="945">
        <v>2.5000000000000001E-2</v>
      </c>
    </row>
    <row r="14" spans="2:19" ht="15.75" customHeight="1" thickBot="1" x14ac:dyDescent="0.25">
      <c r="B14" s="948">
        <v>6</v>
      </c>
      <c r="C14" s="949" t="s">
        <v>1154</v>
      </c>
      <c r="D14" s="950" t="s">
        <v>1155</v>
      </c>
      <c r="E14" s="951" t="s">
        <v>1129</v>
      </c>
      <c r="G14" s="955" t="s">
        <v>1156</v>
      </c>
      <c r="H14" s="956">
        <v>20</v>
      </c>
      <c r="I14" s="956">
        <v>12</v>
      </c>
      <c r="J14" s="956">
        <v>6.4</v>
      </c>
      <c r="K14" s="956">
        <v>3</v>
      </c>
      <c r="L14" s="956">
        <v>0.45</v>
      </c>
      <c r="N14" s="943" t="s">
        <v>1157</v>
      </c>
      <c r="O14" s="944">
        <v>0.02</v>
      </c>
      <c r="P14" s="2814" t="s">
        <v>1158</v>
      </c>
      <c r="Q14" s="2813"/>
      <c r="R14" s="946" t="s">
        <v>1159</v>
      </c>
      <c r="S14" s="945" t="s">
        <v>1160</v>
      </c>
    </row>
    <row r="15" spans="2:19" ht="15.75" customHeight="1" x14ac:dyDescent="0.2">
      <c r="N15" s="2814" t="s">
        <v>1161</v>
      </c>
      <c r="O15" s="2812"/>
      <c r="P15" s="943" t="s">
        <v>1162</v>
      </c>
      <c r="Q15" s="945">
        <v>0.02</v>
      </c>
      <c r="R15" s="946" t="s">
        <v>1163</v>
      </c>
      <c r="S15" s="945">
        <v>0.03</v>
      </c>
    </row>
    <row r="16" spans="2:19" ht="15.75" customHeight="1" thickBot="1" x14ac:dyDescent="0.25">
      <c r="N16" s="958" t="s">
        <v>1164</v>
      </c>
      <c r="O16" s="959" t="s">
        <v>1165</v>
      </c>
      <c r="P16" s="958" t="s">
        <v>1166</v>
      </c>
      <c r="Q16" s="960">
        <v>2.5000000000000001E-2</v>
      </c>
      <c r="R16" s="961"/>
      <c r="S16" s="962"/>
    </row>
  </sheetData>
  <mergeCells count="22">
    <mergeCell ref="R11:S11"/>
    <mergeCell ref="P14:Q14"/>
    <mergeCell ref="N15:O15"/>
    <mergeCell ref="B6:B8"/>
    <mergeCell ref="C6:C8"/>
    <mergeCell ref="D6:D8"/>
    <mergeCell ref="E6:E7"/>
    <mergeCell ref="H6:L6"/>
    <mergeCell ref="N6:O6"/>
    <mergeCell ref="G7:G8"/>
    <mergeCell ref="H7:H8"/>
    <mergeCell ref="I7:I8"/>
    <mergeCell ref="J7:J8"/>
    <mergeCell ref="K7:K8"/>
    <mergeCell ref="L7:L8"/>
    <mergeCell ref="N10:O10"/>
    <mergeCell ref="B3:E3"/>
    <mergeCell ref="G3:L3"/>
    <mergeCell ref="N3:S3"/>
    <mergeCell ref="B4:E5"/>
    <mergeCell ref="G4:L5"/>
    <mergeCell ref="N4:S5"/>
  </mergeCell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9"/>
  <sheetViews>
    <sheetView workbookViewId="0">
      <selection activeCell="L208" sqref="L208"/>
    </sheetView>
  </sheetViews>
  <sheetFormatPr defaultRowHeight="12.75" x14ac:dyDescent="0.2"/>
  <cols>
    <col min="1" max="1" width="33.85546875" bestFit="1" customWidth="1"/>
    <col min="2" max="2" width="12.5703125" bestFit="1" customWidth="1"/>
    <col min="4" max="4" width="9.140625" style="2405"/>
    <col min="5" max="5" width="31.85546875" style="2405" bestFit="1" customWidth="1"/>
    <col min="6" max="6" width="9.140625" style="2405"/>
  </cols>
  <sheetData>
    <row r="1" spans="1:6" s="2467" customFormat="1" x14ac:dyDescent="0.2">
      <c r="A1" s="2492" t="s">
        <v>1794</v>
      </c>
      <c r="B1" s="2492" t="s">
        <v>1454</v>
      </c>
      <c r="C1"/>
      <c r="D1" s="2405"/>
      <c r="E1" s="2405" t="s">
        <v>820</v>
      </c>
      <c r="F1" s="2405"/>
    </row>
    <row r="2" spans="1:6" s="2467" customFormat="1" x14ac:dyDescent="0.2">
      <c r="A2" s="2474" t="s">
        <v>1793</v>
      </c>
      <c r="B2" s="2473">
        <v>3</v>
      </c>
      <c r="C2"/>
      <c r="D2" s="2405">
        <v>1</v>
      </c>
      <c r="E2" s="2405"/>
      <c r="F2" s="2405"/>
    </row>
    <row r="3" spans="1:6" s="2467" customFormat="1" x14ac:dyDescent="0.2">
      <c r="A3" s="2474" t="s">
        <v>1792</v>
      </c>
      <c r="B3" s="2473">
        <v>4</v>
      </c>
      <c r="C3"/>
      <c r="D3" s="2405">
        <v>2</v>
      </c>
      <c r="E3" s="2405" t="s">
        <v>821</v>
      </c>
      <c r="F3" s="2405">
        <v>9</v>
      </c>
    </row>
    <row r="4" spans="1:6" s="2467" customFormat="1" x14ac:dyDescent="0.2">
      <c r="A4" s="2474" t="s">
        <v>1791</v>
      </c>
      <c r="B4" s="2473">
        <v>5</v>
      </c>
      <c r="C4"/>
      <c r="D4" s="2405">
        <v>3</v>
      </c>
      <c r="E4" s="2405" t="s">
        <v>3</v>
      </c>
      <c r="F4" s="2405">
        <v>1</v>
      </c>
    </row>
    <row r="5" spans="1:6" s="2467" customFormat="1" x14ac:dyDescent="0.2">
      <c r="A5" s="2474" t="s">
        <v>1790</v>
      </c>
      <c r="B5" s="2473">
        <v>6</v>
      </c>
      <c r="C5"/>
      <c r="D5" s="2405">
        <v>4</v>
      </c>
      <c r="E5" s="2405" t="s">
        <v>975</v>
      </c>
      <c r="F5" s="2405">
        <v>8</v>
      </c>
    </row>
    <row r="6" spans="1:6" s="2467" customFormat="1" x14ac:dyDescent="0.2">
      <c r="A6" s="2474" t="s">
        <v>1789</v>
      </c>
      <c r="B6" s="2473">
        <v>15</v>
      </c>
      <c r="C6"/>
      <c r="D6" s="2405">
        <v>5</v>
      </c>
      <c r="E6" s="2405" t="s">
        <v>960</v>
      </c>
      <c r="F6" s="2405">
        <v>3</v>
      </c>
    </row>
    <row r="7" spans="1:6" s="2467" customFormat="1" x14ac:dyDescent="0.2">
      <c r="A7" s="2474" t="s">
        <v>1788</v>
      </c>
      <c r="B7" s="2473">
        <v>16</v>
      </c>
      <c r="C7"/>
      <c r="D7" s="2405">
        <v>6</v>
      </c>
      <c r="E7" s="2405" t="s">
        <v>1330</v>
      </c>
      <c r="F7" s="2405">
        <v>6</v>
      </c>
    </row>
    <row r="8" spans="1:6" s="2467" customFormat="1" x14ac:dyDescent="0.2">
      <c r="A8" s="2474" t="s">
        <v>1787</v>
      </c>
      <c r="B8" s="2473">
        <v>17</v>
      </c>
      <c r="C8"/>
      <c r="D8" s="2405">
        <v>7</v>
      </c>
      <c r="E8" s="2405" t="s">
        <v>571</v>
      </c>
      <c r="F8" s="2405">
        <v>2</v>
      </c>
    </row>
    <row r="9" spans="1:6" s="2467" customFormat="1" x14ac:dyDescent="0.2">
      <c r="A9" s="2474" t="s">
        <v>1786</v>
      </c>
      <c r="B9" s="2473">
        <v>19</v>
      </c>
      <c r="C9"/>
      <c r="D9" s="2405">
        <v>8</v>
      </c>
      <c r="E9" s="2405" t="s">
        <v>314</v>
      </c>
      <c r="F9" s="2405">
        <v>2</v>
      </c>
    </row>
    <row r="10" spans="1:6" s="2467" customFormat="1" x14ac:dyDescent="0.2">
      <c r="A10" s="2474" t="s">
        <v>1785</v>
      </c>
      <c r="B10" s="2473">
        <v>23</v>
      </c>
      <c r="C10"/>
      <c r="D10" s="2405">
        <v>9</v>
      </c>
      <c r="E10" s="2405" t="s">
        <v>976</v>
      </c>
      <c r="F10" s="2405">
        <v>2</v>
      </c>
    </row>
    <row r="11" spans="1:6" s="2467" customFormat="1" x14ac:dyDescent="0.2">
      <c r="A11" s="2474" t="s">
        <v>1784</v>
      </c>
      <c r="B11" s="2473">
        <v>27</v>
      </c>
      <c r="C11"/>
      <c r="D11" s="2405">
        <v>10</v>
      </c>
      <c r="E11" s="2405" t="s">
        <v>1306</v>
      </c>
      <c r="F11" s="2405">
        <v>2</v>
      </c>
    </row>
    <row r="12" spans="1:6" s="2467" customFormat="1" x14ac:dyDescent="0.2">
      <c r="A12" s="2474" t="s">
        <v>1783</v>
      </c>
      <c r="B12" s="2473">
        <v>28</v>
      </c>
      <c r="C12"/>
      <c r="D12" s="2405">
        <v>11</v>
      </c>
      <c r="E12" s="2405" t="s">
        <v>1308</v>
      </c>
      <c r="F12" s="2405"/>
    </row>
    <row r="13" spans="1:6" s="2467" customFormat="1" x14ac:dyDescent="0.2">
      <c r="A13" s="2478" t="s">
        <v>1782</v>
      </c>
      <c r="B13" s="2477">
        <v>45</v>
      </c>
      <c r="C13"/>
      <c r="D13" s="2405">
        <v>12</v>
      </c>
      <c r="E13" s="2405" t="s">
        <v>1309</v>
      </c>
      <c r="F13" s="2405">
        <v>4</v>
      </c>
    </row>
    <row r="14" spans="1:6" s="2467" customFormat="1" x14ac:dyDescent="0.2">
      <c r="A14" s="2478" t="s">
        <v>1781</v>
      </c>
      <c r="B14" s="2477">
        <v>46</v>
      </c>
      <c r="C14"/>
      <c r="D14" s="2405">
        <v>13</v>
      </c>
      <c r="E14" s="2405" t="s">
        <v>1342</v>
      </c>
      <c r="F14" s="2405"/>
    </row>
    <row r="15" spans="1:6" s="2467" customFormat="1" x14ac:dyDescent="0.2">
      <c r="A15" s="2478" t="s">
        <v>1780</v>
      </c>
      <c r="B15" s="2477">
        <v>47</v>
      </c>
      <c r="C15"/>
      <c r="D15" s="2405"/>
      <c r="E15" s="2405"/>
      <c r="F15" s="2405"/>
    </row>
    <row r="16" spans="1:6" s="2467" customFormat="1" x14ac:dyDescent="0.2">
      <c r="A16" s="2474" t="s">
        <v>1779</v>
      </c>
      <c r="B16" s="2473">
        <v>48</v>
      </c>
      <c r="C16"/>
      <c r="D16" s="2405"/>
      <c r="E16" s="2405" t="s">
        <v>1778</v>
      </c>
      <c r="F16" s="2405"/>
    </row>
    <row r="17" spans="1:6" s="2467" customFormat="1" x14ac:dyDescent="0.2">
      <c r="A17" s="2474" t="s">
        <v>1777</v>
      </c>
      <c r="B17" s="2473">
        <v>49</v>
      </c>
      <c r="C17"/>
      <c r="D17" s="2405">
        <v>1</v>
      </c>
      <c r="E17" s="2405"/>
      <c r="F17" s="2405"/>
    </row>
    <row r="18" spans="1:6" s="2467" customFormat="1" x14ac:dyDescent="0.2">
      <c r="A18" s="2474" t="s">
        <v>1776</v>
      </c>
      <c r="B18" s="2473">
        <v>50</v>
      </c>
      <c r="C18"/>
      <c r="D18" s="2405">
        <v>2</v>
      </c>
      <c r="E18" s="2491"/>
      <c r="F18" s="2405">
        <v>0</v>
      </c>
    </row>
    <row r="19" spans="1:6" s="2467" customFormat="1" x14ac:dyDescent="0.2">
      <c r="A19" s="2478" t="s">
        <v>1775</v>
      </c>
      <c r="B19" s="2477">
        <v>51</v>
      </c>
      <c r="C19"/>
      <c r="D19" s="2405">
        <v>3</v>
      </c>
      <c r="E19" s="2491">
        <v>55</v>
      </c>
      <c r="F19" s="2405">
        <v>60</v>
      </c>
    </row>
    <row r="20" spans="1:6" s="2467" customFormat="1" x14ac:dyDescent="0.2">
      <c r="A20" s="2478" t="s">
        <v>1774</v>
      </c>
      <c r="B20" s="2477">
        <v>52</v>
      </c>
      <c r="C20"/>
      <c r="D20" s="2405">
        <v>4</v>
      </c>
      <c r="E20" s="2491">
        <v>65</v>
      </c>
      <c r="F20" s="2405">
        <v>2</v>
      </c>
    </row>
    <row r="21" spans="1:6" s="2467" customFormat="1" x14ac:dyDescent="0.2">
      <c r="A21" s="2478" t="s">
        <v>1773</v>
      </c>
      <c r="B21" s="2477">
        <v>53</v>
      </c>
      <c r="C21"/>
      <c r="D21" s="2405">
        <v>5</v>
      </c>
      <c r="E21" s="2491">
        <v>75</v>
      </c>
      <c r="F21" s="2405">
        <v>3</v>
      </c>
    </row>
    <row r="22" spans="1:6" s="2467" customFormat="1" x14ac:dyDescent="0.2">
      <c r="A22" s="2474" t="s">
        <v>1772</v>
      </c>
      <c r="B22" s="2473">
        <v>54</v>
      </c>
      <c r="C22"/>
      <c r="D22" s="2405">
        <v>6</v>
      </c>
      <c r="E22" s="2491">
        <v>85</v>
      </c>
      <c r="F22" s="2405">
        <v>4</v>
      </c>
    </row>
    <row r="23" spans="1:6" s="2467" customFormat="1" x14ac:dyDescent="0.2">
      <c r="A23" s="2478" t="s">
        <v>1771</v>
      </c>
      <c r="B23" s="2477">
        <v>55</v>
      </c>
      <c r="C23"/>
      <c r="D23" s="2405">
        <v>7</v>
      </c>
      <c r="E23" s="2491">
        <v>90</v>
      </c>
      <c r="F23" s="2405">
        <v>25</v>
      </c>
    </row>
    <row r="24" spans="1:6" s="2467" customFormat="1" x14ac:dyDescent="0.2">
      <c r="A24" s="2478" t="s">
        <v>1770</v>
      </c>
      <c r="B24" s="2477">
        <v>56</v>
      </c>
      <c r="C24"/>
      <c r="D24" s="2405">
        <v>8</v>
      </c>
      <c r="E24" s="2491">
        <v>105</v>
      </c>
      <c r="F24" s="2405">
        <v>6</v>
      </c>
    </row>
    <row r="25" spans="1:6" s="2467" customFormat="1" x14ac:dyDescent="0.2">
      <c r="A25" s="2474" t="s">
        <v>1769</v>
      </c>
      <c r="B25" s="2473">
        <v>57</v>
      </c>
      <c r="C25"/>
      <c r="D25" s="2405">
        <v>9</v>
      </c>
      <c r="E25" s="2491">
        <v>110</v>
      </c>
      <c r="F25" s="2405">
        <v>16</v>
      </c>
    </row>
    <row r="26" spans="1:6" s="2467" customFormat="1" x14ac:dyDescent="0.2">
      <c r="A26" s="2478" t="s">
        <v>1399</v>
      </c>
      <c r="B26" s="2477">
        <v>58</v>
      </c>
      <c r="C26"/>
      <c r="D26" s="2405">
        <v>10</v>
      </c>
      <c r="E26" s="2491">
        <v>120</v>
      </c>
      <c r="F26" s="2405">
        <v>12</v>
      </c>
    </row>
    <row r="27" spans="1:6" s="2467" customFormat="1" x14ac:dyDescent="0.2">
      <c r="A27" s="2474" t="s">
        <v>1768</v>
      </c>
      <c r="B27" s="2473">
        <v>59</v>
      </c>
      <c r="C27"/>
      <c r="D27" s="2405"/>
      <c r="E27" s="2405"/>
      <c r="F27" s="2405"/>
    </row>
    <row r="28" spans="1:6" s="2467" customFormat="1" ht="13.5" thickBot="1" x14ac:dyDescent="0.25">
      <c r="A28" s="2474" t="s">
        <v>1767</v>
      </c>
      <c r="B28" s="2473">
        <v>60</v>
      </c>
      <c r="C28"/>
      <c r="D28" s="2405"/>
      <c r="E28" s="2405" t="s">
        <v>24</v>
      </c>
      <c r="F28" s="2405"/>
    </row>
    <row r="29" spans="1:6" s="2467" customFormat="1" x14ac:dyDescent="0.2">
      <c r="A29" s="2474" t="s">
        <v>1766</v>
      </c>
      <c r="B29" s="2473">
        <v>61</v>
      </c>
      <c r="C29"/>
      <c r="D29" s="2405">
        <v>1</v>
      </c>
      <c r="E29" s="2490"/>
      <c r="F29" s="2405"/>
    </row>
    <row r="30" spans="1:6" s="2467" customFormat="1" x14ac:dyDescent="0.2">
      <c r="A30" s="2474" t="s">
        <v>1765</v>
      </c>
      <c r="B30" s="2473">
        <v>62</v>
      </c>
      <c r="C30"/>
      <c r="D30" s="2405">
        <v>2</v>
      </c>
      <c r="E30" s="2489" t="s">
        <v>55</v>
      </c>
      <c r="F30" s="2405">
        <v>16</v>
      </c>
    </row>
    <row r="31" spans="1:6" s="2467" customFormat="1" x14ac:dyDescent="0.2">
      <c r="A31" s="2474" t="s">
        <v>1764</v>
      </c>
      <c r="B31" s="2473">
        <v>63</v>
      </c>
      <c r="C31"/>
      <c r="D31" s="2405">
        <v>3</v>
      </c>
      <c r="E31" s="2489" t="s">
        <v>592</v>
      </c>
      <c r="F31" s="2405">
        <v>35</v>
      </c>
    </row>
    <row r="32" spans="1:6" s="2467" customFormat="1" x14ac:dyDescent="0.2">
      <c r="A32" s="2474" t="s">
        <v>1763</v>
      </c>
      <c r="B32" s="2473">
        <v>64</v>
      </c>
      <c r="C32"/>
      <c r="D32" s="2405">
        <v>4</v>
      </c>
      <c r="E32" s="2485" t="s">
        <v>29</v>
      </c>
      <c r="F32" s="2405">
        <v>6</v>
      </c>
    </row>
    <row r="33" spans="1:6" s="2467" customFormat="1" x14ac:dyDescent="0.2">
      <c r="A33" s="2474" t="s">
        <v>1762</v>
      </c>
      <c r="B33" s="2473">
        <v>65</v>
      </c>
      <c r="C33"/>
      <c r="D33" s="2405">
        <v>5</v>
      </c>
      <c r="E33" s="2485" t="s">
        <v>1761</v>
      </c>
      <c r="F33" s="2405">
        <v>37</v>
      </c>
    </row>
    <row r="34" spans="1:6" s="2467" customFormat="1" x14ac:dyDescent="0.2">
      <c r="A34" s="2474" t="s">
        <v>1760</v>
      </c>
      <c r="B34" s="2473">
        <v>66</v>
      </c>
      <c r="C34"/>
      <c r="D34" s="2405">
        <v>6</v>
      </c>
      <c r="E34" s="2485" t="s">
        <v>1759</v>
      </c>
      <c r="F34" s="2405">
        <v>7</v>
      </c>
    </row>
    <row r="35" spans="1:6" s="2467" customFormat="1" x14ac:dyDescent="0.2">
      <c r="A35" s="2474" t="s">
        <v>1758</v>
      </c>
      <c r="B35" s="2473">
        <v>67</v>
      </c>
      <c r="C35"/>
      <c r="D35" s="2405">
        <v>7</v>
      </c>
      <c r="E35" s="2479" t="s">
        <v>618</v>
      </c>
      <c r="F35" s="2405" t="e">
        <v>#N/A</v>
      </c>
    </row>
    <row r="36" spans="1:6" s="2467" customFormat="1" x14ac:dyDescent="0.2">
      <c r="A36" s="2474" t="s">
        <v>1757</v>
      </c>
      <c r="B36" s="2473">
        <v>68</v>
      </c>
      <c r="C36"/>
      <c r="D36" s="2405">
        <v>8</v>
      </c>
      <c r="E36" s="2489" t="s">
        <v>1756</v>
      </c>
      <c r="F36" s="2405">
        <v>34</v>
      </c>
    </row>
    <row r="37" spans="1:6" s="2467" customFormat="1" x14ac:dyDescent="0.2">
      <c r="A37" s="2474" t="s">
        <v>1755</v>
      </c>
      <c r="B37" s="2473">
        <v>69</v>
      </c>
      <c r="C37"/>
      <c r="D37" s="2405">
        <v>9</v>
      </c>
      <c r="E37" s="2485" t="s">
        <v>1751</v>
      </c>
      <c r="F37" s="2405">
        <v>10</v>
      </c>
    </row>
    <row r="38" spans="1:6" s="2467" customFormat="1" x14ac:dyDescent="0.2">
      <c r="A38" s="2474" t="s">
        <v>1754</v>
      </c>
      <c r="B38" s="2473">
        <v>70</v>
      </c>
      <c r="C38"/>
      <c r="D38" s="2405">
        <v>10</v>
      </c>
      <c r="E38" s="2485" t="s">
        <v>1751</v>
      </c>
      <c r="F38" s="2405">
        <v>10</v>
      </c>
    </row>
    <row r="39" spans="1:6" s="2467" customFormat="1" x14ac:dyDescent="0.2">
      <c r="A39" s="2474" t="s">
        <v>1753</v>
      </c>
      <c r="B39" s="2473">
        <v>71</v>
      </c>
      <c r="C39"/>
      <c r="D39" s="2405">
        <v>11</v>
      </c>
      <c r="E39" s="2485" t="s">
        <v>1751</v>
      </c>
      <c r="F39" s="2405">
        <v>10</v>
      </c>
    </row>
    <row r="40" spans="1:6" s="2467" customFormat="1" x14ac:dyDescent="0.2">
      <c r="A40" s="2474" t="s">
        <v>1752</v>
      </c>
      <c r="B40" s="2473">
        <v>72</v>
      </c>
      <c r="C40"/>
      <c r="D40" s="2405">
        <v>12</v>
      </c>
      <c r="E40" s="2485" t="s">
        <v>1751</v>
      </c>
      <c r="F40" s="2405">
        <v>10</v>
      </c>
    </row>
    <row r="41" spans="1:6" s="2467" customFormat="1" x14ac:dyDescent="0.2">
      <c r="A41" s="2474" t="s">
        <v>1750</v>
      </c>
      <c r="B41" s="2473">
        <v>73</v>
      </c>
      <c r="C41"/>
      <c r="D41" s="2405">
        <v>13</v>
      </c>
      <c r="E41" s="2485" t="s">
        <v>1735</v>
      </c>
      <c r="F41" s="2405">
        <v>17</v>
      </c>
    </row>
    <row r="42" spans="1:6" s="2467" customFormat="1" x14ac:dyDescent="0.2">
      <c r="A42" s="2474" t="s">
        <v>1749</v>
      </c>
      <c r="B42" s="2473">
        <v>74</v>
      </c>
      <c r="C42"/>
      <c r="D42" s="2405">
        <v>14</v>
      </c>
      <c r="E42" s="2485" t="s">
        <v>57</v>
      </c>
      <c r="F42" s="2405" t="e">
        <v>#N/A</v>
      </c>
    </row>
    <row r="43" spans="1:6" s="2467" customFormat="1" x14ac:dyDescent="0.2">
      <c r="A43" s="2474" t="s">
        <v>1748</v>
      </c>
      <c r="B43" s="2473">
        <v>75</v>
      </c>
      <c r="C43"/>
      <c r="D43" s="2405">
        <v>15</v>
      </c>
      <c r="E43" s="2488" t="s">
        <v>591</v>
      </c>
      <c r="F43" s="2405" t="e">
        <v>#N/A</v>
      </c>
    </row>
    <row r="44" spans="1:6" s="2467" customFormat="1" x14ac:dyDescent="0.2">
      <c r="A44" s="2474" t="s">
        <v>1747</v>
      </c>
      <c r="B44" s="2473">
        <v>76</v>
      </c>
      <c r="C44"/>
      <c r="D44" s="2405">
        <v>16</v>
      </c>
      <c r="E44" s="2487" t="s">
        <v>1746</v>
      </c>
      <c r="F44" s="2405">
        <v>5</v>
      </c>
    </row>
    <row r="45" spans="1:6" s="2467" customFormat="1" x14ac:dyDescent="0.2">
      <c r="A45" s="2478" t="s">
        <v>1745</v>
      </c>
      <c r="B45" s="2477">
        <v>77</v>
      </c>
      <c r="C45"/>
      <c r="D45" s="2405">
        <v>17</v>
      </c>
      <c r="E45" s="2487" t="s">
        <v>1744</v>
      </c>
      <c r="F45" s="2405">
        <v>1</v>
      </c>
    </row>
    <row r="46" spans="1:6" s="2467" customFormat="1" x14ac:dyDescent="0.2">
      <c r="A46" s="2478" t="s">
        <v>1743</v>
      </c>
      <c r="B46" s="2477">
        <v>78</v>
      </c>
      <c r="C46"/>
      <c r="D46" s="2405">
        <v>18</v>
      </c>
      <c r="E46" s="2485" t="s">
        <v>30</v>
      </c>
      <c r="F46" s="2405">
        <v>12</v>
      </c>
    </row>
    <row r="47" spans="1:6" s="2467" customFormat="1" x14ac:dyDescent="0.2">
      <c r="A47" s="2478" t="s">
        <v>1742</v>
      </c>
      <c r="B47" s="2477">
        <v>79</v>
      </c>
      <c r="C47"/>
      <c r="D47" s="2405">
        <v>19</v>
      </c>
      <c r="E47" s="2486" t="s">
        <v>604</v>
      </c>
      <c r="F47" s="2405" t="e">
        <v>#N/A</v>
      </c>
    </row>
    <row r="48" spans="1:6" s="2467" customFormat="1" x14ac:dyDescent="0.2">
      <c r="A48" s="2478" t="s">
        <v>1741</v>
      </c>
      <c r="B48" s="2477">
        <v>80</v>
      </c>
      <c r="C48"/>
      <c r="D48" s="2405">
        <v>20</v>
      </c>
      <c r="E48" s="2485" t="s">
        <v>356</v>
      </c>
      <c r="F48" s="2405" t="e">
        <v>#N/A</v>
      </c>
    </row>
    <row r="49" spans="1:6" s="2467" customFormat="1" x14ac:dyDescent="0.2">
      <c r="A49" s="2474" t="s">
        <v>1740</v>
      </c>
      <c r="B49" s="2473">
        <v>81</v>
      </c>
      <c r="C49"/>
      <c r="D49" s="2405">
        <v>21</v>
      </c>
      <c r="E49" s="2485" t="s">
        <v>1739</v>
      </c>
      <c r="F49" s="2405">
        <v>13</v>
      </c>
    </row>
    <row r="50" spans="1:6" s="2467" customFormat="1" x14ac:dyDescent="0.2">
      <c r="A50" s="2478" t="s">
        <v>1738</v>
      </c>
      <c r="B50" s="2477">
        <v>82</v>
      </c>
      <c r="C50"/>
      <c r="D50" s="2405">
        <v>22</v>
      </c>
      <c r="E50" s="2485" t="s">
        <v>1737</v>
      </c>
      <c r="F50" s="2405">
        <v>3</v>
      </c>
    </row>
    <row r="51" spans="1:6" s="2467" customFormat="1" x14ac:dyDescent="0.2">
      <c r="A51" s="2478" t="s">
        <v>1736</v>
      </c>
      <c r="B51" s="2477">
        <v>83</v>
      </c>
      <c r="C51"/>
      <c r="D51" s="2405">
        <v>23</v>
      </c>
      <c r="E51" s="2476" t="s">
        <v>1735</v>
      </c>
      <c r="F51" s="2405">
        <v>17</v>
      </c>
    </row>
    <row r="52" spans="1:6" s="2467" customFormat="1" x14ac:dyDescent="0.2">
      <c r="A52" s="2474" t="s">
        <v>1734</v>
      </c>
      <c r="B52" s="2473">
        <v>84</v>
      </c>
      <c r="C52"/>
      <c r="D52" s="2405">
        <v>24</v>
      </c>
      <c r="E52" s="2485" t="s">
        <v>1733</v>
      </c>
      <c r="F52" s="2405">
        <v>9</v>
      </c>
    </row>
    <row r="53" spans="1:6" s="2467" customFormat="1" x14ac:dyDescent="0.2">
      <c r="A53" s="2474" t="s">
        <v>1732</v>
      </c>
      <c r="B53" s="2473">
        <v>85</v>
      </c>
      <c r="C53"/>
      <c r="D53" s="2405"/>
      <c r="E53" s="2405"/>
      <c r="F53" s="2405"/>
    </row>
    <row r="54" spans="1:6" s="2467" customFormat="1" ht="13.5" thickBot="1" x14ac:dyDescent="0.25">
      <c r="A54" s="2474" t="s">
        <v>1731</v>
      </c>
      <c r="B54" s="2473">
        <v>86</v>
      </c>
      <c r="C54"/>
      <c r="D54" s="2405"/>
      <c r="E54" s="2484" t="s">
        <v>32</v>
      </c>
      <c r="F54" s="2405"/>
    </row>
    <row r="55" spans="1:6" s="2467" customFormat="1" x14ac:dyDescent="0.2">
      <c r="A55" s="2474" t="s">
        <v>1730</v>
      </c>
      <c r="B55" s="2473">
        <v>87</v>
      </c>
      <c r="C55"/>
      <c r="D55" s="2405">
        <v>1</v>
      </c>
      <c r="E55" s="2483"/>
      <c r="F55" s="2405"/>
    </row>
    <row r="56" spans="1:6" s="2467" customFormat="1" x14ac:dyDescent="0.2">
      <c r="A56" s="2474" t="s">
        <v>1729</v>
      </c>
      <c r="B56" s="2473">
        <v>88</v>
      </c>
      <c r="C56"/>
      <c r="D56" s="2405">
        <v>2</v>
      </c>
      <c r="E56" s="2475" t="s">
        <v>1048</v>
      </c>
      <c r="F56" s="2405">
        <v>25</v>
      </c>
    </row>
    <row r="57" spans="1:6" s="2467" customFormat="1" x14ac:dyDescent="0.2">
      <c r="A57" s="2474" t="s">
        <v>1728</v>
      </c>
      <c r="B57" s="2473">
        <v>89</v>
      </c>
      <c r="C57"/>
      <c r="D57" s="2405">
        <v>3</v>
      </c>
      <c r="E57" s="2475" t="s">
        <v>740</v>
      </c>
      <c r="F57" s="2405">
        <v>15</v>
      </c>
    </row>
    <row r="58" spans="1:6" s="2467" customFormat="1" x14ac:dyDescent="0.2">
      <c r="A58" s="2474" t="s">
        <v>1727</v>
      </c>
      <c r="B58" s="2473">
        <v>90</v>
      </c>
      <c r="C58"/>
      <c r="D58" s="2405">
        <v>4</v>
      </c>
      <c r="E58" s="2476" t="s">
        <v>1726</v>
      </c>
      <c r="F58" s="2405">
        <v>5</v>
      </c>
    </row>
    <row r="59" spans="1:6" s="2467" customFormat="1" x14ac:dyDescent="0.2">
      <c r="A59" s="2474" t="s">
        <v>1725</v>
      </c>
      <c r="B59" s="2473">
        <v>91</v>
      </c>
      <c r="C59"/>
      <c r="D59" s="2405">
        <v>5</v>
      </c>
      <c r="E59" s="2480" t="s">
        <v>1724</v>
      </c>
      <c r="F59" s="2405">
        <v>20</v>
      </c>
    </row>
    <row r="60" spans="1:6" s="2467" customFormat="1" x14ac:dyDescent="0.2">
      <c r="A60" s="2474" t="s">
        <v>1723</v>
      </c>
      <c r="B60" s="2473">
        <v>92</v>
      </c>
      <c r="C60"/>
      <c r="D60" s="2405">
        <v>6</v>
      </c>
      <c r="E60" s="2475" t="s">
        <v>1721</v>
      </c>
      <c r="F60" s="2405">
        <v>8</v>
      </c>
    </row>
    <row r="61" spans="1:6" s="2467" customFormat="1" x14ac:dyDescent="0.2">
      <c r="A61" s="2474" t="s">
        <v>1722</v>
      </c>
      <c r="B61" s="2473">
        <v>93</v>
      </c>
      <c r="C61"/>
      <c r="D61" s="2405">
        <v>7</v>
      </c>
      <c r="E61" s="2482" t="s">
        <v>1721</v>
      </c>
      <c r="F61" s="2405">
        <v>8</v>
      </c>
    </row>
    <row r="62" spans="1:6" s="2467" customFormat="1" x14ac:dyDescent="0.2">
      <c r="A62" s="2474" t="s">
        <v>1720</v>
      </c>
      <c r="B62" s="2473">
        <v>94</v>
      </c>
      <c r="C62"/>
      <c r="D62" s="2405">
        <v>8</v>
      </c>
      <c r="E62" s="2475" t="s">
        <v>764</v>
      </c>
      <c r="F62" s="2405">
        <v>26</v>
      </c>
    </row>
    <row r="63" spans="1:6" s="2467" customFormat="1" x14ac:dyDescent="0.2">
      <c r="A63" s="2474" t="s">
        <v>1719</v>
      </c>
      <c r="B63" s="2473">
        <v>95</v>
      </c>
      <c r="C63"/>
      <c r="D63" s="2405">
        <v>9</v>
      </c>
      <c r="E63" s="2476" t="s">
        <v>62</v>
      </c>
      <c r="F63" s="2405">
        <v>19</v>
      </c>
    </row>
    <row r="64" spans="1:6" s="2467" customFormat="1" x14ac:dyDescent="0.2">
      <c r="A64" s="2474" t="s">
        <v>1718</v>
      </c>
      <c r="B64" s="2473">
        <v>96</v>
      </c>
      <c r="C64"/>
      <c r="D64" s="2405">
        <v>10</v>
      </c>
      <c r="E64" s="2476" t="s">
        <v>1717</v>
      </c>
      <c r="F64" s="2405">
        <v>4</v>
      </c>
    </row>
    <row r="65" spans="1:6" s="2467" customFormat="1" x14ac:dyDescent="0.2">
      <c r="A65" s="2474" t="s">
        <v>1716</v>
      </c>
      <c r="B65" s="2473">
        <v>97</v>
      </c>
      <c r="C65"/>
      <c r="D65" s="2405">
        <v>11</v>
      </c>
      <c r="E65" s="2476" t="s">
        <v>35</v>
      </c>
      <c r="F65" s="2405">
        <v>2</v>
      </c>
    </row>
    <row r="66" spans="1:6" s="2467" customFormat="1" x14ac:dyDescent="0.2">
      <c r="A66" s="2474" t="s">
        <v>1715</v>
      </c>
      <c r="B66" s="2473">
        <v>98</v>
      </c>
      <c r="C66"/>
      <c r="D66" s="2405">
        <v>12</v>
      </c>
      <c r="E66" s="2476" t="s">
        <v>1714</v>
      </c>
      <c r="F66" s="2405">
        <v>7</v>
      </c>
    </row>
    <row r="67" spans="1:6" s="2467" customFormat="1" x14ac:dyDescent="0.2">
      <c r="A67" s="2474" t="s">
        <v>1713</v>
      </c>
      <c r="B67" s="2473">
        <v>99</v>
      </c>
      <c r="C67"/>
      <c r="D67" s="2405">
        <v>13</v>
      </c>
      <c r="E67" s="2475" t="s">
        <v>603</v>
      </c>
      <c r="F67" s="2405" t="e">
        <v>#N/A</v>
      </c>
    </row>
    <row r="68" spans="1:6" s="2467" customFormat="1" x14ac:dyDescent="0.2">
      <c r="A68" s="2474" t="s">
        <v>1712</v>
      </c>
      <c r="B68" s="2473">
        <v>100</v>
      </c>
      <c r="C68"/>
      <c r="D68" s="2405">
        <v>14</v>
      </c>
      <c r="E68" s="2480" t="s">
        <v>615</v>
      </c>
      <c r="F68" s="2405" t="e">
        <v>#N/A</v>
      </c>
    </row>
    <row r="69" spans="1:6" s="2467" customFormat="1" x14ac:dyDescent="0.2">
      <c r="A69" s="2474" t="s">
        <v>1711</v>
      </c>
      <c r="B69" s="2473">
        <v>101</v>
      </c>
      <c r="C69"/>
      <c r="D69" s="2405">
        <v>15</v>
      </c>
      <c r="E69" s="2480" t="s">
        <v>619</v>
      </c>
      <c r="F69" s="2405" t="e">
        <v>#N/A</v>
      </c>
    </row>
    <row r="70" spans="1:6" s="2467" customFormat="1" x14ac:dyDescent="0.2">
      <c r="A70" s="2474" t="s">
        <v>1710</v>
      </c>
      <c r="B70" s="2473">
        <v>102</v>
      </c>
      <c r="C70"/>
      <c r="D70" s="2405">
        <v>16</v>
      </c>
      <c r="E70" s="2475" t="s">
        <v>582</v>
      </c>
      <c r="F70" s="2405" t="e">
        <v>#N/A</v>
      </c>
    </row>
    <row r="71" spans="1:6" s="2467" customFormat="1" x14ac:dyDescent="0.2">
      <c r="A71" s="2474" t="s">
        <v>1709</v>
      </c>
      <c r="B71" s="2473">
        <v>103</v>
      </c>
      <c r="C71"/>
      <c r="D71" s="2405">
        <v>17</v>
      </c>
      <c r="E71" s="2481" t="s">
        <v>1707</v>
      </c>
      <c r="F71" s="2405">
        <v>6</v>
      </c>
    </row>
    <row r="72" spans="1:6" s="2467" customFormat="1" x14ac:dyDescent="0.2">
      <c r="A72" s="2474" t="s">
        <v>1708</v>
      </c>
      <c r="B72" s="2473">
        <v>105</v>
      </c>
      <c r="C72"/>
      <c r="D72" s="2405">
        <v>18</v>
      </c>
      <c r="E72" s="2481" t="s">
        <v>1707</v>
      </c>
      <c r="F72" s="2405">
        <v>6</v>
      </c>
    </row>
    <row r="73" spans="1:6" s="2467" customFormat="1" x14ac:dyDescent="0.2">
      <c r="A73" s="2474" t="s">
        <v>1706</v>
      </c>
      <c r="B73" s="2473">
        <v>106</v>
      </c>
      <c r="C73"/>
      <c r="D73" s="2405">
        <v>19</v>
      </c>
      <c r="E73" s="2480" t="s">
        <v>620</v>
      </c>
      <c r="F73" s="2405" t="e">
        <v>#N/A</v>
      </c>
    </row>
    <row r="74" spans="1:6" s="2467" customFormat="1" x14ac:dyDescent="0.2">
      <c r="A74" s="2474" t="s">
        <v>1705</v>
      </c>
      <c r="B74" s="2473">
        <v>108</v>
      </c>
      <c r="C74"/>
      <c r="D74" s="2405">
        <v>20</v>
      </c>
      <c r="E74" s="2480" t="s">
        <v>621</v>
      </c>
      <c r="F74" s="2405" t="e">
        <v>#N/A</v>
      </c>
    </row>
    <row r="75" spans="1:6" s="2467" customFormat="1" x14ac:dyDescent="0.2">
      <c r="A75" s="2478" t="s">
        <v>1704</v>
      </c>
      <c r="B75" s="2477">
        <v>109</v>
      </c>
      <c r="C75"/>
      <c r="D75" s="2405">
        <v>21</v>
      </c>
      <c r="E75" s="2480" t="s">
        <v>617</v>
      </c>
      <c r="F75" s="2405">
        <v>10</v>
      </c>
    </row>
    <row r="76" spans="1:6" s="2467" customFormat="1" x14ac:dyDescent="0.2">
      <c r="A76" s="2474" t="s">
        <v>1703</v>
      </c>
      <c r="B76" s="2473">
        <v>110</v>
      </c>
      <c r="C76"/>
      <c r="D76" s="2405">
        <v>22</v>
      </c>
      <c r="E76" s="2480" t="s">
        <v>616</v>
      </c>
      <c r="F76" s="2405">
        <v>10</v>
      </c>
    </row>
    <row r="77" spans="1:6" s="2467" customFormat="1" x14ac:dyDescent="0.2">
      <c r="A77" s="2474" t="s">
        <v>1702</v>
      </c>
      <c r="B77" s="2473">
        <v>111</v>
      </c>
      <c r="C77"/>
      <c r="D77" s="2405">
        <v>23</v>
      </c>
      <c r="E77" s="2475" t="s">
        <v>462</v>
      </c>
      <c r="F77" s="2405">
        <v>12</v>
      </c>
    </row>
    <row r="78" spans="1:6" s="2467" customFormat="1" x14ac:dyDescent="0.2">
      <c r="A78" s="2474" t="s">
        <v>1701</v>
      </c>
      <c r="B78" s="2473">
        <v>112</v>
      </c>
      <c r="C78"/>
      <c r="D78" s="2405">
        <v>24</v>
      </c>
      <c r="E78" s="2475" t="s">
        <v>609</v>
      </c>
      <c r="F78" s="2405">
        <v>27</v>
      </c>
    </row>
    <row r="79" spans="1:6" s="2467" customFormat="1" x14ac:dyDescent="0.2">
      <c r="A79" s="2474" t="s">
        <v>1700</v>
      </c>
      <c r="B79" s="2473">
        <v>113</v>
      </c>
      <c r="C79"/>
      <c r="D79" s="2405">
        <v>25</v>
      </c>
      <c r="E79" s="2480" t="s">
        <v>1699</v>
      </c>
      <c r="F79" s="2405">
        <v>21</v>
      </c>
    </row>
    <row r="80" spans="1:6" s="2467" customFormat="1" x14ac:dyDescent="0.2">
      <c r="A80" s="2474" t="s">
        <v>1698</v>
      </c>
      <c r="B80" s="2473">
        <v>114</v>
      </c>
      <c r="C80"/>
      <c r="D80" s="2405">
        <v>26</v>
      </c>
      <c r="E80" s="2476" t="s">
        <v>61</v>
      </c>
      <c r="F80" s="2405">
        <v>3</v>
      </c>
    </row>
    <row r="81" spans="1:6" s="2467" customFormat="1" x14ac:dyDescent="0.2">
      <c r="A81" s="2474" t="s">
        <v>1697</v>
      </c>
      <c r="B81" s="2473">
        <v>115</v>
      </c>
      <c r="C81"/>
      <c r="D81" s="2405">
        <v>27</v>
      </c>
      <c r="E81" s="2475" t="s">
        <v>608</v>
      </c>
      <c r="F81" s="2405">
        <v>11</v>
      </c>
    </row>
    <row r="82" spans="1:6" s="2467" customFormat="1" x14ac:dyDescent="0.2">
      <c r="A82" s="2474" t="s">
        <v>1696</v>
      </c>
      <c r="B82" s="2473">
        <v>116</v>
      </c>
      <c r="C82"/>
      <c r="D82" s="2405">
        <v>28</v>
      </c>
      <c r="E82" s="2479" t="s">
        <v>622</v>
      </c>
      <c r="F82" s="2405">
        <v>22</v>
      </c>
    </row>
    <row r="83" spans="1:6" s="2467" customFormat="1" x14ac:dyDescent="0.2">
      <c r="A83" s="2478" t="s">
        <v>1695</v>
      </c>
      <c r="B83" s="2477">
        <v>117</v>
      </c>
      <c r="C83"/>
      <c r="D83" s="2405">
        <v>29</v>
      </c>
      <c r="E83" s="2476" t="s">
        <v>34</v>
      </c>
      <c r="F83" s="2405">
        <v>1</v>
      </c>
    </row>
    <row r="84" spans="1:6" s="2467" customFormat="1" x14ac:dyDescent="0.2">
      <c r="A84" s="2474" t="s">
        <v>1694</v>
      </c>
      <c r="B84" s="2473">
        <v>118</v>
      </c>
      <c r="C84"/>
      <c r="D84" s="2405">
        <v>30</v>
      </c>
      <c r="E84" s="2475" t="s">
        <v>768</v>
      </c>
      <c r="F84" s="2405">
        <v>10</v>
      </c>
    </row>
    <row r="85" spans="1:6" s="2467" customFormat="1" x14ac:dyDescent="0.2">
      <c r="A85" s="2474" t="s">
        <v>1693</v>
      </c>
      <c r="B85" s="2473">
        <v>119</v>
      </c>
      <c r="C85"/>
      <c r="D85" s="2405">
        <v>31</v>
      </c>
      <c r="E85" s="2475" t="s">
        <v>1692</v>
      </c>
      <c r="F85" s="2405">
        <v>17</v>
      </c>
    </row>
    <row r="86" spans="1:6" s="2467" customFormat="1" x14ac:dyDescent="0.2">
      <c r="A86" s="2474" t="s">
        <v>1691</v>
      </c>
      <c r="B86" s="2473">
        <v>120</v>
      </c>
      <c r="C86"/>
      <c r="D86" s="2405"/>
      <c r="E86" s="2405"/>
      <c r="F86" s="2405"/>
    </row>
    <row r="87" spans="1:6" s="2467" customFormat="1" x14ac:dyDescent="0.2">
      <c r="A87" s="2474" t="s">
        <v>1690</v>
      </c>
      <c r="B87" s="2473">
        <v>121</v>
      </c>
      <c r="C87"/>
      <c r="D87" s="2405"/>
      <c r="E87" s="2405" t="s">
        <v>537</v>
      </c>
      <c r="F87" s="2405"/>
    </row>
    <row r="88" spans="1:6" s="2467" customFormat="1" x14ac:dyDescent="0.2">
      <c r="A88" s="2474" t="s">
        <v>1689</v>
      </c>
      <c r="B88" s="2473">
        <v>122</v>
      </c>
      <c r="C88"/>
      <c r="D88">
        <v>1</v>
      </c>
      <c r="E88"/>
      <c r="F88"/>
    </row>
    <row r="89" spans="1:6" s="2467" customFormat="1" x14ac:dyDescent="0.2">
      <c r="A89" s="2474" t="s">
        <v>1688</v>
      </c>
      <c r="B89" s="2473">
        <v>123</v>
      </c>
      <c r="C89"/>
      <c r="D89">
        <v>2</v>
      </c>
      <c r="E89" t="s">
        <v>1687</v>
      </c>
      <c r="F89">
        <v>68</v>
      </c>
    </row>
    <row r="90" spans="1:6" s="2467" customFormat="1" x14ac:dyDescent="0.2">
      <c r="A90" s="2474" t="s">
        <v>1686</v>
      </c>
      <c r="B90" s="2473">
        <v>124</v>
      </c>
      <c r="C90"/>
      <c r="D90">
        <v>3</v>
      </c>
      <c r="E90" t="s">
        <v>756</v>
      </c>
      <c r="F90" t="e">
        <v>#N/A</v>
      </c>
    </row>
    <row r="91" spans="1:6" s="2467" customFormat="1" x14ac:dyDescent="0.2">
      <c r="A91" s="2474" t="s">
        <v>1685</v>
      </c>
      <c r="B91" s="2473">
        <v>125</v>
      </c>
      <c r="C91"/>
      <c r="D91">
        <v>4</v>
      </c>
      <c r="E91" t="s">
        <v>1684</v>
      </c>
      <c r="F91">
        <v>77</v>
      </c>
    </row>
    <row r="92" spans="1:6" s="2467" customFormat="1" x14ac:dyDescent="0.2">
      <c r="A92" s="2474" t="s">
        <v>1683</v>
      </c>
      <c r="B92" s="2473">
        <v>126</v>
      </c>
      <c r="C92"/>
      <c r="D92">
        <v>5</v>
      </c>
      <c r="E92" t="s">
        <v>1682</v>
      </c>
      <c r="F92">
        <v>70</v>
      </c>
    </row>
    <row r="93" spans="1:6" s="2467" customFormat="1" x14ac:dyDescent="0.2">
      <c r="A93" s="2474" t="s">
        <v>1681</v>
      </c>
      <c r="B93" s="2473">
        <v>127</v>
      </c>
      <c r="C93"/>
      <c r="D93">
        <v>6</v>
      </c>
      <c r="E93" t="s">
        <v>17</v>
      </c>
      <c r="F93">
        <v>8</v>
      </c>
    </row>
    <row r="94" spans="1:6" s="2467" customFormat="1" x14ac:dyDescent="0.2">
      <c r="A94" s="2474" t="s">
        <v>1680</v>
      </c>
      <c r="B94" s="2473">
        <v>128</v>
      </c>
      <c r="C94"/>
      <c r="D94">
        <v>7</v>
      </c>
      <c r="E94" t="s">
        <v>1675</v>
      </c>
      <c r="F94">
        <v>11</v>
      </c>
    </row>
    <row r="95" spans="1:6" s="2467" customFormat="1" x14ac:dyDescent="0.2">
      <c r="A95" s="2474" t="s">
        <v>1679</v>
      </c>
      <c r="B95" s="2473">
        <v>129</v>
      </c>
      <c r="C95"/>
      <c r="D95">
        <v>8</v>
      </c>
      <c r="E95" t="s">
        <v>757</v>
      </c>
      <c r="F95">
        <v>29</v>
      </c>
    </row>
    <row r="96" spans="1:6" s="2467" customFormat="1" x14ac:dyDescent="0.2">
      <c r="A96" s="2474" t="s">
        <v>1678</v>
      </c>
      <c r="B96" s="2473">
        <v>130</v>
      </c>
      <c r="C96"/>
      <c r="D96">
        <v>9</v>
      </c>
      <c r="E96" t="s">
        <v>1677</v>
      </c>
      <c r="F96">
        <v>87</v>
      </c>
    </row>
    <row r="97" spans="1:6" s="2467" customFormat="1" x14ac:dyDescent="0.2">
      <c r="A97" s="2474" t="s">
        <v>1676</v>
      </c>
      <c r="B97" s="2473">
        <v>131</v>
      </c>
      <c r="C97"/>
      <c r="D97">
        <v>10</v>
      </c>
      <c r="E97" t="s">
        <v>1675</v>
      </c>
      <c r="F97">
        <v>11</v>
      </c>
    </row>
    <row r="98" spans="1:6" s="2467" customFormat="1" x14ac:dyDescent="0.2">
      <c r="A98" s="2474" t="s">
        <v>1674</v>
      </c>
      <c r="B98" s="2473">
        <v>132</v>
      </c>
      <c r="C98"/>
      <c r="D98">
        <v>11</v>
      </c>
      <c r="E98" t="s">
        <v>1673</v>
      </c>
      <c r="F98">
        <v>76</v>
      </c>
    </row>
    <row r="99" spans="1:6" s="2467" customFormat="1" x14ac:dyDescent="0.2">
      <c r="A99" s="2474" t="s">
        <v>1672</v>
      </c>
      <c r="B99" s="2473">
        <v>133</v>
      </c>
      <c r="C99"/>
      <c r="D99">
        <v>12</v>
      </c>
      <c r="E99" t="s">
        <v>1671</v>
      </c>
      <c r="F99">
        <v>12</v>
      </c>
    </row>
    <row r="100" spans="1:6" s="2467" customFormat="1" x14ac:dyDescent="0.2">
      <c r="A100" s="2474" t="s">
        <v>1670</v>
      </c>
      <c r="B100" s="2473">
        <v>134</v>
      </c>
      <c r="C100"/>
      <c r="D100">
        <v>13</v>
      </c>
      <c r="E100" t="s">
        <v>762</v>
      </c>
      <c r="F100" t="e">
        <v>#N/A</v>
      </c>
    </row>
    <row r="101" spans="1:6" s="2467" customFormat="1" x14ac:dyDescent="0.2">
      <c r="A101" s="2474" t="s">
        <v>1669</v>
      </c>
      <c r="B101" s="2473">
        <v>135</v>
      </c>
      <c r="C101"/>
      <c r="D101">
        <v>14</v>
      </c>
      <c r="E101" t="s">
        <v>68</v>
      </c>
      <c r="F101">
        <v>20</v>
      </c>
    </row>
    <row r="102" spans="1:6" s="2467" customFormat="1" x14ac:dyDescent="0.2">
      <c r="A102" s="2474" t="s">
        <v>1668</v>
      </c>
      <c r="B102" s="2473">
        <v>136</v>
      </c>
      <c r="C102"/>
      <c r="D102">
        <v>15</v>
      </c>
      <c r="E102" t="s">
        <v>1667</v>
      </c>
      <c r="F102">
        <v>24</v>
      </c>
    </row>
    <row r="103" spans="1:6" s="2467" customFormat="1" x14ac:dyDescent="0.2">
      <c r="A103" s="2474" t="s">
        <v>1666</v>
      </c>
      <c r="B103" s="2473">
        <v>137</v>
      </c>
      <c r="C103"/>
      <c r="D103">
        <v>16</v>
      </c>
      <c r="E103" t="s">
        <v>1665</v>
      </c>
      <c r="F103">
        <v>21</v>
      </c>
    </row>
    <row r="104" spans="1:6" s="2467" customFormat="1" x14ac:dyDescent="0.2">
      <c r="A104" s="2474" t="s">
        <v>1664</v>
      </c>
      <c r="B104" s="2473">
        <v>138</v>
      </c>
      <c r="C104"/>
      <c r="D104">
        <v>17</v>
      </c>
      <c r="E104" t="s">
        <v>1274</v>
      </c>
      <c r="F104">
        <v>75</v>
      </c>
    </row>
    <row r="105" spans="1:6" s="2467" customFormat="1" x14ac:dyDescent="0.2">
      <c r="A105" s="2474" t="s">
        <v>1663</v>
      </c>
      <c r="B105" s="2473">
        <v>139</v>
      </c>
      <c r="C105"/>
      <c r="D105">
        <v>18</v>
      </c>
      <c r="E105" t="s">
        <v>56</v>
      </c>
      <c r="F105">
        <v>18</v>
      </c>
    </row>
    <row r="106" spans="1:6" s="2467" customFormat="1" x14ac:dyDescent="0.2">
      <c r="A106" s="2474" t="s">
        <v>1662</v>
      </c>
      <c r="B106" s="2473">
        <v>140</v>
      </c>
      <c r="C106"/>
      <c r="D106">
        <v>19</v>
      </c>
      <c r="E106" t="s">
        <v>1081</v>
      </c>
      <c r="F106">
        <v>92</v>
      </c>
    </row>
    <row r="107" spans="1:6" s="2467" customFormat="1" x14ac:dyDescent="0.2">
      <c r="A107" s="2474" t="s">
        <v>1661</v>
      </c>
      <c r="B107" s="2473">
        <v>141</v>
      </c>
      <c r="C107"/>
      <c r="D107">
        <v>20</v>
      </c>
      <c r="E107" t="s">
        <v>67</v>
      </c>
      <c r="F107">
        <v>19</v>
      </c>
    </row>
    <row r="108" spans="1:6" s="2467" customFormat="1" x14ac:dyDescent="0.2">
      <c r="A108" s="2474" t="s">
        <v>1660</v>
      </c>
      <c r="B108" s="2473">
        <v>142</v>
      </c>
      <c r="C108"/>
      <c r="D108">
        <v>21</v>
      </c>
      <c r="E108" t="s">
        <v>19</v>
      </c>
      <c r="F108">
        <v>10</v>
      </c>
    </row>
    <row r="109" spans="1:6" s="2467" customFormat="1" x14ac:dyDescent="0.2">
      <c r="A109" s="2474" t="s">
        <v>1659</v>
      </c>
      <c r="B109" s="2473">
        <v>143</v>
      </c>
      <c r="C109"/>
      <c r="D109">
        <v>22</v>
      </c>
      <c r="E109" t="s">
        <v>346</v>
      </c>
      <c r="F109">
        <v>17</v>
      </c>
    </row>
    <row r="110" spans="1:6" s="2467" customFormat="1" x14ac:dyDescent="0.2">
      <c r="A110" s="2474" t="s">
        <v>1658</v>
      </c>
      <c r="B110" s="2473">
        <v>144</v>
      </c>
      <c r="C110"/>
      <c r="D110">
        <v>23</v>
      </c>
      <c r="E110" t="s">
        <v>1657</v>
      </c>
      <c r="F110">
        <v>81</v>
      </c>
    </row>
    <row r="111" spans="1:6" s="2467" customFormat="1" x14ac:dyDescent="0.2">
      <c r="A111" s="2474" t="s">
        <v>1656</v>
      </c>
      <c r="B111" s="2473">
        <v>145</v>
      </c>
      <c r="C111"/>
      <c r="D111">
        <v>24</v>
      </c>
      <c r="E111" t="s">
        <v>763</v>
      </c>
      <c r="F111" t="e">
        <v>#N/A</v>
      </c>
    </row>
    <row r="112" spans="1:6" s="2467" customFormat="1" x14ac:dyDescent="0.2">
      <c r="A112" s="2474" t="s">
        <v>1655</v>
      </c>
      <c r="B112" s="2473">
        <v>146</v>
      </c>
      <c r="C112"/>
      <c r="D112">
        <v>25</v>
      </c>
      <c r="E112" t="s">
        <v>1654</v>
      </c>
      <c r="F112">
        <v>13</v>
      </c>
    </row>
    <row r="113" spans="1:7" s="2467" customFormat="1" x14ac:dyDescent="0.2">
      <c r="A113" s="2472" t="s">
        <v>1653</v>
      </c>
      <c r="B113" s="2470">
        <v>147</v>
      </c>
      <c r="C113"/>
      <c r="D113">
        <v>26</v>
      </c>
      <c r="E113" t="s">
        <v>1652</v>
      </c>
      <c r="F113">
        <v>39</v>
      </c>
      <c r="G113"/>
    </row>
    <row r="114" spans="1:7" s="2467" customFormat="1" x14ac:dyDescent="0.2">
      <c r="A114" s="2471" t="s">
        <v>1651</v>
      </c>
      <c r="B114" s="2470">
        <v>148</v>
      </c>
      <c r="C114"/>
      <c r="D114" s="2405"/>
      <c r="E114" s="2405"/>
      <c r="F114" s="2405"/>
      <c r="G114"/>
    </row>
    <row r="115" spans="1:7" s="2467" customFormat="1" ht="13.5" thickBot="1" x14ac:dyDescent="0.25">
      <c r="A115" s="2469" t="s">
        <v>1650</v>
      </c>
      <c r="B115" s="2468">
        <v>149</v>
      </c>
      <c r="C115"/>
      <c r="D115" s="2405"/>
      <c r="E115" s="2405" t="s">
        <v>1334</v>
      </c>
      <c r="F115" s="2405"/>
      <c r="G115"/>
    </row>
    <row r="116" spans="1:7" x14ac:dyDescent="0.2">
      <c r="D116">
        <v>1</v>
      </c>
      <c r="E116" s="218"/>
      <c r="F116"/>
      <c r="G116" t="str">
        <f>IFERROR(VLOOKUP(F116,#REF!,2,),"")</f>
        <v/>
      </c>
    </row>
    <row r="117" spans="1:7" x14ac:dyDescent="0.2">
      <c r="D117">
        <v>2</v>
      </c>
      <c r="E117" s="242" t="s">
        <v>9</v>
      </c>
      <c r="F117">
        <v>33</v>
      </c>
      <c r="G117" t="s">
        <v>9</v>
      </c>
    </row>
    <row r="118" spans="1:7" x14ac:dyDescent="0.2">
      <c r="D118">
        <v>3</v>
      </c>
      <c r="E118" s="242" t="s">
        <v>50</v>
      </c>
      <c r="F118">
        <v>24</v>
      </c>
      <c r="G118" t="s">
        <v>452</v>
      </c>
    </row>
    <row r="119" spans="1:7" x14ac:dyDescent="0.2">
      <c r="D119">
        <v>4</v>
      </c>
      <c r="E119" s="242" t="s">
        <v>448</v>
      </c>
      <c r="F119">
        <v>57</v>
      </c>
      <c r="G119" t="s">
        <v>1649</v>
      </c>
    </row>
    <row r="120" spans="1:7" x14ac:dyDescent="0.2">
      <c r="D120">
        <v>5</v>
      </c>
      <c r="E120" s="242" t="s">
        <v>51</v>
      </c>
      <c r="F120">
        <v>52</v>
      </c>
      <c r="G120" t="s">
        <v>51</v>
      </c>
    </row>
    <row r="121" spans="1:7" x14ac:dyDescent="0.2">
      <c r="D121">
        <v>6</v>
      </c>
      <c r="E121" s="11" t="s">
        <v>809</v>
      </c>
      <c r="F121">
        <v>64</v>
      </c>
      <c r="G121" t="s">
        <v>1648</v>
      </c>
    </row>
    <row r="122" spans="1:7" x14ac:dyDescent="0.2">
      <c r="D122">
        <v>7</v>
      </c>
      <c r="E122" s="11" t="s">
        <v>810</v>
      </c>
      <c r="F122">
        <v>51</v>
      </c>
      <c r="G122" t="s">
        <v>810</v>
      </c>
    </row>
    <row r="123" spans="1:7" x14ac:dyDescent="0.2">
      <c r="D123">
        <v>8</v>
      </c>
      <c r="E123" s="11" t="s">
        <v>811</v>
      </c>
      <c r="F123"/>
      <c r="G123" t="s">
        <v>1642</v>
      </c>
    </row>
    <row r="124" spans="1:7" x14ac:dyDescent="0.2">
      <c r="D124">
        <v>9</v>
      </c>
      <c r="E124" s="1358" t="s">
        <v>817</v>
      </c>
      <c r="F124">
        <v>60</v>
      </c>
      <c r="G124" t="s">
        <v>817</v>
      </c>
    </row>
    <row r="125" spans="1:7" ht="13.5" thickBot="1" x14ac:dyDescent="0.25">
      <c r="D125"/>
      <c r="E125"/>
      <c r="F125"/>
      <c r="G125" t="s">
        <v>1642</v>
      </c>
    </row>
    <row r="126" spans="1:7" x14ac:dyDescent="0.2">
      <c r="D126">
        <v>1</v>
      </c>
      <c r="E126" s="218"/>
      <c r="F126"/>
      <c r="G126" t="s">
        <v>1642</v>
      </c>
    </row>
    <row r="127" spans="1:7" x14ac:dyDescent="0.2">
      <c r="D127">
        <v>2</v>
      </c>
      <c r="E127" s="11" t="s">
        <v>450</v>
      </c>
      <c r="F127">
        <v>35</v>
      </c>
      <c r="G127" t="s">
        <v>1647</v>
      </c>
    </row>
    <row r="128" spans="1:7" x14ac:dyDescent="0.2">
      <c r="D128">
        <v>3</v>
      </c>
      <c r="E128" s="11" t="s">
        <v>6</v>
      </c>
      <c r="F128">
        <v>43</v>
      </c>
      <c r="G128" t="s">
        <v>6</v>
      </c>
    </row>
    <row r="129" spans="4:7" x14ac:dyDescent="0.2">
      <c r="D129">
        <v>4</v>
      </c>
      <c r="E129" s="11" t="s">
        <v>627</v>
      </c>
      <c r="F129">
        <v>31</v>
      </c>
      <c r="G129" t="s">
        <v>1646</v>
      </c>
    </row>
    <row r="130" spans="4:7" x14ac:dyDescent="0.2">
      <c r="D130"/>
      <c r="E130"/>
      <c r="F130"/>
      <c r="G130" t="s">
        <v>1642</v>
      </c>
    </row>
    <row r="131" spans="4:7" x14ac:dyDescent="0.2">
      <c r="D131">
        <v>1</v>
      </c>
      <c r="E131"/>
      <c r="F131"/>
      <c r="G131" t="s">
        <v>1642</v>
      </c>
    </row>
    <row r="132" spans="4:7" x14ac:dyDescent="0.2">
      <c r="D132">
        <v>2</v>
      </c>
      <c r="E132" s="11" t="s">
        <v>66</v>
      </c>
      <c r="F132">
        <v>30</v>
      </c>
      <c r="G132" t="s">
        <v>1645</v>
      </c>
    </row>
    <row r="133" spans="4:7" x14ac:dyDescent="0.2">
      <c r="D133">
        <v>3</v>
      </c>
      <c r="E133" s="11" t="s">
        <v>65</v>
      </c>
      <c r="F133">
        <v>28</v>
      </c>
      <c r="G133" t="s">
        <v>1644</v>
      </c>
    </row>
    <row r="134" spans="4:7" x14ac:dyDescent="0.2">
      <c r="D134">
        <v>4</v>
      </c>
      <c r="E134" s="11" t="s">
        <v>11</v>
      </c>
      <c r="F134">
        <v>27</v>
      </c>
      <c r="G134" t="s">
        <v>11</v>
      </c>
    </row>
    <row r="135" spans="4:7" x14ac:dyDescent="0.2">
      <c r="D135">
        <v>5</v>
      </c>
      <c r="E135" s="11" t="s">
        <v>452</v>
      </c>
      <c r="F135">
        <v>24</v>
      </c>
      <c r="G135" t="s">
        <v>452</v>
      </c>
    </row>
    <row r="136" spans="4:7" x14ac:dyDescent="0.2">
      <c r="D136">
        <v>6</v>
      </c>
      <c r="E136" s="1358" t="s">
        <v>730</v>
      </c>
      <c r="F136">
        <v>4</v>
      </c>
      <c r="G136" t="s">
        <v>1643</v>
      </c>
    </row>
    <row r="137" spans="4:7" x14ac:dyDescent="0.2">
      <c r="D137">
        <v>7</v>
      </c>
      <c r="E137" s="1358" t="s">
        <v>731</v>
      </c>
      <c r="F137"/>
      <c r="G137" t="s">
        <v>1642</v>
      </c>
    </row>
    <row r="138" spans="4:7" x14ac:dyDescent="0.2">
      <c r="D138">
        <v>8</v>
      </c>
      <c r="E138" s="11" t="s">
        <v>736</v>
      </c>
      <c r="F138"/>
      <c r="G138" t="s">
        <v>1642</v>
      </c>
    </row>
    <row r="139" spans="4:7" x14ac:dyDescent="0.2">
      <c r="D139">
        <v>9</v>
      </c>
      <c r="E139" s="11" t="s">
        <v>737</v>
      </c>
      <c r="F139"/>
      <c r="G139" t="s">
        <v>1642</v>
      </c>
    </row>
    <row r="140" spans="4:7" x14ac:dyDescent="0.2">
      <c r="D140">
        <v>10</v>
      </c>
      <c r="E140" s="11" t="s">
        <v>738</v>
      </c>
      <c r="F140">
        <v>58</v>
      </c>
      <c r="G140" t="s">
        <v>738</v>
      </c>
    </row>
    <row r="141" spans="4:7" x14ac:dyDescent="0.2">
      <c r="D141">
        <v>11</v>
      </c>
      <c r="E141" s="1358" t="s">
        <v>1006</v>
      </c>
      <c r="F141">
        <v>56</v>
      </c>
      <c r="G141" t="s">
        <v>1641</v>
      </c>
    </row>
    <row r="142" spans="4:7" x14ac:dyDescent="0.2">
      <c r="D142"/>
      <c r="E142" s="2466"/>
      <c r="F142"/>
    </row>
    <row r="143" spans="4:7" x14ac:dyDescent="0.2">
      <c r="E143" s="2405" t="s">
        <v>844</v>
      </c>
    </row>
    <row r="144" spans="4:7" x14ac:dyDescent="0.2">
      <c r="D144">
        <v>1</v>
      </c>
      <c r="E144" s="67"/>
      <c r="F144"/>
    </row>
    <row r="145" spans="4:6" x14ac:dyDescent="0.2">
      <c r="D145">
        <v>2</v>
      </c>
      <c r="E145" s="1357" t="s">
        <v>599</v>
      </c>
      <c r="F145">
        <v>7</v>
      </c>
    </row>
    <row r="146" spans="4:6" x14ac:dyDescent="0.2">
      <c r="D146">
        <v>3</v>
      </c>
      <c r="E146" s="153" t="s">
        <v>594</v>
      </c>
      <c r="F146">
        <v>30</v>
      </c>
    </row>
    <row r="147" spans="4:6" x14ac:dyDescent="0.2">
      <c r="D147">
        <v>4</v>
      </c>
      <c r="E147" s="153" t="s">
        <v>593</v>
      </c>
      <c r="F147">
        <v>34</v>
      </c>
    </row>
    <row r="148" spans="4:6" x14ac:dyDescent="0.2">
      <c r="D148">
        <v>5</v>
      </c>
      <c r="E148" s="153" t="s">
        <v>601</v>
      </c>
      <c r="F148">
        <v>11</v>
      </c>
    </row>
    <row r="150" spans="4:6" ht="13.5" thickBot="1" x14ac:dyDescent="0.25">
      <c r="E150" s="2405" t="s">
        <v>1640</v>
      </c>
    </row>
    <row r="151" spans="4:6" x14ac:dyDescent="0.2">
      <c r="D151" s="25">
        <v>1</v>
      </c>
      <c r="E151" s="2465"/>
      <c r="F151"/>
    </row>
    <row r="152" spans="4:6" x14ac:dyDescent="0.2">
      <c r="D152" s="25">
        <v>2</v>
      </c>
      <c r="E152" s="2464" t="s">
        <v>45</v>
      </c>
      <c r="F152">
        <v>7</v>
      </c>
    </row>
    <row r="153" spans="4:6" x14ac:dyDescent="0.2">
      <c r="D153" s="25">
        <v>3</v>
      </c>
      <c r="E153" s="2464" t="s">
        <v>1639</v>
      </c>
      <c r="F153">
        <v>10</v>
      </c>
    </row>
    <row r="154" spans="4:6" x14ac:dyDescent="0.2">
      <c r="D154" s="25">
        <v>4</v>
      </c>
      <c r="E154" s="2464" t="s">
        <v>1638</v>
      </c>
      <c r="F154">
        <v>12</v>
      </c>
    </row>
    <row r="155" spans="4:6" x14ac:dyDescent="0.2">
      <c r="D155" s="25">
        <v>5</v>
      </c>
      <c r="E155" s="2464" t="s">
        <v>1637</v>
      </c>
      <c r="F155">
        <v>9</v>
      </c>
    </row>
    <row r="156" spans="4:6" x14ac:dyDescent="0.2">
      <c r="D156" s="25">
        <v>6</v>
      </c>
      <c r="E156" s="2464" t="s">
        <v>49</v>
      </c>
      <c r="F156">
        <v>24</v>
      </c>
    </row>
    <row r="157" spans="4:6" x14ac:dyDescent="0.2">
      <c r="D157" s="25">
        <v>7</v>
      </c>
      <c r="E157" s="2464" t="s">
        <v>71</v>
      </c>
      <c r="F157">
        <v>4</v>
      </c>
    </row>
    <row r="158" spans="4:6" x14ac:dyDescent="0.2">
      <c r="D158" s="25">
        <v>8</v>
      </c>
      <c r="E158" s="2464" t="s">
        <v>1636</v>
      </c>
      <c r="F158">
        <v>30</v>
      </c>
    </row>
    <row r="159" spans="4:6" x14ac:dyDescent="0.2">
      <c r="D159" s="25">
        <v>9</v>
      </c>
      <c r="E159" s="2464" t="s">
        <v>1635</v>
      </c>
      <c r="F159">
        <v>31</v>
      </c>
    </row>
    <row r="160" spans="4:6" x14ac:dyDescent="0.2">
      <c r="D160" s="25">
        <v>10</v>
      </c>
      <c r="E160" s="2464" t="s">
        <v>70</v>
      </c>
      <c r="F160">
        <v>38</v>
      </c>
    </row>
    <row r="161" spans="4:6" x14ac:dyDescent="0.2">
      <c r="D161" s="25">
        <v>11</v>
      </c>
      <c r="E161" s="1408" t="s">
        <v>807</v>
      </c>
      <c r="F161">
        <v>19</v>
      </c>
    </row>
    <row r="162" spans="4:6" x14ac:dyDescent="0.2">
      <c r="D162" s="25">
        <v>12</v>
      </c>
      <c r="E162" s="1408" t="s">
        <v>1634</v>
      </c>
      <c r="F162">
        <v>6</v>
      </c>
    </row>
    <row r="164" spans="4:6" x14ac:dyDescent="0.2">
      <c r="E164" s="2405" t="s">
        <v>885</v>
      </c>
    </row>
    <row r="165" spans="4:6" x14ac:dyDescent="0.2">
      <c r="D165" s="2405">
        <v>2</v>
      </c>
      <c r="E165" s="2405" t="s">
        <v>719</v>
      </c>
      <c r="F165" s="2405">
        <v>1</v>
      </c>
    </row>
    <row r="166" spans="4:6" x14ac:dyDescent="0.2">
      <c r="D166" s="2405">
        <v>3</v>
      </c>
      <c r="E166" s="2405" t="s">
        <v>1633</v>
      </c>
      <c r="F166" s="2405">
        <v>16</v>
      </c>
    </row>
    <row r="167" spans="4:6" x14ac:dyDescent="0.2">
      <c r="D167" s="2405">
        <v>4</v>
      </c>
      <c r="E167" s="2405" t="s">
        <v>1632</v>
      </c>
      <c r="F167" s="2405">
        <v>3</v>
      </c>
    </row>
    <row r="168" spans="4:6" x14ac:dyDescent="0.2">
      <c r="D168" s="2405">
        <v>5</v>
      </c>
      <c r="E168" s="2405" t="s">
        <v>543</v>
      </c>
      <c r="F168" s="2405">
        <v>5</v>
      </c>
    </row>
    <row r="169" spans="4:6" x14ac:dyDescent="0.2">
      <c r="D169" s="2405">
        <v>6</v>
      </c>
      <c r="E169" s="2405" t="s">
        <v>714</v>
      </c>
      <c r="F169" s="2405">
        <v>6</v>
      </c>
    </row>
    <row r="170" spans="4:6" x14ac:dyDescent="0.2">
      <c r="D170" s="2405">
        <v>7</v>
      </c>
      <c r="E170" s="2405" t="s">
        <v>379</v>
      </c>
      <c r="F170" s="2405">
        <v>9</v>
      </c>
    </row>
    <row r="171" spans="4:6" x14ac:dyDescent="0.2">
      <c r="D171" s="2405">
        <v>8</v>
      </c>
      <c r="E171" s="2405" t="s">
        <v>1626</v>
      </c>
      <c r="F171" s="2405">
        <v>2</v>
      </c>
    </row>
    <row r="172" spans="4:6" x14ac:dyDescent="0.2">
      <c r="D172" s="2405">
        <v>9</v>
      </c>
      <c r="E172" s="2405" t="s">
        <v>1631</v>
      </c>
      <c r="F172" s="2405">
        <v>15</v>
      </c>
    </row>
    <row r="173" spans="4:6" x14ac:dyDescent="0.2">
      <c r="D173" s="2405">
        <v>10</v>
      </c>
      <c r="E173" s="2405" t="s">
        <v>1630</v>
      </c>
      <c r="F173" s="2405">
        <v>14</v>
      </c>
    </row>
    <row r="174" spans="4:6" x14ac:dyDescent="0.2">
      <c r="D174" s="2405">
        <v>11</v>
      </c>
      <c r="E174" s="2405" t="s">
        <v>1629</v>
      </c>
      <c r="F174" s="2405">
        <v>17</v>
      </c>
    </row>
    <row r="175" spans="4:6" x14ac:dyDescent="0.2">
      <c r="D175" s="2405">
        <v>12</v>
      </c>
      <c r="E175" s="2405" t="s">
        <v>1628</v>
      </c>
      <c r="F175" s="2405">
        <v>12</v>
      </c>
    </row>
    <row r="176" spans="4:6" x14ac:dyDescent="0.2">
      <c r="D176" s="2405">
        <v>13</v>
      </c>
      <c r="E176" s="2405" t="s">
        <v>1627</v>
      </c>
      <c r="F176" s="2405">
        <v>11</v>
      </c>
    </row>
    <row r="177" spans="4:6" x14ac:dyDescent="0.2">
      <c r="D177" s="2405">
        <v>14</v>
      </c>
      <c r="E177" s="2405" t="s">
        <v>716</v>
      </c>
      <c r="F177" s="2405">
        <v>8</v>
      </c>
    </row>
    <row r="178" spans="4:6" x14ac:dyDescent="0.2">
      <c r="D178" s="2405">
        <v>15</v>
      </c>
      <c r="E178" s="2405" t="s">
        <v>1626</v>
      </c>
      <c r="F178" s="2405">
        <v>2</v>
      </c>
    </row>
    <row r="179" spans="4:6" x14ac:dyDescent="0.2">
      <c r="D179" s="2405">
        <v>16</v>
      </c>
      <c r="E179" s="2405" t="s">
        <v>970</v>
      </c>
      <c r="F179" s="2405">
        <v>20</v>
      </c>
    </row>
    <row r="180" spans="4:6" x14ac:dyDescent="0.2">
      <c r="D180" s="2405">
        <v>17</v>
      </c>
      <c r="E180" s="2405" t="s">
        <v>974</v>
      </c>
      <c r="F180" s="2405">
        <v>21</v>
      </c>
    </row>
    <row r="181" spans="4:6" x14ac:dyDescent="0.2">
      <c r="D181" s="2405">
        <v>18</v>
      </c>
      <c r="E181" s="2405" t="s">
        <v>971</v>
      </c>
      <c r="F181" s="2405">
        <v>22</v>
      </c>
    </row>
    <row r="182" spans="4:6" x14ac:dyDescent="0.2">
      <c r="D182" s="2405">
        <v>19</v>
      </c>
      <c r="E182" s="2405" t="s">
        <v>1625</v>
      </c>
      <c r="F182" s="2405">
        <v>13</v>
      </c>
    </row>
    <row r="183" spans="4:6" x14ac:dyDescent="0.2">
      <c r="D183" s="2405">
        <v>20</v>
      </c>
      <c r="E183" s="2405" t="s">
        <v>1624</v>
      </c>
      <c r="F183" s="2405">
        <v>19</v>
      </c>
    </row>
    <row r="185" spans="4:6" x14ac:dyDescent="0.2">
      <c r="E185" s="2405" t="s">
        <v>416</v>
      </c>
    </row>
    <row r="186" spans="4:6" x14ac:dyDescent="0.2">
      <c r="D186" s="25">
        <v>0</v>
      </c>
      <c r="E186" s="25"/>
    </row>
    <row r="187" spans="4:6" x14ac:dyDescent="0.2">
      <c r="D187" s="25">
        <v>1</v>
      </c>
      <c r="E187" s="25"/>
    </row>
    <row r="188" spans="4:6" x14ac:dyDescent="0.2">
      <c r="D188" s="25">
        <v>2</v>
      </c>
      <c r="E188" s="25" t="s">
        <v>1623</v>
      </c>
    </row>
    <row r="189" spans="4:6" x14ac:dyDescent="0.2">
      <c r="D189" s="25">
        <v>3</v>
      </c>
      <c r="E189" s="25" t="s">
        <v>1622</v>
      </c>
    </row>
    <row r="190" spans="4:6" x14ac:dyDescent="0.2">
      <c r="D190" s="25">
        <v>4</v>
      </c>
      <c r="E190" s="25" t="s">
        <v>1621</v>
      </c>
    </row>
    <row r="191" spans="4:6" x14ac:dyDescent="0.2">
      <c r="D191" s="25">
        <v>5</v>
      </c>
      <c r="E191" s="25" t="s">
        <v>1620</v>
      </c>
    </row>
    <row r="192" spans="4:6" x14ac:dyDescent="0.2">
      <c r="D192" s="25">
        <v>6</v>
      </c>
      <c r="E192" s="25" t="s">
        <v>1619</v>
      </c>
    </row>
    <row r="193" spans="4:6" x14ac:dyDescent="0.2">
      <c r="D193" s="25">
        <v>7</v>
      </c>
      <c r="E193" s="25" t="s">
        <v>1618</v>
      </c>
      <c r="F193"/>
    </row>
    <row r="194" spans="4:6" x14ac:dyDescent="0.2">
      <c r="D194" s="25">
        <v>8</v>
      </c>
      <c r="E194" s="25" t="s">
        <v>1617</v>
      </c>
      <c r="F194"/>
    </row>
    <row r="195" spans="4:6" x14ac:dyDescent="0.2">
      <c r="D195" s="25">
        <v>9</v>
      </c>
      <c r="E195" s="25" t="s">
        <v>1616</v>
      </c>
      <c r="F195"/>
    </row>
    <row r="196" spans="4:6" x14ac:dyDescent="0.2">
      <c r="D196" s="25">
        <v>10</v>
      </c>
      <c r="E196" s="25" t="s">
        <v>1615</v>
      </c>
      <c r="F196"/>
    </row>
    <row r="197" spans="4:6" x14ac:dyDescent="0.2">
      <c r="D197" s="25">
        <v>11</v>
      </c>
      <c r="E197" s="25" t="s">
        <v>1614</v>
      </c>
      <c r="F197"/>
    </row>
    <row r="198" spans="4:6" x14ac:dyDescent="0.2">
      <c r="D198" s="25">
        <v>12</v>
      </c>
      <c r="E198" s="25" t="s">
        <v>1613</v>
      </c>
      <c r="F198"/>
    </row>
    <row r="199" spans="4:6" x14ac:dyDescent="0.2">
      <c r="D199" s="25">
        <v>13</v>
      </c>
      <c r="E199" s="25" t="s">
        <v>1612</v>
      </c>
      <c r="F199"/>
    </row>
    <row r="200" spans="4:6" x14ac:dyDescent="0.2">
      <c r="D200" s="25">
        <v>14</v>
      </c>
      <c r="E200" s="25" t="s">
        <v>1611</v>
      </c>
      <c r="F200"/>
    </row>
    <row r="201" spans="4:6" x14ac:dyDescent="0.2">
      <c r="D201" s="25">
        <v>15</v>
      </c>
      <c r="E201" s="25" t="s">
        <v>1610</v>
      </c>
      <c r="F201"/>
    </row>
    <row r="202" spans="4:6" x14ac:dyDescent="0.2">
      <c r="D202" s="25">
        <v>16</v>
      </c>
      <c r="E202" s="25" t="s">
        <v>1609</v>
      </c>
      <c r="F202"/>
    </row>
    <row r="203" spans="4:6" x14ac:dyDescent="0.2">
      <c r="D203" s="25">
        <v>17</v>
      </c>
      <c r="E203" s="25" t="s">
        <v>1608</v>
      </c>
      <c r="F203"/>
    </row>
    <row r="204" spans="4:6" x14ac:dyDescent="0.2">
      <c r="D204" s="25">
        <v>18</v>
      </c>
      <c r="E204" s="25" t="s">
        <v>1607</v>
      </c>
      <c r="F204"/>
    </row>
    <row r="205" spans="4:6" x14ac:dyDescent="0.2">
      <c r="D205" s="25">
        <v>19</v>
      </c>
      <c r="E205" s="25" t="s">
        <v>1606</v>
      </c>
      <c r="F205"/>
    </row>
    <row r="206" spans="4:6" x14ac:dyDescent="0.2">
      <c r="D206" s="25">
        <v>20</v>
      </c>
      <c r="E206" s="25" t="s">
        <v>1605</v>
      </c>
      <c r="F206"/>
    </row>
    <row r="207" spans="4:6" x14ac:dyDescent="0.2">
      <c r="D207" s="25">
        <v>21</v>
      </c>
      <c r="E207" s="25" t="s">
        <v>1604</v>
      </c>
      <c r="F207"/>
    </row>
    <row r="208" spans="4:6" x14ac:dyDescent="0.2">
      <c r="D208" s="25">
        <v>22</v>
      </c>
      <c r="E208" s="25" t="s">
        <v>1603</v>
      </c>
      <c r="F208"/>
    </row>
    <row r="209" spans="4:6" x14ac:dyDescent="0.2">
      <c r="D209" s="25">
        <v>23</v>
      </c>
      <c r="E209" s="25" t="s">
        <v>1602</v>
      </c>
      <c r="F209"/>
    </row>
    <row r="210" spans="4:6" x14ac:dyDescent="0.2">
      <c r="D210" s="25">
        <v>24</v>
      </c>
      <c r="E210" s="25" t="s">
        <v>1601</v>
      </c>
      <c r="F210"/>
    </row>
    <row r="211" spans="4:6" x14ac:dyDescent="0.2">
      <c r="D211" s="25">
        <v>25</v>
      </c>
      <c r="E211" s="25" t="s">
        <v>1600</v>
      </c>
      <c r="F211"/>
    </row>
    <row r="212" spans="4:6" x14ac:dyDescent="0.2">
      <c r="D212" s="25">
        <v>26</v>
      </c>
      <c r="E212" s="25" t="s">
        <v>1599</v>
      </c>
      <c r="F212"/>
    </row>
    <row r="213" spans="4:6" x14ac:dyDescent="0.2">
      <c r="D213" s="25">
        <v>27</v>
      </c>
      <c r="E213" s="25" t="s">
        <v>1598</v>
      </c>
      <c r="F213"/>
    </row>
    <row r="214" spans="4:6" x14ac:dyDescent="0.2">
      <c r="D214" s="25">
        <v>28</v>
      </c>
      <c r="E214" s="25" t="s">
        <v>1597</v>
      </c>
      <c r="F214"/>
    </row>
    <row r="215" spans="4:6" x14ac:dyDescent="0.2">
      <c r="D215" s="25">
        <v>29</v>
      </c>
      <c r="E215" s="25" t="s">
        <v>1596</v>
      </c>
      <c r="F215"/>
    </row>
    <row r="216" spans="4:6" x14ac:dyDescent="0.2">
      <c r="D216" s="25">
        <v>30</v>
      </c>
      <c r="E216" s="25" t="s">
        <v>1595</v>
      </c>
      <c r="F216"/>
    </row>
    <row r="217" spans="4:6" x14ac:dyDescent="0.2">
      <c r="D217" s="25">
        <v>31</v>
      </c>
      <c r="E217" s="25" t="s">
        <v>1594</v>
      </c>
      <c r="F217"/>
    </row>
    <row r="218" spans="4:6" x14ac:dyDescent="0.2">
      <c r="D218" s="25">
        <v>32</v>
      </c>
      <c r="E218" s="25" t="s">
        <v>1593</v>
      </c>
      <c r="F218"/>
    </row>
    <row r="219" spans="4:6" x14ac:dyDescent="0.2">
      <c r="D219" s="25">
        <v>33</v>
      </c>
      <c r="E219" s="25" t="s">
        <v>1592</v>
      </c>
      <c r="F219"/>
    </row>
    <row r="220" spans="4:6" x14ac:dyDescent="0.2">
      <c r="D220" s="25">
        <v>34</v>
      </c>
      <c r="E220" s="25" t="s">
        <v>1591</v>
      </c>
      <c r="F220"/>
    </row>
    <row r="221" spans="4:6" x14ac:dyDescent="0.2">
      <c r="D221" s="25">
        <v>35</v>
      </c>
      <c r="E221" s="25" t="s">
        <v>1590</v>
      </c>
      <c r="F221"/>
    </row>
    <row r="222" spans="4:6" x14ac:dyDescent="0.2">
      <c r="D222" s="25">
        <v>36</v>
      </c>
      <c r="E222" s="25" t="s">
        <v>1589</v>
      </c>
      <c r="F222"/>
    </row>
    <row r="223" spans="4:6" x14ac:dyDescent="0.2">
      <c r="D223" s="25">
        <v>37</v>
      </c>
      <c r="E223" s="25" t="s">
        <v>1588</v>
      </c>
      <c r="F223"/>
    </row>
    <row r="224" spans="4:6" x14ac:dyDescent="0.2">
      <c r="D224" s="25">
        <v>38</v>
      </c>
      <c r="E224" s="25" t="s">
        <v>1587</v>
      </c>
      <c r="F224"/>
    </row>
    <row r="226" spans="4:6" x14ac:dyDescent="0.2">
      <c r="E226" s="2405" t="s">
        <v>687</v>
      </c>
      <c r="F226"/>
    </row>
    <row r="227" spans="4:6" x14ac:dyDescent="0.2">
      <c r="D227" s="25">
        <v>0</v>
      </c>
      <c r="E227" s="25"/>
      <c r="F227"/>
    </row>
    <row r="228" spans="4:6" x14ac:dyDescent="0.2">
      <c r="D228" s="25">
        <v>1</v>
      </c>
      <c r="E228" s="25"/>
      <c r="F228"/>
    </row>
    <row r="229" spans="4:6" x14ac:dyDescent="0.2">
      <c r="D229" s="25">
        <v>2</v>
      </c>
      <c r="E229" s="25" t="s">
        <v>1586</v>
      </c>
      <c r="F229"/>
    </row>
    <row r="230" spans="4:6" x14ac:dyDescent="0.2">
      <c r="D230" s="25">
        <v>3</v>
      </c>
      <c r="E230" s="25" t="s">
        <v>1585</v>
      </c>
      <c r="F230"/>
    </row>
    <row r="231" spans="4:6" x14ac:dyDescent="0.2">
      <c r="D231" s="25">
        <v>4</v>
      </c>
      <c r="E231" s="25" t="s">
        <v>1584</v>
      </c>
      <c r="F231"/>
    </row>
    <row r="232" spans="4:6" x14ac:dyDescent="0.2">
      <c r="D232" s="25">
        <v>5</v>
      </c>
      <c r="E232" s="25" t="s">
        <v>1583</v>
      </c>
      <c r="F232"/>
    </row>
    <row r="233" spans="4:6" x14ac:dyDescent="0.2">
      <c r="D233" s="25">
        <v>6</v>
      </c>
      <c r="E233" s="25" t="s">
        <v>1582</v>
      </c>
      <c r="F233"/>
    </row>
    <row r="234" spans="4:6" x14ac:dyDescent="0.2">
      <c r="D234" s="25">
        <v>7</v>
      </c>
      <c r="E234" s="25" t="s">
        <v>1581</v>
      </c>
      <c r="F234"/>
    </row>
    <row r="235" spans="4:6" x14ac:dyDescent="0.2">
      <c r="D235" s="25">
        <v>8</v>
      </c>
      <c r="E235" s="25" t="s">
        <v>1580</v>
      </c>
      <c r="F235"/>
    </row>
    <row r="236" spans="4:6" x14ac:dyDescent="0.2">
      <c r="D236" s="25">
        <v>9</v>
      </c>
      <c r="E236" s="25" t="s">
        <v>1579</v>
      </c>
      <c r="F236"/>
    </row>
    <row r="237" spans="4:6" x14ac:dyDescent="0.2">
      <c r="D237" s="25">
        <v>10</v>
      </c>
      <c r="E237" s="25" t="s">
        <v>1578</v>
      </c>
      <c r="F237"/>
    </row>
    <row r="238" spans="4:6" x14ac:dyDescent="0.2">
      <c r="D238" s="25">
        <v>11</v>
      </c>
      <c r="E238" s="25" t="s">
        <v>1577</v>
      </c>
      <c r="F238"/>
    </row>
    <row r="239" spans="4:6" x14ac:dyDescent="0.2">
      <c r="D239" s="25">
        <v>12</v>
      </c>
      <c r="E239" s="25" t="s">
        <v>1576</v>
      </c>
      <c r="F239"/>
    </row>
    <row r="240" spans="4:6" x14ac:dyDescent="0.2">
      <c r="D240" s="25">
        <v>13</v>
      </c>
      <c r="E240" s="25" t="s">
        <v>1575</v>
      </c>
      <c r="F240"/>
    </row>
    <row r="241" spans="4:6" x14ac:dyDescent="0.2">
      <c r="D241" s="25">
        <v>14</v>
      </c>
      <c r="E241" s="25" t="s">
        <v>1574</v>
      </c>
      <c r="F241"/>
    </row>
    <row r="242" spans="4:6" x14ac:dyDescent="0.2">
      <c r="D242" s="25">
        <v>15</v>
      </c>
      <c r="E242" s="25" t="s">
        <v>1573</v>
      </c>
      <c r="F242"/>
    </row>
    <row r="243" spans="4:6" x14ac:dyDescent="0.2">
      <c r="D243" s="25">
        <v>16</v>
      </c>
      <c r="E243" s="25" t="s">
        <v>1572</v>
      </c>
      <c r="F243"/>
    </row>
    <row r="244" spans="4:6" x14ac:dyDescent="0.2">
      <c r="D244" s="25">
        <v>17</v>
      </c>
      <c r="E244" s="25" t="s">
        <v>1571</v>
      </c>
      <c r="F244"/>
    </row>
    <row r="245" spans="4:6" x14ac:dyDescent="0.2">
      <c r="D245" s="25">
        <v>18</v>
      </c>
      <c r="E245" s="25" t="s">
        <v>1570</v>
      </c>
      <c r="F245"/>
    </row>
    <row r="246" spans="4:6" x14ac:dyDescent="0.2">
      <c r="D246" s="25">
        <v>19</v>
      </c>
      <c r="E246" s="25" t="s">
        <v>1569</v>
      </c>
      <c r="F246"/>
    </row>
    <row r="248" spans="4:6" x14ac:dyDescent="0.2">
      <c r="E248" s="2405" t="s">
        <v>1568</v>
      </c>
      <c r="F248"/>
    </row>
    <row r="249" spans="4:6" x14ac:dyDescent="0.2">
      <c r="D249" s="25">
        <v>11</v>
      </c>
      <c r="E249" s="25">
        <v>0</v>
      </c>
      <c r="F249"/>
    </row>
    <row r="250" spans="4:6" x14ac:dyDescent="0.2">
      <c r="D250" s="25">
        <v>22</v>
      </c>
      <c r="E250" s="25" t="s">
        <v>628</v>
      </c>
      <c r="F250"/>
    </row>
    <row r="251" spans="4:6" x14ac:dyDescent="0.2">
      <c r="D251" s="25">
        <v>23</v>
      </c>
      <c r="E251" s="25" t="s">
        <v>632</v>
      </c>
      <c r="F251"/>
    </row>
    <row r="252" spans="4:6" x14ac:dyDescent="0.2">
      <c r="D252" s="25">
        <v>24</v>
      </c>
      <c r="E252" s="25" t="s">
        <v>501</v>
      </c>
      <c r="F252"/>
    </row>
    <row r="253" spans="4:6" x14ac:dyDescent="0.2">
      <c r="D253" s="25">
        <v>25</v>
      </c>
      <c r="E253" s="25" t="s">
        <v>704</v>
      </c>
      <c r="F253"/>
    </row>
    <row r="254" spans="4:6" x14ac:dyDescent="0.2">
      <c r="D254" s="25">
        <v>26</v>
      </c>
      <c r="E254" s="25" t="s">
        <v>631</v>
      </c>
      <c r="F254"/>
    </row>
    <row r="255" spans="4:6" x14ac:dyDescent="0.2">
      <c r="D255" s="25">
        <v>27</v>
      </c>
      <c r="E255" s="25" t="s">
        <v>630</v>
      </c>
      <c r="F255"/>
    </row>
    <row r="256" spans="4:6" x14ac:dyDescent="0.2">
      <c r="D256" s="25">
        <v>28</v>
      </c>
      <c r="E256" s="25" t="s">
        <v>629</v>
      </c>
      <c r="F256"/>
    </row>
    <row r="257" spans="4:6" x14ac:dyDescent="0.2">
      <c r="D257" s="25">
        <v>29</v>
      </c>
      <c r="E257" s="25" t="s">
        <v>580</v>
      </c>
      <c r="F257"/>
    </row>
    <row r="258" spans="4:6" x14ac:dyDescent="0.2">
      <c r="D258" s="25">
        <v>32</v>
      </c>
      <c r="E258" s="25" t="s">
        <v>4</v>
      </c>
      <c r="F258"/>
    </row>
    <row r="259" spans="4:6" x14ac:dyDescent="0.2">
      <c r="D259" s="25">
        <v>33</v>
      </c>
      <c r="E259" s="25" t="s">
        <v>464</v>
      </c>
      <c r="F259"/>
    </row>
    <row r="260" spans="4:6" x14ac:dyDescent="0.2">
      <c r="D260" s="25">
        <v>34</v>
      </c>
      <c r="E260" s="25" t="s">
        <v>465</v>
      </c>
      <c r="F260"/>
    </row>
    <row r="261" spans="4:6" x14ac:dyDescent="0.2">
      <c r="D261" s="25">
        <v>35</v>
      </c>
      <c r="E261" s="25" t="s">
        <v>467</v>
      </c>
      <c r="F261"/>
    </row>
    <row r="262" spans="4:6" x14ac:dyDescent="0.2">
      <c r="D262" s="25">
        <v>36</v>
      </c>
      <c r="E262" s="25" t="s">
        <v>633</v>
      </c>
      <c r="F262"/>
    </row>
    <row r="263" spans="4:6" x14ac:dyDescent="0.2">
      <c r="D263" s="25">
        <v>37</v>
      </c>
      <c r="E263" s="25" t="s">
        <v>808</v>
      </c>
      <c r="F263"/>
    </row>
    <row r="264" spans="4:6" x14ac:dyDescent="0.2">
      <c r="D264" s="2405">
        <v>38</v>
      </c>
      <c r="E264" s="2405" t="s">
        <v>1567</v>
      </c>
      <c r="F264"/>
    </row>
    <row r="265" spans="4:6" x14ac:dyDescent="0.2">
      <c r="D265" s="25">
        <v>42</v>
      </c>
      <c r="E265" s="25" t="s">
        <v>744</v>
      </c>
      <c r="F265"/>
    </row>
    <row r="266" spans="4:6" x14ac:dyDescent="0.2">
      <c r="D266" s="25">
        <v>43</v>
      </c>
      <c r="E266" s="25" t="s">
        <v>743</v>
      </c>
      <c r="F266"/>
    </row>
    <row r="267" spans="4:6" x14ac:dyDescent="0.2">
      <c r="D267" s="25">
        <v>44</v>
      </c>
      <c r="E267" s="25" t="s">
        <v>755</v>
      </c>
      <c r="F267"/>
    </row>
    <row r="268" spans="4:6" x14ac:dyDescent="0.2">
      <c r="D268" s="25">
        <v>45</v>
      </c>
      <c r="E268" s="25" t="s">
        <v>602</v>
      </c>
      <c r="F268"/>
    </row>
    <row r="269" spans="4:6" x14ac:dyDescent="0.2">
      <c r="D269" s="25">
        <v>46</v>
      </c>
      <c r="E269" s="25" t="s">
        <v>741</v>
      </c>
      <c r="F269"/>
    </row>
    <row r="270" spans="4:6" x14ac:dyDescent="0.2">
      <c r="D270" s="25">
        <v>47</v>
      </c>
      <c r="E270" s="25" t="s">
        <v>742</v>
      </c>
      <c r="F270"/>
    </row>
    <row r="271" spans="4:6" x14ac:dyDescent="0.2">
      <c r="D271" s="25">
        <v>52</v>
      </c>
      <c r="E271" s="25" t="s">
        <v>667</v>
      </c>
      <c r="F271"/>
    </row>
    <row r="272" spans="4:6" x14ac:dyDescent="0.2">
      <c r="D272" s="25">
        <v>53</v>
      </c>
      <c r="E272" s="25" t="s">
        <v>664</v>
      </c>
      <c r="F272"/>
    </row>
    <row r="273" spans="4:6" x14ac:dyDescent="0.2">
      <c r="D273" s="25">
        <v>54</v>
      </c>
      <c r="E273" s="25" t="s">
        <v>665</v>
      </c>
      <c r="F273"/>
    </row>
    <row r="274" spans="4:6" x14ac:dyDescent="0.2">
      <c r="D274" s="25">
        <v>55</v>
      </c>
      <c r="E274" s="25" t="s">
        <v>626</v>
      </c>
      <c r="F274"/>
    </row>
    <row r="275" spans="4:6" x14ac:dyDescent="0.2">
      <c r="D275" s="25">
        <v>56</v>
      </c>
      <c r="E275" s="25" t="s">
        <v>1083</v>
      </c>
      <c r="F275"/>
    </row>
    <row r="276" spans="4:6" x14ac:dyDescent="0.2">
      <c r="D276" s="25">
        <v>57</v>
      </c>
      <c r="E276" s="25" t="s">
        <v>1084</v>
      </c>
      <c r="F276"/>
    </row>
    <row r="277" spans="4:6" x14ac:dyDescent="0.2">
      <c r="D277" s="25">
        <v>58</v>
      </c>
      <c r="E277" s="25" t="s">
        <v>1085</v>
      </c>
      <c r="F277"/>
    </row>
    <row r="278" spans="4:6" x14ac:dyDescent="0.2">
      <c r="D278" s="25">
        <v>62</v>
      </c>
      <c r="E278" s="25" t="s">
        <v>638</v>
      </c>
      <c r="F278"/>
    </row>
    <row r="279" spans="4:6" x14ac:dyDescent="0.2">
      <c r="D279" s="25">
        <v>63</v>
      </c>
      <c r="E279" s="25" t="s">
        <v>639</v>
      </c>
      <c r="F279"/>
    </row>
    <row r="280" spans="4:6" x14ac:dyDescent="0.2">
      <c r="D280" s="25">
        <v>64</v>
      </c>
      <c r="E280" s="25" t="s">
        <v>640</v>
      </c>
      <c r="F280"/>
    </row>
    <row r="281" spans="4:6" x14ac:dyDescent="0.2">
      <c r="D281" s="25">
        <v>65</v>
      </c>
      <c r="E281" s="25" t="s">
        <v>517</v>
      </c>
      <c r="F281"/>
    </row>
    <row r="282" spans="4:6" x14ac:dyDescent="0.2">
      <c r="D282" s="25">
        <v>72</v>
      </c>
      <c r="E282" s="25" t="s">
        <v>514</v>
      </c>
      <c r="F282"/>
    </row>
    <row r="283" spans="4:6" x14ac:dyDescent="0.2">
      <c r="D283" s="25">
        <v>73</v>
      </c>
      <c r="E283" s="25" t="s">
        <v>515</v>
      </c>
      <c r="F283"/>
    </row>
    <row r="284" spans="4:6" x14ac:dyDescent="0.2">
      <c r="D284" s="25">
        <v>74</v>
      </c>
      <c r="E284" s="25" t="s">
        <v>641</v>
      </c>
      <c r="F284"/>
    </row>
    <row r="285" spans="4:6" x14ac:dyDescent="0.2">
      <c r="D285" s="25">
        <v>75</v>
      </c>
      <c r="E285" s="25" t="s">
        <v>642</v>
      </c>
      <c r="F285"/>
    </row>
    <row r="286" spans="4:6" x14ac:dyDescent="0.2">
      <c r="D286" s="25">
        <v>76</v>
      </c>
      <c r="E286" s="25" t="s">
        <v>645</v>
      </c>
      <c r="F286"/>
    </row>
    <row r="287" spans="4:6" x14ac:dyDescent="0.2">
      <c r="D287" s="25">
        <v>77</v>
      </c>
      <c r="E287" s="25" t="s">
        <v>643</v>
      </c>
      <c r="F287"/>
    </row>
    <row r="288" spans="4:6" x14ac:dyDescent="0.2">
      <c r="D288" s="25">
        <v>78</v>
      </c>
      <c r="E288" s="25" t="s">
        <v>644</v>
      </c>
      <c r="F288"/>
    </row>
    <row r="289" spans="4:6" x14ac:dyDescent="0.2">
      <c r="D289" s="25">
        <v>79</v>
      </c>
      <c r="E289" s="25" t="s">
        <v>1392</v>
      </c>
      <c r="F289"/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IA1096"/>
  <sheetViews>
    <sheetView topLeftCell="A6" zoomScale="80" zoomScaleNormal="80" workbookViewId="0">
      <pane xSplit="1" topLeftCell="B1" activePane="topRight" state="frozen"/>
      <selection activeCell="A22" sqref="A22"/>
      <selection pane="topRight" activeCell="AP23" sqref="AP23"/>
    </sheetView>
  </sheetViews>
  <sheetFormatPr defaultColWidth="9.140625" defaultRowHeight="12.75" x14ac:dyDescent="0.2"/>
  <cols>
    <col min="1" max="1" width="9.140625" style="25"/>
    <col min="2" max="2" width="30.5703125" style="223" customWidth="1"/>
    <col min="3" max="3" width="26.7109375" style="25" customWidth="1"/>
    <col min="4" max="4" width="28.5703125" style="25" bestFit="1" customWidth="1"/>
    <col min="5" max="5" width="28.5703125" style="25" customWidth="1"/>
    <col min="6" max="6" width="28.140625" style="25" bestFit="1" customWidth="1"/>
    <col min="7" max="7" width="25.5703125" style="25" customWidth="1"/>
    <col min="8" max="8" width="37.42578125" style="25" bestFit="1" customWidth="1"/>
    <col min="9" max="9" width="23.7109375" style="25" bestFit="1" customWidth="1"/>
    <col min="10" max="10" width="23.5703125" style="25" bestFit="1" customWidth="1"/>
    <col min="11" max="11" width="26.5703125" style="25" bestFit="1" customWidth="1"/>
    <col min="12" max="12" width="23.7109375" style="25" bestFit="1" customWidth="1"/>
    <col min="13" max="13" width="14.28515625" style="25" customWidth="1"/>
    <col min="14" max="14" width="11" style="25" bestFit="1" customWidth="1"/>
    <col min="15" max="15" width="12" style="25" bestFit="1" customWidth="1"/>
    <col min="16" max="16" width="11.85546875" style="25" customWidth="1"/>
    <col min="17" max="17" width="32.7109375" style="25" bestFit="1" customWidth="1"/>
    <col min="18" max="18" width="11.5703125" style="25" customWidth="1"/>
    <col min="19" max="19" width="18.85546875" style="25" hidden="1" customWidth="1"/>
    <col min="20" max="20" width="13.5703125" style="25" hidden="1" customWidth="1"/>
    <col min="21" max="21" width="18.7109375" style="25" customWidth="1"/>
    <col min="22" max="22" width="13" style="25" customWidth="1"/>
    <col min="23" max="23" width="15.42578125" style="25" customWidth="1"/>
    <col min="24" max="24" width="10.42578125" style="25" customWidth="1"/>
    <col min="25" max="26" width="9.140625" style="25"/>
    <col min="27" max="27" width="17.5703125" style="25" customWidth="1"/>
    <col min="28" max="28" width="10.5703125" style="25" customWidth="1"/>
    <col min="29" max="29" width="16" style="25" customWidth="1"/>
    <col min="30" max="30" width="19" style="25" customWidth="1"/>
    <col min="31" max="31" width="13.85546875" style="25" customWidth="1"/>
    <col min="32" max="32" width="9.140625" style="25"/>
    <col min="33" max="33" width="27.7109375" style="25" bestFit="1" customWidth="1"/>
    <col min="34" max="34" width="11.140625" style="25" customWidth="1"/>
    <col min="35" max="35" width="34.140625" style="25" bestFit="1" customWidth="1"/>
    <col min="36" max="36" width="16.28515625" style="25" customWidth="1"/>
    <col min="37" max="37" width="30.85546875" style="25" bestFit="1" customWidth="1"/>
    <col min="38" max="38" width="14.42578125" style="25" customWidth="1"/>
    <col min="39" max="39" width="22.7109375" style="25" customWidth="1"/>
    <col min="40" max="40" width="12.28515625" style="25" customWidth="1"/>
    <col min="41" max="41" width="20.5703125" style="25" customWidth="1"/>
    <col min="42" max="42" width="14" style="25" customWidth="1"/>
    <col min="43" max="43" width="20.5703125" style="25" bestFit="1" customWidth="1"/>
    <col min="44" max="44" width="14.28515625" style="25" customWidth="1"/>
    <col min="45" max="45" width="30.85546875" style="25" bestFit="1" customWidth="1"/>
    <col min="46" max="46" width="14.42578125" style="25" customWidth="1"/>
    <col min="47" max="47" width="30.85546875" style="25" bestFit="1" customWidth="1"/>
    <col min="48" max="48" width="14.42578125" style="25" customWidth="1"/>
    <col min="49" max="51" width="9.140625" style="25"/>
    <col min="52" max="52" width="23.28515625" style="25" bestFit="1" customWidth="1"/>
    <col min="53" max="16384" width="9.140625" style="25"/>
  </cols>
  <sheetData>
    <row r="1" spans="1:59" s="23" customFormat="1" ht="16.5" thickBot="1" x14ac:dyDescent="0.3">
      <c r="B1" s="210" t="s">
        <v>88</v>
      </c>
      <c r="C1" s="208"/>
      <c r="S1" s="122"/>
      <c r="T1" s="209"/>
      <c r="BG1" s="210" t="s">
        <v>229</v>
      </c>
    </row>
    <row r="2" spans="1:59" s="188" customFormat="1" x14ac:dyDescent="0.2">
      <c r="B2" s="9" t="s">
        <v>82</v>
      </c>
      <c r="C2" s="9" t="s">
        <v>89</v>
      </c>
      <c r="D2" s="2519" t="s">
        <v>248</v>
      </c>
      <c r="E2" s="2520"/>
      <c r="F2" s="9" t="s">
        <v>259</v>
      </c>
      <c r="G2" s="205" t="s">
        <v>257</v>
      </c>
      <c r="H2" s="9" t="s">
        <v>265</v>
      </c>
      <c r="I2" s="9" t="s">
        <v>261</v>
      </c>
      <c r="J2" s="9" t="s">
        <v>305</v>
      </c>
      <c r="K2" s="9" t="s">
        <v>309</v>
      </c>
      <c r="L2" s="9" t="s">
        <v>313</v>
      </c>
      <c r="M2" s="2511" t="s">
        <v>497</v>
      </c>
      <c r="N2" s="2512"/>
      <c r="S2" s="124"/>
      <c r="T2" s="124"/>
      <c r="BG2" s="31" t="s">
        <v>319</v>
      </c>
    </row>
    <row r="3" spans="1:59" s="10" customFormat="1" x14ac:dyDescent="0.2">
      <c r="A3" s="10">
        <v>1</v>
      </c>
      <c r="B3" s="249" t="s">
        <v>83</v>
      </c>
      <c r="C3" s="211" t="s">
        <v>90</v>
      </c>
      <c r="D3" s="212" t="s">
        <v>249</v>
      </c>
      <c r="E3" s="21" t="s">
        <v>255</v>
      </c>
      <c r="F3" s="211" t="s">
        <v>54</v>
      </c>
      <c r="G3" s="213" t="s">
        <v>258</v>
      </c>
      <c r="H3" s="211" t="s">
        <v>264</v>
      </c>
      <c r="I3" s="211" t="s">
        <v>268</v>
      </c>
      <c r="J3" s="211" t="s">
        <v>306</v>
      </c>
      <c r="K3" s="211" t="s">
        <v>310</v>
      </c>
      <c r="L3" s="211" t="s">
        <v>312</v>
      </c>
      <c r="M3" s="2499"/>
      <c r="N3" s="2500"/>
      <c r="S3" s="123"/>
      <c r="T3" s="123"/>
      <c r="BG3" s="32" t="s">
        <v>320</v>
      </c>
    </row>
    <row r="4" spans="1:59" s="10" customFormat="1" x14ac:dyDescent="0.2">
      <c r="A4" s="10">
        <v>2</v>
      </c>
      <c r="B4" s="249" t="s">
        <v>84</v>
      </c>
      <c r="C4" s="10" t="s">
        <v>268</v>
      </c>
      <c r="D4" s="212" t="s">
        <v>250</v>
      </c>
      <c r="E4" s="21" t="s">
        <v>255</v>
      </c>
      <c r="F4" s="211" t="s">
        <v>260</v>
      </c>
      <c r="G4" s="213"/>
      <c r="H4" s="211" t="s">
        <v>81</v>
      </c>
      <c r="I4" s="211" t="s">
        <v>266</v>
      </c>
      <c r="J4" s="211" t="s">
        <v>307</v>
      </c>
      <c r="K4" s="211" t="s">
        <v>311</v>
      </c>
      <c r="L4" s="211"/>
      <c r="M4" s="2499" t="s">
        <v>302</v>
      </c>
      <c r="N4" s="2500"/>
      <c r="S4" s="123"/>
      <c r="T4" s="123"/>
      <c r="BG4" s="31" t="s">
        <v>321</v>
      </c>
    </row>
    <row r="5" spans="1:59" s="10" customFormat="1" x14ac:dyDescent="0.2">
      <c r="A5" s="10">
        <v>3</v>
      </c>
      <c r="B5" s="249" t="s">
        <v>86</v>
      </c>
      <c r="C5" s="211" t="s">
        <v>78</v>
      </c>
      <c r="D5" s="212" t="s">
        <v>251</v>
      </c>
      <c r="E5" s="21" t="s">
        <v>256</v>
      </c>
      <c r="F5" s="211"/>
      <c r="G5" s="213"/>
      <c r="H5" s="211" t="s">
        <v>263</v>
      </c>
      <c r="I5" s="211" t="s">
        <v>269</v>
      </c>
      <c r="J5" s="211" t="s">
        <v>308</v>
      </c>
      <c r="K5" s="211"/>
      <c r="L5" s="211"/>
      <c r="M5" s="2499" t="s">
        <v>496</v>
      </c>
      <c r="N5" s="2500"/>
      <c r="S5" s="123"/>
      <c r="T5" s="123"/>
      <c r="BG5" s="32" t="s">
        <v>322</v>
      </c>
    </row>
    <row r="6" spans="1:59" s="10" customFormat="1" x14ac:dyDescent="0.2">
      <c r="A6" s="10">
        <v>4</v>
      </c>
      <c r="B6" s="249" t="s">
        <v>87</v>
      </c>
      <c r="C6" s="211" t="s">
        <v>91</v>
      </c>
      <c r="D6" s="212" t="s">
        <v>252</v>
      </c>
      <c r="E6" s="21" t="s">
        <v>243</v>
      </c>
      <c r="F6" s="211"/>
      <c r="G6" s="213"/>
      <c r="H6" s="211"/>
      <c r="I6" s="211" t="s">
        <v>267</v>
      </c>
      <c r="J6" s="211"/>
      <c r="K6" s="211"/>
      <c r="L6" s="211"/>
      <c r="M6" s="2499" t="s">
        <v>76</v>
      </c>
      <c r="N6" s="2500"/>
      <c r="S6" s="123"/>
      <c r="T6" s="123"/>
      <c r="BG6" s="31" t="s">
        <v>323</v>
      </c>
    </row>
    <row r="7" spans="1:59" s="10" customFormat="1" x14ac:dyDescent="0.2">
      <c r="A7" s="10">
        <v>5</v>
      </c>
      <c r="B7" s="249" t="s">
        <v>85</v>
      </c>
      <c r="C7" s="211" t="s">
        <v>262</v>
      </c>
      <c r="D7" s="212"/>
      <c r="E7" s="21"/>
      <c r="F7" s="211"/>
      <c r="G7" s="213"/>
      <c r="H7" s="211"/>
      <c r="I7" s="211" t="s">
        <v>270</v>
      </c>
      <c r="J7" s="211"/>
      <c r="K7" s="211"/>
      <c r="L7" s="211"/>
      <c r="M7" s="2499" t="s">
        <v>499</v>
      </c>
      <c r="N7" s="2500"/>
      <c r="S7" s="123"/>
      <c r="T7" s="123"/>
      <c r="BG7" s="32" t="s">
        <v>324</v>
      </c>
    </row>
    <row r="8" spans="1:59" s="10" customFormat="1" x14ac:dyDescent="0.2">
      <c r="A8" s="10">
        <v>6</v>
      </c>
      <c r="B8" s="249" t="s">
        <v>144</v>
      </c>
      <c r="C8" s="211"/>
      <c r="D8" s="212"/>
      <c r="E8" s="21"/>
      <c r="F8" s="211"/>
      <c r="G8" s="213"/>
      <c r="H8" s="211"/>
      <c r="I8" s="211" t="s">
        <v>271</v>
      </c>
      <c r="J8" s="211"/>
      <c r="K8" s="211"/>
      <c r="L8" s="211"/>
      <c r="M8" s="2499" t="s">
        <v>498</v>
      </c>
      <c r="N8" s="2500"/>
      <c r="S8" s="123"/>
      <c r="T8" s="123"/>
      <c r="BG8" s="31" t="s">
        <v>325</v>
      </c>
    </row>
    <row r="9" spans="1:59" s="10" customFormat="1" x14ac:dyDescent="0.2">
      <c r="A9" s="10">
        <v>7</v>
      </c>
      <c r="B9" s="249"/>
      <c r="C9" s="211"/>
      <c r="D9" s="212"/>
      <c r="E9" s="21"/>
      <c r="F9" s="211"/>
      <c r="G9" s="213"/>
      <c r="H9" s="211"/>
      <c r="I9" s="211" t="s">
        <v>247</v>
      </c>
      <c r="J9" s="211"/>
      <c r="K9" s="211"/>
      <c r="L9" s="211"/>
      <c r="M9" s="2501" t="s">
        <v>634</v>
      </c>
      <c r="N9" s="2500"/>
      <c r="S9" s="123"/>
      <c r="T9" s="123"/>
      <c r="BG9" s="32" t="s">
        <v>326</v>
      </c>
    </row>
    <row r="10" spans="1:59" s="10" customFormat="1" ht="13.5" thickBot="1" x14ac:dyDescent="0.25">
      <c r="A10" s="10">
        <v>8</v>
      </c>
      <c r="B10" s="250"/>
      <c r="C10" s="214"/>
      <c r="D10" s="215"/>
      <c r="E10" s="22"/>
      <c r="F10" s="214"/>
      <c r="G10" s="216"/>
      <c r="H10" s="214"/>
      <c r="I10" s="214"/>
      <c r="J10" s="214"/>
      <c r="K10" s="214"/>
      <c r="L10" s="214"/>
      <c r="M10" s="2502" t="s">
        <v>787</v>
      </c>
      <c r="N10" s="2503"/>
      <c r="S10" s="123"/>
      <c r="T10" s="123"/>
      <c r="BG10" s="31" t="s">
        <v>327</v>
      </c>
    </row>
    <row r="11" spans="1:59" ht="5.25" customHeight="1" x14ac:dyDescent="0.2">
      <c r="S11" s="17"/>
      <c r="T11" s="17"/>
      <c r="BG11" s="32" t="s">
        <v>328</v>
      </c>
    </row>
    <row r="12" spans="1:59" s="23" customFormat="1" ht="16.5" thickBot="1" x14ac:dyDescent="0.3">
      <c r="A12" s="23">
        <v>1</v>
      </c>
      <c r="B12" s="210" t="s">
        <v>138</v>
      </c>
      <c r="C12" s="208">
        <v>3</v>
      </c>
      <c r="D12" s="23">
        <v>4</v>
      </c>
      <c r="E12" s="208">
        <v>5</v>
      </c>
      <c r="F12" s="23">
        <v>6</v>
      </c>
      <c r="G12" s="208">
        <v>7</v>
      </c>
      <c r="H12" s="23">
        <v>8</v>
      </c>
      <c r="I12" s="208">
        <v>9</v>
      </c>
      <c r="J12" s="23">
        <v>10</v>
      </c>
      <c r="K12" s="208">
        <v>11</v>
      </c>
      <c r="L12" s="23">
        <v>12</v>
      </c>
      <c r="M12" s="208">
        <v>13</v>
      </c>
      <c r="N12" s="23">
        <v>14</v>
      </c>
      <c r="O12" s="208">
        <v>15</v>
      </c>
      <c r="P12" s="23">
        <v>16</v>
      </c>
      <c r="Q12" s="208">
        <v>17</v>
      </c>
      <c r="R12" s="23">
        <v>18</v>
      </c>
      <c r="S12" s="23">
        <v>19</v>
      </c>
      <c r="T12" s="208">
        <v>20</v>
      </c>
      <c r="U12" s="23">
        <v>21</v>
      </c>
      <c r="V12" s="208">
        <v>22</v>
      </c>
      <c r="W12" s="23">
        <v>23</v>
      </c>
      <c r="X12" s="23">
        <v>24</v>
      </c>
      <c r="Y12" s="208">
        <v>25</v>
      </c>
      <c r="Z12" s="23">
        <v>26</v>
      </c>
      <c r="AA12" s="208">
        <v>27</v>
      </c>
      <c r="AB12" s="23">
        <v>28</v>
      </c>
      <c r="AC12" s="23">
        <v>29</v>
      </c>
      <c r="AD12" s="208">
        <v>30</v>
      </c>
      <c r="AE12" s="23">
        <v>31</v>
      </c>
      <c r="AF12" s="208">
        <v>32</v>
      </c>
      <c r="AG12" s="23">
        <v>33</v>
      </c>
      <c r="AH12" s="23">
        <v>34</v>
      </c>
      <c r="AI12" s="23">
        <v>35</v>
      </c>
      <c r="AJ12" s="23">
        <v>36</v>
      </c>
      <c r="AK12" s="23">
        <v>37</v>
      </c>
      <c r="AL12" s="23">
        <v>38</v>
      </c>
      <c r="AM12" s="23">
        <v>39</v>
      </c>
      <c r="AN12" s="23">
        <v>40</v>
      </c>
      <c r="AO12" s="23">
        <v>41</v>
      </c>
      <c r="AP12" s="23">
        <v>42</v>
      </c>
      <c r="AQ12" s="23">
        <v>43</v>
      </c>
      <c r="AR12" s="23">
        <v>44</v>
      </c>
      <c r="AS12" s="23">
        <v>45</v>
      </c>
      <c r="AT12" s="23">
        <v>46</v>
      </c>
      <c r="AU12" s="23">
        <v>47</v>
      </c>
      <c r="AV12" s="23">
        <v>48</v>
      </c>
      <c r="BG12" s="31" t="s">
        <v>329</v>
      </c>
    </row>
    <row r="13" spans="1:59" s="188" customFormat="1" ht="13.5" thickBot="1" x14ac:dyDescent="0.25">
      <c r="B13" s="2511" t="s">
        <v>82</v>
      </c>
      <c r="C13" s="2512"/>
      <c r="D13" s="2511" t="s">
        <v>89</v>
      </c>
      <c r="E13" s="2512"/>
      <c r="F13" s="2511" t="s">
        <v>135</v>
      </c>
      <c r="G13" s="2512"/>
      <c r="H13" s="2511" t="s">
        <v>136</v>
      </c>
      <c r="I13" s="2512"/>
      <c r="J13" s="2511" t="s">
        <v>137</v>
      </c>
      <c r="K13" s="2513"/>
      <c r="L13" s="333" t="s">
        <v>291</v>
      </c>
      <c r="M13" s="334"/>
      <c r="N13" s="334"/>
      <c r="O13" s="2507" t="s">
        <v>248</v>
      </c>
      <c r="P13" s="2508"/>
      <c r="Q13" s="2507" t="s">
        <v>74</v>
      </c>
      <c r="R13" s="2508"/>
      <c r="S13" s="2509" t="s">
        <v>427</v>
      </c>
      <c r="T13" s="2510"/>
      <c r="U13" s="332" t="s">
        <v>439</v>
      </c>
      <c r="V13" s="335"/>
      <c r="W13" s="2507" t="s">
        <v>729</v>
      </c>
      <c r="X13" s="2508"/>
      <c r="Y13" s="2507" t="s">
        <v>73</v>
      </c>
      <c r="Z13" s="2508"/>
      <c r="AA13" s="2507" t="s">
        <v>451</v>
      </c>
      <c r="AB13" s="2508"/>
      <c r="AC13" s="2507" t="s">
        <v>1281</v>
      </c>
      <c r="AD13" s="2508"/>
      <c r="AE13" s="2511" t="s">
        <v>500</v>
      </c>
      <c r="AF13" s="2512"/>
      <c r="AG13" s="2511" t="s">
        <v>502</v>
      </c>
      <c r="AH13" s="2512"/>
      <c r="AI13" s="2511" t="s">
        <v>512</v>
      </c>
      <c r="AJ13" s="2512"/>
      <c r="AK13" s="2511" t="s">
        <v>513</v>
      </c>
      <c r="AL13" s="2512"/>
      <c r="AM13" s="2511" t="s">
        <v>516</v>
      </c>
      <c r="AN13" s="2512"/>
      <c r="AO13" s="2511" t="s">
        <v>635</v>
      </c>
      <c r="AP13" s="2512"/>
      <c r="AQ13" s="2511" t="s">
        <v>687</v>
      </c>
      <c r="AR13" s="2512"/>
      <c r="AS13" s="2511" t="s">
        <v>788</v>
      </c>
      <c r="AT13" s="2512"/>
      <c r="AU13" s="2511" t="s">
        <v>1282</v>
      </c>
      <c r="AV13" s="2512"/>
      <c r="BG13" s="32" t="s">
        <v>330</v>
      </c>
    </row>
    <row r="14" spans="1:59" s="188" customFormat="1" x14ac:dyDescent="0.2">
      <c r="A14" s="25">
        <v>1</v>
      </c>
      <c r="B14" s="132"/>
      <c r="C14" s="135"/>
      <c r="D14" s="132"/>
      <c r="E14" s="133"/>
      <c r="F14" s="132"/>
      <c r="G14" s="133"/>
      <c r="H14" s="132"/>
      <c r="I14" s="133"/>
      <c r="J14" s="132"/>
      <c r="K14" s="133"/>
      <c r="L14" s="132"/>
      <c r="M14" s="138"/>
      <c r="N14" s="133"/>
      <c r="O14" s="132"/>
      <c r="P14" s="135"/>
      <c r="Q14" s="132"/>
      <c r="R14" s="133"/>
      <c r="S14" s="132"/>
      <c r="T14" s="135"/>
      <c r="U14" s="217"/>
      <c r="V14" s="141"/>
      <c r="W14" s="218"/>
      <c r="X14" s="219"/>
      <c r="Y14" s="218"/>
      <c r="Z14" s="79"/>
      <c r="AA14" s="218"/>
      <c r="AB14" s="79"/>
      <c r="AC14" s="218"/>
      <c r="AD14" s="79"/>
      <c r="AE14" s="218"/>
      <c r="AF14" s="79"/>
      <c r="AG14" s="218"/>
      <c r="AH14" s="79"/>
      <c r="AI14" s="218"/>
      <c r="AJ14" s="79"/>
      <c r="AK14" s="291"/>
      <c r="AL14" s="292"/>
      <c r="AM14" s="285"/>
      <c r="AN14" s="219"/>
      <c r="AO14" s="218"/>
      <c r="AP14" s="219"/>
      <c r="AQ14" s="218"/>
      <c r="AR14" s="219"/>
      <c r="AS14" s="222"/>
      <c r="AT14" s="230"/>
      <c r="AU14" s="222"/>
      <c r="AV14" s="230"/>
      <c r="BG14" s="32"/>
    </row>
    <row r="15" spans="1:59" x14ac:dyDescent="0.2">
      <c r="A15" s="25">
        <v>2</v>
      </c>
      <c r="B15" s="251" t="s">
        <v>145</v>
      </c>
      <c r="C15" s="131" t="s">
        <v>242</v>
      </c>
      <c r="D15" s="220" t="s">
        <v>171</v>
      </c>
      <c r="E15" s="136" t="s">
        <v>242</v>
      </c>
      <c r="F15" s="220" t="s">
        <v>116</v>
      </c>
      <c r="G15" s="136" t="s">
        <v>246</v>
      </c>
      <c r="H15" s="220" t="s">
        <v>198</v>
      </c>
      <c r="I15" s="136" t="s">
        <v>246</v>
      </c>
      <c r="J15" s="220" t="s">
        <v>228</v>
      </c>
      <c r="K15" s="136" t="s">
        <v>246</v>
      </c>
      <c r="L15" s="220" t="s">
        <v>272</v>
      </c>
      <c r="M15" s="221" t="s">
        <v>273</v>
      </c>
      <c r="N15" s="136" t="s">
        <v>246</v>
      </c>
      <c r="O15" s="130" t="s">
        <v>253</v>
      </c>
      <c r="P15" s="131" t="s">
        <v>254</v>
      </c>
      <c r="Q15" s="251" t="s">
        <v>684</v>
      </c>
      <c r="R15" s="134">
        <v>25</v>
      </c>
      <c r="S15" s="130" t="s">
        <v>430</v>
      </c>
      <c r="T15" s="131" t="s">
        <v>428</v>
      </c>
      <c r="U15" s="222" t="s">
        <v>440</v>
      </c>
      <c r="V15" s="80">
        <v>500</v>
      </c>
      <c r="W15" s="242" t="s">
        <v>9</v>
      </c>
      <c r="X15" s="125" t="s">
        <v>52</v>
      </c>
      <c r="Y15" s="11" t="s">
        <v>450</v>
      </c>
      <c r="Z15" s="14" t="s">
        <v>52</v>
      </c>
      <c r="AA15" s="11" t="s">
        <v>66</v>
      </c>
      <c r="AB15" s="14" t="s">
        <v>52</v>
      </c>
      <c r="AC15" s="11" t="s">
        <v>54</v>
      </c>
      <c r="AD15" s="182" t="s">
        <v>456</v>
      </c>
      <c r="AE15" s="11" t="s">
        <v>628</v>
      </c>
      <c r="AF15" s="14" t="s">
        <v>428</v>
      </c>
      <c r="AG15" s="11" t="s">
        <v>4</v>
      </c>
      <c r="AH15" s="14" t="s">
        <v>468</v>
      </c>
      <c r="AI15" s="252" t="s">
        <v>744</v>
      </c>
      <c r="AJ15" s="14" t="s">
        <v>468</v>
      </c>
      <c r="AK15" s="13" t="s">
        <v>667</v>
      </c>
      <c r="AL15" s="230" t="s">
        <v>646</v>
      </c>
      <c r="AM15" s="153" t="s">
        <v>638</v>
      </c>
      <c r="AN15" s="125" t="s">
        <v>42</v>
      </c>
      <c r="AO15" s="222" t="s">
        <v>514</v>
      </c>
      <c r="AP15" s="125" t="s">
        <v>42</v>
      </c>
      <c r="AQ15" s="223" t="s">
        <v>314</v>
      </c>
      <c r="AR15" s="125">
        <v>40</v>
      </c>
      <c r="AS15" s="222" t="s">
        <v>654</v>
      </c>
      <c r="AT15" s="230" t="s">
        <v>646</v>
      </c>
      <c r="AU15" s="1408" t="s">
        <v>1285</v>
      </c>
      <c r="AV15" s="125" t="s">
        <v>457</v>
      </c>
      <c r="AY15" s="25" t="s">
        <v>294</v>
      </c>
      <c r="BA15" s="25" t="s">
        <v>297</v>
      </c>
      <c r="BC15" s="10" t="s">
        <v>293</v>
      </c>
      <c r="BG15" s="223"/>
    </row>
    <row r="16" spans="1:59" x14ac:dyDescent="0.2">
      <c r="A16" s="25">
        <v>3</v>
      </c>
      <c r="B16" s="12" t="s">
        <v>143</v>
      </c>
      <c r="C16" s="15" t="s">
        <v>242</v>
      </c>
      <c r="D16" s="19" t="s">
        <v>157</v>
      </c>
      <c r="E16" s="18" t="s">
        <v>243</v>
      </c>
      <c r="F16" s="19" t="s">
        <v>92</v>
      </c>
      <c r="G16" s="18" t="s">
        <v>246</v>
      </c>
      <c r="H16" s="19" t="s">
        <v>72</v>
      </c>
      <c r="I16" s="18" t="s">
        <v>246</v>
      </c>
      <c r="J16" s="19" t="s">
        <v>227</v>
      </c>
      <c r="K16" s="18" t="s">
        <v>246</v>
      </c>
      <c r="L16" s="19" t="s">
        <v>272</v>
      </c>
      <c r="M16" s="26" t="s">
        <v>274</v>
      </c>
      <c r="N16" s="18" t="s">
        <v>246</v>
      </c>
      <c r="O16" s="11"/>
      <c r="P16" s="14"/>
      <c r="Q16" s="251" t="s">
        <v>668</v>
      </c>
      <c r="R16" s="134">
        <v>25</v>
      </c>
      <c r="S16" s="11" t="s">
        <v>429</v>
      </c>
      <c r="T16" s="14" t="s">
        <v>428</v>
      </c>
      <c r="U16" s="222" t="s">
        <v>579</v>
      </c>
      <c r="V16" s="14">
        <v>1000</v>
      </c>
      <c r="W16" s="242" t="s">
        <v>50</v>
      </c>
      <c r="X16" s="125" t="s">
        <v>52</v>
      </c>
      <c r="Y16" s="11" t="s">
        <v>6</v>
      </c>
      <c r="Z16" s="14" t="s">
        <v>52</v>
      </c>
      <c r="AA16" s="11" t="s">
        <v>65</v>
      </c>
      <c r="AB16" s="14" t="s">
        <v>52</v>
      </c>
      <c r="AC16" s="11" t="s">
        <v>69</v>
      </c>
      <c r="AD16" s="14" t="s">
        <v>457</v>
      </c>
      <c r="AE16" s="11" t="s">
        <v>632</v>
      </c>
      <c r="AF16" s="14" t="s">
        <v>428</v>
      </c>
      <c r="AG16" s="11" t="s">
        <v>464</v>
      </c>
      <c r="AH16" s="14" t="s">
        <v>468</v>
      </c>
      <c r="AI16" s="252" t="s">
        <v>743</v>
      </c>
      <c r="AJ16" s="14" t="s">
        <v>468</v>
      </c>
      <c r="AK16" s="13" t="s">
        <v>664</v>
      </c>
      <c r="AL16" s="230" t="s">
        <v>646</v>
      </c>
      <c r="AM16" s="153" t="s">
        <v>639</v>
      </c>
      <c r="AN16" s="125" t="s">
        <v>42</v>
      </c>
      <c r="AO16" s="222" t="s">
        <v>515</v>
      </c>
      <c r="AP16" s="125" t="s">
        <v>42</v>
      </c>
      <c r="AQ16" s="13" t="s">
        <v>688</v>
      </c>
      <c r="AR16" s="125">
        <v>40</v>
      </c>
      <c r="AS16" s="222" t="s">
        <v>655</v>
      </c>
      <c r="AT16" s="125" t="s">
        <v>646</v>
      </c>
      <c r="AU16" s="1408" t="s">
        <v>1286</v>
      </c>
      <c r="AV16" s="125" t="s">
        <v>457</v>
      </c>
      <c r="AY16" s="224">
        <v>3</v>
      </c>
      <c r="AZ16" s="225"/>
      <c r="BA16" s="25" t="s">
        <v>295</v>
      </c>
      <c r="BC16" s="10">
        <v>1</v>
      </c>
    </row>
    <row r="17" spans="1:55" x14ac:dyDescent="0.2">
      <c r="A17" s="25">
        <v>4</v>
      </c>
      <c r="B17" s="12" t="s">
        <v>142</v>
      </c>
      <c r="C17" s="15" t="s">
        <v>242</v>
      </c>
      <c r="D17" s="19" t="s">
        <v>158</v>
      </c>
      <c r="E17" s="18" t="s">
        <v>243</v>
      </c>
      <c r="F17" s="19" t="s">
        <v>93</v>
      </c>
      <c r="G17" s="18" t="s">
        <v>246</v>
      </c>
      <c r="H17" s="19" t="s">
        <v>214</v>
      </c>
      <c r="I17" s="18" t="s">
        <v>246</v>
      </c>
      <c r="J17" s="19" t="s">
        <v>225</v>
      </c>
      <c r="K17" s="18" t="s">
        <v>246</v>
      </c>
      <c r="L17" s="19" t="s">
        <v>272</v>
      </c>
      <c r="M17" s="26" t="s">
        <v>275</v>
      </c>
      <c r="N17" s="18" t="s">
        <v>246</v>
      </c>
      <c r="O17" s="11"/>
      <c r="P17" s="14"/>
      <c r="Q17" s="251" t="s">
        <v>668</v>
      </c>
      <c r="R17" s="134">
        <v>30</v>
      </c>
      <c r="S17" s="11" t="s">
        <v>463</v>
      </c>
      <c r="T17" s="14" t="s">
        <v>428</v>
      </c>
      <c r="U17" s="222" t="s">
        <v>441</v>
      </c>
      <c r="V17" s="14" t="s">
        <v>44</v>
      </c>
      <c r="W17" s="242" t="s">
        <v>448</v>
      </c>
      <c r="X17" s="125" t="s">
        <v>52</v>
      </c>
      <c r="Y17" s="11" t="s">
        <v>627</v>
      </c>
      <c r="Z17" s="14" t="s">
        <v>52</v>
      </c>
      <c r="AA17" s="11" t="s">
        <v>11</v>
      </c>
      <c r="AB17" s="14" t="s">
        <v>52</v>
      </c>
      <c r="AC17" s="11" t="s">
        <v>455</v>
      </c>
      <c r="AD17" s="14" t="s">
        <v>457</v>
      </c>
      <c r="AE17" s="222" t="s">
        <v>501</v>
      </c>
      <c r="AF17" s="14" t="s">
        <v>428</v>
      </c>
      <c r="AG17" s="11" t="s">
        <v>465</v>
      </c>
      <c r="AH17" s="14" t="s">
        <v>468</v>
      </c>
      <c r="AI17" s="252" t="s">
        <v>755</v>
      </c>
      <c r="AJ17" s="14" t="s">
        <v>468</v>
      </c>
      <c r="AK17" s="13" t="s">
        <v>665</v>
      </c>
      <c r="AL17" s="125" t="s">
        <v>646</v>
      </c>
      <c r="AM17" s="153" t="s">
        <v>640</v>
      </c>
      <c r="AN17" s="125" t="s">
        <v>42</v>
      </c>
      <c r="AO17" s="11" t="s">
        <v>641</v>
      </c>
      <c r="AP17" s="125" t="s">
        <v>428</v>
      </c>
      <c r="AQ17" s="252" t="s">
        <v>571</v>
      </c>
      <c r="AR17" s="125">
        <v>50</v>
      </c>
      <c r="AS17" s="222" t="s">
        <v>656</v>
      </c>
      <c r="AT17" s="125" t="s">
        <v>646</v>
      </c>
      <c r="AU17" s="1408" t="s">
        <v>1283</v>
      </c>
      <c r="AV17" s="1409" t="s">
        <v>456</v>
      </c>
      <c r="AY17" s="224">
        <v>39084</v>
      </c>
      <c r="AZ17" s="225"/>
      <c r="BA17" s="25" t="s">
        <v>296</v>
      </c>
      <c r="BC17" s="10">
        <v>2</v>
      </c>
    </row>
    <row r="18" spans="1:55" x14ac:dyDescent="0.2">
      <c r="A18" s="25">
        <v>5</v>
      </c>
      <c r="B18" s="252" t="s">
        <v>139</v>
      </c>
      <c r="C18" s="14" t="s">
        <v>242</v>
      </c>
      <c r="D18" s="19" t="s">
        <v>168</v>
      </c>
      <c r="E18" s="18" t="s">
        <v>243</v>
      </c>
      <c r="F18" s="19" t="s">
        <v>94</v>
      </c>
      <c r="G18" s="18" t="s">
        <v>246</v>
      </c>
      <c r="H18" s="19" t="s">
        <v>203</v>
      </c>
      <c r="I18" s="18" t="s">
        <v>246</v>
      </c>
      <c r="J18" s="19" t="s">
        <v>219</v>
      </c>
      <c r="K18" s="18" t="s">
        <v>246</v>
      </c>
      <c r="L18" s="19" t="s">
        <v>272</v>
      </c>
      <c r="M18" s="26" t="s">
        <v>276</v>
      </c>
      <c r="N18" s="18" t="s">
        <v>246</v>
      </c>
      <c r="O18" s="11"/>
      <c r="P18" s="14"/>
      <c r="Q18" s="251" t="s">
        <v>669</v>
      </c>
      <c r="R18" s="134">
        <v>25</v>
      </c>
      <c r="S18" s="11" t="s">
        <v>4</v>
      </c>
      <c r="T18" s="14">
        <v>500</v>
      </c>
      <c r="U18" s="222" t="s">
        <v>442</v>
      </c>
      <c r="V18" s="14" t="s">
        <v>44</v>
      </c>
      <c r="W18" s="242" t="s">
        <v>51</v>
      </c>
      <c r="X18" s="125" t="s">
        <v>52</v>
      </c>
      <c r="Y18" s="11"/>
      <c r="Z18" s="14"/>
      <c r="AA18" s="11" t="s">
        <v>452</v>
      </c>
      <c r="AB18" s="14" t="s">
        <v>52</v>
      </c>
      <c r="AC18" s="252" t="s">
        <v>782</v>
      </c>
      <c r="AD18" s="308" t="s">
        <v>784</v>
      </c>
      <c r="AE18" s="222" t="s">
        <v>704</v>
      </c>
      <c r="AF18" s="14" t="s">
        <v>428</v>
      </c>
      <c r="AG18" s="11" t="s">
        <v>467</v>
      </c>
      <c r="AH18" s="14" t="s">
        <v>468</v>
      </c>
      <c r="AI18" s="252" t="s">
        <v>602</v>
      </c>
      <c r="AJ18" s="14" t="s">
        <v>468</v>
      </c>
      <c r="AK18" s="252" t="s">
        <v>626</v>
      </c>
      <c r="AL18" s="286" t="s">
        <v>646</v>
      </c>
      <c r="AM18" s="153" t="s">
        <v>517</v>
      </c>
      <c r="AN18" s="125" t="s">
        <v>42</v>
      </c>
      <c r="AO18" s="11" t="s">
        <v>642</v>
      </c>
      <c r="AP18" s="125" t="s">
        <v>646</v>
      </c>
      <c r="AQ18" s="252" t="s">
        <v>689</v>
      </c>
      <c r="AR18" s="125">
        <v>50</v>
      </c>
      <c r="AS18" s="11" t="s">
        <v>657</v>
      </c>
      <c r="AT18" s="125" t="s">
        <v>646</v>
      </c>
      <c r="AU18" s="1408" t="s">
        <v>1284</v>
      </c>
      <c r="AV18" s="1409" t="s">
        <v>456</v>
      </c>
      <c r="AY18" s="224">
        <v>39085</v>
      </c>
      <c r="AZ18" s="225"/>
      <c r="BC18" s="10">
        <v>3</v>
      </c>
    </row>
    <row r="19" spans="1:55" x14ac:dyDescent="0.2">
      <c r="A19" s="25">
        <v>6</v>
      </c>
      <c r="B19" s="252" t="s">
        <v>140</v>
      </c>
      <c r="C19" s="14" t="s">
        <v>242</v>
      </c>
      <c r="D19" s="19" t="s">
        <v>173</v>
      </c>
      <c r="E19" s="18" t="s">
        <v>243</v>
      </c>
      <c r="F19" s="19" t="s">
        <v>95</v>
      </c>
      <c r="G19" s="18" t="s">
        <v>246</v>
      </c>
      <c r="H19" s="19" t="s">
        <v>180</v>
      </c>
      <c r="I19" s="18" t="s">
        <v>246</v>
      </c>
      <c r="J19" s="19" t="s">
        <v>222</v>
      </c>
      <c r="K19" s="18" t="s">
        <v>246</v>
      </c>
      <c r="L19" s="19" t="s">
        <v>272</v>
      </c>
      <c r="M19" s="26" t="s">
        <v>277</v>
      </c>
      <c r="N19" s="18" t="s">
        <v>246</v>
      </c>
      <c r="O19" s="11"/>
      <c r="P19" s="14"/>
      <c r="Q19" s="251" t="s">
        <v>669</v>
      </c>
      <c r="R19" s="134">
        <v>30</v>
      </c>
      <c r="S19" s="11" t="s">
        <v>464</v>
      </c>
      <c r="T19" s="14">
        <v>1000</v>
      </c>
      <c r="U19" s="222" t="s">
        <v>443</v>
      </c>
      <c r="V19" s="14" t="s">
        <v>44</v>
      </c>
      <c r="W19" s="11" t="s">
        <v>809</v>
      </c>
      <c r="X19" s="125" t="s">
        <v>52</v>
      </c>
      <c r="Y19" s="11"/>
      <c r="Z19" s="14"/>
      <c r="AA19" s="252" t="s">
        <v>730</v>
      </c>
      <c r="AB19" s="308" t="s">
        <v>52</v>
      </c>
      <c r="AC19" s="252" t="s">
        <v>794</v>
      </c>
      <c r="AD19" s="308" t="s">
        <v>456</v>
      </c>
      <c r="AE19" s="11" t="s">
        <v>631</v>
      </c>
      <c r="AF19" s="14" t="s">
        <v>428</v>
      </c>
      <c r="AG19" s="11" t="s">
        <v>633</v>
      </c>
      <c r="AH19" s="14" t="s">
        <v>468</v>
      </c>
      <c r="AI19" s="252" t="s">
        <v>741</v>
      </c>
      <c r="AJ19" s="14" t="s">
        <v>468</v>
      </c>
      <c r="AK19" s="13" t="s">
        <v>1083</v>
      </c>
      <c r="AL19" s="931" t="s">
        <v>646</v>
      </c>
      <c r="AM19" s="153"/>
      <c r="AN19" s="125"/>
      <c r="AO19" s="11" t="s">
        <v>645</v>
      </c>
      <c r="AP19" s="125" t="s">
        <v>42</v>
      </c>
      <c r="AQ19" s="11" t="s">
        <v>769</v>
      </c>
      <c r="AR19" s="125">
        <v>40</v>
      </c>
      <c r="AS19" s="11" t="s">
        <v>658</v>
      </c>
      <c r="AT19" s="125" t="s">
        <v>646</v>
      </c>
      <c r="AU19" s="11"/>
      <c r="AV19" s="125"/>
      <c r="AY19" s="224">
        <v>39086</v>
      </c>
      <c r="AZ19" s="225"/>
      <c r="BC19" s="10">
        <v>4</v>
      </c>
    </row>
    <row r="20" spans="1:55" x14ac:dyDescent="0.2">
      <c r="A20" s="25">
        <v>7</v>
      </c>
      <c r="B20" s="13" t="s">
        <v>575</v>
      </c>
      <c r="C20" s="16" t="s">
        <v>242</v>
      </c>
      <c r="D20" s="19" t="s">
        <v>179</v>
      </c>
      <c r="E20" s="18" t="s">
        <v>243</v>
      </c>
      <c r="F20" s="19" t="s">
        <v>96</v>
      </c>
      <c r="G20" s="18" t="s">
        <v>246</v>
      </c>
      <c r="H20" s="19" t="s">
        <v>318</v>
      </c>
      <c r="I20" s="18" t="s">
        <v>246</v>
      </c>
      <c r="J20" s="19" t="s">
        <v>218</v>
      </c>
      <c r="K20" s="18" t="s">
        <v>246</v>
      </c>
      <c r="L20" s="19" t="s">
        <v>278</v>
      </c>
      <c r="M20" s="26" t="s">
        <v>278</v>
      </c>
      <c r="N20" s="18" t="s">
        <v>246</v>
      </c>
      <c r="O20" s="11"/>
      <c r="P20" s="14"/>
      <c r="Q20" s="251" t="s">
        <v>670</v>
      </c>
      <c r="R20" s="125">
        <v>25</v>
      </c>
      <c r="S20" s="11" t="s">
        <v>465</v>
      </c>
      <c r="T20" s="14">
        <v>1000</v>
      </c>
      <c r="U20" s="222" t="s">
        <v>444</v>
      </c>
      <c r="V20" s="14" t="s">
        <v>44</v>
      </c>
      <c r="W20" s="11" t="s">
        <v>810</v>
      </c>
      <c r="X20" s="125" t="s">
        <v>52</v>
      </c>
      <c r="Y20" s="11"/>
      <c r="Z20" s="14"/>
      <c r="AA20" s="252" t="s">
        <v>731</v>
      </c>
      <c r="AB20" s="308" t="s">
        <v>52</v>
      </c>
      <c r="AC20" s="11" t="s">
        <v>806</v>
      </c>
      <c r="AD20" s="14" t="s">
        <v>457</v>
      </c>
      <c r="AE20" s="11" t="s">
        <v>630</v>
      </c>
      <c r="AF20" s="14" t="s">
        <v>428</v>
      </c>
      <c r="AG20" s="252" t="s">
        <v>808</v>
      </c>
      <c r="AH20" s="14" t="s">
        <v>468</v>
      </c>
      <c r="AI20" s="252" t="s">
        <v>742</v>
      </c>
      <c r="AJ20" s="14" t="s">
        <v>468</v>
      </c>
      <c r="AK20" s="13" t="s">
        <v>1084</v>
      </c>
      <c r="AL20" s="286" t="s">
        <v>646</v>
      </c>
      <c r="AM20" s="153"/>
      <c r="AN20" s="125"/>
      <c r="AO20" s="11" t="s">
        <v>643</v>
      </c>
      <c r="AP20" s="125" t="s">
        <v>647</v>
      </c>
      <c r="AQ20" s="11" t="s">
        <v>770</v>
      </c>
      <c r="AR20" s="125">
        <v>40</v>
      </c>
      <c r="AS20" s="11" t="s">
        <v>659</v>
      </c>
      <c r="AT20" s="125" t="s">
        <v>646</v>
      </c>
      <c r="AU20" s="11"/>
      <c r="AV20" s="125"/>
      <c r="AY20" s="224">
        <v>39087</v>
      </c>
      <c r="AZ20" s="225"/>
      <c r="BC20" s="10">
        <v>5</v>
      </c>
    </row>
    <row r="21" spans="1:55" x14ac:dyDescent="0.2">
      <c r="A21" s="25">
        <v>8</v>
      </c>
      <c r="B21" s="13" t="s">
        <v>578</v>
      </c>
      <c r="C21" s="16" t="s">
        <v>242</v>
      </c>
      <c r="D21" s="19" t="s">
        <v>174</v>
      </c>
      <c r="E21" s="18" t="s">
        <v>243</v>
      </c>
      <c r="F21" s="19" t="s">
        <v>97</v>
      </c>
      <c r="G21" s="18" t="s">
        <v>246</v>
      </c>
      <c r="H21" s="226" t="s">
        <v>332</v>
      </c>
      <c r="I21" s="137" t="s">
        <v>246</v>
      </c>
      <c r="J21" s="19" t="s">
        <v>220</v>
      </c>
      <c r="K21" s="18" t="s">
        <v>246</v>
      </c>
      <c r="L21" s="19" t="s">
        <v>279</v>
      </c>
      <c r="M21" s="26" t="s">
        <v>280</v>
      </c>
      <c r="N21" s="18" t="s">
        <v>244</v>
      </c>
      <c r="O21" s="27"/>
      <c r="P21" s="264"/>
      <c r="Q21" s="251" t="s">
        <v>670</v>
      </c>
      <c r="R21" s="125">
        <v>30</v>
      </c>
      <c r="S21" s="11" t="s">
        <v>467</v>
      </c>
      <c r="T21" s="14" t="s">
        <v>468</v>
      </c>
      <c r="U21" s="27"/>
      <c r="V21" s="14"/>
      <c r="W21" s="11" t="s">
        <v>811</v>
      </c>
      <c r="X21" s="125" t="s">
        <v>52</v>
      </c>
      <c r="Y21" s="11"/>
      <c r="Z21" s="14"/>
      <c r="AA21" s="11" t="s">
        <v>736</v>
      </c>
      <c r="AB21" s="308" t="s">
        <v>52</v>
      </c>
      <c r="AC21" s="252" t="s">
        <v>847</v>
      </c>
      <c r="AD21" s="308" t="s">
        <v>456</v>
      </c>
      <c r="AE21" s="11" t="s">
        <v>629</v>
      </c>
      <c r="AF21" s="14" t="s">
        <v>428</v>
      </c>
      <c r="AG21" s="11"/>
      <c r="AH21" s="14"/>
      <c r="AI21" s="252"/>
      <c r="AJ21" s="14" t="s">
        <v>468</v>
      </c>
      <c r="AK21" s="13" t="s">
        <v>1085</v>
      </c>
      <c r="AL21" s="286" t="s">
        <v>646</v>
      </c>
      <c r="AM21" s="153"/>
      <c r="AN21" s="125"/>
      <c r="AO21" s="11" t="s">
        <v>644</v>
      </c>
      <c r="AP21" s="125" t="s">
        <v>647</v>
      </c>
      <c r="AQ21" s="11" t="s">
        <v>770</v>
      </c>
      <c r="AR21" s="125">
        <v>1</v>
      </c>
      <c r="AS21" s="11" t="s">
        <v>660</v>
      </c>
      <c r="AT21" s="125" t="s">
        <v>647</v>
      </c>
      <c r="AU21" s="11"/>
      <c r="AV21" s="125"/>
      <c r="AY21" s="224">
        <v>39088</v>
      </c>
      <c r="AZ21" s="225"/>
      <c r="BC21" s="10">
        <v>6</v>
      </c>
    </row>
    <row r="22" spans="1:55" x14ac:dyDescent="0.2">
      <c r="A22" s="25">
        <v>9</v>
      </c>
      <c r="B22" s="13" t="s">
        <v>576</v>
      </c>
      <c r="C22" s="14" t="s">
        <v>242</v>
      </c>
      <c r="D22" s="19" t="s">
        <v>172</v>
      </c>
      <c r="E22" s="18" t="s">
        <v>243</v>
      </c>
      <c r="F22" s="19" t="s">
        <v>128</v>
      </c>
      <c r="G22" s="18" t="s">
        <v>246</v>
      </c>
      <c r="H22" s="19" t="s">
        <v>181</v>
      </c>
      <c r="I22" s="18" t="s">
        <v>246</v>
      </c>
      <c r="J22" s="19"/>
      <c r="K22" s="18"/>
      <c r="L22" s="19" t="s">
        <v>272</v>
      </c>
      <c r="M22" s="26" t="s">
        <v>281</v>
      </c>
      <c r="N22" s="18" t="s">
        <v>246</v>
      </c>
      <c r="O22" s="27"/>
      <c r="P22" s="264"/>
      <c r="Q22" s="251" t="s">
        <v>671</v>
      </c>
      <c r="R22" s="125">
        <v>25</v>
      </c>
      <c r="S22" s="11" t="s">
        <v>469</v>
      </c>
      <c r="T22" s="14" t="s">
        <v>468</v>
      </c>
      <c r="U22" s="27"/>
      <c r="V22" s="14"/>
      <c r="W22" s="252" t="s">
        <v>817</v>
      </c>
      <c r="X22" s="125" t="s">
        <v>52</v>
      </c>
      <c r="Y22" s="11"/>
      <c r="Z22" s="14"/>
      <c r="AA22" s="11" t="s">
        <v>737</v>
      </c>
      <c r="AB22" s="308" t="s">
        <v>52</v>
      </c>
      <c r="AC22" s="11" t="s">
        <v>848</v>
      </c>
      <c r="AD22" s="14" t="s">
        <v>456</v>
      </c>
      <c r="AE22" s="11" t="s">
        <v>580</v>
      </c>
      <c r="AF22" s="14" t="s">
        <v>428</v>
      </c>
      <c r="AG22" s="11"/>
      <c r="AH22" s="14"/>
      <c r="AI22" s="252"/>
      <c r="AJ22" s="14" t="s">
        <v>468</v>
      </c>
      <c r="AK22" s="11"/>
      <c r="AL22" s="125"/>
      <c r="AM22" s="153"/>
      <c r="AN22" s="125"/>
      <c r="AO22" s="1358" t="s">
        <v>1392</v>
      </c>
      <c r="AP22" s="1409" t="s">
        <v>647</v>
      </c>
      <c r="AQ22" s="11" t="s">
        <v>771</v>
      </c>
      <c r="AR22" s="125">
        <v>1</v>
      </c>
      <c r="AS22" s="11" t="s">
        <v>661</v>
      </c>
      <c r="AT22" s="125" t="s">
        <v>647</v>
      </c>
      <c r="AU22" s="11"/>
      <c r="AV22" s="125"/>
      <c r="AY22" s="224">
        <v>39089</v>
      </c>
      <c r="AZ22" s="225"/>
      <c r="BC22" s="10">
        <v>7</v>
      </c>
    </row>
    <row r="23" spans="1:55" x14ac:dyDescent="0.2">
      <c r="A23" s="25">
        <v>10</v>
      </c>
      <c r="B23" s="13" t="s">
        <v>572</v>
      </c>
      <c r="C23" s="14" t="s">
        <v>242</v>
      </c>
      <c r="D23" s="19" t="s">
        <v>160</v>
      </c>
      <c r="E23" s="18" t="s">
        <v>243</v>
      </c>
      <c r="F23" s="19" t="s">
        <v>98</v>
      </c>
      <c r="G23" s="18" t="s">
        <v>246</v>
      </c>
      <c r="H23" s="19" t="s">
        <v>182</v>
      </c>
      <c r="I23" s="18" t="s">
        <v>246</v>
      </c>
      <c r="J23" s="19" t="s">
        <v>223</v>
      </c>
      <c r="K23" s="18" t="s">
        <v>246</v>
      </c>
      <c r="L23" s="19" t="s">
        <v>282</v>
      </c>
      <c r="M23" s="26" t="s">
        <v>283</v>
      </c>
      <c r="N23" s="18" t="s">
        <v>246</v>
      </c>
      <c r="O23" s="27"/>
      <c r="P23" s="264"/>
      <c r="Q23" s="251" t="s">
        <v>671</v>
      </c>
      <c r="R23" s="125">
        <v>30</v>
      </c>
      <c r="S23" s="11"/>
      <c r="T23" s="14"/>
      <c r="U23" s="27"/>
      <c r="V23" s="14"/>
      <c r="W23" s="11"/>
      <c r="X23" s="125"/>
      <c r="Y23" s="11"/>
      <c r="Z23" s="14"/>
      <c r="AA23" s="11" t="s">
        <v>738</v>
      </c>
      <c r="AB23" s="308" t="s">
        <v>52</v>
      </c>
      <c r="AC23" s="11"/>
      <c r="AD23" s="14"/>
      <c r="AE23" s="11"/>
      <c r="AF23" s="14"/>
      <c r="AG23" s="11"/>
      <c r="AH23" s="14"/>
      <c r="AI23" s="252"/>
      <c r="AJ23" s="14"/>
      <c r="AK23" s="11"/>
      <c r="AL23" s="125"/>
      <c r="AM23" s="153"/>
      <c r="AN23" s="125"/>
      <c r="AO23" s="11"/>
      <c r="AP23" s="125"/>
      <c r="AQ23" s="11" t="s">
        <v>772</v>
      </c>
      <c r="AR23" s="125">
        <v>1</v>
      </c>
      <c r="AS23" s="11" t="s">
        <v>662</v>
      </c>
      <c r="AT23" s="125" t="s">
        <v>647</v>
      </c>
      <c r="AU23" s="11"/>
      <c r="AV23" s="125"/>
      <c r="AY23" s="224">
        <v>39090</v>
      </c>
      <c r="AZ23" s="225"/>
      <c r="BC23" s="10">
        <v>8</v>
      </c>
    </row>
    <row r="24" spans="1:55" x14ac:dyDescent="0.2">
      <c r="A24" s="25">
        <v>11</v>
      </c>
      <c r="B24" s="13" t="s">
        <v>573</v>
      </c>
      <c r="C24" s="14" t="s">
        <v>242</v>
      </c>
      <c r="D24" s="19" t="s">
        <v>163</v>
      </c>
      <c r="E24" s="18" t="s">
        <v>243</v>
      </c>
      <c r="F24" s="19" t="s">
        <v>99</v>
      </c>
      <c r="G24" s="18" t="s">
        <v>246</v>
      </c>
      <c r="H24" s="19" t="s">
        <v>183</v>
      </c>
      <c r="I24" s="18" t="s">
        <v>246</v>
      </c>
      <c r="J24" s="19" t="s">
        <v>221</v>
      </c>
      <c r="K24" s="18" t="s">
        <v>246</v>
      </c>
      <c r="L24" s="19" t="s">
        <v>282</v>
      </c>
      <c r="M24" s="26" t="s">
        <v>284</v>
      </c>
      <c r="N24" s="18" t="s">
        <v>246</v>
      </c>
      <c r="O24" s="27"/>
      <c r="P24" s="264"/>
      <c r="Q24" s="251" t="s">
        <v>672</v>
      </c>
      <c r="R24" s="125">
        <v>25</v>
      </c>
      <c r="S24" s="11"/>
      <c r="T24" s="14"/>
      <c r="U24" s="27"/>
      <c r="V24" s="14"/>
      <c r="W24" s="11"/>
      <c r="X24" s="125"/>
      <c r="Y24" s="11"/>
      <c r="Z24" s="14"/>
      <c r="AA24" s="252" t="s">
        <v>1006</v>
      </c>
      <c r="AB24" s="14" t="s">
        <v>52</v>
      </c>
      <c r="AC24" s="11"/>
      <c r="AD24" s="14"/>
      <c r="AE24" s="11"/>
      <c r="AF24" s="14"/>
      <c r="AG24" s="11"/>
      <c r="AH24" s="14"/>
      <c r="AI24" s="252"/>
      <c r="AJ24" s="14"/>
      <c r="AK24" s="11"/>
      <c r="AL24" s="125"/>
      <c r="AM24" s="153"/>
      <c r="AN24" s="125"/>
      <c r="AO24" s="11"/>
      <c r="AP24" s="125"/>
      <c r="AQ24" s="11" t="s">
        <v>773</v>
      </c>
      <c r="AR24" s="125">
        <v>1</v>
      </c>
      <c r="AS24" s="11" t="s">
        <v>663</v>
      </c>
      <c r="AT24" s="125" t="s">
        <v>647</v>
      </c>
      <c r="AU24" s="11"/>
      <c r="AV24" s="125"/>
      <c r="AY24" s="224">
        <v>39091</v>
      </c>
      <c r="AZ24" s="225"/>
      <c r="BC24" s="10">
        <v>9</v>
      </c>
    </row>
    <row r="25" spans="1:55" x14ac:dyDescent="0.2">
      <c r="A25" s="25">
        <v>12</v>
      </c>
      <c r="B25" s="253" t="s">
        <v>574</v>
      </c>
      <c r="C25" s="14" t="s">
        <v>242</v>
      </c>
      <c r="D25" s="19" t="s">
        <v>155</v>
      </c>
      <c r="E25" s="18" t="s">
        <v>243</v>
      </c>
      <c r="F25" s="19" t="s">
        <v>113</v>
      </c>
      <c r="G25" s="18" t="s">
        <v>244</v>
      </c>
      <c r="H25" s="19" t="s">
        <v>184</v>
      </c>
      <c r="I25" s="18" t="s">
        <v>246</v>
      </c>
      <c r="J25" s="19" t="s">
        <v>226</v>
      </c>
      <c r="K25" s="18" t="s">
        <v>246</v>
      </c>
      <c r="L25" s="19" t="s">
        <v>282</v>
      </c>
      <c r="M25" s="26" t="s">
        <v>285</v>
      </c>
      <c r="N25" s="18" t="s">
        <v>246</v>
      </c>
      <c r="O25" s="27"/>
      <c r="P25" s="264"/>
      <c r="Q25" s="251" t="s">
        <v>672</v>
      </c>
      <c r="R25" s="125">
        <v>30</v>
      </c>
      <c r="S25" s="11"/>
      <c r="T25" s="14"/>
      <c r="U25" s="27"/>
      <c r="V25" s="14"/>
      <c r="W25" s="11"/>
      <c r="X25" s="125"/>
      <c r="Y25" s="11"/>
      <c r="Z25" s="14"/>
      <c r="AA25" s="11"/>
      <c r="AB25" s="14"/>
      <c r="AC25" s="11"/>
      <c r="AD25" s="14"/>
      <c r="AE25" s="11"/>
      <c r="AF25" s="14"/>
      <c r="AG25" s="11"/>
      <c r="AH25" s="14"/>
      <c r="AI25" s="11"/>
      <c r="AJ25" s="14"/>
      <c r="AK25" s="11"/>
      <c r="AL25" s="125"/>
      <c r="AM25" s="153"/>
      <c r="AN25" s="125"/>
      <c r="AO25" s="11"/>
      <c r="AP25" s="125"/>
      <c r="AQ25" s="11" t="s">
        <v>774</v>
      </c>
      <c r="AR25" s="125">
        <v>50</v>
      </c>
      <c r="AS25" s="11" t="s">
        <v>648</v>
      </c>
      <c r="AT25" s="125" t="s">
        <v>647</v>
      </c>
      <c r="AU25" s="11"/>
      <c r="AV25" s="125"/>
      <c r="AY25" s="224">
        <v>39092</v>
      </c>
      <c r="AZ25" s="225"/>
      <c r="BC25" s="10">
        <v>10</v>
      </c>
    </row>
    <row r="26" spans="1:55" x14ac:dyDescent="0.2">
      <c r="A26" s="25">
        <v>13</v>
      </c>
      <c r="B26" s="252" t="s">
        <v>146</v>
      </c>
      <c r="C26" s="16" t="s">
        <v>242</v>
      </c>
      <c r="D26" s="19" t="s">
        <v>159</v>
      </c>
      <c r="E26" s="18" t="s">
        <v>243</v>
      </c>
      <c r="F26" s="19" t="s">
        <v>114</v>
      </c>
      <c r="G26" s="18" t="s">
        <v>246</v>
      </c>
      <c r="H26" s="19" t="s">
        <v>204</v>
      </c>
      <c r="I26" s="18" t="s">
        <v>246</v>
      </c>
      <c r="J26" s="19" t="s">
        <v>224</v>
      </c>
      <c r="K26" s="18" t="s">
        <v>246</v>
      </c>
      <c r="L26" s="19" t="s">
        <v>286</v>
      </c>
      <c r="M26" s="26" t="s">
        <v>287</v>
      </c>
      <c r="N26" s="18" t="s">
        <v>246</v>
      </c>
      <c r="O26" s="27"/>
      <c r="P26" s="264"/>
      <c r="Q26" s="251" t="s">
        <v>673</v>
      </c>
      <c r="R26" s="125">
        <v>25</v>
      </c>
      <c r="S26" s="11"/>
      <c r="T26" s="14"/>
      <c r="U26" s="27"/>
      <c r="V26" s="14"/>
      <c r="W26" s="11"/>
      <c r="X26" s="125"/>
      <c r="Y26" s="11"/>
      <c r="Z26" s="14"/>
      <c r="AA26" s="11"/>
      <c r="AB26" s="14"/>
      <c r="AC26" s="11"/>
      <c r="AD26" s="14"/>
      <c r="AE26" s="11"/>
      <c r="AF26" s="14"/>
      <c r="AG26" s="11"/>
      <c r="AH26" s="14"/>
      <c r="AI26" s="11"/>
      <c r="AJ26" s="14"/>
      <c r="AK26" s="11"/>
      <c r="AL26" s="125"/>
      <c r="AM26" s="153"/>
      <c r="AN26" s="125"/>
      <c r="AO26" s="11"/>
      <c r="AP26" s="125"/>
      <c r="AQ26" s="11" t="s">
        <v>775</v>
      </c>
      <c r="AR26" s="125">
        <v>1</v>
      </c>
      <c r="AS26" s="11" t="s">
        <v>649</v>
      </c>
      <c r="AT26" s="125" t="s">
        <v>42</v>
      </c>
      <c r="AU26" s="11"/>
      <c r="AV26" s="125"/>
      <c r="AY26" s="224">
        <v>39093</v>
      </c>
      <c r="AZ26" s="227"/>
      <c r="BC26" s="10">
        <v>11</v>
      </c>
    </row>
    <row r="27" spans="1:55" x14ac:dyDescent="0.2">
      <c r="A27" s="25">
        <v>14</v>
      </c>
      <c r="B27" s="252" t="s">
        <v>147</v>
      </c>
      <c r="C27" s="15" t="s">
        <v>242</v>
      </c>
      <c r="D27" s="19" t="s">
        <v>167</v>
      </c>
      <c r="E27" s="18" t="s">
        <v>243</v>
      </c>
      <c r="F27" s="19" t="s">
        <v>130</v>
      </c>
      <c r="G27" s="18" t="s">
        <v>246</v>
      </c>
      <c r="H27" s="19" t="s">
        <v>185</v>
      </c>
      <c r="I27" s="18" t="s">
        <v>246</v>
      </c>
      <c r="J27" s="19" t="s">
        <v>81</v>
      </c>
      <c r="K27" s="125" t="s">
        <v>43</v>
      </c>
      <c r="L27" s="19" t="s">
        <v>286</v>
      </c>
      <c r="M27" s="26" t="s">
        <v>288</v>
      </c>
      <c r="N27" s="18" t="s">
        <v>246</v>
      </c>
      <c r="O27" s="27"/>
      <c r="P27" s="264"/>
      <c r="Q27" s="251" t="s">
        <v>673</v>
      </c>
      <c r="R27" s="125">
        <v>30</v>
      </c>
      <c r="S27" s="11"/>
      <c r="T27" s="14"/>
      <c r="U27" s="27"/>
      <c r="V27" s="14"/>
      <c r="W27" s="11"/>
      <c r="X27" s="125"/>
      <c r="Y27" s="11"/>
      <c r="Z27" s="14"/>
      <c r="AA27" s="11"/>
      <c r="AB27" s="14"/>
      <c r="AC27" s="11"/>
      <c r="AD27" s="14"/>
      <c r="AE27" s="11"/>
      <c r="AF27" s="14"/>
      <c r="AG27" s="11"/>
      <c r="AH27" s="14"/>
      <c r="AI27" s="11"/>
      <c r="AJ27" s="14"/>
      <c r="AK27" s="11"/>
      <c r="AL27" s="125"/>
      <c r="AM27" s="153"/>
      <c r="AN27" s="125"/>
      <c r="AO27" s="11"/>
      <c r="AP27" s="125"/>
      <c r="AQ27" s="11" t="s">
        <v>776</v>
      </c>
      <c r="AR27" s="125">
        <v>1</v>
      </c>
      <c r="AS27" s="11" t="s">
        <v>650</v>
      </c>
      <c r="AT27" s="125" t="s">
        <v>646</v>
      </c>
      <c r="AU27" s="11"/>
      <c r="AV27" s="125"/>
      <c r="AY27" s="224">
        <v>39094</v>
      </c>
      <c r="AZ27" s="228"/>
      <c r="BC27" s="10">
        <v>12</v>
      </c>
    </row>
    <row r="28" spans="1:55" x14ac:dyDescent="0.2">
      <c r="A28" s="25">
        <v>15</v>
      </c>
      <c r="B28" s="252" t="s">
        <v>148</v>
      </c>
      <c r="C28" s="16" t="s">
        <v>242</v>
      </c>
      <c r="D28" s="19" t="s">
        <v>175</v>
      </c>
      <c r="E28" s="18" t="s">
        <v>243</v>
      </c>
      <c r="F28" s="19" t="s">
        <v>127</v>
      </c>
      <c r="G28" s="18" t="s">
        <v>246</v>
      </c>
      <c r="H28" s="19" t="s">
        <v>185</v>
      </c>
      <c r="I28" s="18" t="s">
        <v>246</v>
      </c>
      <c r="J28" s="19"/>
      <c r="K28" s="125"/>
      <c r="L28" s="19" t="s">
        <v>286</v>
      </c>
      <c r="M28" s="26" t="s">
        <v>289</v>
      </c>
      <c r="N28" s="18" t="s">
        <v>246</v>
      </c>
      <c r="O28" s="27"/>
      <c r="P28" s="264"/>
      <c r="Q28" s="251" t="s">
        <v>674</v>
      </c>
      <c r="R28" s="125">
        <v>25</v>
      </c>
      <c r="S28" s="11"/>
      <c r="T28" s="14"/>
      <c r="U28" s="27"/>
      <c r="V28" s="14"/>
      <c r="W28" s="11"/>
      <c r="X28" s="125"/>
      <c r="Y28" s="11"/>
      <c r="Z28" s="14"/>
      <c r="AA28" s="11"/>
      <c r="AB28" s="14"/>
      <c r="AC28" s="11"/>
      <c r="AD28" s="14"/>
      <c r="AE28" s="11"/>
      <c r="AF28" s="14"/>
      <c r="AG28" s="11"/>
      <c r="AH28" s="14"/>
      <c r="AI28" s="11"/>
      <c r="AJ28" s="14"/>
      <c r="AK28" s="11"/>
      <c r="AL28" s="125"/>
      <c r="AM28" s="153"/>
      <c r="AN28" s="125"/>
      <c r="AO28" s="11"/>
      <c r="AP28" s="125"/>
      <c r="AQ28" s="11" t="s">
        <v>162</v>
      </c>
      <c r="AR28" s="125">
        <v>1</v>
      </c>
      <c r="AS28" s="11" t="s">
        <v>651</v>
      </c>
      <c r="AT28" s="125" t="s">
        <v>42</v>
      </c>
      <c r="AU28" s="11"/>
      <c r="AV28" s="125"/>
      <c r="AY28" s="224">
        <v>39095</v>
      </c>
      <c r="AZ28" s="228"/>
      <c r="BC28" s="10">
        <v>13</v>
      </c>
    </row>
    <row r="29" spans="1:55" x14ac:dyDescent="0.2">
      <c r="A29" s="25">
        <v>16</v>
      </c>
      <c r="B29" s="252" t="s">
        <v>149</v>
      </c>
      <c r="C29" s="16" t="s">
        <v>242</v>
      </c>
      <c r="D29" s="19" t="s">
        <v>156</v>
      </c>
      <c r="E29" s="18" t="s">
        <v>243</v>
      </c>
      <c r="F29" s="19" t="s">
        <v>100</v>
      </c>
      <c r="G29" s="18" t="s">
        <v>246</v>
      </c>
      <c r="H29" s="19" t="s">
        <v>186</v>
      </c>
      <c r="I29" s="18" t="s">
        <v>246</v>
      </c>
      <c r="J29" s="19"/>
      <c r="K29" s="125"/>
      <c r="L29" s="19" t="s">
        <v>272</v>
      </c>
      <c r="M29" s="26" t="s">
        <v>290</v>
      </c>
      <c r="N29" s="18" t="s">
        <v>246</v>
      </c>
      <c r="O29" s="27"/>
      <c r="P29" s="264"/>
      <c r="Q29" s="251" t="s">
        <v>674</v>
      </c>
      <c r="R29" s="125">
        <v>30</v>
      </c>
      <c r="S29" s="11"/>
      <c r="T29" s="14"/>
      <c r="U29" s="27"/>
      <c r="V29" s="14"/>
      <c r="W29" s="11"/>
      <c r="X29" s="125"/>
      <c r="Y29" s="11"/>
      <c r="Z29" s="14"/>
      <c r="AA29" s="11"/>
      <c r="AB29" s="14"/>
      <c r="AC29" s="11"/>
      <c r="AD29" s="14"/>
      <c r="AE29" s="11"/>
      <c r="AF29" s="14"/>
      <c r="AG29" s="11"/>
      <c r="AH29" s="14"/>
      <c r="AI29" s="11"/>
      <c r="AJ29" s="14"/>
      <c r="AK29" s="11"/>
      <c r="AL29" s="125"/>
      <c r="AM29" s="153"/>
      <c r="AN29" s="125"/>
      <c r="AO29" s="11"/>
      <c r="AP29" s="125"/>
      <c r="AQ29" s="11" t="s">
        <v>777</v>
      </c>
      <c r="AR29" s="125">
        <v>1</v>
      </c>
      <c r="AS29" s="11" t="s">
        <v>652</v>
      </c>
      <c r="AT29" s="125" t="s">
        <v>42</v>
      </c>
      <c r="AU29" s="11"/>
      <c r="AV29" s="125"/>
      <c r="AY29" s="224">
        <v>39096</v>
      </c>
      <c r="AZ29" s="228"/>
      <c r="BC29" s="10">
        <v>14</v>
      </c>
    </row>
    <row r="30" spans="1:55" x14ac:dyDescent="0.2">
      <c r="A30" s="25">
        <v>17</v>
      </c>
      <c r="B30" s="253" t="s">
        <v>569</v>
      </c>
      <c r="C30" s="207" t="s">
        <v>242</v>
      </c>
      <c r="D30" s="19" t="s">
        <v>166</v>
      </c>
      <c r="E30" s="18" t="s">
        <v>242</v>
      </c>
      <c r="F30" s="19" t="s">
        <v>129</v>
      </c>
      <c r="G30" s="18" t="s">
        <v>246</v>
      </c>
      <c r="H30" s="19" t="s">
        <v>207</v>
      </c>
      <c r="I30" s="18" t="s">
        <v>246</v>
      </c>
      <c r="J30" s="19"/>
      <c r="K30" s="125"/>
      <c r="L30" s="222"/>
      <c r="M30" s="229"/>
      <c r="N30" s="230"/>
      <c r="O30" s="11"/>
      <c r="P30" s="14"/>
      <c r="Q30" s="251" t="s">
        <v>675</v>
      </c>
      <c r="R30" s="263">
        <v>25</v>
      </c>
      <c r="S30" s="11"/>
      <c r="T30" s="14"/>
      <c r="U30" s="11"/>
      <c r="V30" s="14"/>
      <c r="W30" s="11"/>
      <c r="X30" s="125"/>
      <c r="Y30" s="11"/>
      <c r="Z30" s="14"/>
      <c r="AA30" s="11"/>
      <c r="AB30" s="14"/>
      <c r="AC30" s="11"/>
      <c r="AD30" s="14"/>
      <c r="AE30" s="11"/>
      <c r="AF30" s="14"/>
      <c r="AG30" s="11"/>
      <c r="AH30" s="14"/>
      <c r="AI30" s="11"/>
      <c r="AJ30" s="14"/>
      <c r="AK30" s="11"/>
      <c r="AL30" s="125"/>
      <c r="AM30" s="153"/>
      <c r="AN30" s="125"/>
      <c r="AO30" s="11"/>
      <c r="AP30" s="125"/>
      <c r="AQ30" s="11" t="s">
        <v>778</v>
      </c>
      <c r="AR30" s="125">
        <v>50</v>
      </c>
      <c r="AS30" s="11" t="s">
        <v>653</v>
      </c>
      <c r="AT30" s="125" t="s">
        <v>42</v>
      </c>
      <c r="AU30" s="11"/>
      <c r="AV30" s="125"/>
      <c r="AY30" s="224">
        <v>39097</v>
      </c>
      <c r="AZ30" s="228"/>
      <c r="BC30" s="10">
        <v>15</v>
      </c>
    </row>
    <row r="31" spans="1:55" x14ac:dyDescent="0.2">
      <c r="A31" s="25">
        <v>18</v>
      </c>
      <c r="B31" s="13" t="s">
        <v>577</v>
      </c>
      <c r="C31" s="207" t="s">
        <v>242</v>
      </c>
      <c r="D31" s="19" t="s">
        <v>315</v>
      </c>
      <c r="E31" s="18" t="s">
        <v>316</v>
      </c>
      <c r="F31" s="19" t="s">
        <v>131</v>
      </c>
      <c r="G31" s="18" t="s">
        <v>246</v>
      </c>
      <c r="H31" s="19" t="s">
        <v>209</v>
      </c>
      <c r="I31" s="18" t="s">
        <v>246</v>
      </c>
      <c r="J31" s="19"/>
      <c r="K31" s="125"/>
      <c r="L31" s="11"/>
      <c r="M31" s="206"/>
      <c r="N31" s="125"/>
      <c r="O31" s="11"/>
      <c r="P31" s="14"/>
      <c r="Q31" s="251" t="s">
        <v>675</v>
      </c>
      <c r="R31" s="263">
        <v>30</v>
      </c>
      <c r="S31" s="11"/>
      <c r="T31" s="14"/>
      <c r="U31" s="11"/>
      <c r="V31" s="14"/>
      <c r="W31" s="11"/>
      <c r="X31" s="125"/>
      <c r="Y31" s="11"/>
      <c r="Z31" s="14"/>
      <c r="AA31" s="11"/>
      <c r="AB31" s="14"/>
      <c r="AC31" s="11"/>
      <c r="AD31" s="14"/>
      <c r="AE31" s="11"/>
      <c r="AF31" s="14"/>
      <c r="AG31" s="11"/>
      <c r="AH31" s="14"/>
      <c r="AI31" s="11"/>
      <c r="AJ31" s="14"/>
      <c r="AK31" s="11"/>
      <c r="AL31" s="125"/>
      <c r="AM31" s="153"/>
      <c r="AN31" s="125"/>
      <c r="AO31" s="11"/>
      <c r="AP31" s="125"/>
      <c r="AQ31" s="11" t="s">
        <v>779</v>
      </c>
      <c r="AR31" s="125">
        <v>1</v>
      </c>
      <c r="AS31" s="252" t="s">
        <v>799</v>
      </c>
      <c r="AT31" s="125" t="s">
        <v>42</v>
      </c>
      <c r="AU31" s="252"/>
      <c r="AV31" s="125"/>
      <c r="AY31" s="224">
        <v>39098</v>
      </c>
      <c r="AZ31" s="228"/>
      <c r="BC31" s="10">
        <v>16</v>
      </c>
    </row>
    <row r="32" spans="1:55" x14ac:dyDescent="0.2">
      <c r="A32" s="25">
        <v>19</v>
      </c>
      <c r="B32" s="253" t="s">
        <v>571</v>
      </c>
      <c r="C32" s="207" t="s">
        <v>242</v>
      </c>
      <c r="D32" s="226" t="s">
        <v>317</v>
      </c>
      <c r="E32" s="137" t="s">
        <v>316</v>
      </c>
      <c r="F32" s="19" t="s">
        <v>126</v>
      </c>
      <c r="G32" s="18" t="s">
        <v>246</v>
      </c>
      <c r="H32" s="19" t="s">
        <v>187</v>
      </c>
      <c r="I32" s="18" t="s">
        <v>246</v>
      </c>
      <c r="J32" s="19"/>
      <c r="K32" s="125"/>
      <c r="L32" s="11"/>
      <c r="M32" s="206"/>
      <c r="N32" s="125"/>
      <c r="O32" s="11"/>
      <c r="P32" s="14"/>
      <c r="Q32" s="251" t="s">
        <v>676</v>
      </c>
      <c r="R32" s="263">
        <v>25</v>
      </c>
      <c r="S32" s="11"/>
      <c r="T32" s="14"/>
      <c r="U32" s="11"/>
      <c r="V32" s="14"/>
      <c r="W32" s="11"/>
      <c r="X32" s="125"/>
      <c r="Y32" s="11"/>
      <c r="Z32" s="14"/>
      <c r="AA32" s="11"/>
      <c r="AB32" s="14"/>
      <c r="AC32" s="11"/>
      <c r="AD32" s="14"/>
      <c r="AE32" s="11"/>
      <c r="AF32" s="14"/>
      <c r="AG32" s="11"/>
      <c r="AH32" s="14"/>
      <c r="AI32" s="11"/>
      <c r="AJ32" s="14"/>
      <c r="AK32" s="11"/>
      <c r="AL32" s="125"/>
      <c r="AM32" s="153"/>
      <c r="AN32" s="125"/>
      <c r="AO32" s="11"/>
      <c r="AP32" s="125"/>
      <c r="AQ32" s="11" t="s">
        <v>780</v>
      </c>
      <c r="AR32" s="125">
        <v>1000</v>
      </c>
      <c r="AS32" s="11"/>
      <c r="AT32" s="125"/>
      <c r="AU32" s="11"/>
      <c r="AV32" s="125"/>
      <c r="AY32" s="224">
        <v>39099</v>
      </c>
      <c r="AZ32" s="228"/>
      <c r="BC32" s="10">
        <v>17</v>
      </c>
    </row>
    <row r="33" spans="1:55" x14ac:dyDescent="0.2">
      <c r="A33" s="25">
        <v>20</v>
      </c>
      <c r="B33" s="13" t="s">
        <v>150</v>
      </c>
      <c r="C33" s="207" t="s">
        <v>242</v>
      </c>
      <c r="D33" s="19" t="s">
        <v>153</v>
      </c>
      <c r="E33" s="18" t="s">
        <v>243</v>
      </c>
      <c r="F33" s="19" t="s">
        <v>125</v>
      </c>
      <c r="G33" s="18" t="s">
        <v>246</v>
      </c>
      <c r="H33" s="19" t="s">
        <v>216</v>
      </c>
      <c r="I33" s="18" t="s">
        <v>246</v>
      </c>
      <c r="J33" s="19"/>
      <c r="K33" s="125"/>
      <c r="L33" s="11"/>
      <c r="M33" s="206"/>
      <c r="N33" s="125"/>
      <c r="O33" s="11"/>
      <c r="P33" s="14"/>
      <c r="Q33" s="251" t="s">
        <v>676</v>
      </c>
      <c r="R33" s="263">
        <v>30</v>
      </c>
      <c r="S33" s="11"/>
      <c r="T33" s="14"/>
      <c r="U33" s="11"/>
      <c r="V33" s="14"/>
      <c r="W33" s="11"/>
      <c r="X33" s="125"/>
      <c r="Y33" s="11"/>
      <c r="Z33" s="14"/>
      <c r="AA33" s="11"/>
      <c r="AB33" s="14"/>
      <c r="AC33" s="11"/>
      <c r="AD33" s="14"/>
      <c r="AE33" s="11"/>
      <c r="AF33" s="14"/>
      <c r="AG33" s="11"/>
      <c r="AH33" s="14"/>
      <c r="AI33" s="11"/>
      <c r="AJ33" s="14"/>
      <c r="AK33" s="11"/>
      <c r="AL33" s="125"/>
      <c r="AM33" s="153"/>
      <c r="AN33" s="125"/>
      <c r="AO33" s="11"/>
      <c r="AP33" s="125"/>
      <c r="AQ33" s="11"/>
      <c r="AR33" s="125"/>
      <c r="AS33" s="11"/>
      <c r="AT33" s="125"/>
      <c r="AU33" s="11"/>
      <c r="AV33" s="125"/>
      <c r="AY33" s="224">
        <v>39100</v>
      </c>
      <c r="AZ33" s="228"/>
      <c r="BC33" s="10">
        <v>18</v>
      </c>
    </row>
    <row r="34" spans="1:55" x14ac:dyDescent="0.2">
      <c r="A34" s="25">
        <v>21</v>
      </c>
      <c r="B34" s="12" t="s">
        <v>141</v>
      </c>
      <c r="C34" s="207" t="s">
        <v>242</v>
      </c>
      <c r="D34" s="19" t="s">
        <v>152</v>
      </c>
      <c r="E34" s="18" t="s">
        <v>243</v>
      </c>
      <c r="F34" s="19" t="s">
        <v>101</v>
      </c>
      <c r="G34" s="18" t="s">
        <v>246</v>
      </c>
      <c r="H34" s="19" t="s">
        <v>188</v>
      </c>
      <c r="I34" s="18" t="s">
        <v>246</v>
      </c>
      <c r="J34" s="19"/>
      <c r="K34" s="125"/>
      <c r="L34" s="11"/>
      <c r="M34" s="206"/>
      <c r="N34" s="125"/>
      <c r="O34" s="11"/>
      <c r="P34" s="14"/>
      <c r="Q34" s="251" t="s">
        <v>678</v>
      </c>
      <c r="R34" s="263">
        <v>25</v>
      </c>
      <c r="S34" s="11"/>
      <c r="T34" s="14"/>
      <c r="U34" s="11"/>
      <c r="V34" s="14"/>
      <c r="W34" s="11"/>
      <c r="X34" s="125"/>
      <c r="Y34" s="11"/>
      <c r="Z34" s="14"/>
      <c r="AA34" s="11"/>
      <c r="AB34" s="14"/>
      <c r="AC34" s="11"/>
      <c r="AD34" s="14"/>
      <c r="AE34" s="11"/>
      <c r="AF34" s="14"/>
      <c r="AG34" s="11"/>
      <c r="AH34" s="14"/>
      <c r="AI34" s="11"/>
      <c r="AJ34" s="14"/>
      <c r="AK34" s="11"/>
      <c r="AL34" s="125"/>
      <c r="AM34" s="153"/>
      <c r="AN34" s="125"/>
      <c r="AO34" s="11"/>
      <c r="AP34" s="125"/>
      <c r="AQ34" s="11"/>
      <c r="AR34" s="125"/>
      <c r="AS34" s="11"/>
      <c r="AT34" s="125"/>
      <c r="AU34" s="11"/>
      <c r="AV34" s="125"/>
      <c r="AY34" s="224">
        <v>39101</v>
      </c>
      <c r="AZ34" s="228"/>
      <c r="BC34" s="10">
        <v>19</v>
      </c>
    </row>
    <row r="35" spans="1:55" x14ac:dyDescent="0.2">
      <c r="A35" s="25">
        <v>22</v>
      </c>
      <c r="B35" s="13" t="s">
        <v>314</v>
      </c>
      <c r="C35" s="207" t="s">
        <v>242</v>
      </c>
      <c r="D35" s="19" t="s">
        <v>169</v>
      </c>
      <c r="E35" s="18" t="s">
        <v>243</v>
      </c>
      <c r="F35" s="19" t="s">
        <v>119</v>
      </c>
      <c r="G35" s="18" t="s">
        <v>246</v>
      </c>
      <c r="H35" s="19" t="s">
        <v>189</v>
      </c>
      <c r="I35" s="18" t="s">
        <v>246</v>
      </c>
      <c r="J35" s="19"/>
      <c r="K35" s="125"/>
      <c r="L35" s="11"/>
      <c r="M35" s="206"/>
      <c r="N35" s="125"/>
      <c r="O35" s="11"/>
      <c r="P35" s="14"/>
      <c r="Q35" s="251" t="s">
        <v>678</v>
      </c>
      <c r="R35" s="263">
        <v>30</v>
      </c>
      <c r="S35" s="11"/>
      <c r="T35" s="14"/>
      <c r="U35" s="11"/>
      <c r="V35" s="14"/>
      <c r="W35" s="11"/>
      <c r="X35" s="125"/>
      <c r="Y35" s="11"/>
      <c r="Z35" s="14"/>
      <c r="AA35" s="11"/>
      <c r="AB35" s="14"/>
      <c r="AC35" s="11"/>
      <c r="AD35" s="14"/>
      <c r="AE35" s="11"/>
      <c r="AF35" s="14"/>
      <c r="AG35" s="11"/>
      <c r="AH35" s="14"/>
      <c r="AI35" s="11"/>
      <c r="AJ35" s="14"/>
      <c r="AK35" s="11"/>
      <c r="AL35" s="125"/>
      <c r="AM35" s="153"/>
      <c r="AN35" s="125"/>
      <c r="AO35" s="11"/>
      <c r="AP35" s="125"/>
      <c r="AQ35" s="11"/>
      <c r="AR35" s="125"/>
      <c r="AS35" s="11"/>
      <c r="AT35" s="125"/>
      <c r="AU35" s="11"/>
      <c r="AV35" s="125"/>
      <c r="AY35" s="224">
        <v>39102</v>
      </c>
      <c r="AZ35" s="228"/>
      <c r="BC35" s="10">
        <v>20</v>
      </c>
    </row>
    <row r="36" spans="1:55" x14ac:dyDescent="0.2">
      <c r="A36" s="25">
        <v>23</v>
      </c>
      <c r="B36" s="253" t="s">
        <v>570</v>
      </c>
      <c r="C36" s="207" t="s">
        <v>242</v>
      </c>
      <c r="D36" s="19" t="s">
        <v>176</v>
      </c>
      <c r="E36" s="18" t="s">
        <v>243</v>
      </c>
      <c r="F36" s="19" t="s">
        <v>118</v>
      </c>
      <c r="G36" s="18" t="s">
        <v>246</v>
      </c>
      <c r="H36" s="19" t="s">
        <v>201</v>
      </c>
      <c r="I36" s="18" t="s">
        <v>246</v>
      </c>
      <c r="J36" s="19"/>
      <c r="K36" s="125"/>
      <c r="L36" s="11"/>
      <c r="M36" s="206"/>
      <c r="N36" s="125"/>
      <c r="O36" s="11"/>
      <c r="P36" s="14"/>
      <c r="Q36" s="251" t="s">
        <v>677</v>
      </c>
      <c r="R36" s="263">
        <v>25</v>
      </c>
      <c r="S36" s="11"/>
      <c r="T36" s="14"/>
      <c r="U36" s="11"/>
      <c r="V36" s="14"/>
      <c r="W36" s="11"/>
      <c r="X36" s="125"/>
      <c r="Y36" s="11"/>
      <c r="Z36" s="14"/>
      <c r="AA36" s="11"/>
      <c r="AB36" s="14"/>
      <c r="AC36" s="11"/>
      <c r="AD36" s="14"/>
      <c r="AE36" s="11"/>
      <c r="AF36" s="14"/>
      <c r="AG36" s="11"/>
      <c r="AH36" s="14"/>
      <c r="AI36" s="11"/>
      <c r="AJ36" s="14"/>
      <c r="AK36" s="11"/>
      <c r="AL36" s="125"/>
      <c r="AM36" s="153"/>
      <c r="AN36" s="125"/>
      <c r="AO36" s="11"/>
      <c r="AP36" s="125"/>
      <c r="AQ36" s="11"/>
      <c r="AR36" s="125"/>
      <c r="AS36" s="11"/>
      <c r="AT36" s="125"/>
      <c r="AU36" s="11"/>
      <c r="AV36" s="125"/>
      <c r="AY36" s="224">
        <v>39103</v>
      </c>
      <c r="AZ36" s="228"/>
      <c r="BC36" s="10">
        <v>21</v>
      </c>
    </row>
    <row r="37" spans="1:55" x14ac:dyDescent="0.2">
      <c r="A37" s="25">
        <v>24</v>
      </c>
      <c r="B37" s="13" t="s">
        <v>151</v>
      </c>
      <c r="C37" s="207" t="s">
        <v>242</v>
      </c>
      <c r="D37" s="19" t="s">
        <v>154</v>
      </c>
      <c r="E37" s="18" t="s">
        <v>243</v>
      </c>
      <c r="F37" s="19" t="s">
        <v>102</v>
      </c>
      <c r="G37" s="18" t="s">
        <v>246</v>
      </c>
      <c r="H37" s="19" t="s">
        <v>199</v>
      </c>
      <c r="I37" s="18" t="s">
        <v>246</v>
      </c>
      <c r="J37" s="19"/>
      <c r="K37" s="125"/>
      <c r="L37" s="11"/>
      <c r="M37" s="206"/>
      <c r="N37" s="125"/>
      <c r="O37" s="11"/>
      <c r="P37" s="14"/>
      <c r="Q37" s="251" t="s">
        <v>677</v>
      </c>
      <c r="R37" s="263">
        <v>30</v>
      </c>
      <c r="S37" s="11"/>
      <c r="T37" s="14"/>
      <c r="U37" s="11"/>
      <c r="V37" s="14"/>
      <c r="W37" s="11"/>
      <c r="X37" s="125"/>
      <c r="Y37" s="11"/>
      <c r="Z37" s="14"/>
      <c r="AA37" s="11"/>
      <c r="AB37" s="14"/>
      <c r="AC37" s="11"/>
      <c r="AD37" s="14"/>
      <c r="AE37" s="11"/>
      <c r="AF37" s="14"/>
      <c r="AG37" s="11"/>
      <c r="AH37" s="14"/>
      <c r="AI37" s="11"/>
      <c r="AJ37" s="14"/>
      <c r="AK37" s="11"/>
      <c r="AL37" s="125"/>
      <c r="AM37" s="153"/>
      <c r="AN37" s="125"/>
      <c r="AO37" s="11"/>
      <c r="AP37" s="125"/>
      <c r="AQ37" s="11"/>
      <c r="AR37" s="125"/>
      <c r="AS37" s="11"/>
      <c r="AT37" s="125"/>
      <c r="AU37" s="11"/>
      <c r="AV37" s="125"/>
      <c r="AY37" s="224">
        <v>39104</v>
      </c>
      <c r="AZ37" s="228"/>
      <c r="BC37" s="10">
        <v>22</v>
      </c>
    </row>
    <row r="38" spans="1:55" x14ac:dyDescent="0.2">
      <c r="A38" s="25">
        <v>25</v>
      </c>
      <c r="B38" s="13"/>
      <c r="C38" s="231"/>
      <c r="D38" s="19" t="s">
        <v>81</v>
      </c>
      <c r="E38" s="18" t="s">
        <v>242</v>
      </c>
      <c r="F38" s="19" t="s">
        <v>102</v>
      </c>
      <c r="G38" s="18" t="s">
        <v>246</v>
      </c>
      <c r="H38" s="19" t="s">
        <v>202</v>
      </c>
      <c r="I38" s="18" t="s">
        <v>246</v>
      </c>
      <c r="J38" s="19"/>
      <c r="K38" s="125"/>
      <c r="L38" s="11"/>
      <c r="M38" s="206"/>
      <c r="N38" s="125"/>
      <c r="O38" s="11"/>
      <c r="P38" s="14"/>
      <c r="Q38" s="251" t="s">
        <v>679</v>
      </c>
      <c r="R38" s="263">
        <v>25</v>
      </c>
      <c r="S38" s="11"/>
      <c r="T38" s="14"/>
      <c r="U38" s="11"/>
      <c r="V38" s="14"/>
      <c r="W38" s="11"/>
      <c r="X38" s="125"/>
      <c r="Y38" s="11"/>
      <c r="Z38" s="14"/>
      <c r="AA38" s="11"/>
      <c r="AB38" s="14"/>
      <c r="AC38" s="11"/>
      <c r="AD38" s="14"/>
      <c r="AE38" s="11"/>
      <c r="AF38" s="14"/>
      <c r="AG38" s="11"/>
      <c r="AH38" s="14"/>
      <c r="AI38" s="11"/>
      <c r="AJ38" s="14"/>
      <c r="AK38" s="11"/>
      <c r="AL38" s="125"/>
      <c r="AM38" s="153"/>
      <c r="AN38" s="125"/>
      <c r="AO38" s="11"/>
      <c r="AP38" s="125"/>
      <c r="AQ38" s="11"/>
      <c r="AR38" s="125"/>
      <c r="AS38" s="11"/>
      <c r="AT38" s="125"/>
      <c r="AU38" s="11"/>
      <c r="AV38" s="125"/>
      <c r="AY38" s="224">
        <v>39105</v>
      </c>
      <c r="AZ38" s="228"/>
      <c r="BC38" s="10">
        <v>23</v>
      </c>
    </row>
    <row r="39" spans="1:55" x14ac:dyDescent="0.2">
      <c r="A39" s="25">
        <v>26</v>
      </c>
      <c r="B39" s="13"/>
      <c r="C39" s="231"/>
      <c r="D39" s="19" t="s">
        <v>161</v>
      </c>
      <c r="E39" s="18" t="s">
        <v>243</v>
      </c>
      <c r="F39" s="19" t="s">
        <v>103</v>
      </c>
      <c r="G39" s="18" t="s">
        <v>246</v>
      </c>
      <c r="H39" s="19" t="s">
        <v>190</v>
      </c>
      <c r="I39" s="18" t="s">
        <v>246</v>
      </c>
      <c r="J39" s="19"/>
      <c r="K39" s="125"/>
      <c r="L39" s="11"/>
      <c r="M39" s="206"/>
      <c r="N39" s="125"/>
      <c r="O39" s="11"/>
      <c r="P39" s="14"/>
      <c r="Q39" s="251" t="s">
        <v>679</v>
      </c>
      <c r="R39" s="263">
        <v>30</v>
      </c>
      <c r="S39" s="11"/>
      <c r="T39" s="14"/>
      <c r="U39" s="11"/>
      <c r="V39" s="14"/>
      <c r="W39" s="11"/>
      <c r="X39" s="125"/>
      <c r="Y39" s="11"/>
      <c r="Z39" s="14"/>
      <c r="AA39" s="11"/>
      <c r="AB39" s="14"/>
      <c r="AC39" s="11"/>
      <c r="AD39" s="14"/>
      <c r="AE39" s="11"/>
      <c r="AF39" s="14"/>
      <c r="AG39" s="11"/>
      <c r="AH39" s="14"/>
      <c r="AI39" s="11"/>
      <c r="AJ39" s="14"/>
      <c r="AK39" s="11"/>
      <c r="AL39" s="125"/>
      <c r="AM39" s="153"/>
      <c r="AN39" s="125"/>
      <c r="AO39" s="11"/>
      <c r="AP39" s="125"/>
      <c r="AQ39" s="11"/>
      <c r="AR39" s="125"/>
      <c r="AS39" s="11"/>
      <c r="AT39" s="125"/>
      <c r="AU39" s="11"/>
      <c r="AV39" s="125"/>
      <c r="AY39" s="224">
        <v>39106</v>
      </c>
      <c r="AZ39" s="228"/>
      <c r="BC39" s="10">
        <v>24</v>
      </c>
    </row>
    <row r="40" spans="1:55" x14ac:dyDescent="0.2">
      <c r="A40" s="25">
        <v>27</v>
      </c>
      <c r="B40" s="13"/>
      <c r="C40" s="231"/>
      <c r="D40" s="19" t="s">
        <v>164</v>
      </c>
      <c r="E40" s="18" t="s">
        <v>243</v>
      </c>
      <c r="F40" s="19" t="s">
        <v>123</v>
      </c>
      <c r="G40" s="18" t="s">
        <v>246</v>
      </c>
      <c r="H40" s="19" t="s">
        <v>191</v>
      </c>
      <c r="I40" s="18" t="s">
        <v>246</v>
      </c>
      <c r="J40" s="19"/>
      <c r="K40" s="125"/>
      <c r="L40" s="11"/>
      <c r="M40" s="206"/>
      <c r="N40" s="125"/>
      <c r="O40" s="11"/>
      <c r="P40" s="14"/>
      <c r="Q40" s="251" t="s">
        <v>680</v>
      </c>
      <c r="R40" s="125">
        <v>25</v>
      </c>
      <c r="S40" s="11"/>
      <c r="T40" s="14"/>
      <c r="U40" s="11"/>
      <c r="V40" s="14"/>
      <c r="W40" s="11"/>
      <c r="X40" s="125"/>
      <c r="Y40" s="11"/>
      <c r="Z40" s="14"/>
      <c r="AA40" s="11"/>
      <c r="AB40" s="14"/>
      <c r="AC40" s="11"/>
      <c r="AD40" s="14"/>
      <c r="AE40" s="11"/>
      <c r="AF40" s="14"/>
      <c r="AG40" s="11"/>
      <c r="AH40" s="14"/>
      <c r="AI40" s="11"/>
      <c r="AJ40" s="14"/>
      <c r="AK40" s="11"/>
      <c r="AL40" s="125"/>
      <c r="AM40" s="153"/>
      <c r="AN40" s="125"/>
      <c r="AO40" s="11"/>
      <c r="AP40" s="125"/>
      <c r="AQ40" s="11"/>
      <c r="AR40" s="125"/>
      <c r="AS40" s="11"/>
      <c r="AT40" s="125"/>
      <c r="AU40" s="11"/>
      <c r="AV40" s="125"/>
      <c r="AY40" s="224">
        <v>39107</v>
      </c>
      <c r="AZ40" s="228"/>
      <c r="BC40" s="10">
        <v>25</v>
      </c>
    </row>
    <row r="41" spans="1:55" x14ac:dyDescent="0.2">
      <c r="A41" s="25">
        <v>28</v>
      </c>
      <c r="B41" s="13"/>
      <c r="C41" s="231"/>
      <c r="D41" s="19" t="s">
        <v>170</v>
      </c>
      <c r="E41" s="18" t="s">
        <v>243</v>
      </c>
      <c r="F41" s="19" t="s">
        <v>104</v>
      </c>
      <c r="G41" s="18" t="s">
        <v>246</v>
      </c>
      <c r="H41" s="19" t="s">
        <v>192</v>
      </c>
      <c r="I41" s="18" t="s">
        <v>246</v>
      </c>
      <c r="J41" s="19"/>
      <c r="K41" s="125"/>
      <c r="L41" s="11"/>
      <c r="M41" s="206"/>
      <c r="N41" s="125"/>
      <c r="O41" s="11"/>
      <c r="P41" s="14"/>
      <c r="Q41" s="251" t="s">
        <v>680</v>
      </c>
      <c r="R41" s="125">
        <v>30</v>
      </c>
      <c r="S41" s="11"/>
      <c r="T41" s="14"/>
      <c r="U41" s="11"/>
      <c r="V41" s="14"/>
      <c r="W41" s="11"/>
      <c r="X41" s="125"/>
      <c r="Y41" s="11"/>
      <c r="Z41" s="14"/>
      <c r="AA41" s="11"/>
      <c r="AB41" s="14"/>
      <c r="AC41" s="11"/>
      <c r="AD41" s="14"/>
      <c r="AE41" s="11"/>
      <c r="AF41" s="14"/>
      <c r="AG41" s="11"/>
      <c r="AH41" s="14"/>
      <c r="AI41" s="11"/>
      <c r="AJ41" s="14"/>
      <c r="AK41" s="11"/>
      <c r="AL41" s="125"/>
      <c r="AM41" s="153"/>
      <c r="AN41" s="125"/>
      <c r="AO41" s="11"/>
      <c r="AP41" s="125"/>
      <c r="AQ41" s="11"/>
      <c r="AR41" s="125"/>
      <c r="AS41" s="11"/>
      <c r="AT41" s="125"/>
      <c r="AU41" s="11"/>
      <c r="AV41" s="125"/>
      <c r="AY41" s="224">
        <v>39108</v>
      </c>
      <c r="AZ41" s="228"/>
    </row>
    <row r="42" spans="1:55" x14ac:dyDescent="0.2">
      <c r="A42" s="25">
        <v>29</v>
      </c>
      <c r="B42" s="13"/>
      <c r="C42" s="231"/>
      <c r="D42" s="19" t="s">
        <v>165</v>
      </c>
      <c r="E42" s="18" t="s">
        <v>243</v>
      </c>
      <c r="F42" s="19" t="s">
        <v>105</v>
      </c>
      <c r="G42" s="18" t="s">
        <v>246</v>
      </c>
      <c r="H42" s="19" t="s">
        <v>205</v>
      </c>
      <c r="I42" s="18" t="s">
        <v>246</v>
      </c>
      <c r="J42" s="19"/>
      <c r="K42" s="125"/>
      <c r="L42" s="11"/>
      <c r="M42" s="206"/>
      <c r="N42" s="125"/>
      <c r="O42" s="11"/>
      <c r="P42" s="14"/>
      <c r="Q42" s="251" t="s">
        <v>681</v>
      </c>
      <c r="R42" s="125">
        <v>25</v>
      </c>
      <c r="S42" s="11"/>
      <c r="T42" s="14"/>
      <c r="U42" s="11"/>
      <c r="V42" s="14"/>
      <c r="W42" s="11"/>
      <c r="X42" s="125"/>
      <c r="Y42" s="11"/>
      <c r="Z42" s="14"/>
      <c r="AA42" s="11"/>
      <c r="AB42" s="14"/>
      <c r="AC42" s="11"/>
      <c r="AD42" s="14"/>
      <c r="AE42" s="11"/>
      <c r="AF42" s="14"/>
      <c r="AG42" s="11"/>
      <c r="AH42" s="14"/>
      <c r="AI42" s="11"/>
      <c r="AJ42" s="14"/>
      <c r="AK42" s="11"/>
      <c r="AL42" s="125"/>
      <c r="AM42" s="153"/>
      <c r="AN42" s="125"/>
      <c r="AO42" s="11"/>
      <c r="AP42" s="125"/>
      <c r="AQ42" s="11"/>
      <c r="AR42" s="125"/>
      <c r="AS42" s="11"/>
      <c r="AT42" s="125"/>
      <c r="AU42" s="11"/>
      <c r="AV42" s="125"/>
      <c r="AY42" s="224">
        <v>39109</v>
      </c>
      <c r="AZ42" s="228"/>
    </row>
    <row r="43" spans="1:55" x14ac:dyDescent="0.2">
      <c r="A43" s="25">
        <v>30</v>
      </c>
      <c r="B43" s="13"/>
      <c r="C43" s="231"/>
      <c r="D43" s="19" t="s">
        <v>177</v>
      </c>
      <c r="E43" s="18" t="s">
        <v>243</v>
      </c>
      <c r="F43" s="19" t="s">
        <v>106</v>
      </c>
      <c r="G43" s="18" t="s">
        <v>246</v>
      </c>
      <c r="H43" s="19" t="s">
        <v>211</v>
      </c>
      <c r="I43" s="18" t="s">
        <v>246</v>
      </c>
      <c r="J43" s="19"/>
      <c r="K43" s="125"/>
      <c r="L43" s="11"/>
      <c r="M43" s="206"/>
      <c r="N43" s="125"/>
      <c r="O43" s="11"/>
      <c r="P43" s="14"/>
      <c r="Q43" s="251" t="s">
        <v>681</v>
      </c>
      <c r="R43" s="125">
        <v>30</v>
      </c>
      <c r="S43" s="11"/>
      <c r="T43" s="14"/>
      <c r="U43" s="11"/>
      <c r="V43" s="14"/>
      <c r="W43" s="11"/>
      <c r="X43" s="125"/>
      <c r="Y43" s="11"/>
      <c r="Z43" s="14"/>
      <c r="AA43" s="11"/>
      <c r="AB43" s="14"/>
      <c r="AC43" s="11"/>
      <c r="AD43" s="14"/>
      <c r="AE43" s="11"/>
      <c r="AF43" s="14"/>
      <c r="AG43" s="11"/>
      <c r="AH43" s="14"/>
      <c r="AI43" s="11"/>
      <c r="AJ43" s="14"/>
      <c r="AK43" s="11"/>
      <c r="AL43" s="125"/>
      <c r="AM43" s="153"/>
      <c r="AN43" s="125"/>
      <c r="AO43" s="11"/>
      <c r="AP43" s="125"/>
      <c r="AQ43" s="11"/>
      <c r="AR43" s="125"/>
      <c r="AS43" s="11"/>
      <c r="AT43" s="125"/>
      <c r="AU43" s="11"/>
      <c r="AV43" s="125"/>
      <c r="AY43" s="224">
        <v>39110</v>
      </c>
      <c r="AZ43" s="228"/>
    </row>
    <row r="44" spans="1:55" x14ac:dyDescent="0.2">
      <c r="A44" s="25">
        <v>31</v>
      </c>
      <c r="B44" s="13"/>
      <c r="C44" s="231"/>
      <c r="D44" s="19" t="s">
        <v>178</v>
      </c>
      <c r="E44" s="18" t="s">
        <v>243</v>
      </c>
      <c r="F44" s="19" t="s">
        <v>107</v>
      </c>
      <c r="G44" s="18" t="s">
        <v>246</v>
      </c>
      <c r="H44" s="19" t="s">
        <v>215</v>
      </c>
      <c r="I44" s="18" t="s">
        <v>246</v>
      </c>
      <c r="J44" s="19"/>
      <c r="K44" s="125"/>
      <c r="L44" s="11"/>
      <c r="M44" s="206"/>
      <c r="N44" s="125"/>
      <c r="O44" s="11"/>
      <c r="P44" s="14"/>
      <c r="Q44" s="251" t="s">
        <v>682</v>
      </c>
      <c r="R44" s="125">
        <v>25</v>
      </c>
      <c r="S44" s="11"/>
      <c r="T44" s="14"/>
      <c r="U44" s="11"/>
      <c r="V44" s="14"/>
      <c r="W44" s="11"/>
      <c r="X44" s="125"/>
      <c r="Y44" s="11"/>
      <c r="Z44" s="14"/>
      <c r="AA44" s="11"/>
      <c r="AB44" s="14"/>
      <c r="AC44" s="11"/>
      <c r="AD44" s="14"/>
      <c r="AE44" s="11"/>
      <c r="AF44" s="14"/>
      <c r="AG44" s="11"/>
      <c r="AH44" s="14"/>
      <c r="AI44" s="11"/>
      <c r="AJ44" s="14"/>
      <c r="AK44" s="11"/>
      <c r="AL44" s="125"/>
      <c r="AM44" s="153"/>
      <c r="AN44" s="125"/>
      <c r="AO44" s="11"/>
      <c r="AP44" s="125"/>
      <c r="AQ44" s="11"/>
      <c r="AR44" s="125"/>
      <c r="AS44" s="11"/>
      <c r="AT44" s="125"/>
      <c r="AU44" s="11"/>
      <c r="AV44" s="125"/>
      <c r="AY44" s="224">
        <v>39111</v>
      </c>
      <c r="AZ44" s="228"/>
    </row>
    <row r="45" spans="1:55" x14ac:dyDescent="0.2">
      <c r="A45" s="25">
        <v>32</v>
      </c>
      <c r="B45" s="13"/>
      <c r="C45" s="231"/>
      <c r="D45" s="19" t="s">
        <v>162</v>
      </c>
      <c r="E45" s="18" t="s">
        <v>243</v>
      </c>
      <c r="F45" s="19" t="s">
        <v>108</v>
      </c>
      <c r="G45" s="18" t="s">
        <v>246</v>
      </c>
      <c r="H45" s="19" t="s">
        <v>195</v>
      </c>
      <c r="I45" s="18" t="s">
        <v>246</v>
      </c>
      <c r="J45" s="19"/>
      <c r="K45" s="125"/>
      <c r="L45" s="11"/>
      <c r="M45" s="206"/>
      <c r="N45" s="125"/>
      <c r="O45" s="11"/>
      <c r="P45" s="14"/>
      <c r="Q45" s="251" t="s">
        <v>682</v>
      </c>
      <c r="R45" s="125">
        <v>30</v>
      </c>
      <c r="S45" s="11"/>
      <c r="T45" s="14"/>
      <c r="U45" s="11"/>
      <c r="V45" s="14"/>
      <c r="W45" s="11"/>
      <c r="X45" s="125"/>
      <c r="Y45" s="11"/>
      <c r="Z45" s="14"/>
      <c r="AA45" s="11"/>
      <c r="AB45" s="14"/>
      <c r="AC45" s="11"/>
      <c r="AD45" s="14"/>
      <c r="AE45" s="11"/>
      <c r="AF45" s="14"/>
      <c r="AG45" s="11"/>
      <c r="AH45" s="14"/>
      <c r="AI45" s="11"/>
      <c r="AJ45" s="14"/>
      <c r="AK45" s="11"/>
      <c r="AL45" s="125"/>
      <c r="AM45" s="153"/>
      <c r="AN45" s="125"/>
      <c r="AO45" s="11"/>
      <c r="AP45" s="125"/>
      <c r="AQ45" s="11"/>
      <c r="AR45" s="125"/>
      <c r="AS45" s="11"/>
      <c r="AT45" s="125"/>
      <c r="AU45" s="11"/>
      <c r="AV45" s="125"/>
      <c r="AY45" s="224">
        <v>39112</v>
      </c>
      <c r="AZ45" s="228"/>
    </row>
    <row r="46" spans="1:55" x14ac:dyDescent="0.2">
      <c r="A46" s="25">
        <v>33</v>
      </c>
      <c r="B46" s="13"/>
      <c r="C46" s="231"/>
      <c r="D46" s="11"/>
      <c r="E46" s="125"/>
      <c r="F46" s="19" t="s">
        <v>109</v>
      </c>
      <c r="G46" s="18" t="s">
        <v>246</v>
      </c>
      <c r="H46" s="19" t="s">
        <v>213</v>
      </c>
      <c r="I46" s="18" t="s">
        <v>246</v>
      </c>
      <c r="J46" s="19"/>
      <c r="K46" s="125"/>
      <c r="L46" s="11"/>
      <c r="M46" s="206"/>
      <c r="N46" s="125"/>
      <c r="O46" s="11"/>
      <c r="P46" s="14"/>
      <c r="Q46" s="251" t="s">
        <v>683</v>
      </c>
      <c r="R46" s="125">
        <v>25</v>
      </c>
      <c r="S46" s="11"/>
      <c r="T46" s="14"/>
      <c r="U46" s="11"/>
      <c r="V46" s="14"/>
      <c r="W46" s="11"/>
      <c r="X46" s="125"/>
      <c r="Y46" s="11"/>
      <c r="Z46" s="14"/>
      <c r="AA46" s="11"/>
      <c r="AB46" s="14"/>
      <c r="AC46" s="11"/>
      <c r="AD46" s="14"/>
      <c r="AE46" s="11"/>
      <c r="AF46" s="14"/>
      <c r="AG46" s="11"/>
      <c r="AH46" s="14"/>
      <c r="AI46" s="11"/>
      <c r="AJ46" s="14"/>
      <c r="AK46" s="11"/>
      <c r="AL46" s="125"/>
      <c r="AM46" s="153"/>
      <c r="AN46" s="125"/>
      <c r="AO46" s="11"/>
      <c r="AP46" s="125"/>
      <c r="AQ46" s="11"/>
      <c r="AR46" s="125"/>
      <c r="AS46" s="11"/>
      <c r="AT46" s="125"/>
      <c r="AU46" s="11"/>
      <c r="AV46" s="125"/>
      <c r="AY46" s="224">
        <v>39113</v>
      </c>
      <c r="AZ46" s="228"/>
    </row>
    <row r="47" spans="1:55" x14ac:dyDescent="0.2">
      <c r="A47" s="25">
        <v>34</v>
      </c>
      <c r="B47" s="13"/>
      <c r="C47" s="231"/>
      <c r="D47" s="19"/>
      <c r="E47" s="18"/>
      <c r="F47" s="19" t="s">
        <v>110</v>
      </c>
      <c r="G47" s="18" t="s">
        <v>246</v>
      </c>
      <c r="H47" s="19" t="s">
        <v>206</v>
      </c>
      <c r="I47" s="18" t="s">
        <v>246</v>
      </c>
      <c r="J47" s="19"/>
      <c r="K47" s="125"/>
      <c r="L47" s="11"/>
      <c r="M47" s="206"/>
      <c r="N47" s="125"/>
      <c r="O47" s="11"/>
      <c r="P47" s="14"/>
      <c r="Q47" s="251" t="s">
        <v>683</v>
      </c>
      <c r="R47" s="125">
        <v>30</v>
      </c>
      <c r="S47" s="11"/>
      <c r="T47" s="14"/>
      <c r="U47" s="11"/>
      <c r="V47" s="14"/>
      <c r="W47" s="11"/>
      <c r="X47" s="125"/>
      <c r="Y47" s="11"/>
      <c r="Z47" s="14"/>
      <c r="AA47" s="11"/>
      <c r="AB47" s="14"/>
      <c r="AC47" s="11"/>
      <c r="AD47" s="14"/>
      <c r="AE47" s="11"/>
      <c r="AF47" s="14"/>
      <c r="AG47" s="11"/>
      <c r="AH47" s="14"/>
      <c r="AI47" s="11"/>
      <c r="AJ47" s="14"/>
      <c r="AK47" s="11"/>
      <c r="AL47" s="125"/>
      <c r="AM47" s="153"/>
      <c r="AN47" s="125"/>
      <c r="AO47" s="11"/>
      <c r="AP47" s="125"/>
      <c r="AQ47" s="11"/>
      <c r="AR47" s="125"/>
      <c r="AS47" s="11"/>
      <c r="AT47" s="125"/>
      <c r="AU47" s="11"/>
      <c r="AV47" s="125"/>
      <c r="AY47" s="224">
        <v>39114</v>
      </c>
      <c r="AZ47" s="228"/>
    </row>
    <row r="48" spans="1:55" x14ac:dyDescent="0.2">
      <c r="A48" s="25">
        <v>35</v>
      </c>
      <c r="B48" s="13"/>
      <c r="C48" s="231"/>
      <c r="D48" s="19"/>
      <c r="E48" s="18"/>
      <c r="F48" s="19" t="s">
        <v>117</v>
      </c>
      <c r="G48" s="18" t="s">
        <v>246</v>
      </c>
      <c r="H48" s="19" t="s">
        <v>196</v>
      </c>
      <c r="I48" s="18" t="s">
        <v>246</v>
      </c>
      <c r="J48" s="19"/>
      <c r="K48" s="125"/>
      <c r="L48" s="11"/>
      <c r="M48" s="206"/>
      <c r="N48" s="125"/>
      <c r="O48" s="11"/>
      <c r="P48" s="14"/>
      <c r="Q48" s="251" t="s">
        <v>685</v>
      </c>
      <c r="R48" s="125">
        <v>25</v>
      </c>
      <c r="S48" s="11"/>
      <c r="T48" s="14"/>
      <c r="U48" s="11"/>
      <c r="V48" s="14"/>
      <c r="W48" s="11"/>
      <c r="X48" s="125"/>
      <c r="Y48" s="11"/>
      <c r="Z48" s="14"/>
      <c r="AA48" s="11"/>
      <c r="AB48" s="14"/>
      <c r="AC48" s="11"/>
      <c r="AD48" s="14"/>
      <c r="AE48" s="11"/>
      <c r="AF48" s="14"/>
      <c r="AG48" s="11"/>
      <c r="AH48" s="14"/>
      <c r="AI48" s="11"/>
      <c r="AJ48" s="14"/>
      <c r="AK48" s="11"/>
      <c r="AL48" s="125"/>
      <c r="AM48" s="153"/>
      <c r="AN48" s="125"/>
      <c r="AO48" s="11"/>
      <c r="AP48" s="125"/>
      <c r="AQ48" s="11"/>
      <c r="AR48" s="125"/>
      <c r="AS48" s="11"/>
      <c r="AT48" s="125"/>
      <c r="AU48" s="11"/>
      <c r="AV48" s="125"/>
      <c r="AY48" s="224">
        <v>39115</v>
      </c>
      <c r="AZ48" s="228"/>
    </row>
    <row r="49" spans="1:52" x14ac:dyDescent="0.2">
      <c r="A49" s="25">
        <v>36</v>
      </c>
      <c r="B49" s="13"/>
      <c r="C49" s="231"/>
      <c r="D49" s="19"/>
      <c r="E49" s="18"/>
      <c r="F49" s="19" t="s">
        <v>245</v>
      </c>
      <c r="G49" s="18" t="s">
        <v>246</v>
      </c>
      <c r="H49" s="19" t="s">
        <v>193</v>
      </c>
      <c r="I49" s="18" t="s">
        <v>246</v>
      </c>
      <c r="J49" s="19"/>
      <c r="K49" s="125"/>
      <c r="L49" s="11"/>
      <c r="M49" s="206"/>
      <c r="N49" s="125"/>
      <c r="O49" s="11"/>
      <c r="P49" s="14"/>
      <c r="Q49" s="251" t="s">
        <v>685</v>
      </c>
      <c r="R49" s="263">
        <v>30</v>
      </c>
      <c r="S49" s="11"/>
      <c r="T49" s="14"/>
      <c r="U49" s="11"/>
      <c r="V49" s="14"/>
      <c r="W49" s="11"/>
      <c r="X49" s="125"/>
      <c r="Y49" s="11"/>
      <c r="Z49" s="14"/>
      <c r="AA49" s="11"/>
      <c r="AB49" s="14"/>
      <c r="AC49" s="11"/>
      <c r="AD49" s="14"/>
      <c r="AE49" s="11"/>
      <c r="AF49" s="14"/>
      <c r="AG49" s="11"/>
      <c r="AH49" s="14"/>
      <c r="AI49" s="11"/>
      <c r="AJ49" s="14"/>
      <c r="AK49" s="11"/>
      <c r="AL49" s="125"/>
      <c r="AM49" s="153"/>
      <c r="AN49" s="125"/>
      <c r="AO49" s="11"/>
      <c r="AP49" s="125"/>
      <c r="AQ49" s="11"/>
      <c r="AR49" s="125"/>
      <c r="AS49" s="11"/>
      <c r="AT49" s="125"/>
      <c r="AU49" s="11"/>
      <c r="AV49" s="125"/>
      <c r="AY49" s="224">
        <v>39116</v>
      </c>
      <c r="AZ49" s="228"/>
    </row>
    <row r="50" spans="1:52" x14ac:dyDescent="0.2">
      <c r="A50" s="25">
        <v>37</v>
      </c>
      <c r="B50" s="13"/>
      <c r="C50" s="231"/>
      <c r="D50" s="19"/>
      <c r="E50" s="18"/>
      <c r="F50" s="19" t="s">
        <v>132</v>
      </c>
      <c r="G50" s="18" t="s">
        <v>246</v>
      </c>
      <c r="H50" s="19" t="s">
        <v>217</v>
      </c>
      <c r="I50" s="18" t="s">
        <v>246</v>
      </c>
      <c r="J50" s="19"/>
      <c r="K50" s="125"/>
      <c r="L50" s="11"/>
      <c r="M50" s="206"/>
      <c r="N50" s="125"/>
      <c r="O50" s="11"/>
      <c r="P50" s="14"/>
      <c r="Q50" s="251" t="s">
        <v>686</v>
      </c>
      <c r="R50" s="263">
        <v>25</v>
      </c>
      <c r="S50" s="11"/>
      <c r="T50" s="14"/>
      <c r="U50" s="11"/>
      <c r="V50" s="14"/>
      <c r="W50" s="11"/>
      <c r="X50" s="125"/>
      <c r="Y50" s="11"/>
      <c r="Z50" s="14"/>
      <c r="AA50" s="11"/>
      <c r="AB50" s="14"/>
      <c r="AC50" s="11"/>
      <c r="AD50" s="14"/>
      <c r="AE50" s="11"/>
      <c r="AF50" s="14"/>
      <c r="AG50" s="11"/>
      <c r="AH50" s="14"/>
      <c r="AI50" s="11"/>
      <c r="AJ50" s="14"/>
      <c r="AK50" s="11"/>
      <c r="AL50" s="125"/>
      <c r="AM50" s="153"/>
      <c r="AN50" s="125"/>
      <c r="AO50" s="11"/>
      <c r="AP50" s="125"/>
      <c r="AQ50" s="11"/>
      <c r="AR50" s="125"/>
      <c r="AS50" s="11"/>
      <c r="AT50" s="125"/>
      <c r="AU50" s="11"/>
      <c r="AV50" s="125"/>
      <c r="AY50" s="224">
        <v>39117</v>
      </c>
      <c r="AZ50" s="228"/>
    </row>
    <row r="51" spans="1:52" x14ac:dyDescent="0.2">
      <c r="A51" s="25">
        <v>38</v>
      </c>
      <c r="B51" s="13"/>
      <c r="C51" s="231"/>
      <c r="D51" s="11"/>
      <c r="E51" s="125"/>
      <c r="F51" s="19" t="s">
        <v>120</v>
      </c>
      <c r="G51" s="18" t="s">
        <v>244</v>
      </c>
      <c r="H51" s="19" t="s">
        <v>212</v>
      </c>
      <c r="I51" s="18" t="s">
        <v>246</v>
      </c>
      <c r="J51" s="19"/>
      <c r="K51" s="125"/>
      <c r="L51" s="11"/>
      <c r="M51" s="206"/>
      <c r="N51" s="125"/>
      <c r="O51" s="11"/>
      <c r="P51" s="14"/>
      <c r="Q51" s="251" t="s">
        <v>686</v>
      </c>
      <c r="R51" s="125">
        <v>30</v>
      </c>
      <c r="S51" s="11"/>
      <c r="T51" s="14"/>
      <c r="U51" s="11"/>
      <c r="V51" s="14"/>
      <c r="W51" s="11"/>
      <c r="X51" s="125"/>
      <c r="Y51" s="11"/>
      <c r="Z51" s="14"/>
      <c r="AA51" s="11"/>
      <c r="AB51" s="14"/>
      <c r="AC51" s="11"/>
      <c r="AD51" s="14"/>
      <c r="AE51" s="11"/>
      <c r="AF51" s="14"/>
      <c r="AG51" s="11"/>
      <c r="AH51" s="14"/>
      <c r="AI51" s="11"/>
      <c r="AJ51" s="14"/>
      <c r="AK51" s="11"/>
      <c r="AL51" s="125"/>
      <c r="AM51" s="153"/>
      <c r="AN51" s="125"/>
      <c r="AO51" s="11"/>
      <c r="AP51" s="125"/>
      <c r="AQ51" s="11"/>
      <c r="AR51" s="125"/>
      <c r="AS51" s="11"/>
      <c r="AT51" s="125"/>
      <c r="AU51" s="11"/>
      <c r="AV51" s="125"/>
      <c r="AY51" s="224">
        <v>39118</v>
      </c>
      <c r="AZ51" s="228"/>
    </row>
    <row r="52" spans="1:52" x14ac:dyDescent="0.2">
      <c r="A52" s="25">
        <v>39</v>
      </c>
      <c r="B52" s="13"/>
      <c r="C52" s="231"/>
      <c r="D52" s="11"/>
      <c r="E52" s="125"/>
      <c r="F52" s="19" t="s">
        <v>111</v>
      </c>
      <c r="G52" s="18" t="s">
        <v>246</v>
      </c>
      <c r="H52" s="19" t="s">
        <v>210</v>
      </c>
      <c r="I52" s="18" t="s">
        <v>246</v>
      </c>
      <c r="J52" s="19"/>
      <c r="K52" s="125"/>
      <c r="L52" s="11"/>
      <c r="M52" s="206"/>
      <c r="N52" s="125"/>
      <c r="O52" s="11"/>
      <c r="P52" s="14"/>
      <c r="Q52" s="11"/>
      <c r="R52" s="125"/>
      <c r="S52" s="11"/>
      <c r="T52" s="14"/>
      <c r="U52" s="11"/>
      <c r="V52" s="14"/>
      <c r="W52" s="11"/>
      <c r="X52" s="125"/>
      <c r="Y52" s="11"/>
      <c r="Z52" s="14"/>
      <c r="AA52" s="11"/>
      <c r="AB52" s="14"/>
      <c r="AC52" s="11"/>
      <c r="AD52" s="14"/>
      <c r="AE52" s="11"/>
      <c r="AF52" s="14"/>
      <c r="AG52" s="11"/>
      <c r="AH52" s="14"/>
      <c r="AI52" s="11"/>
      <c r="AJ52" s="14"/>
      <c r="AK52" s="11"/>
      <c r="AL52" s="125"/>
      <c r="AM52" s="153"/>
      <c r="AN52" s="125"/>
      <c r="AO52" s="11"/>
      <c r="AP52" s="125"/>
      <c r="AQ52" s="11"/>
      <c r="AR52" s="125"/>
      <c r="AS52" s="11"/>
      <c r="AT52" s="125"/>
      <c r="AU52" s="11"/>
      <c r="AV52" s="125"/>
      <c r="AY52" s="224">
        <v>39119</v>
      </c>
      <c r="AZ52" s="228"/>
    </row>
    <row r="53" spans="1:52" x14ac:dyDescent="0.2">
      <c r="A53" s="25">
        <v>40</v>
      </c>
      <c r="B53" s="13"/>
      <c r="C53" s="231"/>
      <c r="D53" s="11"/>
      <c r="E53" s="125"/>
      <c r="F53" s="19" t="s">
        <v>122</v>
      </c>
      <c r="G53" s="18" t="s">
        <v>246</v>
      </c>
      <c r="H53" s="19" t="s">
        <v>197</v>
      </c>
      <c r="I53" s="18" t="s">
        <v>246</v>
      </c>
      <c r="J53" s="19"/>
      <c r="K53" s="125"/>
      <c r="L53" s="11"/>
      <c r="M53" s="206"/>
      <c r="N53" s="125"/>
      <c r="O53" s="11"/>
      <c r="P53" s="14"/>
      <c r="Q53" s="11"/>
      <c r="R53" s="125"/>
      <c r="S53" s="11"/>
      <c r="T53" s="14"/>
      <c r="U53" s="11"/>
      <c r="V53" s="14"/>
      <c r="W53" s="11"/>
      <c r="X53" s="125"/>
      <c r="Y53" s="11"/>
      <c r="Z53" s="14"/>
      <c r="AA53" s="11"/>
      <c r="AB53" s="14"/>
      <c r="AC53" s="11"/>
      <c r="AD53" s="14"/>
      <c r="AE53" s="11"/>
      <c r="AF53" s="14"/>
      <c r="AG53" s="11"/>
      <c r="AH53" s="14"/>
      <c r="AI53" s="11"/>
      <c r="AJ53" s="14"/>
      <c r="AK53" s="11"/>
      <c r="AL53" s="125"/>
      <c r="AM53" s="153"/>
      <c r="AN53" s="125"/>
      <c r="AO53" s="11"/>
      <c r="AP53" s="125"/>
      <c r="AQ53" s="11"/>
      <c r="AR53" s="125"/>
      <c r="AS53" s="11"/>
      <c r="AT53" s="125"/>
      <c r="AU53" s="11"/>
      <c r="AV53" s="125"/>
      <c r="AY53" s="224">
        <v>39120</v>
      </c>
      <c r="AZ53" s="228"/>
    </row>
    <row r="54" spans="1:52" x14ac:dyDescent="0.2">
      <c r="A54" s="25">
        <v>41</v>
      </c>
      <c r="B54" s="13"/>
      <c r="C54" s="231"/>
      <c r="D54" s="11"/>
      <c r="E54" s="125"/>
      <c r="F54" s="19" t="s">
        <v>133</v>
      </c>
      <c r="G54" s="18" t="s">
        <v>244</v>
      </c>
      <c r="H54" s="19" t="s">
        <v>200</v>
      </c>
      <c r="I54" s="18" t="s">
        <v>246</v>
      </c>
      <c r="J54" s="19"/>
      <c r="K54" s="125"/>
      <c r="L54" s="11"/>
      <c r="M54" s="206"/>
      <c r="N54" s="125"/>
      <c r="O54" s="11"/>
      <c r="P54" s="14"/>
      <c r="Q54" s="11"/>
      <c r="R54" s="125"/>
      <c r="S54" s="11"/>
      <c r="T54" s="14"/>
      <c r="U54" s="11"/>
      <c r="V54" s="14"/>
      <c r="W54" s="11"/>
      <c r="X54" s="125"/>
      <c r="Y54" s="11"/>
      <c r="Z54" s="14"/>
      <c r="AA54" s="11"/>
      <c r="AB54" s="14"/>
      <c r="AC54" s="11"/>
      <c r="AD54" s="14"/>
      <c r="AE54" s="11"/>
      <c r="AF54" s="14"/>
      <c r="AG54" s="11"/>
      <c r="AH54" s="14"/>
      <c r="AI54" s="11"/>
      <c r="AJ54" s="14"/>
      <c r="AK54" s="11"/>
      <c r="AL54" s="125"/>
      <c r="AM54" s="153"/>
      <c r="AN54" s="125"/>
      <c r="AO54" s="11"/>
      <c r="AP54" s="125"/>
      <c r="AQ54" s="11"/>
      <c r="AR54" s="125"/>
      <c r="AS54" s="11"/>
      <c r="AT54" s="125"/>
      <c r="AU54" s="11"/>
      <c r="AV54" s="125"/>
      <c r="AY54" s="224">
        <v>39121</v>
      </c>
      <c r="AZ54" s="228"/>
    </row>
    <row r="55" spans="1:52" x14ac:dyDescent="0.2">
      <c r="A55" s="25">
        <v>42</v>
      </c>
      <c r="B55" s="13"/>
      <c r="C55" s="231"/>
      <c r="D55" s="11"/>
      <c r="E55" s="125"/>
      <c r="F55" s="19" t="s">
        <v>112</v>
      </c>
      <c r="G55" s="18" t="s">
        <v>246</v>
      </c>
      <c r="H55" s="19" t="s">
        <v>200</v>
      </c>
      <c r="I55" s="18" t="s">
        <v>246</v>
      </c>
      <c r="J55" s="19"/>
      <c r="K55" s="125"/>
      <c r="L55" s="11"/>
      <c r="M55" s="206"/>
      <c r="N55" s="125"/>
      <c r="O55" s="11"/>
      <c r="P55" s="14"/>
      <c r="Q55" s="11"/>
      <c r="R55" s="125"/>
      <c r="S55" s="11"/>
      <c r="T55" s="14"/>
      <c r="U55" s="11"/>
      <c r="V55" s="14"/>
      <c r="W55" s="11"/>
      <c r="X55" s="125"/>
      <c r="Y55" s="11"/>
      <c r="Z55" s="14"/>
      <c r="AA55" s="11"/>
      <c r="AB55" s="14"/>
      <c r="AC55" s="11"/>
      <c r="AD55" s="14"/>
      <c r="AE55" s="11"/>
      <c r="AF55" s="14"/>
      <c r="AG55" s="11"/>
      <c r="AH55" s="14"/>
      <c r="AI55" s="11"/>
      <c r="AJ55" s="14"/>
      <c r="AK55" s="11"/>
      <c r="AL55" s="125"/>
      <c r="AM55" s="153"/>
      <c r="AN55" s="125"/>
      <c r="AO55" s="11"/>
      <c r="AP55" s="125"/>
      <c r="AQ55" s="11"/>
      <c r="AR55" s="125"/>
      <c r="AS55" s="11"/>
      <c r="AT55" s="125"/>
      <c r="AU55" s="11"/>
      <c r="AV55" s="125"/>
      <c r="AY55" s="224">
        <v>39122</v>
      </c>
      <c r="AZ55" s="228"/>
    </row>
    <row r="56" spans="1:52" x14ac:dyDescent="0.2">
      <c r="A56" s="25">
        <v>43</v>
      </c>
      <c r="B56" s="13"/>
      <c r="C56" s="231"/>
      <c r="D56" s="11"/>
      <c r="E56" s="125"/>
      <c r="F56" s="19" t="s">
        <v>121</v>
      </c>
      <c r="G56" s="18" t="s">
        <v>246</v>
      </c>
      <c r="H56" s="19" t="s">
        <v>194</v>
      </c>
      <c r="I56" s="18" t="s">
        <v>246</v>
      </c>
      <c r="J56" s="19"/>
      <c r="K56" s="125"/>
      <c r="L56" s="11"/>
      <c r="M56" s="206"/>
      <c r="N56" s="125"/>
      <c r="O56" s="11"/>
      <c r="P56" s="14"/>
      <c r="Q56" s="11"/>
      <c r="R56" s="125"/>
      <c r="S56" s="11"/>
      <c r="T56" s="14"/>
      <c r="U56" s="11"/>
      <c r="V56" s="14"/>
      <c r="W56" s="11"/>
      <c r="X56" s="125"/>
      <c r="Y56" s="11"/>
      <c r="Z56" s="14"/>
      <c r="AA56" s="11"/>
      <c r="AB56" s="14"/>
      <c r="AC56" s="11"/>
      <c r="AD56" s="14"/>
      <c r="AE56" s="11"/>
      <c r="AF56" s="14"/>
      <c r="AG56" s="11"/>
      <c r="AH56" s="14"/>
      <c r="AI56" s="11"/>
      <c r="AJ56" s="14"/>
      <c r="AK56" s="11"/>
      <c r="AL56" s="125"/>
      <c r="AM56" s="153"/>
      <c r="AN56" s="125"/>
      <c r="AO56" s="11"/>
      <c r="AP56" s="125"/>
      <c r="AQ56" s="11"/>
      <c r="AR56" s="125"/>
      <c r="AS56" s="11"/>
      <c r="AT56" s="125"/>
      <c r="AU56" s="11"/>
      <c r="AV56" s="125"/>
      <c r="AY56" s="224">
        <v>39123</v>
      </c>
      <c r="AZ56" s="228"/>
    </row>
    <row r="57" spans="1:52" x14ac:dyDescent="0.2">
      <c r="A57" s="25">
        <v>44</v>
      </c>
      <c r="B57" s="13"/>
      <c r="C57" s="231"/>
      <c r="D57" s="11"/>
      <c r="E57" s="125"/>
      <c r="F57" s="226" t="s">
        <v>331</v>
      </c>
      <c r="G57" s="137" t="s">
        <v>246</v>
      </c>
      <c r="H57" s="19" t="s">
        <v>208</v>
      </c>
      <c r="I57" s="18" t="s">
        <v>246</v>
      </c>
      <c r="J57" s="11"/>
      <c r="K57" s="125"/>
      <c r="L57" s="11"/>
      <c r="M57" s="206"/>
      <c r="N57" s="125"/>
      <c r="O57" s="11"/>
      <c r="P57" s="14"/>
      <c r="Q57" s="11"/>
      <c r="R57" s="125"/>
      <c r="S57" s="11"/>
      <c r="T57" s="14"/>
      <c r="U57" s="11"/>
      <c r="V57" s="14"/>
      <c r="W57" s="11"/>
      <c r="X57" s="125"/>
      <c r="Y57" s="11"/>
      <c r="Z57" s="14"/>
      <c r="AA57" s="11"/>
      <c r="AB57" s="14"/>
      <c r="AC57" s="11"/>
      <c r="AD57" s="14"/>
      <c r="AE57" s="11"/>
      <c r="AF57" s="14"/>
      <c r="AG57" s="11"/>
      <c r="AH57" s="14"/>
      <c r="AI57" s="11"/>
      <c r="AJ57" s="14"/>
      <c r="AK57" s="11"/>
      <c r="AL57" s="125"/>
      <c r="AM57" s="153"/>
      <c r="AN57" s="125"/>
      <c r="AO57" s="11"/>
      <c r="AP57" s="125"/>
      <c r="AQ57" s="11"/>
      <c r="AR57" s="125"/>
      <c r="AS57" s="11"/>
      <c r="AT57" s="125"/>
      <c r="AU57" s="11"/>
      <c r="AV57" s="125"/>
      <c r="AY57" s="224">
        <v>39124</v>
      </c>
      <c r="AZ57" s="228"/>
    </row>
    <row r="58" spans="1:52" x14ac:dyDescent="0.2">
      <c r="A58" s="25">
        <v>45</v>
      </c>
      <c r="B58" s="13"/>
      <c r="C58" s="231"/>
      <c r="D58" s="11"/>
      <c r="E58" s="125"/>
      <c r="F58" s="19" t="s">
        <v>134</v>
      </c>
      <c r="G58" s="18" t="s">
        <v>244</v>
      </c>
      <c r="H58" s="11" t="s">
        <v>333</v>
      </c>
      <c r="I58" s="125" t="s">
        <v>246</v>
      </c>
      <c r="J58" s="11"/>
      <c r="K58" s="125"/>
      <c r="L58" s="11"/>
      <c r="M58" s="206"/>
      <c r="N58" s="125"/>
      <c r="O58" s="11"/>
      <c r="P58" s="14"/>
      <c r="Q58" s="11"/>
      <c r="R58" s="125"/>
      <c r="S58" s="11"/>
      <c r="T58" s="14"/>
      <c r="U58" s="11"/>
      <c r="V58" s="14"/>
      <c r="W58" s="11"/>
      <c r="X58" s="125"/>
      <c r="Y58" s="11"/>
      <c r="Z58" s="14"/>
      <c r="AA58" s="11"/>
      <c r="AB58" s="14"/>
      <c r="AC58" s="11"/>
      <c r="AD58" s="14"/>
      <c r="AE58" s="11"/>
      <c r="AF58" s="14"/>
      <c r="AG58" s="11"/>
      <c r="AH58" s="14"/>
      <c r="AI58" s="11"/>
      <c r="AJ58" s="14"/>
      <c r="AK58" s="11"/>
      <c r="AL58" s="125"/>
      <c r="AM58" s="153"/>
      <c r="AN58" s="125"/>
      <c r="AO58" s="11"/>
      <c r="AP58" s="125"/>
      <c r="AQ58" s="11"/>
      <c r="AR58" s="125"/>
      <c r="AS58" s="11"/>
      <c r="AT58" s="125"/>
      <c r="AU58" s="11"/>
      <c r="AV58" s="125"/>
      <c r="AY58" s="224">
        <v>39125</v>
      </c>
      <c r="AZ58" s="228"/>
    </row>
    <row r="59" spans="1:52" x14ac:dyDescent="0.2">
      <c r="A59" s="25">
        <v>46</v>
      </c>
      <c r="B59" s="13"/>
      <c r="C59" s="231"/>
      <c r="D59" s="11"/>
      <c r="E59" s="125"/>
      <c r="F59" s="19" t="s">
        <v>115</v>
      </c>
      <c r="G59" s="18" t="s">
        <v>246</v>
      </c>
      <c r="H59" s="11"/>
      <c r="I59" s="125"/>
      <c r="J59" s="11"/>
      <c r="K59" s="125"/>
      <c r="L59" s="11"/>
      <c r="M59" s="206"/>
      <c r="N59" s="125"/>
      <c r="O59" s="11"/>
      <c r="P59" s="14"/>
      <c r="Q59" s="11"/>
      <c r="R59" s="125"/>
      <c r="S59" s="11"/>
      <c r="T59" s="14"/>
      <c r="U59" s="11"/>
      <c r="V59" s="14"/>
      <c r="W59" s="11"/>
      <c r="X59" s="125"/>
      <c r="Y59" s="11"/>
      <c r="Z59" s="14"/>
      <c r="AA59" s="11"/>
      <c r="AB59" s="14"/>
      <c r="AC59" s="11"/>
      <c r="AD59" s="14"/>
      <c r="AE59" s="11"/>
      <c r="AF59" s="14"/>
      <c r="AG59" s="11"/>
      <c r="AH59" s="14"/>
      <c r="AI59" s="11"/>
      <c r="AJ59" s="14"/>
      <c r="AK59" s="11"/>
      <c r="AL59" s="125"/>
      <c r="AM59" s="153"/>
      <c r="AN59" s="125"/>
      <c r="AO59" s="11"/>
      <c r="AP59" s="125"/>
      <c r="AQ59" s="11"/>
      <c r="AR59" s="125"/>
      <c r="AS59" s="11"/>
      <c r="AT59" s="125"/>
      <c r="AU59" s="11"/>
      <c r="AV59" s="125"/>
      <c r="AY59" s="224">
        <v>39126</v>
      </c>
      <c r="AZ59" s="228"/>
    </row>
    <row r="60" spans="1:52" x14ac:dyDescent="0.2">
      <c r="A60" s="25">
        <v>47</v>
      </c>
      <c r="B60" s="13"/>
      <c r="C60" s="231"/>
      <c r="D60" s="11"/>
      <c r="E60" s="125"/>
      <c r="F60" s="19" t="s">
        <v>124</v>
      </c>
      <c r="G60" s="18" t="s">
        <v>246</v>
      </c>
      <c r="H60" s="11"/>
      <c r="I60" s="125"/>
      <c r="J60" s="11"/>
      <c r="K60" s="125"/>
      <c r="L60" s="11"/>
      <c r="M60" s="206"/>
      <c r="N60" s="125"/>
      <c r="O60" s="11"/>
      <c r="P60" s="14"/>
      <c r="Q60" s="11"/>
      <c r="R60" s="125"/>
      <c r="S60" s="11"/>
      <c r="T60" s="14"/>
      <c r="U60" s="11"/>
      <c r="V60" s="14"/>
      <c r="W60" s="11"/>
      <c r="X60" s="125"/>
      <c r="Y60" s="11"/>
      <c r="Z60" s="14"/>
      <c r="AA60" s="11"/>
      <c r="AB60" s="14"/>
      <c r="AC60" s="11"/>
      <c r="AD60" s="14"/>
      <c r="AE60" s="11"/>
      <c r="AF60" s="14"/>
      <c r="AG60" s="11"/>
      <c r="AH60" s="14"/>
      <c r="AI60" s="11"/>
      <c r="AJ60" s="14"/>
      <c r="AK60" s="11"/>
      <c r="AL60" s="125"/>
      <c r="AM60" s="153"/>
      <c r="AN60" s="125"/>
      <c r="AO60" s="11"/>
      <c r="AP60" s="125"/>
      <c r="AQ60" s="11"/>
      <c r="AR60" s="125"/>
      <c r="AS60" s="11"/>
      <c r="AT60" s="125"/>
      <c r="AU60" s="11"/>
      <c r="AV60" s="125"/>
      <c r="AY60" s="224">
        <v>39127</v>
      </c>
      <c r="AZ60" s="228"/>
    </row>
    <row r="61" spans="1:52" x14ac:dyDescent="0.2">
      <c r="A61" s="25">
        <v>48</v>
      </c>
      <c r="B61" s="13"/>
      <c r="C61" s="231"/>
      <c r="D61" s="11"/>
      <c r="E61" s="125"/>
      <c r="F61" s="11" t="s">
        <v>334</v>
      </c>
      <c r="G61" s="125" t="s">
        <v>246</v>
      </c>
      <c r="H61" s="11"/>
      <c r="I61" s="125"/>
      <c r="J61" s="11"/>
      <c r="K61" s="125"/>
      <c r="L61" s="11"/>
      <c r="M61" s="206"/>
      <c r="N61" s="125"/>
      <c r="O61" s="11"/>
      <c r="P61" s="14"/>
      <c r="Q61" s="11"/>
      <c r="R61" s="125"/>
      <c r="S61" s="11"/>
      <c r="T61" s="14"/>
      <c r="U61" s="11"/>
      <c r="V61" s="14"/>
      <c r="W61" s="11"/>
      <c r="X61" s="125"/>
      <c r="Y61" s="11"/>
      <c r="Z61" s="14"/>
      <c r="AA61" s="11"/>
      <c r="AB61" s="14"/>
      <c r="AC61" s="11"/>
      <c r="AD61" s="14"/>
      <c r="AE61" s="11"/>
      <c r="AF61" s="14"/>
      <c r="AG61" s="11"/>
      <c r="AH61" s="14"/>
      <c r="AI61" s="11"/>
      <c r="AJ61" s="14"/>
      <c r="AK61" s="11"/>
      <c r="AL61" s="125"/>
      <c r="AM61" s="153"/>
      <c r="AN61" s="125"/>
      <c r="AO61" s="11"/>
      <c r="AP61" s="125"/>
      <c r="AQ61" s="11"/>
      <c r="AR61" s="125"/>
      <c r="AS61" s="11"/>
      <c r="AT61" s="125"/>
      <c r="AU61" s="11"/>
      <c r="AV61" s="125"/>
      <c r="AY61" s="224">
        <v>39128</v>
      </c>
      <c r="AZ61" s="228"/>
    </row>
    <row r="62" spans="1:52" x14ac:dyDescent="0.2">
      <c r="A62" s="25">
        <v>49</v>
      </c>
      <c r="B62" s="13"/>
      <c r="C62" s="231"/>
      <c r="D62" s="11"/>
      <c r="E62" s="125"/>
      <c r="F62" s="11"/>
      <c r="G62" s="125"/>
      <c r="H62" s="11"/>
      <c r="I62" s="125"/>
      <c r="J62" s="11"/>
      <c r="K62" s="125"/>
      <c r="L62" s="11"/>
      <c r="M62" s="206"/>
      <c r="N62" s="125"/>
      <c r="O62" s="11"/>
      <c r="P62" s="14"/>
      <c r="Q62" s="11"/>
      <c r="R62" s="125"/>
      <c r="S62" s="11"/>
      <c r="T62" s="14"/>
      <c r="U62" s="11"/>
      <c r="V62" s="14"/>
      <c r="W62" s="11"/>
      <c r="X62" s="125"/>
      <c r="Y62" s="11"/>
      <c r="Z62" s="14"/>
      <c r="AA62" s="11"/>
      <c r="AB62" s="14"/>
      <c r="AC62" s="11"/>
      <c r="AD62" s="14"/>
      <c r="AE62" s="11"/>
      <c r="AF62" s="14"/>
      <c r="AG62" s="11"/>
      <c r="AH62" s="14"/>
      <c r="AI62" s="11"/>
      <c r="AJ62" s="14"/>
      <c r="AK62" s="11"/>
      <c r="AL62" s="125"/>
      <c r="AM62" s="153"/>
      <c r="AN62" s="125"/>
      <c r="AO62" s="11"/>
      <c r="AP62" s="125"/>
      <c r="AQ62" s="11"/>
      <c r="AR62" s="125"/>
      <c r="AS62" s="11"/>
      <c r="AT62" s="125"/>
      <c r="AU62" s="11"/>
      <c r="AV62" s="125"/>
      <c r="AY62" s="224">
        <v>39129</v>
      </c>
      <c r="AZ62" s="228"/>
    </row>
    <row r="63" spans="1:52" x14ac:dyDescent="0.2">
      <c r="A63" s="25">
        <v>50</v>
      </c>
      <c r="B63" s="13"/>
      <c r="C63" s="231"/>
      <c r="D63" s="11"/>
      <c r="E63" s="125"/>
      <c r="F63" s="11"/>
      <c r="G63" s="125"/>
      <c r="H63" s="11"/>
      <c r="I63" s="125"/>
      <c r="J63" s="11"/>
      <c r="K63" s="125"/>
      <c r="L63" s="11"/>
      <c r="M63" s="206"/>
      <c r="N63" s="125"/>
      <c r="O63" s="11"/>
      <c r="P63" s="14"/>
      <c r="Q63" s="11"/>
      <c r="R63" s="125"/>
      <c r="S63" s="11"/>
      <c r="T63" s="14"/>
      <c r="U63" s="11"/>
      <c r="V63" s="14"/>
      <c r="W63" s="11"/>
      <c r="X63" s="125"/>
      <c r="Y63" s="11"/>
      <c r="Z63" s="14"/>
      <c r="AA63" s="11"/>
      <c r="AB63" s="14"/>
      <c r="AC63" s="11"/>
      <c r="AD63" s="14"/>
      <c r="AE63" s="11"/>
      <c r="AF63" s="14"/>
      <c r="AG63" s="11"/>
      <c r="AH63" s="14"/>
      <c r="AI63" s="11"/>
      <c r="AJ63" s="14"/>
      <c r="AK63" s="11"/>
      <c r="AL63" s="125"/>
      <c r="AM63" s="153"/>
      <c r="AN63" s="125"/>
      <c r="AO63" s="11"/>
      <c r="AP63" s="125"/>
      <c r="AQ63" s="11"/>
      <c r="AR63" s="125"/>
      <c r="AS63" s="11"/>
      <c r="AT63" s="125"/>
      <c r="AU63" s="11"/>
      <c r="AV63" s="125"/>
      <c r="AY63" s="224">
        <v>39130</v>
      </c>
      <c r="AZ63" s="228"/>
    </row>
    <row r="64" spans="1:52" x14ac:dyDescent="0.2">
      <c r="A64" s="25">
        <v>51</v>
      </c>
      <c r="B64" s="13"/>
      <c r="C64" s="231"/>
      <c r="D64" s="11"/>
      <c r="E64" s="125"/>
      <c r="F64" s="11"/>
      <c r="G64" s="125"/>
      <c r="H64" s="11"/>
      <c r="I64" s="125"/>
      <c r="J64" s="11"/>
      <c r="K64" s="125"/>
      <c r="L64" s="11"/>
      <c r="M64" s="206"/>
      <c r="N64" s="125"/>
      <c r="O64" s="11"/>
      <c r="P64" s="14"/>
      <c r="Q64" s="11"/>
      <c r="R64" s="125"/>
      <c r="S64" s="11"/>
      <c r="T64" s="14"/>
      <c r="U64" s="11"/>
      <c r="V64" s="14"/>
      <c r="W64" s="11"/>
      <c r="X64" s="125"/>
      <c r="Y64" s="11"/>
      <c r="Z64" s="14"/>
      <c r="AA64" s="11"/>
      <c r="AB64" s="14"/>
      <c r="AC64" s="11"/>
      <c r="AD64" s="14"/>
      <c r="AE64" s="11"/>
      <c r="AF64" s="14"/>
      <c r="AG64" s="11"/>
      <c r="AH64" s="14"/>
      <c r="AI64" s="11"/>
      <c r="AJ64" s="14"/>
      <c r="AK64" s="11"/>
      <c r="AL64" s="125"/>
      <c r="AM64" s="153"/>
      <c r="AN64" s="125"/>
      <c r="AO64" s="11"/>
      <c r="AP64" s="125"/>
      <c r="AQ64" s="11"/>
      <c r="AR64" s="125"/>
      <c r="AS64" s="11"/>
      <c r="AT64" s="125"/>
      <c r="AU64" s="11"/>
      <c r="AV64" s="125"/>
      <c r="AY64" s="224">
        <v>39131</v>
      </c>
      <c r="AZ64" s="228"/>
    </row>
    <row r="65" spans="1:52" x14ac:dyDescent="0.2">
      <c r="A65" s="25">
        <v>52</v>
      </c>
      <c r="B65" s="13"/>
      <c r="C65" s="231"/>
      <c r="D65" s="11"/>
      <c r="E65" s="125"/>
      <c r="F65" s="11"/>
      <c r="G65" s="125"/>
      <c r="H65" s="11"/>
      <c r="I65" s="125"/>
      <c r="J65" s="11"/>
      <c r="K65" s="125"/>
      <c r="L65" s="11"/>
      <c r="M65" s="206"/>
      <c r="N65" s="125"/>
      <c r="O65" s="11"/>
      <c r="P65" s="14"/>
      <c r="Q65" s="11"/>
      <c r="R65" s="125"/>
      <c r="S65" s="11"/>
      <c r="T65" s="14"/>
      <c r="U65" s="11"/>
      <c r="V65" s="14"/>
      <c r="W65" s="11"/>
      <c r="X65" s="125"/>
      <c r="Y65" s="11"/>
      <c r="Z65" s="14"/>
      <c r="AA65" s="11"/>
      <c r="AB65" s="14"/>
      <c r="AC65" s="11"/>
      <c r="AD65" s="14"/>
      <c r="AE65" s="11"/>
      <c r="AF65" s="14"/>
      <c r="AG65" s="11"/>
      <c r="AH65" s="14"/>
      <c r="AI65" s="11"/>
      <c r="AJ65" s="14"/>
      <c r="AK65" s="11"/>
      <c r="AL65" s="125"/>
      <c r="AM65" s="153"/>
      <c r="AN65" s="125"/>
      <c r="AO65" s="11"/>
      <c r="AP65" s="125"/>
      <c r="AQ65" s="11"/>
      <c r="AR65" s="125"/>
      <c r="AS65" s="11"/>
      <c r="AT65" s="125"/>
      <c r="AU65" s="11"/>
      <c r="AV65" s="125"/>
      <c r="AY65" s="224">
        <v>39132</v>
      </c>
      <c r="AZ65" s="228"/>
    </row>
    <row r="66" spans="1:52" x14ac:dyDescent="0.2">
      <c r="A66" s="25">
        <v>53</v>
      </c>
      <c r="B66" s="13"/>
      <c r="C66" s="231"/>
      <c r="D66" s="11"/>
      <c r="E66" s="125"/>
      <c r="F66" s="11"/>
      <c r="G66" s="125"/>
      <c r="H66" s="11"/>
      <c r="I66" s="125"/>
      <c r="J66" s="11"/>
      <c r="K66" s="125"/>
      <c r="L66" s="11"/>
      <c r="M66" s="206"/>
      <c r="N66" s="125"/>
      <c r="O66" s="11"/>
      <c r="P66" s="14"/>
      <c r="Q66" s="11"/>
      <c r="R66" s="125"/>
      <c r="S66" s="11"/>
      <c r="T66" s="14"/>
      <c r="U66" s="11"/>
      <c r="V66" s="14"/>
      <c r="W66" s="11"/>
      <c r="X66" s="125"/>
      <c r="Y66" s="11"/>
      <c r="Z66" s="14"/>
      <c r="AA66" s="11"/>
      <c r="AB66" s="14"/>
      <c r="AC66" s="11"/>
      <c r="AD66" s="14"/>
      <c r="AE66" s="11"/>
      <c r="AF66" s="14"/>
      <c r="AG66" s="11"/>
      <c r="AH66" s="14"/>
      <c r="AI66" s="11"/>
      <c r="AJ66" s="14"/>
      <c r="AK66" s="11"/>
      <c r="AL66" s="125"/>
      <c r="AM66" s="153"/>
      <c r="AN66" s="125"/>
      <c r="AO66" s="11"/>
      <c r="AP66" s="125"/>
      <c r="AQ66" s="11"/>
      <c r="AR66" s="125"/>
      <c r="AS66" s="11"/>
      <c r="AT66" s="125"/>
      <c r="AU66" s="11"/>
      <c r="AV66" s="125"/>
      <c r="AY66" s="224">
        <v>39133</v>
      </c>
      <c r="AZ66" s="228"/>
    </row>
    <row r="67" spans="1:52" x14ac:dyDescent="0.2">
      <c r="A67" s="25">
        <v>54</v>
      </c>
      <c r="B67" s="13"/>
      <c r="C67" s="231"/>
      <c r="D67" s="11"/>
      <c r="E67" s="125"/>
      <c r="F67" s="11"/>
      <c r="G67" s="125"/>
      <c r="H67" s="11"/>
      <c r="I67" s="125"/>
      <c r="J67" s="11"/>
      <c r="K67" s="125"/>
      <c r="L67" s="11"/>
      <c r="M67" s="206"/>
      <c r="N67" s="125"/>
      <c r="O67" s="11"/>
      <c r="P67" s="14"/>
      <c r="Q67" s="11"/>
      <c r="R67" s="125"/>
      <c r="S67" s="11"/>
      <c r="T67" s="14"/>
      <c r="U67" s="11"/>
      <c r="V67" s="14"/>
      <c r="W67" s="11"/>
      <c r="X67" s="125"/>
      <c r="Y67" s="11"/>
      <c r="Z67" s="14"/>
      <c r="AA67" s="11"/>
      <c r="AB67" s="14"/>
      <c r="AC67" s="11"/>
      <c r="AD67" s="14"/>
      <c r="AE67" s="11"/>
      <c r="AF67" s="14"/>
      <c r="AG67" s="11"/>
      <c r="AH67" s="14"/>
      <c r="AI67" s="11"/>
      <c r="AJ67" s="14"/>
      <c r="AK67" s="11"/>
      <c r="AL67" s="125"/>
      <c r="AM67" s="153"/>
      <c r="AN67" s="125"/>
      <c r="AO67" s="11"/>
      <c r="AP67" s="125"/>
      <c r="AQ67" s="11"/>
      <c r="AR67" s="125"/>
      <c r="AS67" s="11"/>
      <c r="AT67" s="125"/>
      <c r="AU67" s="11"/>
      <c r="AV67" s="125"/>
      <c r="AY67" s="224">
        <v>39134</v>
      </c>
      <c r="AZ67" s="228"/>
    </row>
    <row r="68" spans="1:52" x14ac:dyDescent="0.2">
      <c r="A68" s="25">
        <v>55</v>
      </c>
      <c r="B68" s="13"/>
      <c r="C68" s="231"/>
      <c r="D68" s="11"/>
      <c r="E68" s="125"/>
      <c r="F68" s="11"/>
      <c r="G68" s="125"/>
      <c r="H68" s="11"/>
      <c r="I68" s="125"/>
      <c r="J68" s="11"/>
      <c r="K68" s="125"/>
      <c r="L68" s="11"/>
      <c r="M68" s="206"/>
      <c r="N68" s="125"/>
      <c r="O68" s="11"/>
      <c r="P68" s="14"/>
      <c r="Q68" s="11"/>
      <c r="R68" s="125"/>
      <c r="S68" s="11"/>
      <c r="T68" s="14"/>
      <c r="U68" s="11"/>
      <c r="V68" s="14"/>
      <c r="W68" s="11"/>
      <c r="X68" s="125"/>
      <c r="Y68" s="11"/>
      <c r="Z68" s="14"/>
      <c r="AA68" s="11"/>
      <c r="AB68" s="14"/>
      <c r="AC68" s="11"/>
      <c r="AD68" s="14"/>
      <c r="AE68" s="11"/>
      <c r="AF68" s="14"/>
      <c r="AG68" s="11"/>
      <c r="AH68" s="14"/>
      <c r="AI68" s="11"/>
      <c r="AJ68" s="14"/>
      <c r="AK68" s="11"/>
      <c r="AL68" s="125"/>
      <c r="AM68" s="153"/>
      <c r="AN68" s="125"/>
      <c r="AO68" s="11"/>
      <c r="AP68" s="125"/>
      <c r="AQ68" s="11"/>
      <c r="AR68" s="125"/>
      <c r="AS68" s="11"/>
      <c r="AT68" s="125"/>
      <c r="AU68" s="11"/>
      <c r="AV68" s="125"/>
      <c r="AY68" s="224">
        <v>39135</v>
      </c>
      <c r="AZ68" s="228"/>
    </row>
    <row r="69" spans="1:52" x14ac:dyDescent="0.2">
      <c r="A69" s="25">
        <v>56</v>
      </c>
      <c r="B69" s="13"/>
      <c r="C69" s="231"/>
      <c r="D69" s="11"/>
      <c r="E69" s="125"/>
      <c r="F69" s="11"/>
      <c r="G69" s="125"/>
      <c r="H69" s="11"/>
      <c r="I69" s="125"/>
      <c r="J69" s="11"/>
      <c r="K69" s="125"/>
      <c r="L69" s="11"/>
      <c r="M69" s="206"/>
      <c r="N69" s="125"/>
      <c r="O69" s="11"/>
      <c r="P69" s="14"/>
      <c r="Q69" s="11"/>
      <c r="R69" s="125"/>
      <c r="S69" s="11"/>
      <c r="T69" s="14"/>
      <c r="U69" s="11"/>
      <c r="V69" s="14"/>
      <c r="W69" s="11"/>
      <c r="X69" s="125"/>
      <c r="Y69" s="11"/>
      <c r="Z69" s="14"/>
      <c r="AA69" s="11"/>
      <c r="AB69" s="14"/>
      <c r="AC69" s="11"/>
      <c r="AD69" s="14"/>
      <c r="AE69" s="11"/>
      <c r="AF69" s="14"/>
      <c r="AG69" s="11"/>
      <c r="AH69" s="14"/>
      <c r="AI69" s="11"/>
      <c r="AJ69" s="14"/>
      <c r="AK69" s="11"/>
      <c r="AL69" s="125"/>
      <c r="AM69" s="153"/>
      <c r="AN69" s="125"/>
      <c r="AO69" s="11"/>
      <c r="AP69" s="125"/>
      <c r="AQ69" s="11"/>
      <c r="AR69" s="125"/>
      <c r="AS69" s="11"/>
      <c r="AT69" s="125"/>
      <c r="AU69" s="11"/>
      <c r="AV69" s="125"/>
      <c r="AY69" s="224">
        <v>39136</v>
      </c>
      <c r="AZ69" s="228"/>
    </row>
    <row r="70" spans="1:52" x14ac:dyDescent="0.2">
      <c r="A70" s="25">
        <v>57</v>
      </c>
      <c r="B70" s="13"/>
      <c r="C70" s="231"/>
      <c r="D70" s="11"/>
      <c r="E70" s="125"/>
      <c r="F70" s="11"/>
      <c r="G70" s="125"/>
      <c r="H70" s="11"/>
      <c r="I70" s="125"/>
      <c r="J70" s="11"/>
      <c r="K70" s="125"/>
      <c r="L70" s="11"/>
      <c r="M70" s="206"/>
      <c r="N70" s="125"/>
      <c r="O70" s="11"/>
      <c r="P70" s="14"/>
      <c r="Q70" s="11"/>
      <c r="R70" s="125"/>
      <c r="S70" s="11"/>
      <c r="T70" s="14"/>
      <c r="U70" s="11"/>
      <c r="V70" s="14"/>
      <c r="W70" s="11"/>
      <c r="X70" s="125"/>
      <c r="Y70" s="11"/>
      <c r="Z70" s="14"/>
      <c r="AA70" s="11"/>
      <c r="AB70" s="14"/>
      <c r="AC70" s="11"/>
      <c r="AD70" s="14"/>
      <c r="AE70" s="11"/>
      <c r="AF70" s="14"/>
      <c r="AG70" s="11"/>
      <c r="AH70" s="14"/>
      <c r="AI70" s="11"/>
      <c r="AJ70" s="14"/>
      <c r="AK70" s="11"/>
      <c r="AL70" s="125"/>
      <c r="AM70" s="153"/>
      <c r="AN70" s="125"/>
      <c r="AO70" s="11"/>
      <c r="AP70" s="125"/>
      <c r="AQ70" s="11"/>
      <c r="AR70" s="125"/>
      <c r="AS70" s="11"/>
      <c r="AT70" s="125"/>
      <c r="AU70" s="11"/>
      <c r="AV70" s="125"/>
      <c r="AY70" s="224">
        <v>39137</v>
      </c>
      <c r="AZ70" s="228"/>
    </row>
    <row r="71" spans="1:52" x14ac:dyDescent="0.2">
      <c r="A71" s="25">
        <v>58</v>
      </c>
      <c r="B71" s="13"/>
      <c r="C71" s="231"/>
      <c r="D71" s="11"/>
      <c r="E71" s="125"/>
      <c r="F71" s="11"/>
      <c r="G71" s="125"/>
      <c r="H71" s="11"/>
      <c r="I71" s="125"/>
      <c r="J71" s="11"/>
      <c r="K71" s="125"/>
      <c r="L71" s="11"/>
      <c r="M71" s="206"/>
      <c r="N71" s="125"/>
      <c r="O71" s="11"/>
      <c r="P71" s="14"/>
      <c r="Q71" s="11"/>
      <c r="R71" s="125"/>
      <c r="S71" s="11"/>
      <c r="T71" s="14"/>
      <c r="U71" s="11"/>
      <c r="V71" s="14"/>
      <c r="W71" s="11"/>
      <c r="X71" s="125"/>
      <c r="Y71" s="11"/>
      <c r="Z71" s="14"/>
      <c r="AA71" s="11"/>
      <c r="AB71" s="14"/>
      <c r="AC71" s="11"/>
      <c r="AD71" s="14"/>
      <c r="AE71" s="11"/>
      <c r="AF71" s="14"/>
      <c r="AG71" s="11"/>
      <c r="AH71" s="14"/>
      <c r="AI71" s="11"/>
      <c r="AJ71" s="14"/>
      <c r="AK71" s="11"/>
      <c r="AL71" s="125"/>
      <c r="AM71" s="153"/>
      <c r="AN71" s="125"/>
      <c r="AO71" s="11"/>
      <c r="AP71" s="125"/>
      <c r="AQ71" s="11"/>
      <c r="AR71" s="125"/>
      <c r="AS71" s="11"/>
      <c r="AT71" s="125"/>
      <c r="AU71" s="11"/>
      <c r="AV71" s="125"/>
      <c r="AY71" s="224">
        <v>39138</v>
      </c>
      <c r="AZ71" s="228"/>
    </row>
    <row r="72" spans="1:52" x14ac:dyDescent="0.2">
      <c r="A72" s="25">
        <v>59</v>
      </c>
      <c r="B72" s="13"/>
      <c r="C72" s="231"/>
      <c r="D72" s="11"/>
      <c r="E72" s="125"/>
      <c r="F72" s="11"/>
      <c r="G72" s="125"/>
      <c r="H72" s="11"/>
      <c r="I72" s="125"/>
      <c r="J72" s="11"/>
      <c r="K72" s="125"/>
      <c r="L72" s="11"/>
      <c r="M72" s="206"/>
      <c r="N72" s="125"/>
      <c r="O72" s="11"/>
      <c r="P72" s="14"/>
      <c r="Q72" s="11"/>
      <c r="R72" s="125"/>
      <c r="S72" s="11"/>
      <c r="T72" s="14"/>
      <c r="U72" s="11"/>
      <c r="V72" s="14"/>
      <c r="W72" s="11"/>
      <c r="X72" s="125"/>
      <c r="Y72" s="11"/>
      <c r="Z72" s="14"/>
      <c r="AA72" s="11"/>
      <c r="AB72" s="14"/>
      <c r="AC72" s="11"/>
      <c r="AD72" s="14"/>
      <c r="AE72" s="11"/>
      <c r="AF72" s="14"/>
      <c r="AG72" s="11"/>
      <c r="AH72" s="14"/>
      <c r="AI72" s="11"/>
      <c r="AJ72" s="14"/>
      <c r="AK72" s="11"/>
      <c r="AL72" s="125"/>
      <c r="AM72" s="153"/>
      <c r="AN72" s="125"/>
      <c r="AO72" s="11"/>
      <c r="AP72" s="125"/>
      <c r="AQ72" s="11"/>
      <c r="AR72" s="125"/>
      <c r="AS72" s="11"/>
      <c r="AT72" s="125"/>
      <c r="AU72" s="11"/>
      <c r="AV72" s="125"/>
      <c r="AY72" s="224">
        <v>39139</v>
      </c>
      <c r="AZ72" s="228"/>
    </row>
    <row r="73" spans="1:52" x14ac:dyDescent="0.2">
      <c r="A73" s="25">
        <v>60</v>
      </c>
      <c r="B73" s="13"/>
      <c r="C73" s="231"/>
      <c r="D73" s="11"/>
      <c r="E73" s="125"/>
      <c r="F73" s="11"/>
      <c r="G73" s="125"/>
      <c r="H73" s="11"/>
      <c r="I73" s="125"/>
      <c r="J73" s="11"/>
      <c r="K73" s="125"/>
      <c r="L73" s="11"/>
      <c r="M73" s="206"/>
      <c r="N73" s="125"/>
      <c r="O73" s="11"/>
      <c r="P73" s="14"/>
      <c r="Q73" s="11"/>
      <c r="R73" s="125"/>
      <c r="S73" s="11"/>
      <c r="T73" s="14"/>
      <c r="U73" s="11"/>
      <c r="V73" s="14"/>
      <c r="W73" s="11"/>
      <c r="X73" s="125"/>
      <c r="Y73" s="11"/>
      <c r="Z73" s="14"/>
      <c r="AA73" s="11"/>
      <c r="AB73" s="14"/>
      <c r="AC73" s="11"/>
      <c r="AD73" s="14"/>
      <c r="AE73" s="11"/>
      <c r="AF73" s="14"/>
      <c r="AG73" s="11"/>
      <c r="AH73" s="14"/>
      <c r="AI73" s="11"/>
      <c r="AJ73" s="14"/>
      <c r="AK73" s="11"/>
      <c r="AL73" s="125"/>
      <c r="AM73" s="153"/>
      <c r="AN73" s="125"/>
      <c r="AO73" s="11"/>
      <c r="AP73" s="125"/>
      <c r="AQ73" s="11"/>
      <c r="AR73" s="125"/>
      <c r="AS73" s="11"/>
      <c r="AT73" s="125"/>
      <c r="AU73" s="11"/>
      <c r="AV73" s="125"/>
      <c r="AY73" s="224">
        <v>39140</v>
      </c>
      <c r="AZ73" s="228"/>
    </row>
    <row r="74" spans="1:52" x14ac:dyDescent="0.2">
      <c r="A74" s="25">
        <v>61</v>
      </c>
      <c r="B74" s="13"/>
      <c r="C74" s="231"/>
      <c r="D74" s="11"/>
      <c r="E74" s="125"/>
      <c r="F74" s="11"/>
      <c r="G74" s="125"/>
      <c r="H74" s="11"/>
      <c r="I74" s="125"/>
      <c r="J74" s="11"/>
      <c r="K74" s="125"/>
      <c r="L74" s="11"/>
      <c r="M74" s="206"/>
      <c r="N74" s="125"/>
      <c r="O74" s="11"/>
      <c r="P74" s="14"/>
      <c r="Q74" s="11"/>
      <c r="R74" s="125"/>
      <c r="S74" s="11"/>
      <c r="T74" s="14"/>
      <c r="U74" s="11"/>
      <c r="V74" s="14"/>
      <c r="W74" s="11"/>
      <c r="X74" s="125"/>
      <c r="Y74" s="11"/>
      <c r="Z74" s="14"/>
      <c r="AA74" s="11"/>
      <c r="AB74" s="14"/>
      <c r="AC74" s="11"/>
      <c r="AD74" s="14"/>
      <c r="AE74" s="11"/>
      <c r="AF74" s="14"/>
      <c r="AG74" s="11"/>
      <c r="AH74" s="14"/>
      <c r="AI74" s="11"/>
      <c r="AJ74" s="14"/>
      <c r="AK74" s="11"/>
      <c r="AL74" s="125"/>
      <c r="AM74" s="153"/>
      <c r="AN74" s="125"/>
      <c r="AO74" s="11"/>
      <c r="AP74" s="125"/>
      <c r="AQ74" s="11"/>
      <c r="AR74" s="125"/>
      <c r="AS74" s="11"/>
      <c r="AT74" s="125"/>
      <c r="AU74" s="11"/>
      <c r="AV74" s="125"/>
      <c r="AY74" s="224">
        <v>39141</v>
      </c>
      <c r="AZ74" s="228"/>
    </row>
    <row r="75" spans="1:52" x14ac:dyDescent="0.2">
      <c r="A75" s="25">
        <v>62</v>
      </c>
      <c r="B75" s="13"/>
      <c r="C75" s="231"/>
      <c r="D75" s="11"/>
      <c r="E75" s="125"/>
      <c r="F75" s="11"/>
      <c r="G75" s="125"/>
      <c r="H75" s="11"/>
      <c r="I75" s="125"/>
      <c r="J75" s="11"/>
      <c r="K75" s="125"/>
      <c r="L75" s="11"/>
      <c r="M75" s="206"/>
      <c r="N75" s="125"/>
      <c r="O75" s="11"/>
      <c r="P75" s="14"/>
      <c r="Q75" s="11"/>
      <c r="R75" s="125"/>
      <c r="S75" s="11"/>
      <c r="T75" s="14"/>
      <c r="U75" s="11"/>
      <c r="V75" s="14"/>
      <c r="W75" s="11"/>
      <c r="X75" s="125"/>
      <c r="Y75" s="11"/>
      <c r="Z75" s="14"/>
      <c r="AA75" s="11"/>
      <c r="AB75" s="14"/>
      <c r="AC75" s="11"/>
      <c r="AD75" s="14"/>
      <c r="AE75" s="11"/>
      <c r="AF75" s="14"/>
      <c r="AG75" s="11"/>
      <c r="AH75" s="14"/>
      <c r="AI75" s="11"/>
      <c r="AJ75" s="14"/>
      <c r="AK75" s="11"/>
      <c r="AL75" s="125"/>
      <c r="AM75" s="153"/>
      <c r="AN75" s="125"/>
      <c r="AO75" s="11"/>
      <c r="AP75" s="125"/>
      <c r="AQ75" s="11"/>
      <c r="AR75" s="125"/>
      <c r="AS75" s="11"/>
      <c r="AT75" s="125"/>
      <c r="AU75" s="11"/>
      <c r="AV75" s="125"/>
      <c r="AY75" s="224">
        <v>39142</v>
      </c>
      <c r="AZ75" s="228"/>
    </row>
    <row r="76" spans="1:52" x14ac:dyDescent="0.2">
      <c r="A76" s="25">
        <v>63</v>
      </c>
      <c r="B76" s="13"/>
      <c r="C76" s="231"/>
      <c r="D76" s="11"/>
      <c r="E76" s="125"/>
      <c r="F76" s="11"/>
      <c r="G76" s="125"/>
      <c r="H76" s="11"/>
      <c r="I76" s="125"/>
      <c r="J76" s="11"/>
      <c r="K76" s="125"/>
      <c r="L76" s="11"/>
      <c r="M76" s="206"/>
      <c r="N76" s="125"/>
      <c r="O76" s="11"/>
      <c r="P76" s="14"/>
      <c r="Q76" s="11"/>
      <c r="R76" s="125"/>
      <c r="S76" s="11"/>
      <c r="T76" s="14"/>
      <c r="U76" s="11"/>
      <c r="V76" s="14"/>
      <c r="W76" s="11"/>
      <c r="X76" s="125"/>
      <c r="Y76" s="11"/>
      <c r="Z76" s="14"/>
      <c r="AA76" s="11"/>
      <c r="AB76" s="14"/>
      <c r="AC76" s="11"/>
      <c r="AD76" s="14"/>
      <c r="AE76" s="11"/>
      <c r="AF76" s="14"/>
      <c r="AG76" s="11"/>
      <c r="AH76" s="14"/>
      <c r="AI76" s="11"/>
      <c r="AJ76" s="14"/>
      <c r="AK76" s="11"/>
      <c r="AL76" s="125"/>
      <c r="AM76" s="153"/>
      <c r="AN76" s="125"/>
      <c r="AO76" s="11"/>
      <c r="AP76" s="125"/>
      <c r="AQ76" s="11"/>
      <c r="AR76" s="125"/>
      <c r="AS76" s="11"/>
      <c r="AT76" s="125"/>
      <c r="AU76" s="11"/>
      <c r="AV76" s="125"/>
      <c r="AY76" s="224">
        <v>39143</v>
      </c>
      <c r="AZ76" s="228"/>
    </row>
    <row r="77" spans="1:52" x14ac:dyDescent="0.2">
      <c r="A77" s="25">
        <v>64</v>
      </c>
      <c r="B77" s="13"/>
      <c r="C77" s="231"/>
      <c r="D77" s="11"/>
      <c r="E77" s="125"/>
      <c r="F77" s="11"/>
      <c r="G77" s="125"/>
      <c r="H77" s="11"/>
      <c r="I77" s="125"/>
      <c r="J77" s="11"/>
      <c r="K77" s="125"/>
      <c r="L77" s="11"/>
      <c r="M77" s="206"/>
      <c r="N77" s="125"/>
      <c r="O77" s="11"/>
      <c r="P77" s="14"/>
      <c r="Q77" s="11"/>
      <c r="R77" s="125"/>
      <c r="S77" s="11"/>
      <c r="T77" s="14"/>
      <c r="U77" s="11"/>
      <c r="V77" s="14"/>
      <c r="W77" s="11"/>
      <c r="X77" s="125"/>
      <c r="Y77" s="11"/>
      <c r="Z77" s="14"/>
      <c r="AA77" s="11"/>
      <c r="AB77" s="14"/>
      <c r="AC77" s="11"/>
      <c r="AD77" s="14"/>
      <c r="AE77" s="11"/>
      <c r="AF77" s="14"/>
      <c r="AG77" s="11"/>
      <c r="AH77" s="14"/>
      <c r="AI77" s="11"/>
      <c r="AJ77" s="14"/>
      <c r="AK77" s="11"/>
      <c r="AL77" s="125"/>
      <c r="AM77" s="153"/>
      <c r="AN77" s="125"/>
      <c r="AO77" s="11"/>
      <c r="AP77" s="125"/>
      <c r="AQ77" s="11"/>
      <c r="AR77" s="125"/>
      <c r="AS77" s="11"/>
      <c r="AT77" s="125"/>
      <c r="AU77" s="11"/>
      <c r="AV77" s="125"/>
      <c r="AY77" s="224">
        <v>39144</v>
      </c>
      <c r="AZ77" s="228"/>
    </row>
    <row r="78" spans="1:52" x14ac:dyDescent="0.2">
      <c r="A78" s="25">
        <v>65</v>
      </c>
      <c r="B78" s="13"/>
      <c r="C78" s="231"/>
      <c r="D78" s="11"/>
      <c r="E78" s="125"/>
      <c r="F78" s="11"/>
      <c r="G78" s="125"/>
      <c r="H78" s="11"/>
      <c r="I78" s="125"/>
      <c r="J78" s="11"/>
      <c r="K78" s="125"/>
      <c r="L78" s="11"/>
      <c r="M78" s="206"/>
      <c r="N78" s="125"/>
      <c r="O78" s="11"/>
      <c r="P78" s="14"/>
      <c r="Q78" s="11"/>
      <c r="R78" s="125"/>
      <c r="S78" s="11"/>
      <c r="T78" s="14"/>
      <c r="U78" s="11"/>
      <c r="V78" s="14"/>
      <c r="W78" s="11"/>
      <c r="X78" s="125"/>
      <c r="Y78" s="11"/>
      <c r="Z78" s="14"/>
      <c r="AA78" s="11"/>
      <c r="AB78" s="14"/>
      <c r="AC78" s="11"/>
      <c r="AD78" s="14"/>
      <c r="AE78" s="11"/>
      <c r="AF78" s="14"/>
      <c r="AG78" s="11"/>
      <c r="AH78" s="14"/>
      <c r="AI78" s="11"/>
      <c r="AJ78" s="14"/>
      <c r="AK78" s="11"/>
      <c r="AL78" s="125"/>
      <c r="AM78" s="153"/>
      <c r="AN78" s="125"/>
      <c r="AO78" s="11"/>
      <c r="AP78" s="125"/>
      <c r="AQ78" s="11"/>
      <c r="AR78" s="125"/>
      <c r="AS78" s="11"/>
      <c r="AT78" s="125"/>
      <c r="AU78" s="11"/>
      <c r="AV78" s="125"/>
      <c r="AY78" s="224">
        <v>39145</v>
      </c>
      <c r="AZ78" s="228"/>
    </row>
    <row r="79" spans="1:52" x14ac:dyDescent="0.2">
      <c r="A79" s="25">
        <v>66</v>
      </c>
      <c r="B79" s="13"/>
      <c r="C79" s="231"/>
      <c r="D79" s="11"/>
      <c r="E79" s="125"/>
      <c r="F79" s="11"/>
      <c r="G79" s="125"/>
      <c r="H79" s="11"/>
      <c r="I79" s="125"/>
      <c r="J79" s="11"/>
      <c r="K79" s="125"/>
      <c r="L79" s="11"/>
      <c r="M79" s="206"/>
      <c r="N79" s="125"/>
      <c r="O79" s="11"/>
      <c r="P79" s="14"/>
      <c r="Q79" s="11"/>
      <c r="R79" s="125"/>
      <c r="S79" s="11"/>
      <c r="T79" s="14"/>
      <c r="U79" s="11"/>
      <c r="V79" s="14"/>
      <c r="W79" s="11"/>
      <c r="X79" s="125"/>
      <c r="Y79" s="11"/>
      <c r="Z79" s="14"/>
      <c r="AA79" s="11"/>
      <c r="AB79" s="14"/>
      <c r="AC79" s="11"/>
      <c r="AD79" s="14"/>
      <c r="AE79" s="11"/>
      <c r="AF79" s="14"/>
      <c r="AG79" s="11"/>
      <c r="AH79" s="14"/>
      <c r="AI79" s="11"/>
      <c r="AJ79" s="14"/>
      <c r="AK79" s="11"/>
      <c r="AL79" s="125"/>
      <c r="AM79" s="153"/>
      <c r="AN79" s="125"/>
      <c r="AO79" s="11"/>
      <c r="AP79" s="125"/>
      <c r="AQ79" s="11"/>
      <c r="AR79" s="125"/>
      <c r="AS79" s="11"/>
      <c r="AT79" s="125"/>
      <c r="AU79" s="11"/>
      <c r="AV79" s="125"/>
      <c r="AY79" s="224">
        <v>39146</v>
      </c>
      <c r="AZ79" s="228"/>
    </row>
    <row r="80" spans="1:52" x14ac:dyDescent="0.2">
      <c r="A80" s="25">
        <v>67</v>
      </c>
      <c r="B80" s="13"/>
      <c r="C80" s="231"/>
      <c r="D80" s="11"/>
      <c r="E80" s="125"/>
      <c r="F80" s="11"/>
      <c r="G80" s="125"/>
      <c r="H80" s="11"/>
      <c r="I80" s="125"/>
      <c r="J80" s="11"/>
      <c r="K80" s="125"/>
      <c r="L80" s="11"/>
      <c r="M80" s="206"/>
      <c r="N80" s="125"/>
      <c r="O80" s="11"/>
      <c r="P80" s="14"/>
      <c r="Q80" s="11"/>
      <c r="R80" s="125"/>
      <c r="S80" s="11"/>
      <c r="T80" s="14"/>
      <c r="U80" s="11"/>
      <c r="V80" s="14"/>
      <c r="W80" s="11"/>
      <c r="X80" s="125"/>
      <c r="Y80" s="11"/>
      <c r="Z80" s="14"/>
      <c r="AA80" s="11"/>
      <c r="AB80" s="14"/>
      <c r="AC80" s="11"/>
      <c r="AD80" s="14"/>
      <c r="AE80" s="11"/>
      <c r="AF80" s="14"/>
      <c r="AG80" s="11"/>
      <c r="AH80" s="14"/>
      <c r="AI80" s="11"/>
      <c r="AJ80" s="14"/>
      <c r="AK80" s="11"/>
      <c r="AL80" s="125"/>
      <c r="AM80" s="153"/>
      <c r="AN80" s="125"/>
      <c r="AO80" s="11"/>
      <c r="AP80" s="125"/>
      <c r="AQ80" s="11"/>
      <c r="AR80" s="125"/>
      <c r="AS80" s="11"/>
      <c r="AT80" s="125"/>
      <c r="AU80" s="11"/>
      <c r="AV80" s="125"/>
      <c r="AY80" s="224">
        <v>39147</v>
      </c>
      <c r="AZ80" s="228"/>
    </row>
    <row r="81" spans="1:59" ht="13.5" thickBot="1" x14ac:dyDescent="0.25">
      <c r="A81" s="25">
        <v>68</v>
      </c>
      <c r="B81" s="254"/>
      <c r="C81" s="232"/>
      <c r="D81" s="233"/>
      <c r="E81" s="234"/>
      <c r="F81" s="233"/>
      <c r="G81" s="234"/>
      <c r="H81" s="233"/>
      <c r="I81" s="234"/>
      <c r="J81" s="233"/>
      <c r="K81" s="234"/>
      <c r="L81" s="233"/>
      <c r="M81" s="235"/>
      <c r="N81" s="234"/>
      <c r="O81" s="233"/>
      <c r="P81" s="82"/>
      <c r="Q81" s="233"/>
      <c r="R81" s="234"/>
      <c r="S81" s="233"/>
      <c r="T81" s="82"/>
      <c r="U81" s="233"/>
      <c r="V81" s="82"/>
      <c r="W81" s="233"/>
      <c r="X81" s="234"/>
      <c r="Y81" s="233"/>
      <c r="Z81" s="82"/>
      <c r="AA81" s="233"/>
      <c r="AB81" s="82"/>
      <c r="AC81" s="233"/>
      <c r="AD81" s="82"/>
      <c r="AE81" s="233"/>
      <c r="AF81" s="82"/>
      <c r="AG81" s="233"/>
      <c r="AH81" s="82"/>
      <c r="AI81" s="233"/>
      <c r="AJ81" s="82"/>
      <c r="AK81" s="233"/>
      <c r="AL81" s="234"/>
      <c r="AM81" s="271"/>
      <c r="AN81" s="234"/>
      <c r="AO81" s="233"/>
      <c r="AP81" s="234"/>
      <c r="AQ81" s="233"/>
      <c r="AR81" s="234"/>
      <c r="AS81" s="233"/>
      <c r="AT81" s="234"/>
      <c r="AU81" s="233"/>
      <c r="AV81" s="234"/>
      <c r="AY81" s="224">
        <v>39148</v>
      </c>
      <c r="AZ81" s="228"/>
    </row>
    <row r="82" spans="1:59" x14ac:dyDescent="0.2">
      <c r="B82" s="255"/>
      <c r="C82" s="236"/>
      <c r="AY82" s="224">
        <v>39149</v>
      </c>
      <c r="AZ82" s="228"/>
    </row>
    <row r="83" spans="1:59" s="23" customFormat="1" ht="16.5" thickBot="1" x14ac:dyDescent="0.3">
      <c r="B83" s="210" t="s">
        <v>343</v>
      </c>
      <c r="C83" s="208"/>
      <c r="E83" s="208">
        <v>5</v>
      </c>
      <c r="F83" s="23">
        <v>6</v>
      </c>
      <c r="G83" s="208">
        <v>7</v>
      </c>
      <c r="H83" s="23">
        <v>8</v>
      </c>
      <c r="I83" s="208">
        <v>9</v>
      </c>
      <c r="J83" s="23">
        <v>10</v>
      </c>
      <c r="K83" s="208">
        <v>11</v>
      </c>
      <c r="L83" s="23">
        <v>12</v>
      </c>
      <c r="M83" s="208">
        <v>13</v>
      </c>
      <c r="N83" s="23">
        <v>14</v>
      </c>
      <c r="O83" s="208">
        <v>15</v>
      </c>
      <c r="S83" s="122"/>
      <c r="T83" s="122"/>
      <c r="BG83" s="31" t="s">
        <v>329</v>
      </c>
    </row>
    <row r="84" spans="1:59" s="188" customFormat="1" ht="13.5" thickBot="1" x14ac:dyDescent="0.25">
      <c r="B84" s="336" t="s">
        <v>342</v>
      </c>
      <c r="C84" s="2511" t="s">
        <v>344</v>
      </c>
      <c r="D84" s="2513"/>
      <c r="E84" s="2512"/>
      <c r="F84" s="2509" t="s">
        <v>354</v>
      </c>
      <c r="G84" s="2510"/>
      <c r="H84" s="2516" t="s">
        <v>461</v>
      </c>
      <c r="I84" s="2514" t="s">
        <v>478</v>
      </c>
      <c r="J84" s="2497" t="s">
        <v>600</v>
      </c>
      <c r="K84" s="2495"/>
      <c r="L84" s="2504" t="s">
        <v>1171</v>
      </c>
      <c r="M84" s="2505"/>
      <c r="N84" s="2506"/>
      <c r="AY84" s="237">
        <v>39151</v>
      </c>
      <c r="AZ84" s="238"/>
    </row>
    <row r="85" spans="1:59" s="188" customFormat="1" ht="13.5" thickBot="1" x14ac:dyDescent="0.25">
      <c r="B85" s="337"/>
      <c r="C85" s="65" t="s">
        <v>347</v>
      </c>
      <c r="D85" s="63" t="s">
        <v>348</v>
      </c>
      <c r="E85" s="64" t="s">
        <v>349</v>
      </c>
      <c r="F85" s="8" t="s">
        <v>347</v>
      </c>
      <c r="G85" s="76" t="s">
        <v>349</v>
      </c>
      <c r="H85" s="2517"/>
      <c r="I85" s="2515"/>
      <c r="J85" s="2498"/>
      <c r="K85" s="2496"/>
      <c r="L85" s="965" t="s">
        <v>1172</v>
      </c>
      <c r="M85" s="966" t="s">
        <v>1168</v>
      </c>
      <c r="N85" s="967" t="s">
        <v>1169</v>
      </c>
      <c r="AY85" s="237"/>
      <c r="AZ85" s="238"/>
    </row>
    <row r="86" spans="1:59" s="189" customFormat="1" ht="13.5" customHeight="1" x14ac:dyDescent="0.2">
      <c r="A86" s="189">
        <v>1</v>
      </c>
      <c r="B86" s="68"/>
      <c r="C86" s="66"/>
      <c r="D86" s="60"/>
      <c r="E86" s="75"/>
      <c r="F86" s="1651"/>
      <c r="G86" s="79"/>
      <c r="H86" s="272"/>
      <c r="I86" s="67"/>
      <c r="J86" s="80"/>
      <c r="K86" s="268"/>
      <c r="L86" s="222"/>
      <c r="M86" s="699"/>
      <c r="N86" s="230"/>
      <c r="AY86" s="239"/>
      <c r="AZ86" s="240"/>
    </row>
    <row r="87" spans="1:59" s="189" customFormat="1" x14ac:dyDescent="0.2">
      <c r="A87" s="189">
        <v>2</v>
      </c>
      <c r="B87" s="256" t="s">
        <v>21</v>
      </c>
      <c r="C87" s="153" t="s">
        <v>590</v>
      </c>
      <c r="D87" s="62"/>
      <c r="E87" s="16">
        <v>2400</v>
      </c>
      <c r="F87" s="11" t="s">
        <v>55</v>
      </c>
      <c r="G87" s="81">
        <v>2000</v>
      </c>
      <c r="H87" s="269" t="s">
        <v>1048</v>
      </c>
      <c r="I87" s="1357" t="s">
        <v>599</v>
      </c>
      <c r="J87" s="80" t="s">
        <v>597</v>
      </c>
      <c r="K87" s="268" t="s">
        <v>610</v>
      </c>
      <c r="L87" s="13" t="s">
        <v>1173</v>
      </c>
      <c r="M87" s="699" t="s">
        <v>1174</v>
      </c>
      <c r="N87" s="968">
        <v>1.4999999999999999E-2</v>
      </c>
      <c r="AY87" s="239"/>
      <c r="AZ87" s="240"/>
    </row>
    <row r="88" spans="1:59" x14ac:dyDescent="0.2">
      <c r="A88" s="25">
        <v>3</v>
      </c>
      <c r="B88" s="257" t="s">
        <v>756</v>
      </c>
      <c r="C88" s="67" t="s">
        <v>889</v>
      </c>
      <c r="D88" s="62">
        <v>55</v>
      </c>
      <c r="E88" s="16">
        <v>2400</v>
      </c>
      <c r="F88" s="11" t="s">
        <v>592</v>
      </c>
      <c r="G88" s="81">
        <v>1200</v>
      </c>
      <c r="H88" s="269" t="s">
        <v>740</v>
      </c>
      <c r="I88" s="153" t="s">
        <v>594</v>
      </c>
      <c r="J88" s="14" t="s">
        <v>598</v>
      </c>
      <c r="K88" s="268" t="s">
        <v>611</v>
      </c>
      <c r="L88" s="252" t="s">
        <v>1175</v>
      </c>
      <c r="M88" s="699" t="s">
        <v>1174</v>
      </c>
      <c r="N88" s="969">
        <v>0.03</v>
      </c>
      <c r="AY88" s="224">
        <v>39152</v>
      </c>
      <c r="AZ88" s="228"/>
    </row>
    <row r="89" spans="1:59" x14ac:dyDescent="0.2">
      <c r="A89" s="189">
        <v>4</v>
      </c>
      <c r="B89" s="257" t="s">
        <v>459</v>
      </c>
      <c r="C89" s="67" t="s">
        <v>890</v>
      </c>
      <c r="D89" s="62">
        <v>65</v>
      </c>
      <c r="E89" s="16">
        <v>2400</v>
      </c>
      <c r="F89" s="241" t="s">
        <v>29</v>
      </c>
      <c r="G89" s="14">
        <v>3000</v>
      </c>
      <c r="H89" s="273" t="s">
        <v>36</v>
      </c>
      <c r="I89" s="153" t="s">
        <v>593</v>
      </c>
      <c r="J89" s="14" t="s">
        <v>6</v>
      </c>
      <c r="K89" s="268" t="s">
        <v>613</v>
      </c>
      <c r="L89" s="252" t="s">
        <v>1176</v>
      </c>
      <c r="M89" s="970" t="s">
        <v>1174</v>
      </c>
      <c r="N89" s="971">
        <v>4.4999999999999998E-2</v>
      </c>
      <c r="AY89" s="224">
        <v>39153</v>
      </c>
      <c r="AZ89" s="228"/>
    </row>
    <row r="90" spans="1:59" x14ac:dyDescent="0.2">
      <c r="A90" s="189">
        <v>5</v>
      </c>
      <c r="B90" s="256" t="s">
        <v>16</v>
      </c>
      <c r="C90" s="67" t="s">
        <v>891</v>
      </c>
      <c r="D90" s="62">
        <v>75</v>
      </c>
      <c r="E90" s="16">
        <v>2400</v>
      </c>
      <c r="F90" s="1358" t="s">
        <v>1277</v>
      </c>
      <c r="G90" s="14">
        <v>2500</v>
      </c>
      <c r="H90" s="268" t="s">
        <v>614</v>
      </c>
      <c r="I90" s="153" t="s">
        <v>601</v>
      </c>
      <c r="J90" s="1356"/>
      <c r="K90" s="269"/>
      <c r="L90" s="252" t="s">
        <v>1173</v>
      </c>
      <c r="M90" s="970" t="s">
        <v>825</v>
      </c>
      <c r="N90" s="969">
        <v>0.01</v>
      </c>
      <c r="AY90" s="224"/>
      <c r="AZ90" s="228"/>
    </row>
    <row r="91" spans="1:59" x14ac:dyDescent="0.2">
      <c r="A91" s="25">
        <v>6</v>
      </c>
      <c r="B91" s="256" t="s">
        <v>17</v>
      </c>
      <c r="C91" s="153" t="s">
        <v>892</v>
      </c>
      <c r="D91" s="62">
        <v>85</v>
      </c>
      <c r="E91" s="16">
        <v>2400</v>
      </c>
      <c r="F91" s="241" t="s">
        <v>59</v>
      </c>
      <c r="G91" s="14">
        <v>1200</v>
      </c>
      <c r="H91" s="269" t="s">
        <v>460</v>
      </c>
      <c r="I91" s="153"/>
      <c r="J91" s="14"/>
      <c r="K91" s="269"/>
      <c r="L91" s="252" t="s">
        <v>1175</v>
      </c>
      <c r="M91" s="970" t="s">
        <v>825</v>
      </c>
      <c r="N91" s="969">
        <v>0.02</v>
      </c>
      <c r="AY91" s="224">
        <v>39154</v>
      </c>
      <c r="AZ91" s="228"/>
    </row>
    <row r="92" spans="1:59" x14ac:dyDescent="0.2">
      <c r="A92" s="189">
        <v>7</v>
      </c>
      <c r="B92" s="256" t="s">
        <v>20</v>
      </c>
      <c r="C92" s="153" t="s">
        <v>893</v>
      </c>
      <c r="D92" s="62">
        <v>90</v>
      </c>
      <c r="E92" s="16">
        <v>2400</v>
      </c>
      <c r="F92" s="222" t="s">
        <v>618</v>
      </c>
      <c r="G92" s="14">
        <v>1200</v>
      </c>
      <c r="H92" s="274" t="s">
        <v>63</v>
      </c>
      <c r="I92" s="153"/>
      <c r="J92" s="14"/>
      <c r="K92" s="269"/>
      <c r="L92" s="252" t="s">
        <v>1176</v>
      </c>
      <c r="M92" s="970" t="s">
        <v>825</v>
      </c>
      <c r="N92" s="969">
        <v>0.04</v>
      </c>
      <c r="AY92" s="224"/>
      <c r="AZ92" s="228"/>
    </row>
    <row r="93" spans="1:59" x14ac:dyDescent="0.2">
      <c r="A93" s="189">
        <v>8</v>
      </c>
      <c r="B93" s="256" t="s">
        <v>757</v>
      </c>
      <c r="C93" s="153" t="s">
        <v>894</v>
      </c>
      <c r="D93" s="62">
        <v>105</v>
      </c>
      <c r="E93" s="16">
        <v>2400</v>
      </c>
      <c r="F93" s="11" t="s">
        <v>766</v>
      </c>
      <c r="G93" s="14">
        <v>3000</v>
      </c>
      <c r="H93" s="269" t="s">
        <v>764</v>
      </c>
      <c r="I93" s="153"/>
      <c r="J93" s="14"/>
      <c r="K93" s="269"/>
      <c r="L93" s="252" t="s">
        <v>1177</v>
      </c>
      <c r="M93" s="699" t="s">
        <v>1174</v>
      </c>
      <c r="N93" s="971">
        <v>6.7500000000000004E-2</v>
      </c>
      <c r="AY93" s="224"/>
      <c r="AZ93" s="228"/>
    </row>
    <row r="94" spans="1:59" x14ac:dyDescent="0.2">
      <c r="A94" s="25">
        <v>9</v>
      </c>
      <c r="B94" s="256" t="s">
        <v>758</v>
      </c>
      <c r="C94" s="1359" t="s">
        <v>1278</v>
      </c>
      <c r="D94" s="62">
        <v>110</v>
      </c>
      <c r="E94" s="16">
        <v>2400</v>
      </c>
      <c r="F94" s="241" t="s">
        <v>26</v>
      </c>
      <c r="G94" s="80">
        <v>2000</v>
      </c>
      <c r="H94" s="273" t="s">
        <v>62</v>
      </c>
      <c r="I94" s="153"/>
      <c r="J94" s="14"/>
      <c r="K94" s="269"/>
      <c r="L94" s="252" t="s">
        <v>1178</v>
      </c>
      <c r="M94" s="919" t="s">
        <v>825</v>
      </c>
      <c r="N94" s="971">
        <v>5.5E-2</v>
      </c>
      <c r="AY94" s="224">
        <v>39155</v>
      </c>
      <c r="AZ94" s="228"/>
    </row>
    <row r="95" spans="1:59" x14ac:dyDescent="0.2">
      <c r="A95" s="189">
        <v>10</v>
      </c>
      <c r="B95" s="256" t="s">
        <v>759</v>
      </c>
      <c r="C95" s="153" t="s">
        <v>895</v>
      </c>
      <c r="D95" s="62">
        <v>120</v>
      </c>
      <c r="E95" s="14">
        <v>2400</v>
      </c>
      <c r="F95" s="241" t="s">
        <v>581</v>
      </c>
      <c r="G95" s="80">
        <v>2000</v>
      </c>
      <c r="H95" s="273" t="s">
        <v>37</v>
      </c>
      <c r="I95" s="153"/>
      <c r="J95" s="14"/>
      <c r="K95" s="269"/>
      <c r="L95" s="252" t="s">
        <v>1179</v>
      </c>
      <c r="M95" s="919" t="s">
        <v>825</v>
      </c>
      <c r="N95" s="971">
        <v>6.7500000000000004E-2</v>
      </c>
      <c r="AY95" s="224"/>
      <c r="AZ95" s="228"/>
    </row>
    <row r="96" spans="1:59" x14ac:dyDescent="0.2">
      <c r="A96" s="189">
        <v>11</v>
      </c>
      <c r="B96" s="257" t="s">
        <v>761</v>
      </c>
      <c r="C96" s="153"/>
      <c r="D96" s="62"/>
      <c r="E96" s="14"/>
      <c r="F96" s="241" t="s">
        <v>27</v>
      </c>
      <c r="G96" s="80">
        <v>2000</v>
      </c>
      <c r="H96" s="273" t="s">
        <v>35</v>
      </c>
      <c r="I96" s="153"/>
      <c r="J96" s="14"/>
      <c r="K96" s="269"/>
      <c r="L96" s="252" t="s">
        <v>1180</v>
      </c>
      <c r="M96" s="919" t="s">
        <v>825</v>
      </c>
      <c r="N96" s="971">
        <v>6.7500000000000004E-2</v>
      </c>
      <c r="AY96" s="224"/>
      <c r="AZ96" s="228"/>
    </row>
    <row r="97" spans="1:235" x14ac:dyDescent="0.2">
      <c r="A97" s="25">
        <v>12</v>
      </c>
      <c r="B97" s="256" t="s">
        <v>345</v>
      </c>
      <c r="C97" s="153"/>
      <c r="D97" s="62"/>
      <c r="E97" s="14"/>
      <c r="F97" s="241" t="s">
        <v>25</v>
      </c>
      <c r="G97" s="80">
        <v>2000</v>
      </c>
      <c r="H97" s="273" t="s">
        <v>33</v>
      </c>
      <c r="I97" s="153"/>
      <c r="J97" s="14"/>
      <c r="K97" s="269"/>
      <c r="L97" s="252" t="s">
        <v>1181</v>
      </c>
      <c r="M97" s="699" t="s">
        <v>825</v>
      </c>
      <c r="N97" s="971">
        <v>6.7500000000000004E-2</v>
      </c>
      <c r="AY97" s="224">
        <v>39156</v>
      </c>
      <c r="AZ97" s="228"/>
    </row>
    <row r="98" spans="1:235" x14ac:dyDescent="0.2">
      <c r="A98" s="189">
        <v>13</v>
      </c>
      <c r="B98" s="258" t="s">
        <v>762</v>
      </c>
      <c r="C98" s="153"/>
      <c r="D98" s="62"/>
      <c r="E98" s="14"/>
      <c r="F98" s="241" t="s">
        <v>31</v>
      </c>
      <c r="G98" s="14">
        <v>3000</v>
      </c>
      <c r="H98" s="269" t="s">
        <v>603</v>
      </c>
      <c r="I98" s="153"/>
      <c r="J98" s="14"/>
      <c r="K98" s="269"/>
      <c r="L98" s="252" t="s">
        <v>1182</v>
      </c>
      <c r="M98" s="699" t="s">
        <v>825</v>
      </c>
      <c r="N98" s="971">
        <v>6.7500000000000004E-2</v>
      </c>
      <c r="AY98" s="224">
        <v>39157</v>
      </c>
      <c r="AZ98" s="228"/>
    </row>
    <row r="99" spans="1:235" ht="13.5" thickBot="1" x14ac:dyDescent="0.25">
      <c r="A99" s="189">
        <v>14</v>
      </c>
      <c r="B99" s="256" t="s">
        <v>68</v>
      </c>
      <c r="C99" s="243"/>
      <c r="D99" s="62"/>
      <c r="E99" s="14"/>
      <c r="F99" s="241" t="s">
        <v>57</v>
      </c>
      <c r="G99" s="14">
        <v>3000</v>
      </c>
      <c r="H99" s="268" t="s">
        <v>615</v>
      </c>
      <c r="I99" s="153"/>
      <c r="J99" s="14"/>
      <c r="K99" s="269"/>
      <c r="L99" s="252" t="s">
        <v>1183</v>
      </c>
      <c r="M99" s="919" t="s">
        <v>825</v>
      </c>
      <c r="N99" s="971">
        <v>9.5000000000000001E-2</v>
      </c>
      <c r="AY99" s="224">
        <v>39158</v>
      </c>
      <c r="AZ99" s="228"/>
    </row>
    <row r="100" spans="1:235" x14ac:dyDescent="0.2">
      <c r="A100" s="25">
        <v>15</v>
      </c>
      <c r="B100" s="258" t="s">
        <v>765</v>
      </c>
      <c r="C100" s="243"/>
      <c r="D100" s="62"/>
      <c r="E100" s="14"/>
      <c r="F100" s="1653" t="s">
        <v>591</v>
      </c>
      <c r="G100" s="1654">
        <v>1200</v>
      </c>
      <c r="H100" s="268" t="s">
        <v>619</v>
      </c>
      <c r="I100" s="153"/>
      <c r="J100" s="14"/>
      <c r="K100" s="269"/>
      <c r="L100" s="252" t="s">
        <v>1184</v>
      </c>
      <c r="M100" s="699" t="s">
        <v>825</v>
      </c>
      <c r="N100" s="971">
        <v>7.4999999999999997E-2</v>
      </c>
      <c r="AY100" s="224">
        <v>39159</v>
      </c>
      <c r="AZ100" s="228"/>
      <c r="IA100" s="2495"/>
    </row>
    <row r="101" spans="1:235" x14ac:dyDescent="0.2">
      <c r="A101" s="189">
        <v>16</v>
      </c>
      <c r="B101" s="256" t="s">
        <v>18</v>
      </c>
      <c r="C101" s="243"/>
      <c r="D101" s="62"/>
      <c r="E101" s="14"/>
      <c r="F101" s="1358" t="s">
        <v>1276</v>
      </c>
      <c r="G101" s="14">
        <v>2000</v>
      </c>
      <c r="H101" s="269" t="s">
        <v>582</v>
      </c>
      <c r="I101" s="153"/>
      <c r="J101" s="14"/>
      <c r="K101" s="269"/>
      <c r="AY101" s="224">
        <v>39160</v>
      </c>
      <c r="AZ101" s="228"/>
      <c r="IA101" s="2518"/>
    </row>
    <row r="102" spans="1:235" x14ac:dyDescent="0.2">
      <c r="A102" s="189">
        <v>17</v>
      </c>
      <c r="B102" s="1353" t="s">
        <v>1274</v>
      </c>
      <c r="C102" s="243"/>
      <c r="D102" s="244"/>
      <c r="E102" s="14"/>
      <c r="F102" s="241" t="s">
        <v>355</v>
      </c>
      <c r="G102" s="14">
        <v>1500</v>
      </c>
      <c r="H102" s="1353" t="s">
        <v>1275</v>
      </c>
      <c r="I102" s="153"/>
      <c r="J102" s="14"/>
      <c r="K102" s="269"/>
      <c r="AY102" s="224">
        <v>39161</v>
      </c>
      <c r="AZ102" s="228"/>
    </row>
    <row r="103" spans="1:235" x14ac:dyDescent="0.2">
      <c r="A103" s="25">
        <v>18</v>
      </c>
      <c r="B103" s="256" t="s">
        <v>56</v>
      </c>
      <c r="C103" s="243"/>
      <c r="D103" s="244"/>
      <c r="E103" s="14"/>
      <c r="F103" s="241" t="s">
        <v>30</v>
      </c>
      <c r="G103" s="14">
        <v>2000</v>
      </c>
      <c r="H103" s="273" t="s">
        <v>38</v>
      </c>
      <c r="I103" s="153"/>
      <c r="J103" s="14"/>
      <c r="K103" s="269"/>
      <c r="AY103" s="224">
        <v>39162</v>
      </c>
      <c r="AZ103" s="228"/>
    </row>
    <row r="104" spans="1:235" x14ac:dyDescent="0.2">
      <c r="A104" s="189">
        <v>19</v>
      </c>
      <c r="B104" s="258" t="s">
        <v>1081</v>
      </c>
      <c r="C104" s="243"/>
      <c r="D104" s="244"/>
      <c r="E104" s="14"/>
      <c r="F104" s="1652" t="s">
        <v>604</v>
      </c>
      <c r="G104" s="14">
        <v>3000</v>
      </c>
      <c r="H104" s="268" t="s">
        <v>620</v>
      </c>
      <c r="I104" s="153"/>
      <c r="J104" s="14"/>
      <c r="K104" s="269"/>
      <c r="AY104" s="224">
        <v>39163</v>
      </c>
      <c r="AZ104" s="228"/>
    </row>
    <row r="105" spans="1:235" x14ac:dyDescent="0.2">
      <c r="A105" s="189">
        <v>20</v>
      </c>
      <c r="B105" s="256" t="s">
        <v>67</v>
      </c>
      <c r="C105" s="243"/>
      <c r="D105" s="244"/>
      <c r="E105" s="14"/>
      <c r="F105" s="241" t="s">
        <v>356</v>
      </c>
      <c r="G105" s="14">
        <v>1500</v>
      </c>
      <c r="H105" s="268" t="s">
        <v>621</v>
      </c>
      <c r="I105" s="153"/>
      <c r="J105" s="14"/>
      <c r="K105" s="269"/>
      <c r="AY105" s="224">
        <v>39164</v>
      </c>
      <c r="AZ105" s="228"/>
    </row>
    <row r="106" spans="1:235" x14ac:dyDescent="0.2">
      <c r="A106" s="25">
        <v>21</v>
      </c>
      <c r="B106" s="256" t="s">
        <v>19</v>
      </c>
      <c r="C106" s="243"/>
      <c r="D106" s="244"/>
      <c r="E106" s="14"/>
      <c r="F106" s="241" t="s">
        <v>358</v>
      </c>
      <c r="G106" s="14">
        <v>2000</v>
      </c>
      <c r="H106" s="268" t="s">
        <v>617</v>
      </c>
      <c r="I106" s="153"/>
      <c r="J106" s="14"/>
      <c r="K106" s="269"/>
      <c r="AY106" s="224">
        <v>39165</v>
      </c>
      <c r="AZ106" s="228"/>
    </row>
    <row r="107" spans="1:235" x14ac:dyDescent="0.2">
      <c r="A107" s="189">
        <v>22</v>
      </c>
      <c r="B107" s="256" t="s">
        <v>346</v>
      </c>
      <c r="C107" s="243"/>
      <c r="D107" s="244"/>
      <c r="E107" s="14"/>
      <c r="F107" s="241" t="s">
        <v>58</v>
      </c>
      <c r="G107" s="14">
        <v>3000</v>
      </c>
      <c r="H107" s="268" t="s">
        <v>616</v>
      </c>
      <c r="I107" s="153"/>
      <c r="J107" s="14"/>
      <c r="K107" s="269"/>
      <c r="AY107" s="224">
        <v>39166</v>
      </c>
      <c r="AZ107" s="228"/>
    </row>
    <row r="108" spans="1:235" x14ac:dyDescent="0.2">
      <c r="A108" s="189">
        <v>23</v>
      </c>
      <c r="B108" s="258" t="s">
        <v>61</v>
      </c>
      <c r="C108" s="243"/>
      <c r="D108" s="244"/>
      <c r="E108" s="14"/>
      <c r="F108" s="273" t="s">
        <v>60</v>
      </c>
      <c r="G108" s="14">
        <v>3000</v>
      </c>
      <c r="H108" s="269" t="s">
        <v>462</v>
      </c>
      <c r="I108" s="153"/>
      <c r="J108" s="14"/>
      <c r="K108" s="269"/>
      <c r="AY108" s="224">
        <v>39167</v>
      </c>
      <c r="AZ108" s="228"/>
    </row>
    <row r="109" spans="1:235" x14ac:dyDescent="0.2">
      <c r="A109" s="25">
        <v>24</v>
      </c>
      <c r="B109" s="258" t="s">
        <v>763</v>
      </c>
      <c r="C109" s="243"/>
      <c r="D109" s="244"/>
      <c r="E109" s="14"/>
      <c r="F109" s="241" t="s">
        <v>28</v>
      </c>
      <c r="G109" s="81">
        <v>1200</v>
      </c>
      <c r="H109" s="269" t="s">
        <v>609</v>
      </c>
      <c r="I109" s="153"/>
      <c r="J109" s="14"/>
      <c r="K109" s="269"/>
      <c r="AY109" s="224">
        <v>39168</v>
      </c>
      <c r="AZ109" s="228"/>
    </row>
    <row r="110" spans="1:235" x14ac:dyDescent="0.2">
      <c r="A110" s="189">
        <v>25</v>
      </c>
      <c r="B110" s="256" t="s">
        <v>760</v>
      </c>
      <c r="C110" s="243"/>
      <c r="D110" s="244"/>
      <c r="E110" s="14"/>
      <c r="F110" s="11"/>
      <c r="G110" s="14"/>
      <c r="H110" s="268" t="s">
        <v>767</v>
      </c>
      <c r="I110" s="153"/>
      <c r="J110" s="14"/>
      <c r="K110" s="269"/>
      <c r="AY110" s="224">
        <v>39169</v>
      </c>
      <c r="AZ110" s="228"/>
    </row>
    <row r="111" spans="1:235" x14ac:dyDescent="0.2">
      <c r="A111" s="189">
        <v>26</v>
      </c>
      <c r="B111" s="257" t="s">
        <v>739</v>
      </c>
      <c r="C111" s="243"/>
      <c r="D111" s="244"/>
      <c r="E111" s="14"/>
      <c r="F111" s="11"/>
      <c r="G111" s="14"/>
      <c r="H111" s="273" t="s">
        <v>61</v>
      </c>
      <c r="I111" s="153"/>
      <c r="J111" s="14"/>
      <c r="K111" s="269"/>
      <c r="AY111" s="224">
        <v>39170</v>
      </c>
    </row>
    <row r="112" spans="1:235" x14ac:dyDescent="0.2">
      <c r="A112" s="25">
        <v>27</v>
      </c>
      <c r="B112" s="258"/>
      <c r="C112" s="243"/>
      <c r="D112" s="245"/>
      <c r="E112" s="14"/>
      <c r="F112" s="11"/>
      <c r="G112" s="14"/>
      <c r="H112" s="269" t="s">
        <v>608</v>
      </c>
      <c r="I112" s="153"/>
      <c r="J112" s="14"/>
      <c r="K112" s="269"/>
      <c r="AY112" s="224">
        <v>39171</v>
      </c>
    </row>
    <row r="113" spans="1:51" x14ac:dyDescent="0.2">
      <c r="A113" s="189">
        <v>28</v>
      </c>
      <c r="B113" s="258"/>
      <c r="C113" s="243"/>
      <c r="D113" s="244"/>
      <c r="E113" s="14"/>
      <c r="F113" s="11"/>
      <c r="G113" s="14"/>
      <c r="H113" s="222" t="s">
        <v>622</v>
      </c>
      <c r="I113" s="153"/>
      <c r="J113" s="14"/>
      <c r="K113" s="269"/>
      <c r="AY113" s="224">
        <v>39172</v>
      </c>
    </row>
    <row r="114" spans="1:51" x14ac:dyDescent="0.2">
      <c r="A114" s="189">
        <v>29</v>
      </c>
      <c r="B114" s="258"/>
      <c r="C114" s="243"/>
      <c r="D114" s="244"/>
      <c r="E114" s="14"/>
      <c r="F114" s="11"/>
      <c r="G114" s="14"/>
      <c r="H114" s="273" t="s">
        <v>34</v>
      </c>
      <c r="I114" s="153"/>
      <c r="J114" s="14"/>
      <c r="K114" s="269"/>
      <c r="AY114" s="224">
        <v>39173</v>
      </c>
    </row>
    <row r="115" spans="1:51" x14ac:dyDescent="0.2">
      <c r="A115" s="25">
        <v>30</v>
      </c>
      <c r="B115" s="258"/>
      <c r="C115" s="243"/>
      <c r="D115" s="245"/>
      <c r="E115" s="14"/>
      <c r="F115" s="11"/>
      <c r="G115" s="14"/>
      <c r="H115" s="269" t="s">
        <v>768</v>
      </c>
      <c r="I115" s="153"/>
      <c r="J115" s="14"/>
      <c r="K115" s="269"/>
      <c r="AY115" s="224">
        <v>39174</v>
      </c>
    </row>
    <row r="116" spans="1:51" x14ac:dyDescent="0.2">
      <c r="A116" s="189">
        <v>31</v>
      </c>
      <c r="B116" s="258"/>
      <c r="C116" s="243"/>
      <c r="D116" s="244"/>
      <c r="E116" s="14"/>
      <c r="F116" s="11"/>
      <c r="G116" s="14"/>
      <c r="H116" s="269"/>
      <c r="I116" s="153"/>
      <c r="J116" s="14"/>
      <c r="K116" s="269"/>
      <c r="AY116" s="224">
        <v>39175</v>
      </c>
    </row>
    <row r="117" spans="1:51" x14ac:dyDescent="0.2">
      <c r="A117" s="189">
        <v>32</v>
      </c>
      <c r="B117" s="258"/>
      <c r="C117" s="243"/>
      <c r="D117" s="244"/>
      <c r="E117" s="14"/>
      <c r="F117" s="11"/>
      <c r="G117" s="14"/>
      <c r="H117" s="269"/>
      <c r="I117" s="153"/>
      <c r="J117" s="14"/>
      <c r="K117" s="269"/>
      <c r="AY117" s="224">
        <v>39176</v>
      </c>
    </row>
    <row r="118" spans="1:51" x14ac:dyDescent="0.2">
      <c r="A118" s="25">
        <v>33</v>
      </c>
      <c r="B118" s="258"/>
      <c r="C118" s="243"/>
      <c r="D118" s="244"/>
      <c r="E118" s="14"/>
      <c r="F118" s="11"/>
      <c r="G118" s="14"/>
      <c r="H118" s="269"/>
      <c r="I118" s="153"/>
      <c r="J118" s="14"/>
      <c r="K118" s="269"/>
      <c r="AY118" s="224">
        <v>39177</v>
      </c>
    </row>
    <row r="119" spans="1:51" x14ac:dyDescent="0.2">
      <c r="A119" s="189">
        <v>34</v>
      </c>
      <c r="B119" s="258"/>
      <c r="C119" s="243"/>
      <c r="D119" s="244"/>
      <c r="E119" s="14"/>
      <c r="F119" s="11"/>
      <c r="G119" s="14"/>
      <c r="H119" s="269"/>
      <c r="I119" s="153"/>
      <c r="J119" s="14"/>
      <c r="K119" s="269"/>
      <c r="AY119" s="224">
        <v>39178</v>
      </c>
    </row>
    <row r="120" spans="1:51" x14ac:dyDescent="0.2">
      <c r="A120" s="189">
        <v>35</v>
      </c>
      <c r="B120" s="258"/>
      <c r="C120" s="243"/>
      <c r="D120" s="244"/>
      <c r="E120" s="14"/>
      <c r="F120" s="11"/>
      <c r="G120" s="14"/>
      <c r="H120" s="269"/>
      <c r="I120" s="153"/>
      <c r="J120" s="14"/>
      <c r="K120" s="269"/>
      <c r="AY120" s="224">
        <v>39179</v>
      </c>
    </row>
    <row r="121" spans="1:51" x14ac:dyDescent="0.2">
      <c r="A121" s="25">
        <v>36</v>
      </c>
      <c r="B121" s="258"/>
      <c r="C121" s="243"/>
      <c r="D121" s="244"/>
      <c r="E121" s="14"/>
      <c r="F121" s="11"/>
      <c r="G121" s="14"/>
      <c r="H121" s="269"/>
      <c r="I121" s="153"/>
      <c r="J121" s="14"/>
      <c r="K121" s="269"/>
      <c r="AY121" s="224">
        <v>39180</v>
      </c>
    </row>
    <row r="122" spans="1:51" x14ac:dyDescent="0.2">
      <c r="A122" s="189">
        <v>37</v>
      </c>
      <c r="B122" s="258"/>
      <c r="C122" s="243"/>
      <c r="D122" s="244"/>
      <c r="E122" s="14"/>
      <c r="F122" s="11"/>
      <c r="G122" s="14"/>
      <c r="H122" s="269"/>
      <c r="I122" s="153"/>
      <c r="J122" s="14"/>
      <c r="K122" s="269"/>
      <c r="AY122" s="224">
        <v>39181</v>
      </c>
    </row>
    <row r="123" spans="1:51" x14ac:dyDescent="0.2">
      <c r="A123" s="189">
        <v>38</v>
      </c>
      <c r="B123" s="258"/>
      <c r="C123" s="243"/>
      <c r="D123" s="244"/>
      <c r="E123" s="14"/>
      <c r="F123" s="11"/>
      <c r="G123" s="14"/>
      <c r="H123" s="269"/>
      <c r="I123" s="153"/>
      <c r="J123" s="14"/>
      <c r="K123" s="269"/>
      <c r="AY123" s="224">
        <v>39182</v>
      </c>
    </row>
    <row r="124" spans="1:51" x14ac:dyDescent="0.2">
      <c r="A124" s="25">
        <v>39</v>
      </c>
      <c r="B124" s="258"/>
      <c r="C124" s="243"/>
      <c r="D124" s="244"/>
      <c r="E124" s="14"/>
      <c r="F124" s="11"/>
      <c r="G124" s="14"/>
      <c r="H124" s="269"/>
      <c r="I124" s="153"/>
      <c r="J124" s="14"/>
      <c r="K124" s="269"/>
      <c r="AY124" s="224">
        <v>39183</v>
      </c>
    </row>
    <row r="125" spans="1:51" x14ac:dyDescent="0.2">
      <c r="A125" s="189">
        <v>40</v>
      </c>
      <c r="B125" s="258"/>
      <c r="C125" s="243"/>
      <c r="D125" s="244"/>
      <c r="E125" s="14"/>
      <c r="F125" s="11"/>
      <c r="G125" s="14"/>
      <c r="H125" s="269"/>
      <c r="I125" s="153"/>
      <c r="J125" s="14"/>
      <c r="K125" s="269"/>
      <c r="AY125" s="224">
        <v>39184</v>
      </c>
    </row>
    <row r="126" spans="1:51" x14ac:dyDescent="0.2">
      <c r="A126" s="189">
        <v>41</v>
      </c>
      <c r="B126" s="258"/>
      <c r="C126" s="243"/>
      <c r="D126" s="244"/>
      <c r="E126" s="14"/>
      <c r="F126" s="11"/>
      <c r="G126" s="14"/>
      <c r="H126" s="269"/>
      <c r="I126" s="153"/>
      <c r="J126" s="14"/>
      <c r="K126" s="269"/>
      <c r="AY126" s="224">
        <v>39185</v>
      </c>
    </row>
    <row r="127" spans="1:51" x14ac:dyDescent="0.2">
      <c r="A127" s="25">
        <v>42</v>
      </c>
      <c r="B127" s="258"/>
      <c r="C127" s="243"/>
      <c r="D127" s="244"/>
      <c r="E127" s="14"/>
      <c r="F127" s="11"/>
      <c r="G127" s="14"/>
      <c r="H127" s="269"/>
      <c r="I127" s="153"/>
      <c r="J127" s="14"/>
      <c r="K127" s="269"/>
      <c r="AY127" s="224">
        <v>39186</v>
      </c>
    </row>
    <row r="128" spans="1:51" x14ac:dyDescent="0.2">
      <c r="A128" s="189">
        <v>43</v>
      </c>
      <c r="B128" s="258"/>
      <c r="C128" s="243"/>
      <c r="D128" s="244"/>
      <c r="E128" s="14"/>
      <c r="F128" s="11"/>
      <c r="G128" s="14"/>
      <c r="H128" s="269"/>
      <c r="I128" s="153"/>
      <c r="J128" s="14"/>
      <c r="K128" s="269"/>
      <c r="AY128" s="224">
        <v>39187</v>
      </c>
    </row>
    <row r="129" spans="1:51" ht="13.5" thickBot="1" x14ac:dyDescent="0.25">
      <c r="A129" s="189">
        <v>44</v>
      </c>
      <c r="B129" s="259"/>
      <c r="C129" s="246"/>
      <c r="D129" s="247"/>
      <c r="E129" s="82"/>
      <c r="F129" s="233"/>
      <c r="G129" s="82"/>
      <c r="H129" s="270"/>
      <c r="I129" s="271"/>
      <c r="J129" s="82"/>
      <c r="K129" s="270"/>
      <c r="AY129" s="224">
        <v>39188</v>
      </c>
    </row>
    <row r="130" spans="1:51" x14ac:dyDescent="0.2">
      <c r="B130" s="260"/>
      <c r="C130" s="189"/>
      <c r="D130" s="189"/>
      <c r="AY130" s="224">
        <v>39189</v>
      </c>
    </row>
    <row r="131" spans="1:51" ht="13.5" thickBot="1" x14ac:dyDescent="0.25">
      <c r="B131" s="260"/>
      <c r="C131" s="189"/>
      <c r="AY131" s="224">
        <v>39190</v>
      </c>
    </row>
    <row r="132" spans="1:51" s="23" customFormat="1" ht="18.75" customHeight="1" thickBot="1" x14ac:dyDescent="0.25">
      <c r="B132" s="261" t="s">
        <v>483</v>
      </c>
      <c r="C132" s="261" t="s">
        <v>553</v>
      </c>
      <c r="AY132" s="248">
        <v>39191</v>
      </c>
    </row>
    <row r="133" spans="1:51" x14ac:dyDescent="0.2">
      <c r="A133" s="25">
        <v>1</v>
      </c>
      <c r="B133" s="298"/>
      <c r="C133" s="299"/>
      <c r="AY133" s="224">
        <v>39192</v>
      </c>
    </row>
    <row r="134" spans="1:51" x14ac:dyDescent="0.2">
      <c r="A134" s="25">
        <v>2</v>
      </c>
      <c r="B134" s="300" t="s">
        <v>45</v>
      </c>
      <c r="C134" s="301" t="s">
        <v>12</v>
      </c>
      <c r="AY134" s="224">
        <v>39193</v>
      </c>
    </row>
    <row r="135" spans="1:51" x14ac:dyDescent="0.2">
      <c r="A135" s="25">
        <v>3</v>
      </c>
      <c r="B135" s="300" t="s">
        <v>46</v>
      </c>
      <c r="C135" s="286" t="s">
        <v>695</v>
      </c>
      <c r="AY135" s="224">
        <v>39194</v>
      </c>
    </row>
    <row r="136" spans="1:51" x14ac:dyDescent="0.2">
      <c r="A136" s="25">
        <v>4</v>
      </c>
      <c r="B136" s="300" t="s">
        <v>47</v>
      </c>
      <c r="C136" s="301" t="s">
        <v>373</v>
      </c>
      <c r="AY136" s="224">
        <v>39195</v>
      </c>
    </row>
    <row r="137" spans="1:51" x14ac:dyDescent="0.2">
      <c r="A137" s="25">
        <v>5</v>
      </c>
      <c r="B137" s="300" t="s">
        <v>48</v>
      </c>
      <c r="C137" s="301" t="s">
        <v>383</v>
      </c>
      <c r="AY137" s="224">
        <v>39196</v>
      </c>
    </row>
    <row r="138" spans="1:51" x14ac:dyDescent="0.2">
      <c r="A138" s="25">
        <v>6</v>
      </c>
      <c r="B138" s="300" t="s">
        <v>49</v>
      </c>
      <c r="C138" s="301" t="s">
        <v>374</v>
      </c>
      <c r="AY138" s="224">
        <v>39197</v>
      </c>
    </row>
    <row r="139" spans="1:51" x14ac:dyDescent="0.2">
      <c r="A139" s="25">
        <v>7</v>
      </c>
      <c r="B139" s="300" t="s">
        <v>71</v>
      </c>
      <c r="C139" s="301" t="s">
        <v>379</v>
      </c>
      <c r="AY139" s="224">
        <v>39198</v>
      </c>
    </row>
    <row r="140" spans="1:51" x14ac:dyDescent="0.2">
      <c r="A140" s="25">
        <v>8</v>
      </c>
      <c r="B140" s="300" t="s">
        <v>470</v>
      </c>
      <c r="C140" s="301" t="s">
        <v>13</v>
      </c>
      <c r="AY140" s="224">
        <v>39199</v>
      </c>
    </row>
    <row r="141" spans="1:51" x14ac:dyDescent="0.2">
      <c r="A141" s="25">
        <v>9</v>
      </c>
      <c r="B141" s="300" t="s">
        <v>471</v>
      </c>
      <c r="C141" s="301" t="s">
        <v>696</v>
      </c>
      <c r="AY141" s="224">
        <v>39200</v>
      </c>
    </row>
    <row r="142" spans="1:51" x14ac:dyDescent="0.2">
      <c r="A142" s="25">
        <v>10</v>
      </c>
      <c r="B142" s="300" t="s">
        <v>70</v>
      </c>
      <c r="C142" s="301" t="s">
        <v>697</v>
      </c>
      <c r="AY142" s="224">
        <v>39201</v>
      </c>
    </row>
    <row r="143" spans="1:51" x14ac:dyDescent="0.2">
      <c r="A143" s="25">
        <v>11</v>
      </c>
      <c r="B143" s="13" t="s">
        <v>807</v>
      </c>
      <c r="C143" s="301" t="s">
        <v>698</v>
      </c>
      <c r="AY143" s="224">
        <v>39202</v>
      </c>
    </row>
    <row r="144" spans="1:51" x14ac:dyDescent="0.2">
      <c r="A144" s="25">
        <v>12</v>
      </c>
      <c r="B144" s="13" t="s">
        <v>896</v>
      </c>
      <c r="C144" s="301" t="s">
        <v>699</v>
      </c>
      <c r="AY144" s="224">
        <v>39203</v>
      </c>
    </row>
    <row r="145" spans="1:51" x14ac:dyDescent="0.2">
      <c r="A145" s="25">
        <v>13</v>
      </c>
      <c r="B145" s="13"/>
      <c r="C145" s="301" t="s">
        <v>545</v>
      </c>
      <c r="AY145" s="224">
        <v>39204</v>
      </c>
    </row>
    <row r="146" spans="1:51" x14ac:dyDescent="0.2">
      <c r="A146" s="25">
        <v>14</v>
      </c>
      <c r="B146" s="13"/>
      <c r="C146" s="301" t="s">
        <v>380</v>
      </c>
      <c r="AY146" s="224">
        <v>39205</v>
      </c>
    </row>
    <row r="147" spans="1:51" x14ac:dyDescent="0.2">
      <c r="A147" s="25">
        <v>15</v>
      </c>
      <c r="B147" s="13"/>
      <c r="C147" s="302"/>
      <c r="AY147" s="224">
        <v>39206</v>
      </c>
    </row>
    <row r="148" spans="1:51" x14ac:dyDescent="0.2">
      <c r="A148" s="25">
        <v>16</v>
      </c>
      <c r="B148" s="13"/>
      <c r="C148" s="302"/>
      <c r="AY148" s="224">
        <v>39207</v>
      </c>
    </row>
    <row r="149" spans="1:51" ht="13.5" thickBot="1" x14ac:dyDescent="0.25">
      <c r="B149" s="254"/>
      <c r="C149" s="303"/>
      <c r="AY149" s="224">
        <v>39208</v>
      </c>
    </row>
    <row r="150" spans="1:51" x14ac:dyDescent="0.2">
      <c r="B150" s="260"/>
      <c r="C150" s="189"/>
      <c r="AY150" s="224">
        <v>39209</v>
      </c>
    </row>
    <row r="151" spans="1:51" x14ac:dyDescent="0.2">
      <c r="B151" s="260"/>
      <c r="C151" s="189"/>
      <c r="AY151" s="224">
        <v>39210</v>
      </c>
    </row>
    <row r="152" spans="1:51" x14ac:dyDescent="0.2">
      <c r="B152" s="260"/>
      <c r="C152" s="189"/>
      <c r="AY152" s="224">
        <v>39211</v>
      </c>
    </row>
    <row r="153" spans="1:51" x14ac:dyDescent="0.2">
      <c r="B153" s="260"/>
      <c r="C153" s="189"/>
      <c r="AY153" s="224">
        <v>39212</v>
      </c>
    </row>
    <row r="154" spans="1:51" x14ac:dyDescent="0.2">
      <c r="B154" s="260"/>
      <c r="C154" s="189"/>
      <c r="AY154" s="224">
        <v>39213</v>
      </c>
    </row>
    <row r="155" spans="1:51" x14ac:dyDescent="0.2">
      <c r="B155" s="260"/>
      <c r="C155" s="189"/>
      <c r="AY155" s="224">
        <v>39214</v>
      </c>
    </row>
    <row r="156" spans="1:51" x14ac:dyDescent="0.2">
      <c r="B156" s="260"/>
      <c r="C156" s="189"/>
      <c r="AY156" s="224">
        <v>39215</v>
      </c>
    </row>
    <row r="157" spans="1:51" x14ac:dyDescent="0.2">
      <c r="B157" s="260"/>
      <c r="C157" s="189"/>
      <c r="AY157" s="224">
        <v>39216</v>
      </c>
    </row>
    <row r="158" spans="1:51" x14ac:dyDescent="0.2">
      <c r="B158" s="260"/>
      <c r="C158" s="189"/>
      <c r="AY158" s="224">
        <v>39217</v>
      </c>
    </row>
    <row r="159" spans="1:51" x14ac:dyDescent="0.2">
      <c r="B159" s="260"/>
      <c r="C159" s="189"/>
      <c r="AY159" s="224">
        <v>39218</v>
      </c>
    </row>
    <row r="160" spans="1:51" x14ac:dyDescent="0.2">
      <c r="B160" s="260"/>
      <c r="C160" s="189"/>
      <c r="AY160" s="224">
        <v>39219</v>
      </c>
    </row>
    <row r="161" spans="2:51" x14ac:dyDescent="0.2">
      <c r="B161" s="260"/>
      <c r="C161" s="189"/>
      <c r="AY161" s="224">
        <v>39220</v>
      </c>
    </row>
    <row r="162" spans="2:51" x14ac:dyDescent="0.2">
      <c r="B162" s="260"/>
      <c r="C162" s="189"/>
      <c r="AY162" s="224">
        <v>39221</v>
      </c>
    </row>
    <row r="163" spans="2:51" x14ac:dyDescent="0.2">
      <c r="B163" s="260"/>
      <c r="C163" s="189"/>
      <c r="AY163" s="224">
        <v>39222</v>
      </c>
    </row>
    <row r="164" spans="2:51" x14ac:dyDescent="0.2">
      <c r="B164" s="260"/>
      <c r="C164" s="189"/>
      <c r="AY164" s="224">
        <v>39223</v>
      </c>
    </row>
    <row r="165" spans="2:51" x14ac:dyDescent="0.2">
      <c r="B165" s="260"/>
      <c r="C165" s="189"/>
      <c r="AY165" s="224">
        <v>39224</v>
      </c>
    </row>
    <row r="166" spans="2:51" x14ac:dyDescent="0.2">
      <c r="B166" s="260"/>
      <c r="C166" s="189"/>
      <c r="AY166" s="224">
        <v>39225</v>
      </c>
    </row>
    <row r="167" spans="2:51" x14ac:dyDescent="0.2">
      <c r="B167" s="260"/>
      <c r="C167" s="189"/>
      <c r="AY167" s="224">
        <v>39226</v>
      </c>
    </row>
    <row r="168" spans="2:51" x14ac:dyDescent="0.2">
      <c r="B168" s="260"/>
      <c r="C168" s="189"/>
      <c r="AY168" s="224">
        <v>39227</v>
      </c>
    </row>
    <row r="169" spans="2:51" x14ac:dyDescent="0.2">
      <c r="B169" s="260"/>
      <c r="C169" s="189"/>
      <c r="AY169" s="224">
        <v>39228</v>
      </c>
    </row>
    <row r="170" spans="2:51" x14ac:dyDescent="0.2">
      <c r="B170" s="260"/>
      <c r="C170" s="189"/>
      <c r="AY170" s="224">
        <v>39229</v>
      </c>
    </row>
    <row r="171" spans="2:51" x14ac:dyDescent="0.2">
      <c r="B171" s="260"/>
      <c r="C171" s="189"/>
      <c r="AY171" s="224">
        <v>39230</v>
      </c>
    </row>
    <row r="172" spans="2:51" x14ac:dyDescent="0.2">
      <c r="B172" s="260"/>
      <c r="C172" s="189"/>
      <c r="AY172" s="224">
        <v>39231</v>
      </c>
    </row>
    <row r="173" spans="2:51" x14ac:dyDescent="0.2">
      <c r="B173" s="260"/>
      <c r="C173" s="189"/>
      <c r="AY173" s="224">
        <v>39232</v>
      </c>
    </row>
    <row r="174" spans="2:51" x14ac:dyDescent="0.2">
      <c r="B174" s="260"/>
      <c r="C174" s="189"/>
      <c r="AY174" s="224">
        <v>39233</v>
      </c>
    </row>
    <row r="175" spans="2:51" x14ac:dyDescent="0.2">
      <c r="B175" s="260"/>
      <c r="C175" s="189"/>
      <c r="AY175" s="224">
        <v>39234</v>
      </c>
    </row>
    <row r="176" spans="2:51" x14ac:dyDescent="0.2">
      <c r="B176" s="260"/>
      <c r="C176" s="189"/>
      <c r="AY176" s="224">
        <v>39235</v>
      </c>
    </row>
    <row r="177" spans="2:51" x14ac:dyDescent="0.2">
      <c r="B177" s="260"/>
      <c r="C177" s="189"/>
      <c r="AY177" s="224">
        <v>39236</v>
      </c>
    </row>
    <row r="178" spans="2:51" x14ac:dyDescent="0.2">
      <c r="B178" s="260"/>
      <c r="C178" s="189"/>
      <c r="AY178" s="224">
        <v>39237</v>
      </c>
    </row>
    <row r="179" spans="2:51" x14ac:dyDescent="0.2">
      <c r="B179" s="260"/>
      <c r="C179" s="189"/>
      <c r="AY179" s="224">
        <v>39238</v>
      </c>
    </row>
    <row r="180" spans="2:51" x14ac:dyDescent="0.2">
      <c r="B180" s="260"/>
      <c r="C180" s="189"/>
      <c r="AY180" s="224">
        <v>39239</v>
      </c>
    </row>
    <row r="181" spans="2:51" x14ac:dyDescent="0.2">
      <c r="B181" s="260"/>
      <c r="C181" s="189"/>
      <c r="AY181" s="224">
        <v>39240</v>
      </c>
    </row>
    <row r="182" spans="2:51" x14ac:dyDescent="0.2">
      <c r="B182" s="260"/>
      <c r="C182" s="189"/>
      <c r="AY182" s="224">
        <v>39241</v>
      </c>
    </row>
    <row r="183" spans="2:51" x14ac:dyDescent="0.2">
      <c r="B183" s="260"/>
      <c r="C183" s="189"/>
      <c r="AY183" s="224">
        <v>39242</v>
      </c>
    </row>
    <row r="184" spans="2:51" x14ac:dyDescent="0.2">
      <c r="B184" s="260"/>
      <c r="C184" s="189"/>
      <c r="AY184" s="224">
        <v>39243</v>
      </c>
    </row>
    <row r="185" spans="2:51" x14ac:dyDescent="0.2">
      <c r="B185" s="260"/>
      <c r="C185" s="189"/>
      <c r="AY185" s="224">
        <v>39244</v>
      </c>
    </row>
    <row r="186" spans="2:51" x14ac:dyDescent="0.2">
      <c r="B186" s="260"/>
      <c r="C186" s="189"/>
      <c r="AY186" s="224">
        <v>39245</v>
      </c>
    </row>
    <row r="187" spans="2:51" x14ac:dyDescent="0.2">
      <c r="B187" s="260"/>
      <c r="C187" s="189"/>
      <c r="AY187" s="224">
        <v>39246</v>
      </c>
    </row>
    <row r="188" spans="2:51" x14ac:dyDescent="0.2">
      <c r="B188" s="260"/>
      <c r="C188" s="189"/>
      <c r="AY188" s="224">
        <v>39247</v>
      </c>
    </row>
    <row r="189" spans="2:51" x14ac:dyDescent="0.2">
      <c r="B189" s="260"/>
      <c r="C189" s="189"/>
      <c r="AY189" s="224">
        <v>39248</v>
      </c>
    </row>
    <row r="190" spans="2:51" x14ac:dyDescent="0.2">
      <c r="B190" s="260"/>
      <c r="C190" s="189"/>
      <c r="AY190" s="224">
        <v>39249</v>
      </c>
    </row>
    <row r="191" spans="2:51" x14ac:dyDescent="0.2">
      <c r="B191" s="260"/>
      <c r="C191" s="189"/>
      <c r="AY191" s="224">
        <v>39250</v>
      </c>
    </row>
    <row r="192" spans="2:51" x14ac:dyDescent="0.2">
      <c r="B192" s="260"/>
      <c r="C192" s="189"/>
      <c r="AY192" s="224">
        <v>39251</v>
      </c>
    </row>
    <row r="193" spans="2:51" x14ac:dyDescent="0.2">
      <c r="B193" s="260"/>
      <c r="C193" s="189"/>
      <c r="AY193" s="224">
        <v>39252</v>
      </c>
    </row>
    <row r="194" spans="2:51" x14ac:dyDescent="0.2">
      <c r="B194" s="260"/>
      <c r="C194" s="189"/>
      <c r="AY194" s="224">
        <v>39253</v>
      </c>
    </row>
    <row r="195" spans="2:51" x14ac:dyDescent="0.2">
      <c r="B195" s="260"/>
      <c r="C195" s="189"/>
      <c r="AY195" s="224">
        <v>39254</v>
      </c>
    </row>
    <row r="196" spans="2:51" x14ac:dyDescent="0.2">
      <c r="B196" s="260"/>
      <c r="C196" s="189"/>
      <c r="AY196" s="224">
        <v>39255</v>
      </c>
    </row>
    <row r="197" spans="2:51" x14ac:dyDescent="0.2">
      <c r="B197" s="260"/>
      <c r="C197" s="189"/>
      <c r="AY197" s="224">
        <v>39256</v>
      </c>
    </row>
    <row r="198" spans="2:51" x14ac:dyDescent="0.2">
      <c r="B198" s="260"/>
      <c r="C198" s="189"/>
      <c r="AY198" s="224">
        <v>39257</v>
      </c>
    </row>
    <row r="199" spans="2:51" x14ac:dyDescent="0.2">
      <c r="B199" s="260"/>
      <c r="C199" s="189"/>
      <c r="AY199" s="224">
        <v>39258</v>
      </c>
    </row>
    <row r="200" spans="2:51" x14ac:dyDescent="0.2">
      <c r="B200" s="260"/>
      <c r="C200" s="189"/>
      <c r="AY200" s="224">
        <v>39259</v>
      </c>
    </row>
    <row r="201" spans="2:51" x14ac:dyDescent="0.2">
      <c r="B201" s="260"/>
      <c r="C201" s="189"/>
      <c r="AY201" s="224">
        <v>39260</v>
      </c>
    </row>
    <row r="202" spans="2:51" x14ac:dyDescent="0.2">
      <c r="B202" s="260"/>
      <c r="C202" s="189"/>
      <c r="AY202" s="224">
        <v>39261</v>
      </c>
    </row>
    <row r="203" spans="2:51" x14ac:dyDescent="0.2">
      <c r="B203" s="260"/>
      <c r="C203" s="189"/>
      <c r="AY203" s="224">
        <v>39262</v>
      </c>
    </row>
    <row r="204" spans="2:51" x14ac:dyDescent="0.2">
      <c r="B204" s="260"/>
      <c r="C204" s="189"/>
      <c r="AY204" s="224">
        <v>39263</v>
      </c>
    </row>
    <row r="205" spans="2:51" x14ac:dyDescent="0.2">
      <c r="B205" s="260"/>
      <c r="C205" s="189"/>
      <c r="AY205" s="224">
        <v>39264</v>
      </c>
    </row>
    <row r="206" spans="2:51" x14ac:dyDescent="0.2">
      <c r="B206" s="260"/>
      <c r="C206" s="189"/>
      <c r="AY206" s="224">
        <v>39265</v>
      </c>
    </row>
    <row r="207" spans="2:51" x14ac:dyDescent="0.2">
      <c r="B207" s="260"/>
      <c r="C207" s="189"/>
      <c r="AY207" s="224">
        <v>39266</v>
      </c>
    </row>
    <row r="208" spans="2:51" x14ac:dyDescent="0.2">
      <c r="B208" s="260"/>
      <c r="C208" s="189"/>
      <c r="AY208" s="224">
        <v>39267</v>
      </c>
    </row>
    <row r="209" spans="2:51" x14ac:dyDescent="0.2">
      <c r="B209" s="260"/>
      <c r="C209" s="189"/>
      <c r="AY209" s="224">
        <v>39268</v>
      </c>
    </row>
    <row r="210" spans="2:51" x14ac:dyDescent="0.2">
      <c r="B210" s="260"/>
      <c r="C210" s="189"/>
      <c r="AY210" s="224">
        <v>39269</v>
      </c>
    </row>
    <row r="211" spans="2:51" x14ac:dyDescent="0.2">
      <c r="B211" s="260"/>
      <c r="C211" s="189"/>
      <c r="AY211" s="224">
        <v>39270</v>
      </c>
    </row>
    <row r="212" spans="2:51" x14ac:dyDescent="0.2">
      <c r="B212" s="260"/>
      <c r="C212" s="189"/>
      <c r="AY212" s="224">
        <v>39271</v>
      </c>
    </row>
    <row r="213" spans="2:51" x14ac:dyDescent="0.2">
      <c r="B213" s="260"/>
      <c r="C213" s="189"/>
      <c r="AY213" s="224">
        <v>39272</v>
      </c>
    </row>
    <row r="214" spans="2:51" x14ac:dyDescent="0.2">
      <c r="B214" s="260"/>
      <c r="C214" s="189"/>
      <c r="AY214" s="224">
        <v>39273</v>
      </c>
    </row>
    <row r="215" spans="2:51" x14ac:dyDescent="0.2">
      <c r="B215" s="260"/>
      <c r="C215" s="189"/>
      <c r="AY215" s="224">
        <v>39274</v>
      </c>
    </row>
    <row r="216" spans="2:51" x14ac:dyDescent="0.2">
      <c r="B216" s="260"/>
      <c r="C216" s="189"/>
      <c r="AY216" s="224">
        <v>39275</v>
      </c>
    </row>
    <row r="217" spans="2:51" x14ac:dyDescent="0.2">
      <c r="B217" s="260"/>
      <c r="C217" s="189"/>
      <c r="AY217" s="224">
        <v>39276</v>
      </c>
    </row>
    <row r="218" spans="2:51" x14ac:dyDescent="0.2">
      <c r="B218" s="260"/>
      <c r="C218" s="189"/>
      <c r="AY218" s="224">
        <v>39277</v>
      </c>
    </row>
    <row r="219" spans="2:51" x14ac:dyDescent="0.2">
      <c r="B219" s="260"/>
      <c r="C219" s="189"/>
      <c r="AY219" s="224">
        <v>39278</v>
      </c>
    </row>
    <row r="220" spans="2:51" x14ac:dyDescent="0.2">
      <c r="B220" s="260"/>
      <c r="C220" s="189"/>
      <c r="AY220" s="224">
        <v>39279</v>
      </c>
    </row>
    <row r="221" spans="2:51" x14ac:dyDescent="0.2">
      <c r="B221" s="260"/>
      <c r="C221" s="189"/>
      <c r="AY221" s="224">
        <v>39280</v>
      </c>
    </row>
    <row r="222" spans="2:51" x14ac:dyDescent="0.2">
      <c r="B222" s="260"/>
      <c r="C222" s="189"/>
      <c r="AY222" s="224">
        <v>39281</v>
      </c>
    </row>
    <row r="223" spans="2:51" x14ac:dyDescent="0.2">
      <c r="B223" s="260"/>
      <c r="C223" s="189"/>
      <c r="AY223" s="224">
        <v>39282</v>
      </c>
    </row>
    <row r="224" spans="2:51" x14ac:dyDescent="0.2">
      <c r="B224" s="260"/>
      <c r="C224" s="189"/>
      <c r="AY224" s="224">
        <v>39283</v>
      </c>
    </row>
    <row r="225" spans="2:51" x14ac:dyDescent="0.2">
      <c r="B225" s="260"/>
      <c r="C225" s="189"/>
      <c r="AY225" s="224">
        <v>39284</v>
      </c>
    </row>
    <row r="226" spans="2:51" x14ac:dyDescent="0.2">
      <c r="B226" s="260"/>
      <c r="C226" s="189"/>
      <c r="AY226" s="224">
        <v>39285</v>
      </c>
    </row>
    <row r="227" spans="2:51" x14ac:dyDescent="0.2">
      <c r="B227" s="260"/>
      <c r="C227" s="189"/>
      <c r="AY227" s="224">
        <v>39286</v>
      </c>
    </row>
    <row r="228" spans="2:51" x14ac:dyDescent="0.2">
      <c r="B228" s="260"/>
      <c r="C228" s="189"/>
      <c r="AY228" s="224">
        <v>39287</v>
      </c>
    </row>
    <row r="229" spans="2:51" x14ac:dyDescent="0.2">
      <c r="B229" s="260"/>
      <c r="C229" s="189"/>
      <c r="AY229" s="224">
        <v>39288</v>
      </c>
    </row>
    <row r="230" spans="2:51" x14ac:dyDescent="0.2">
      <c r="B230" s="260"/>
      <c r="C230" s="189"/>
      <c r="AY230" s="224">
        <v>39289</v>
      </c>
    </row>
    <row r="231" spans="2:51" x14ac:dyDescent="0.2">
      <c r="B231" s="260"/>
      <c r="C231" s="189"/>
      <c r="AY231" s="224">
        <v>39290</v>
      </c>
    </row>
    <row r="232" spans="2:51" x14ac:dyDescent="0.2">
      <c r="B232" s="260"/>
      <c r="C232" s="189"/>
      <c r="AY232" s="224">
        <v>39291</v>
      </c>
    </row>
    <row r="233" spans="2:51" x14ac:dyDescent="0.2">
      <c r="B233" s="260"/>
      <c r="C233" s="189"/>
      <c r="AY233" s="224">
        <v>39292</v>
      </c>
    </row>
    <row r="234" spans="2:51" x14ac:dyDescent="0.2">
      <c r="B234" s="260"/>
      <c r="C234" s="189"/>
      <c r="AY234" s="224">
        <v>39293</v>
      </c>
    </row>
    <row r="235" spans="2:51" x14ac:dyDescent="0.2">
      <c r="B235" s="260"/>
      <c r="C235" s="189"/>
      <c r="AY235" s="224">
        <v>39294</v>
      </c>
    </row>
    <row r="236" spans="2:51" x14ac:dyDescent="0.2">
      <c r="B236" s="260"/>
      <c r="C236" s="189"/>
      <c r="AY236" s="224">
        <v>39295</v>
      </c>
    </row>
    <row r="237" spans="2:51" x14ac:dyDescent="0.2">
      <c r="B237" s="260"/>
      <c r="C237" s="189"/>
      <c r="AY237" s="224">
        <v>39296</v>
      </c>
    </row>
    <row r="238" spans="2:51" x14ac:dyDescent="0.2">
      <c r="B238" s="260"/>
      <c r="C238" s="189"/>
      <c r="AY238" s="224">
        <v>39297</v>
      </c>
    </row>
    <row r="239" spans="2:51" x14ac:dyDescent="0.2">
      <c r="B239" s="260"/>
      <c r="C239" s="189"/>
      <c r="AY239" s="224">
        <v>39298</v>
      </c>
    </row>
    <row r="240" spans="2:51" x14ac:dyDescent="0.2">
      <c r="B240" s="260"/>
      <c r="C240" s="189"/>
      <c r="AY240" s="224">
        <v>39299</v>
      </c>
    </row>
    <row r="241" spans="2:51" x14ac:dyDescent="0.2">
      <c r="B241" s="260"/>
      <c r="C241" s="189"/>
      <c r="AY241" s="224">
        <v>39300</v>
      </c>
    </row>
    <row r="242" spans="2:51" x14ac:dyDescent="0.2">
      <c r="B242" s="260"/>
      <c r="C242" s="189"/>
      <c r="AY242" s="224">
        <v>39301</v>
      </c>
    </row>
    <row r="243" spans="2:51" x14ac:dyDescent="0.2">
      <c r="B243" s="260"/>
      <c r="C243" s="189"/>
      <c r="AY243" s="224">
        <v>39302</v>
      </c>
    </row>
    <row r="244" spans="2:51" x14ac:dyDescent="0.2">
      <c r="B244" s="260"/>
      <c r="C244" s="189"/>
      <c r="AY244" s="224">
        <v>39303</v>
      </c>
    </row>
    <row r="245" spans="2:51" x14ac:dyDescent="0.2">
      <c r="B245" s="260"/>
      <c r="C245" s="189"/>
      <c r="AY245" s="224">
        <v>39304</v>
      </c>
    </row>
    <row r="246" spans="2:51" x14ac:dyDescent="0.2">
      <c r="B246" s="260"/>
      <c r="C246" s="189"/>
      <c r="AY246" s="224">
        <v>39305</v>
      </c>
    </row>
    <row r="247" spans="2:51" x14ac:dyDescent="0.2">
      <c r="B247" s="260"/>
      <c r="C247" s="189"/>
      <c r="AY247" s="224">
        <v>39306</v>
      </c>
    </row>
    <row r="248" spans="2:51" x14ac:dyDescent="0.2">
      <c r="B248" s="260"/>
      <c r="C248" s="189"/>
      <c r="AY248" s="224">
        <v>39307</v>
      </c>
    </row>
    <row r="249" spans="2:51" x14ac:dyDescent="0.2">
      <c r="B249" s="260"/>
      <c r="C249" s="189"/>
      <c r="AY249" s="224">
        <v>39308</v>
      </c>
    </row>
    <row r="250" spans="2:51" x14ac:dyDescent="0.2">
      <c r="B250" s="260"/>
      <c r="C250" s="189"/>
      <c r="AY250" s="224">
        <v>39309</v>
      </c>
    </row>
    <row r="251" spans="2:51" x14ac:dyDescent="0.2">
      <c r="B251" s="260"/>
      <c r="C251" s="189"/>
      <c r="AY251" s="224">
        <v>39310</v>
      </c>
    </row>
    <row r="252" spans="2:51" x14ac:dyDescent="0.2">
      <c r="B252" s="260"/>
      <c r="C252" s="189"/>
      <c r="AY252" s="224">
        <v>39311</v>
      </c>
    </row>
    <row r="253" spans="2:51" x14ac:dyDescent="0.2">
      <c r="B253" s="260"/>
      <c r="C253" s="189"/>
      <c r="AY253" s="224">
        <v>39312</v>
      </c>
    </row>
    <row r="254" spans="2:51" x14ac:dyDescent="0.2">
      <c r="B254" s="260"/>
      <c r="C254" s="189"/>
      <c r="AY254" s="224">
        <v>39313</v>
      </c>
    </row>
    <row r="255" spans="2:51" x14ac:dyDescent="0.2">
      <c r="B255" s="260"/>
      <c r="C255" s="189"/>
      <c r="AY255" s="224">
        <v>39314</v>
      </c>
    </row>
    <row r="256" spans="2:51" x14ac:dyDescent="0.2">
      <c r="B256" s="260"/>
      <c r="C256" s="189"/>
      <c r="AY256" s="224">
        <v>39315</v>
      </c>
    </row>
    <row r="257" spans="2:51" x14ac:dyDescent="0.2">
      <c r="B257" s="260"/>
      <c r="C257" s="189"/>
      <c r="AY257" s="224">
        <v>39316</v>
      </c>
    </row>
    <row r="258" spans="2:51" x14ac:dyDescent="0.2">
      <c r="B258" s="260"/>
      <c r="C258" s="189"/>
      <c r="AY258" s="224">
        <v>39317</v>
      </c>
    </row>
    <row r="259" spans="2:51" x14ac:dyDescent="0.2">
      <c r="B259" s="260"/>
      <c r="C259" s="189"/>
      <c r="AY259" s="224">
        <v>39318</v>
      </c>
    </row>
    <row r="260" spans="2:51" x14ac:dyDescent="0.2">
      <c r="B260" s="260"/>
      <c r="C260" s="189"/>
      <c r="AY260" s="224">
        <v>39319</v>
      </c>
    </row>
    <row r="261" spans="2:51" x14ac:dyDescent="0.2">
      <c r="B261" s="260"/>
      <c r="C261" s="189"/>
      <c r="AY261" s="224">
        <v>39320</v>
      </c>
    </row>
    <row r="262" spans="2:51" x14ac:dyDescent="0.2">
      <c r="B262" s="260"/>
      <c r="C262" s="189"/>
      <c r="AY262" s="224">
        <v>39321</v>
      </c>
    </row>
    <row r="263" spans="2:51" x14ac:dyDescent="0.2">
      <c r="B263" s="260"/>
      <c r="C263" s="189"/>
      <c r="AY263" s="224">
        <v>39322</v>
      </c>
    </row>
    <row r="264" spans="2:51" x14ac:dyDescent="0.2">
      <c r="B264" s="260"/>
      <c r="C264" s="189"/>
      <c r="AY264" s="224">
        <v>39323</v>
      </c>
    </row>
    <row r="265" spans="2:51" x14ac:dyDescent="0.2">
      <c r="B265" s="260"/>
      <c r="C265" s="189"/>
      <c r="AY265" s="224">
        <v>39324</v>
      </c>
    </row>
    <row r="266" spans="2:51" x14ac:dyDescent="0.2">
      <c r="B266" s="260"/>
      <c r="C266" s="189"/>
      <c r="AY266" s="224">
        <v>39325</v>
      </c>
    </row>
    <row r="267" spans="2:51" x14ac:dyDescent="0.2">
      <c r="B267" s="260"/>
      <c r="C267" s="189"/>
      <c r="AY267" s="224">
        <v>39326</v>
      </c>
    </row>
    <row r="268" spans="2:51" x14ac:dyDescent="0.2">
      <c r="B268" s="260"/>
      <c r="C268" s="189"/>
      <c r="AY268" s="224">
        <v>39327</v>
      </c>
    </row>
    <row r="269" spans="2:51" x14ac:dyDescent="0.2">
      <c r="B269" s="260"/>
      <c r="C269" s="189"/>
      <c r="AY269" s="224">
        <v>39328</v>
      </c>
    </row>
    <row r="270" spans="2:51" x14ac:dyDescent="0.2">
      <c r="B270" s="260"/>
      <c r="C270" s="189"/>
      <c r="AY270" s="224">
        <v>39329</v>
      </c>
    </row>
    <row r="271" spans="2:51" x14ac:dyDescent="0.2">
      <c r="B271" s="260"/>
      <c r="C271" s="189"/>
      <c r="AY271" s="224">
        <v>39330</v>
      </c>
    </row>
    <row r="272" spans="2:51" x14ac:dyDescent="0.2">
      <c r="B272" s="260"/>
      <c r="C272" s="189"/>
      <c r="AY272" s="224">
        <v>39331</v>
      </c>
    </row>
    <row r="273" spans="2:51" x14ac:dyDescent="0.2">
      <c r="B273" s="260"/>
      <c r="C273" s="189"/>
      <c r="AY273" s="224">
        <v>39332</v>
      </c>
    </row>
    <row r="274" spans="2:51" x14ac:dyDescent="0.2">
      <c r="B274" s="260"/>
      <c r="C274" s="189"/>
      <c r="AY274" s="224">
        <v>39333</v>
      </c>
    </row>
    <row r="275" spans="2:51" x14ac:dyDescent="0.2">
      <c r="B275" s="260"/>
      <c r="C275" s="189"/>
      <c r="AY275" s="224">
        <v>39334</v>
      </c>
    </row>
    <row r="276" spans="2:51" x14ac:dyDescent="0.2">
      <c r="B276" s="260"/>
      <c r="C276" s="189"/>
      <c r="AY276" s="224">
        <v>39335</v>
      </c>
    </row>
    <row r="277" spans="2:51" x14ac:dyDescent="0.2">
      <c r="B277" s="260"/>
      <c r="C277" s="189"/>
      <c r="AY277" s="224">
        <v>39336</v>
      </c>
    </row>
    <row r="278" spans="2:51" x14ac:dyDescent="0.2">
      <c r="B278" s="260"/>
      <c r="C278" s="189"/>
      <c r="AY278" s="224">
        <v>39337</v>
      </c>
    </row>
    <row r="279" spans="2:51" x14ac:dyDescent="0.2">
      <c r="B279" s="260"/>
      <c r="C279" s="189"/>
      <c r="AY279" s="224">
        <v>39338</v>
      </c>
    </row>
    <row r="280" spans="2:51" x14ac:dyDescent="0.2">
      <c r="B280" s="260"/>
      <c r="C280" s="189"/>
      <c r="AY280" s="224">
        <v>39339</v>
      </c>
    </row>
    <row r="281" spans="2:51" x14ac:dyDescent="0.2">
      <c r="B281" s="260"/>
      <c r="C281" s="189"/>
      <c r="AY281" s="224">
        <v>39340</v>
      </c>
    </row>
    <row r="282" spans="2:51" x14ac:dyDescent="0.2">
      <c r="B282" s="260"/>
      <c r="C282" s="189"/>
      <c r="AY282" s="224">
        <v>39341</v>
      </c>
    </row>
    <row r="283" spans="2:51" x14ac:dyDescent="0.2">
      <c r="B283" s="260"/>
      <c r="C283" s="189"/>
      <c r="AY283" s="224">
        <v>39342</v>
      </c>
    </row>
    <row r="284" spans="2:51" x14ac:dyDescent="0.2">
      <c r="B284" s="260"/>
      <c r="C284" s="189"/>
      <c r="AY284" s="224">
        <v>39343</v>
      </c>
    </row>
    <row r="285" spans="2:51" x14ac:dyDescent="0.2">
      <c r="B285" s="260"/>
      <c r="C285" s="189"/>
      <c r="AY285" s="224">
        <v>39344</v>
      </c>
    </row>
    <row r="286" spans="2:51" x14ac:dyDescent="0.2">
      <c r="B286" s="260"/>
      <c r="C286" s="189"/>
      <c r="AY286" s="224">
        <v>39345</v>
      </c>
    </row>
    <row r="287" spans="2:51" x14ac:dyDescent="0.2">
      <c r="B287" s="260"/>
      <c r="C287" s="189"/>
      <c r="AY287" s="224">
        <v>39346</v>
      </c>
    </row>
    <row r="288" spans="2:51" x14ac:dyDescent="0.2">
      <c r="B288" s="260"/>
      <c r="C288" s="189"/>
      <c r="AY288" s="224">
        <v>39347</v>
      </c>
    </row>
    <row r="289" spans="2:51" x14ac:dyDescent="0.2">
      <c r="B289" s="260"/>
      <c r="C289" s="189"/>
      <c r="AY289" s="224">
        <v>39348</v>
      </c>
    </row>
    <row r="290" spans="2:51" x14ac:dyDescent="0.2">
      <c r="B290" s="260"/>
      <c r="C290" s="189"/>
      <c r="AY290" s="224">
        <v>39349</v>
      </c>
    </row>
    <row r="291" spans="2:51" x14ac:dyDescent="0.2">
      <c r="B291" s="260"/>
      <c r="C291" s="189"/>
      <c r="AY291" s="224">
        <v>39350</v>
      </c>
    </row>
    <row r="292" spans="2:51" x14ac:dyDescent="0.2">
      <c r="B292" s="260"/>
      <c r="C292" s="189"/>
      <c r="AY292" s="224">
        <v>39351</v>
      </c>
    </row>
    <row r="293" spans="2:51" x14ac:dyDescent="0.2">
      <c r="B293" s="260"/>
      <c r="C293" s="189"/>
      <c r="AY293" s="224">
        <v>39352</v>
      </c>
    </row>
    <row r="294" spans="2:51" x14ac:dyDescent="0.2">
      <c r="B294" s="260"/>
      <c r="C294" s="189"/>
      <c r="AY294" s="224">
        <v>39353</v>
      </c>
    </row>
    <row r="295" spans="2:51" x14ac:dyDescent="0.2">
      <c r="B295" s="260"/>
      <c r="C295" s="189"/>
      <c r="AY295" s="224">
        <v>39354</v>
      </c>
    </row>
    <row r="296" spans="2:51" x14ac:dyDescent="0.2">
      <c r="B296" s="260"/>
      <c r="C296" s="189"/>
      <c r="AY296" s="224">
        <v>39355</v>
      </c>
    </row>
    <row r="297" spans="2:51" x14ac:dyDescent="0.2">
      <c r="B297" s="260"/>
      <c r="C297" s="189"/>
      <c r="AY297" s="224">
        <v>39356</v>
      </c>
    </row>
    <row r="298" spans="2:51" x14ac:dyDescent="0.2">
      <c r="B298" s="260"/>
      <c r="C298" s="189"/>
      <c r="AY298" s="224">
        <v>39357</v>
      </c>
    </row>
    <row r="299" spans="2:51" x14ac:dyDescent="0.2">
      <c r="B299" s="260"/>
      <c r="C299" s="189"/>
      <c r="AY299" s="224">
        <v>39358</v>
      </c>
    </row>
    <row r="300" spans="2:51" x14ac:dyDescent="0.2">
      <c r="B300" s="260"/>
      <c r="C300" s="189"/>
      <c r="AY300" s="224">
        <v>39359</v>
      </c>
    </row>
    <row r="301" spans="2:51" x14ac:dyDescent="0.2">
      <c r="B301" s="260"/>
      <c r="C301" s="189"/>
      <c r="AY301" s="224">
        <v>39360</v>
      </c>
    </row>
    <row r="302" spans="2:51" x14ac:dyDescent="0.2">
      <c r="B302" s="260"/>
      <c r="C302" s="189"/>
      <c r="AY302" s="224">
        <v>39361</v>
      </c>
    </row>
    <row r="303" spans="2:51" x14ac:dyDescent="0.2">
      <c r="B303" s="260"/>
      <c r="C303" s="189"/>
      <c r="AY303" s="224">
        <v>39362</v>
      </c>
    </row>
    <row r="304" spans="2:51" x14ac:dyDescent="0.2">
      <c r="B304" s="260"/>
      <c r="C304" s="189"/>
      <c r="AY304" s="224">
        <v>39363</v>
      </c>
    </row>
    <row r="305" spans="2:51" x14ac:dyDescent="0.2">
      <c r="B305" s="260"/>
      <c r="C305" s="189"/>
      <c r="AY305" s="224">
        <v>39364</v>
      </c>
    </row>
    <row r="306" spans="2:51" x14ac:dyDescent="0.2">
      <c r="B306" s="260"/>
      <c r="C306" s="189"/>
      <c r="AY306" s="224">
        <v>39365</v>
      </c>
    </row>
    <row r="307" spans="2:51" x14ac:dyDescent="0.2">
      <c r="B307" s="260"/>
      <c r="C307" s="189"/>
      <c r="AY307" s="224">
        <v>39366</v>
      </c>
    </row>
    <row r="308" spans="2:51" x14ac:dyDescent="0.2">
      <c r="B308" s="260"/>
      <c r="C308" s="189"/>
      <c r="AY308" s="224">
        <v>39367</v>
      </c>
    </row>
    <row r="309" spans="2:51" x14ac:dyDescent="0.2">
      <c r="B309" s="260"/>
      <c r="C309" s="189"/>
      <c r="AY309" s="224">
        <v>39368</v>
      </c>
    </row>
    <row r="310" spans="2:51" x14ac:dyDescent="0.2">
      <c r="B310" s="260"/>
      <c r="C310" s="189"/>
      <c r="AY310" s="224">
        <v>39369</v>
      </c>
    </row>
    <row r="311" spans="2:51" x14ac:dyDescent="0.2">
      <c r="B311" s="260"/>
      <c r="C311" s="189"/>
      <c r="AY311" s="224">
        <v>39370</v>
      </c>
    </row>
    <row r="312" spans="2:51" x14ac:dyDescent="0.2">
      <c r="B312" s="260"/>
      <c r="C312" s="189"/>
      <c r="AY312" s="224">
        <v>39371</v>
      </c>
    </row>
    <row r="313" spans="2:51" x14ac:dyDescent="0.2">
      <c r="B313" s="260"/>
      <c r="C313" s="189"/>
      <c r="AY313" s="224">
        <v>39372</v>
      </c>
    </row>
    <row r="314" spans="2:51" x14ac:dyDescent="0.2">
      <c r="B314" s="260"/>
      <c r="C314" s="189"/>
      <c r="AY314" s="224">
        <v>39373</v>
      </c>
    </row>
    <row r="315" spans="2:51" x14ac:dyDescent="0.2">
      <c r="B315" s="260"/>
      <c r="C315" s="189"/>
      <c r="AY315" s="224">
        <v>39374</v>
      </c>
    </row>
    <row r="316" spans="2:51" x14ac:dyDescent="0.2">
      <c r="B316" s="260"/>
      <c r="C316" s="189"/>
      <c r="AY316" s="224">
        <v>39375</v>
      </c>
    </row>
    <row r="317" spans="2:51" x14ac:dyDescent="0.2">
      <c r="B317" s="260"/>
      <c r="C317" s="189"/>
      <c r="AY317" s="224">
        <v>39376</v>
      </c>
    </row>
    <row r="318" spans="2:51" x14ac:dyDescent="0.2">
      <c r="B318" s="260"/>
      <c r="C318" s="189"/>
      <c r="AY318" s="224">
        <v>39377</v>
      </c>
    </row>
    <row r="319" spans="2:51" x14ac:dyDescent="0.2">
      <c r="B319" s="260"/>
      <c r="C319" s="189"/>
      <c r="AY319" s="224">
        <v>39378</v>
      </c>
    </row>
    <row r="320" spans="2:51" x14ac:dyDescent="0.2">
      <c r="B320" s="260"/>
      <c r="C320" s="189"/>
      <c r="AY320" s="224">
        <v>39379</v>
      </c>
    </row>
    <row r="321" spans="2:51" x14ac:dyDescent="0.2">
      <c r="B321" s="260"/>
      <c r="C321" s="189"/>
      <c r="AY321" s="224">
        <v>39380</v>
      </c>
    </row>
    <row r="322" spans="2:51" x14ac:dyDescent="0.2">
      <c r="B322" s="260"/>
      <c r="C322" s="189"/>
      <c r="AY322" s="224">
        <v>39381</v>
      </c>
    </row>
    <row r="323" spans="2:51" x14ac:dyDescent="0.2">
      <c r="B323" s="260"/>
      <c r="C323" s="189"/>
      <c r="AY323" s="224">
        <v>39382</v>
      </c>
    </row>
    <row r="324" spans="2:51" x14ac:dyDescent="0.2">
      <c r="B324" s="260"/>
      <c r="C324" s="189"/>
      <c r="AY324" s="224">
        <v>39383</v>
      </c>
    </row>
    <row r="325" spans="2:51" x14ac:dyDescent="0.2">
      <c r="B325" s="260"/>
      <c r="C325" s="189"/>
      <c r="AY325" s="224">
        <v>39384</v>
      </c>
    </row>
    <row r="326" spans="2:51" x14ac:dyDescent="0.2">
      <c r="B326" s="260"/>
      <c r="C326" s="189"/>
      <c r="AY326" s="224">
        <v>39385</v>
      </c>
    </row>
    <row r="327" spans="2:51" x14ac:dyDescent="0.2">
      <c r="B327" s="260"/>
      <c r="C327" s="189"/>
      <c r="AY327" s="224">
        <v>39386</v>
      </c>
    </row>
    <row r="328" spans="2:51" x14ac:dyDescent="0.2">
      <c r="B328" s="260"/>
      <c r="C328" s="189"/>
      <c r="AY328" s="224">
        <v>39387</v>
      </c>
    </row>
    <row r="329" spans="2:51" x14ac:dyDescent="0.2">
      <c r="B329" s="260"/>
      <c r="C329" s="189"/>
      <c r="AY329" s="224">
        <v>39388</v>
      </c>
    </row>
    <row r="330" spans="2:51" x14ac:dyDescent="0.2">
      <c r="B330" s="260"/>
      <c r="C330" s="189"/>
      <c r="AY330" s="224">
        <v>39389</v>
      </c>
    </row>
    <row r="331" spans="2:51" x14ac:dyDescent="0.2">
      <c r="B331" s="260"/>
      <c r="C331" s="189"/>
      <c r="AY331" s="224">
        <v>39390</v>
      </c>
    </row>
    <row r="332" spans="2:51" x14ac:dyDescent="0.2">
      <c r="B332" s="260"/>
      <c r="C332" s="189"/>
      <c r="AY332" s="224">
        <v>39391</v>
      </c>
    </row>
    <row r="333" spans="2:51" x14ac:dyDescent="0.2">
      <c r="B333" s="260"/>
      <c r="C333" s="189"/>
      <c r="AY333" s="224">
        <v>39392</v>
      </c>
    </row>
    <row r="334" spans="2:51" x14ac:dyDescent="0.2">
      <c r="B334" s="260"/>
      <c r="C334" s="189"/>
      <c r="AY334" s="224">
        <v>39393</v>
      </c>
    </row>
    <row r="335" spans="2:51" x14ac:dyDescent="0.2">
      <c r="B335" s="260"/>
      <c r="C335" s="189"/>
      <c r="AY335" s="224">
        <v>39394</v>
      </c>
    </row>
    <row r="336" spans="2:51" x14ac:dyDescent="0.2">
      <c r="B336" s="260"/>
      <c r="C336" s="189"/>
      <c r="AY336" s="224">
        <v>39395</v>
      </c>
    </row>
    <row r="337" spans="2:51" x14ac:dyDescent="0.2">
      <c r="B337" s="260"/>
      <c r="C337" s="189"/>
      <c r="AY337" s="224">
        <v>39396</v>
      </c>
    </row>
    <row r="338" spans="2:51" x14ac:dyDescent="0.2">
      <c r="B338" s="260"/>
      <c r="C338" s="189"/>
      <c r="AY338" s="224">
        <v>39397</v>
      </c>
    </row>
    <row r="339" spans="2:51" x14ac:dyDescent="0.2">
      <c r="B339" s="260"/>
      <c r="C339" s="189"/>
      <c r="AY339" s="224">
        <v>39398</v>
      </c>
    </row>
    <row r="340" spans="2:51" x14ac:dyDescent="0.2">
      <c r="B340" s="260"/>
      <c r="C340" s="189"/>
      <c r="AY340" s="224">
        <v>39399</v>
      </c>
    </row>
    <row r="341" spans="2:51" x14ac:dyDescent="0.2">
      <c r="B341" s="260"/>
      <c r="C341" s="189"/>
      <c r="AY341" s="224">
        <v>39400</v>
      </c>
    </row>
    <row r="342" spans="2:51" x14ac:dyDescent="0.2">
      <c r="B342" s="260"/>
      <c r="C342" s="189"/>
      <c r="AY342" s="224">
        <v>39401</v>
      </c>
    </row>
    <row r="343" spans="2:51" x14ac:dyDescent="0.2">
      <c r="B343" s="260"/>
      <c r="C343" s="189"/>
      <c r="AY343" s="224">
        <v>39402</v>
      </c>
    </row>
    <row r="344" spans="2:51" x14ac:dyDescent="0.2">
      <c r="B344" s="260"/>
      <c r="C344" s="189"/>
      <c r="AY344" s="224">
        <v>39403</v>
      </c>
    </row>
    <row r="345" spans="2:51" x14ac:dyDescent="0.2">
      <c r="B345" s="260"/>
      <c r="C345" s="189"/>
      <c r="AY345" s="224">
        <v>39404</v>
      </c>
    </row>
    <row r="346" spans="2:51" x14ac:dyDescent="0.2">
      <c r="B346" s="260"/>
      <c r="C346" s="189"/>
      <c r="AY346" s="224">
        <v>39405</v>
      </c>
    </row>
    <row r="347" spans="2:51" x14ac:dyDescent="0.2">
      <c r="B347" s="260"/>
      <c r="C347" s="189"/>
      <c r="AY347" s="224">
        <v>39406</v>
      </c>
    </row>
    <row r="348" spans="2:51" x14ac:dyDescent="0.2">
      <c r="B348" s="260"/>
      <c r="C348" s="189"/>
      <c r="AY348" s="224">
        <v>39407</v>
      </c>
    </row>
    <row r="349" spans="2:51" x14ac:dyDescent="0.2">
      <c r="B349" s="260"/>
      <c r="C349" s="189"/>
      <c r="AY349" s="224">
        <v>39408</v>
      </c>
    </row>
    <row r="350" spans="2:51" x14ac:dyDescent="0.2">
      <c r="B350" s="260"/>
      <c r="C350" s="189"/>
      <c r="AY350" s="224">
        <v>39409</v>
      </c>
    </row>
    <row r="351" spans="2:51" x14ac:dyDescent="0.2">
      <c r="B351" s="260"/>
      <c r="C351" s="189"/>
      <c r="AY351" s="224">
        <v>39410</v>
      </c>
    </row>
    <row r="352" spans="2:51" x14ac:dyDescent="0.2">
      <c r="B352" s="260"/>
      <c r="C352" s="189"/>
      <c r="AY352" s="224">
        <v>39411</v>
      </c>
    </row>
    <row r="353" spans="2:51" x14ac:dyDescent="0.2">
      <c r="B353" s="260"/>
      <c r="C353" s="189"/>
      <c r="AY353" s="224">
        <v>39412</v>
      </c>
    </row>
    <row r="354" spans="2:51" x14ac:dyDescent="0.2">
      <c r="B354" s="260"/>
      <c r="C354" s="189"/>
      <c r="AY354" s="224">
        <v>39413</v>
      </c>
    </row>
    <row r="355" spans="2:51" x14ac:dyDescent="0.2">
      <c r="B355" s="260"/>
      <c r="C355" s="189"/>
      <c r="AY355" s="224">
        <v>39414</v>
      </c>
    </row>
    <row r="356" spans="2:51" x14ac:dyDescent="0.2">
      <c r="B356" s="260"/>
      <c r="C356" s="189"/>
      <c r="AY356" s="224">
        <v>39415</v>
      </c>
    </row>
    <row r="357" spans="2:51" x14ac:dyDescent="0.2">
      <c r="B357" s="260"/>
      <c r="C357" s="189"/>
      <c r="AY357" s="224">
        <v>39416</v>
      </c>
    </row>
    <row r="358" spans="2:51" x14ac:dyDescent="0.2">
      <c r="B358" s="260"/>
      <c r="C358" s="189"/>
      <c r="AY358" s="224">
        <v>39417</v>
      </c>
    </row>
    <row r="359" spans="2:51" x14ac:dyDescent="0.2">
      <c r="B359" s="260"/>
      <c r="C359" s="189"/>
      <c r="AY359" s="224">
        <v>39418</v>
      </c>
    </row>
    <row r="360" spans="2:51" x14ac:dyDescent="0.2">
      <c r="B360" s="260"/>
      <c r="C360" s="189"/>
      <c r="AY360" s="224">
        <v>39419</v>
      </c>
    </row>
    <row r="361" spans="2:51" x14ac:dyDescent="0.2">
      <c r="B361" s="260"/>
      <c r="C361" s="189"/>
      <c r="AY361" s="224">
        <v>39420</v>
      </c>
    </row>
    <row r="362" spans="2:51" x14ac:dyDescent="0.2">
      <c r="B362" s="260"/>
      <c r="C362" s="189"/>
      <c r="AY362" s="224">
        <v>39421</v>
      </c>
    </row>
    <row r="363" spans="2:51" x14ac:dyDescent="0.2">
      <c r="B363" s="260"/>
      <c r="C363" s="189"/>
      <c r="AY363" s="224">
        <v>39422</v>
      </c>
    </row>
    <row r="364" spans="2:51" x14ac:dyDescent="0.2">
      <c r="B364" s="260"/>
      <c r="C364" s="189"/>
      <c r="AY364" s="224">
        <v>39423</v>
      </c>
    </row>
    <row r="365" spans="2:51" x14ac:dyDescent="0.2">
      <c r="B365" s="260"/>
      <c r="C365" s="189"/>
      <c r="AY365" s="224">
        <v>39424</v>
      </c>
    </row>
    <row r="366" spans="2:51" x14ac:dyDescent="0.2">
      <c r="B366" s="260"/>
      <c r="C366" s="189"/>
      <c r="AY366" s="224">
        <v>39425</v>
      </c>
    </row>
    <row r="367" spans="2:51" x14ac:dyDescent="0.2">
      <c r="B367" s="260"/>
      <c r="C367" s="189"/>
      <c r="AY367" s="224">
        <v>39426</v>
      </c>
    </row>
    <row r="368" spans="2:51" x14ac:dyDescent="0.2">
      <c r="B368" s="260"/>
      <c r="C368" s="189"/>
      <c r="AY368" s="224">
        <v>39427</v>
      </c>
    </row>
    <row r="369" spans="2:51" x14ac:dyDescent="0.2">
      <c r="B369" s="260"/>
      <c r="C369" s="189"/>
      <c r="AY369" s="224">
        <v>39428</v>
      </c>
    </row>
    <row r="370" spans="2:51" x14ac:dyDescent="0.2">
      <c r="B370" s="260"/>
      <c r="C370" s="189"/>
      <c r="AY370" s="224">
        <v>39429</v>
      </c>
    </row>
    <row r="371" spans="2:51" x14ac:dyDescent="0.2">
      <c r="B371" s="260"/>
      <c r="C371" s="189"/>
      <c r="AY371" s="224">
        <v>39430</v>
      </c>
    </row>
    <row r="372" spans="2:51" x14ac:dyDescent="0.2">
      <c r="B372" s="260"/>
      <c r="C372" s="189"/>
      <c r="AY372" s="224">
        <v>39431</v>
      </c>
    </row>
    <row r="373" spans="2:51" x14ac:dyDescent="0.2">
      <c r="B373" s="260"/>
      <c r="C373" s="189"/>
      <c r="AY373" s="224">
        <v>39432</v>
      </c>
    </row>
    <row r="374" spans="2:51" x14ac:dyDescent="0.2">
      <c r="B374" s="260"/>
      <c r="C374" s="189"/>
      <c r="AY374" s="224">
        <v>39433</v>
      </c>
    </row>
    <row r="375" spans="2:51" x14ac:dyDescent="0.2">
      <c r="B375" s="260"/>
      <c r="C375" s="189"/>
      <c r="AY375" s="224">
        <v>39434</v>
      </c>
    </row>
    <row r="376" spans="2:51" x14ac:dyDescent="0.2">
      <c r="B376" s="260"/>
      <c r="C376" s="189"/>
      <c r="AY376" s="224">
        <v>39435</v>
      </c>
    </row>
    <row r="377" spans="2:51" x14ac:dyDescent="0.2">
      <c r="B377" s="260"/>
      <c r="C377" s="189"/>
      <c r="AY377" s="224">
        <v>39436</v>
      </c>
    </row>
    <row r="378" spans="2:51" x14ac:dyDescent="0.2">
      <c r="B378" s="260"/>
      <c r="C378" s="189"/>
      <c r="AY378" s="224">
        <v>39437</v>
      </c>
    </row>
    <row r="379" spans="2:51" x14ac:dyDescent="0.2">
      <c r="B379" s="260"/>
      <c r="C379" s="189"/>
      <c r="AY379" s="224">
        <v>39438</v>
      </c>
    </row>
    <row r="380" spans="2:51" x14ac:dyDescent="0.2">
      <c r="B380" s="260"/>
      <c r="C380" s="189"/>
      <c r="AY380" s="224">
        <v>39439</v>
      </c>
    </row>
    <row r="381" spans="2:51" x14ac:dyDescent="0.2">
      <c r="B381" s="260"/>
      <c r="C381" s="189"/>
      <c r="AY381" s="224">
        <v>39440</v>
      </c>
    </row>
    <row r="382" spans="2:51" x14ac:dyDescent="0.2">
      <c r="B382" s="260"/>
      <c r="C382" s="189"/>
      <c r="AY382" s="224">
        <v>39441</v>
      </c>
    </row>
    <row r="383" spans="2:51" x14ac:dyDescent="0.2">
      <c r="B383" s="260"/>
      <c r="C383" s="189"/>
      <c r="AY383" s="224">
        <v>39442</v>
      </c>
    </row>
    <row r="384" spans="2:51" x14ac:dyDescent="0.2">
      <c r="B384" s="260"/>
      <c r="C384" s="189"/>
      <c r="AY384" s="224">
        <v>39443</v>
      </c>
    </row>
    <row r="385" spans="2:51" x14ac:dyDescent="0.2">
      <c r="B385" s="260"/>
      <c r="C385" s="189"/>
      <c r="AY385" s="224">
        <v>39444</v>
      </c>
    </row>
    <row r="386" spans="2:51" x14ac:dyDescent="0.2">
      <c r="B386" s="260"/>
      <c r="C386" s="189"/>
      <c r="AY386" s="224">
        <v>39445</v>
      </c>
    </row>
    <row r="387" spans="2:51" x14ac:dyDescent="0.2">
      <c r="B387" s="260"/>
      <c r="C387" s="189"/>
      <c r="AY387" s="224">
        <v>39446</v>
      </c>
    </row>
    <row r="388" spans="2:51" x14ac:dyDescent="0.2">
      <c r="B388" s="260"/>
      <c r="C388" s="189"/>
      <c r="AY388" s="224">
        <v>39447</v>
      </c>
    </row>
    <row r="389" spans="2:51" x14ac:dyDescent="0.2">
      <c r="B389" s="260"/>
      <c r="C389" s="189"/>
      <c r="AY389" s="224">
        <v>39448</v>
      </c>
    </row>
    <row r="390" spans="2:51" x14ac:dyDescent="0.2">
      <c r="B390" s="260"/>
      <c r="C390" s="189"/>
      <c r="AY390" s="224">
        <v>39449</v>
      </c>
    </row>
    <row r="391" spans="2:51" x14ac:dyDescent="0.2">
      <c r="B391" s="260"/>
      <c r="C391" s="189"/>
      <c r="AY391" s="224">
        <v>39450</v>
      </c>
    </row>
    <row r="392" spans="2:51" x14ac:dyDescent="0.2">
      <c r="B392" s="260"/>
      <c r="C392" s="189"/>
      <c r="AY392" s="224">
        <v>39451</v>
      </c>
    </row>
    <row r="393" spans="2:51" x14ac:dyDescent="0.2">
      <c r="B393" s="260"/>
      <c r="C393" s="189"/>
      <c r="AY393" s="224">
        <v>39452</v>
      </c>
    </row>
    <row r="394" spans="2:51" x14ac:dyDescent="0.2">
      <c r="B394" s="260"/>
      <c r="C394" s="189"/>
      <c r="AY394" s="224">
        <v>39453</v>
      </c>
    </row>
    <row r="395" spans="2:51" x14ac:dyDescent="0.2">
      <c r="B395" s="260"/>
      <c r="C395" s="189"/>
      <c r="AY395" s="224">
        <v>39454</v>
      </c>
    </row>
    <row r="396" spans="2:51" x14ac:dyDescent="0.2">
      <c r="B396" s="260"/>
      <c r="C396" s="189"/>
      <c r="AY396" s="224">
        <v>39455</v>
      </c>
    </row>
    <row r="397" spans="2:51" x14ac:dyDescent="0.2">
      <c r="B397" s="260"/>
      <c r="C397" s="189"/>
      <c r="AY397" s="224">
        <v>39456</v>
      </c>
    </row>
    <row r="398" spans="2:51" x14ac:dyDescent="0.2">
      <c r="B398" s="260"/>
      <c r="C398" s="189"/>
      <c r="AY398" s="224">
        <v>39457</v>
      </c>
    </row>
    <row r="399" spans="2:51" x14ac:dyDescent="0.2">
      <c r="B399" s="260"/>
      <c r="C399" s="189"/>
      <c r="AY399" s="224">
        <v>39458</v>
      </c>
    </row>
    <row r="400" spans="2:51" x14ac:dyDescent="0.2">
      <c r="B400" s="260"/>
      <c r="C400" s="189"/>
      <c r="AY400" s="224">
        <v>39459</v>
      </c>
    </row>
    <row r="401" spans="2:51" x14ac:dyDescent="0.2">
      <c r="B401" s="260"/>
      <c r="C401" s="189"/>
      <c r="AY401" s="224">
        <v>39460</v>
      </c>
    </row>
    <row r="402" spans="2:51" x14ac:dyDescent="0.2">
      <c r="B402" s="260"/>
      <c r="C402" s="189"/>
      <c r="AY402" s="224">
        <v>39461</v>
      </c>
    </row>
    <row r="403" spans="2:51" x14ac:dyDescent="0.2">
      <c r="B403" s="260"/>
      <c r="C403" s="189"/>
      <c r="AY403" s="224">
        <v>39462</v>
      </c>
    </row>
    <row r="404" spans="2:51" x14ac:dyDescent="0.2">
      <c r="B404" s="260"/>
      <c r="C404" s="189"/>
      <c r="AY404" s="224">
        <v>39463</v>
      </c>
    </row>
    <row r="405" spans="2:51" x14ac:dyDescent="0.2">
      <c r="B405" s="260"/>
      <c r="C405" s="189"/>
      <c r="AY405" s="224">
        <v>39464</v>
      </c>
    </row>
    <row r="406" spans="2:51" x14ac:dyDescent="0.2">
      <c r="B406" s="260"/>
      <c r="C406" s="189"/>
      <c r="AY406" s="224">
        <v>39465</v>
      </c>
    </row>
    <row r="407" spans="2:51" x14ac:dyDescent="0.2">
      <c r="B407" s="260"/>
      <c r="C407" s="189"/>
      <c r="AY407" s="224">
        <v>39466</v>
      </c>
    </row>
    <row r="408" spans="2:51" x14ac:dyDescent="0.2">
      <c r="B408" s="260"/>
      <c r="C408" s="189"/>
      <c r="AY408" s="224">
        <v>39467</v>
      </c>
    </row>
    <row r="409" spans="2:51" x14ac:dyDescent="0.2">
      <c r="B409" s="260"/>
      <c r="C409" s="189"/>
      <c r="AY409" s="224">
        <v>39468</v>
      </c>
    </row>
    <row r="410" spans="2:51" x14ac:dyDescent="0.2">
      <c r="B410" s="260"/>
      <c r="C410" s="189"/>
      <c r="AY410" s="224">
        <v>39469</v>
      </c>
    </row>
    <row r="411" spans="2:51" x14ac:dyDescent="0.2">
      <c r="B411" s="260"/>
      <c r="C411" s="189"/>
      <c r="AY411" s="224">
        <v>39470</v>
      </c>
    </row>
    <row r="412" spans="2:51" x14ac:dyDescent="0.2">
      <c r="B412" s="260"/>
      <c r="C412" s="189"/>
      <c r="AY412" s="224">
        <v>39471</v>
      </c>
    </row>
    <row r="413" spans="2:51" x14ac:dyDescent="0.2">
      <c r="B413" s="260"/>
      <c r="C413" s="189"/>
      <c r="AY413" s="224">
        <v>39472</v>
      </c>
    </row>
    <row r="414" spans="2:51" x14ac:dyDescent="0.2">
      <c r="B414" s="260"/>
      <c r="C414" s="189"/>
      <c r="AY414" s="224">
        <v>39473</v>
      </c>
    </row>
    <row r="415" spans="2:51" x14ac:dyDescent="0.2">
      <c r="B415" s="260"/>
      <c r="C415" s="189"/>
      <c r="AY415" s="224">
        <v>39474</v>
      </c>
    </row>
    <row r="416" spans="2:51" x14ac:dyDescent="0.2">
      <c r="B416" s="260"/>
      <c r="C416" s="189"/>
      <c r="AY416" s="224">
        <v>39475</v>
      </c>
    </row>
    <row r="417" spans="2:51" x14ac:dyDescent="0.2">
      <c r="B417" s="260"/>
      <c r="C417" s="189"/>
      <c r="AY417" s="224">
        <v>39476</v>
      </c>
    </row>
    <row r="418" spans="2:51" x14ac:dyDescent="0.2">
      <c r="B418" s="260"/>
      <c r="C418" s="189"/>
      <c r="AY418" s="224">
        <v>39477</v>
      </c>
    </row>
    <row r="419" spans="2:51" x14ac:dyDescent="0.2">
      <c r="B419" s="260"/>
      <c r="C419" s="189"/>
      <c r="AY419" s="224">
        <v>39478</v>
      </c>
    </row>
    <row r="420" spans="2:51" x14ac:dyDescent="0.2">
      <c r="B420" s="260"/>
      <c r="C420" s="189"/>
      <c r="AY420" s="224">
        <v>39479</v>
      </c>
    </row>
    <row r="421" spans="2:51" x14ac:dyDescent="0.2">
      <c r="B421" s="260"/>
      <c r="C421" s="189"/>
      <c r="AY421" s="224">
        <v>39480</v>
      </c>
    </row>
    <row r="422" spans="2:51" x14ac:dyDescent="0.2">
      <c r="B422" s="260"/>
      <c r="C422" s="189"/>
      <c r="AY422" s="224">
        <v>39481</v>
      </c>
    </row>
    <row r="423" spans="2:51" x14ac:dyDescent="0.2">
      <c r="B423" s="260"/>
      <c r="C423" s="189"/>
      <c r="AY423" s="224">
        <v>39482</v>
      </c>
    </row>
    <row r="424" spans="2:51" x14ac:dyDescent="0.2">
      <c r="B424" s="260"/>
      <c r="C424" s="189"/>
      <c r="AY424" s="224">
        <v>39483</v>
      </c>
    </row>
    <row r="425" spans="2:51" x14ac:dyDescent="0.2">
      <c r="B425" s="260"/>
      <c r="C425" s="189"/>
      <c r="AY425" s="224">
        <v>39484</v>
      </c>
    </row>
    <row r="426" spans="2:51" x14ac:dyDescent="0.2">
      <c r="B426" s="260"/>
      <c r="C426" s="189"/>
      <c r="AY426" s="224">
        <v>39485</v>
      </c>
    </row>
    <row r="427" spans="2:51" x14ac:dyDescent="0.2">
      <c r="B427" s="260"/>
      <c r="C427" s="189"/>
      <c r="AY427" s="224">
        <v>39486</v>
      </c>
    </row>
    <row r="428" spans="2:51" x14ac:dyDescent="0.2">
      <c r="B428" s="260"/>
      <c r="C428" s="189"/>
      <c r="AY428" s="224">
        <v>39487</v>
      </c>
    </row>
    <row r="429" spans="2:51" x14ac:dyDescent="0.2">
      <c r="B429" s="260"/>
      <c r="C429" s="189"/>
      <c r="AY429" s="224">
        <v>39488</v>
      </c>
    </row>
    <row r="430" spans="2:51" x14ac:dyDescent="0.2">
      <c r="B430" s="260"/>
      <c r="C430" s="189"/>
      <c r="AY430" s="224">
        <v>39489</v>
      </c>
    </row>
    <row r="431" spans="2:51" x14ac:dyDescent="0.2">
      <c r="B431" s="260"/>
      <c r="C431" s="189"/>
      <c r="AY431" s="224">
        <v>39490</v>
      </c>
    </row>
    <row r="432" spans="2:51" x14ac:dyDescent="0.2">
      <c r="B432" s="260"/>
      <c r="C432" s="189"/>
      <c r="AY432" s="224">
        <v>39491</v>
      </c>
    </row>
    <row r="433" spans="2:51" x14ac:dyDescent="0.2">
      <c r="B433" s="260"/>
      <c r="C433" s="189"/>
      <c r="AY433" s="224">
        <v>39492</v>
      </c>
    </row>
    <row r="434" spans="2:51" x14ac:dyDescent="0.2">
      <c r="B434" s="260"/>
      <c r="C434" s="189"/>
      <c r="AY434" s="224">
        <v>39493</v>
      </c>
    </row>
    <row r="435" spans="2:51" x14ac:dyDescent="0.2">
      <c r="B435" s="260"/>
      <c r="C435" s="189"/>
      <c r="AY435" s="224">
        <v>39494</v>
      </c>
    </row>
    <row r="436" spans="2:51" x14ac:dyDescent="0.2">
      <c r="B436" s="260"/>
      <c r="C436" s="189"/>
      <c r="AY436" s="224">
        <v>39495</v>
      </c>
    </row>
    <row r="437" spans="2:51" x14ac:dyDescent="0.2">
      <c r="B437" s="260"/>
      <c r="C437" s="189"/>
      <c r="AY437" s="224">
        <v>39496</v>
      </c>
    </row>
    <row r="438" spans="2:51" x14ac:dyDescent="0.2">
      <c r="B438" s="260"/>
      <c r="C438" s="189"/>
      <c r="AY438" s="224">
        <v>39497</v>
      </c>
    </row>
    <row r="439" spans="2:51" x14ac:dyDescent="0.2">
      <c r="B439" s="260"/>
      <c r="C439" s="189"/>
      <c r="AY439" s="224">
        <v>39498</v>
      </c>
    </row>
    <row r="440" spans="2:51" x14ac:dyDescent="0.2">
      <c r="B440" s="260"/>
      <c r="C440" s="189"/>
      <c r="AY440" s="224">
        <v>39499</v>
      </c>
    </row>
    <row r="441" spans="2:51" x14ac:dyDescent="0.2">
      <c r="B441" s="260"/>
      <c r="C441" s="189"/>
      <c r="AY441" s="224">
        <v>39500</v>
      </c>
    </row>
    <row r="442" spans="2:51" x14ac:dyDescent="0.2">
      <c r="B442" s="260"/>
      <c r="C442" s="189"/>
      <c r="AY442" s="224">
        <v>39501</v>
      </c>
    </row>
    <row r="443" spans="2:51" x14ac:dyDescent="0.2">
      <c r="B443" s="260"/>
      <c r="C443" s="189"/>
      <c r="AY443" s="224">
        <v>39502</v>
      </c>
    </row>
    <row r="444" spans="2:51" x14ac:dyDescent="0.2">
      <c r="B444" s="260"/>
      <c r="C444" s="189"/>
      <c r="AY444" s="224">
        <v>39503</v>
      </c>
    </row>
    <row r="445" spans="2:51" x14ac:dyDescent="0.2">
      <c r="B445" s="260"/>
      <c r="C445" s="189"/>
      <c r="AY445" s="224">
        <v>39504</v>
      </c>
    </row>
    <row r="446" spans="2:51" x14ac:dyDescent="0.2">
      <c r="B446" s="260"/>
      <c r="C446" s="189"/>
      <c r="AY446" s="224">
        <v>39505</v>
      </c>
    </row>
    <row r="447" spans="2:51" x14ac:dyDescent="0.2">
      <c r="B447" s="260"/>
      <c r="C447" s="189"/>
      <c r="AY447" s="224">
        <v>39506</v>
      </c>
    </row>
    <row r="448" spans="2:51" x14ac:dyDescent="0.2">
      <c r="B448" s="260"/>
      <c r="C448" s="189"/>
      <c r="AY448" s="224">
        <v>39507</v>
      </c>
    </row>
    <row r="449" spans="2:51" x14ac:dyDescent="0.2">
      <c r="B449" s="260"/>
      <c r="C449" s="189"/>
      <c r="AY449" s="224">
        <v>39508</v>
      </c>
    </row>
    <row r="450" spans="2:51" x14ac:dyDescent="0.2">
      <c r="B450" s="260"/>
      <c r="C450" s="189"/>
      <c r="AY450" s="224">
        <v>39509</v>
      </c>
    </row>
    <row r="451" spans="2:51" x14ac:dyDescent="0.2">
      <c r="B451" s="260"/>
      <c r="C451" s="189"/>
      <c r="AY451" s="224">
        <v>39510</v>
      </c>
    </row>
    <row r="452" spans="2:51" x14ac:dyDescent="0.2">
      <c r="B452" s="260"/>
      <c r="C452" s="189"/>
      <c r="AY452" s="224">
        <v>39511</v>
      </c>
    </row>
    <row r="453" spans="2:51" x14ac:dyDescent="0.2">
      <c r="B453" s="260"/>
      <c r="C453" s="189"/>
      <c r="AY453" s="224">
        <v>39512</v>
      </c>
    </row>
    <row r="454" spans="2:51" x14ac:dyDescent="0.2">
      <c r="B454" s="260"/>
      <c r="C454" s="189"/>
      <c r="AY454" s="224">
        <v>39513</v>
      </c>
    </row>
    <row r="455" spans="2:51" x14ac:dyDescent="0.2">
      <c r="B455" s="260"/>
      <c r="C455" s="189"/>
      <c r="AY455" s="224">
        <v>39514</v>
      </c>
    </row>
    <row r="456" spans="2:51" x14ac:dyDescent="0.2">
      <c r="B456" s="260"/>
      <c r="C456" s="189"/>
      <c r="AY456" s="224">
        <v>39515</v>
      </c>
    </row>
    <row r="457" spans="2:51" x14ac:dyDescent="0.2">
      <c r="B457" s="260"/>
      <c r="C457" s="189"/>
      <c r="AY457" s="224">
        <v>39516</v>
      </c>
    </row>
    <row r="458" spans="2:51" x14ac:dyDescent="0.2">
      <c r="B458" s="260"/>
      <c r="C458" s="189"/>
      <c r="AY458" s="224">
        <v>39517</v>
      </c>
    </row>
    <row r="459" spans="2:51" x14ac:dyDescent="0.2">
      <c r="B459" s="260"/>
      <c r="C459" s="189"/>
      <c r="AY459" s="224">
        <v>39518</v>
      </c>
    </row>
    <row r="460" spans="2:51" x14ac:dyDescent="0.2">
      <c r="B460" s="260"/>
      <c r="C460" s="189"/>
      <c r="AY460" s="224">
        <v>39519</v>
      </c>
    </row>
    <row r="461" spans="2:51" x14ac:dyDescent="0.2">
      <c r="B461" s="260"/>
      <c r="C461" s="189"/>
      <c r="AY461" s="224">
        <v>39520</v>
      </c>
    </row>
    <row r="462" spans="2:51" x14ac:dyDescent="0.2">
      <c r="B462" s="260"/>
      <c r="C462" s="189"/>
      <c r="AY462" s="224">
        <v>39521</v>
      </c>
    </row>
    <row r="463" spans="2:51" x14ac:dyDescent="0.2">
      <c r="B463" s="260"/>
      <c r="C463" s="189"/>
      <c r="AY463" s="224">
        <v>39522</v>
      </c>
    </row>
    <row r="464" spans="2:51" x14ac:dyDescent="0.2">
      <c r="B464" s="260"/>
      <c r="C464" s="189"/>
      <c r="AY464" s="224">
        <v>39523</v>
      </c>
    </row>
    <row r="465" spans="2:51" x14ac:dyDescent="0.2">
      <c r="B465" s="260"/>
      <c r="C465" s="189"/>
      <c r="AY465" s="224">
        <v>39524</v>
      </c>
    </row>
    <row r="466" spans="2:51" x14ac:dyDescent="0.2">
      <c r="B466" s="260"/>
      <c r="C466" s="189"/>
      <c r="AY466" s="224">
        <v>39525</v>
      </c>
    </row>
    <row r="467" spans="2:51" x14ac:dyDescent="0.2">
      <c r="B467" s="260"/>
      <c r="C467" s="189"/>
      <c r="AY467" s="224">
        <v>39526</v>
      </c>
    </row>
    <row r="468" spans="2:51" x14ac:dyDescent="0.2">
      <c r="B468" s="260"/>
      <c r="C468" s="189"/>
      <c r="AY468" s="224">
        <v>39527</v>
      </c>
    </row>
    <row r="469" spans="2:51" x14ac:dyDescent="0.2">
      <c r="B469" s="260"/>
      <c r="C469" s="189"/>
      <c r="AY469" s="224">
        <v>39528</v>
      </c>
    </row>
    <row r="470" spans="2:51" x14ac:dyDescent="0.2">
      <c r="B470" s="260"/>
      <c r="C470" s="189"/>
      <c r="AY470" s="224">
        <v>39529</v>
      </c>
    </row>
    <row r="471" spans="2:51" x14ac:dyDescent="0.2">
      <c r="B471" s="260"/>
      <c r="C471" s="189"/>
      <c r="AY471" s="224">
        <v>39530</v>
      </c>
    </row>
    <row r="472" spans="2:51" x14ac:dyDescent="0.2">
      <c r="B472" s="260"/>
      <c r="C472" s="189"/>
      <c r="AY472" s="224">
        <v>39531</v>
      </c>
    </row>
    <row r="473" spans="2:51" x14ac:dyDescent="0.2">
      <c r="B473" s="260"/>
      <c r="C473" s="189"/>
      <c r="AY473" s="224">
        <v>39532</v>
      </c>
    </row>
    <row r="474" spans="2:51" x14ac:dyDescent="0.2">
      <c r="B474" s="260"/>
      <c r="C474" s="189"/>
      <c r="AY474" s="224">
        <v>39533</v>
      </c>
    </row>
    <row r="475" spans="2:51" x14ac:dyDescent="0.2">
      <c r="B475" s="260"/>
      <c r="C475" s="189"/>
      <c r="AY475" s="224">
        <v>39534</v>
      </c>
    </row>
    <row r="476" spans="2:51" x14ac:dyDescent="0.2">
      <c r="B476" s="260"/>
      <c r="C476" s="189"/>
      <c r="AY476" s="224">
        <v>39535</v>
      </c>
    </row>
    <row r="477" spans="2:51" x14ac:dyDescent="0.2">
      <c r="B477" s="260"/>
      <c r="C477" s="189"/>
      <c r="AY477" s="224">
        <v>39536</v>
      </c>
    </row>
    <row r="478" spans="2:51" x14ac:dyDescent="0.2">
      <c r="B478" s="260"/>
      <c r="C478" s="189"/>
      <c r="AY478" s="224">
        <v>39537</v>
      </c>
    </row>
    <row r="479" spans="2:51" x14ac:dyDescent="0.2">
      <c r="B479" s="260"/>
      <c r="C479" s="189"/>
      <c r="AY479" s="224">
        <v>39538</v>
      </c>
    </row>
    <row r="480" spans="2:51" x14ac:dyDescent="0.2">
      <c r="B480" s="260"/>
      <c r="C480" s="189"/>
      <c r="AY480" s="224">
        <v>39539</v>
      </c>
    </row>
    <row r="481" spans="2:51" x14ac:dyDescent="0.2">
      <c r="B481" s="260"/>
      <c r="C481" s="189"/>
      <c r="AY481" s="224">
        <v>39540</v>
      </c>
    </row>
    <row r="482" spans="2:51" x14ac:dyDescent="0.2">
      <c r="B482" s="260"/>
      <c r="C482" s="189"/>
      <c r="AY482" s="224">
        <v>39541</v>
      </c>
    </row>
    <row r="483" spans="2:51" x14ac:dyDescent="0.2">
      <c r="B483" s="260"/>
      <c r="C483" s="189"/>
      <c r="AY483" s="224">
        <v>39542</v>
      </c>
    </row>
    <row r="484" spans="2:51" x14ac:dyDescent="0.2">
      <c r="B484" s="260"/>
      <c r="C484" s="189"/>
      <c r="AY484" s="224">
        <v>39543</v>
      </c>
    </row>
    <row r="485" spans="2:51" x14ac:dyDescent="0.2">
      <c r="B485" s="260"/>
      <c r="C485" s="189"/>
      <c r="AY485" s="224">
        <v>39544</v>
      </c>
    </row>
    <row r="486" spans="2:51" x14ac:dyDescent="0.2">
      <c r="B486" s="260"/>
      <c r="C486" s="189"/>
      <c r="AY486" s="224">
        <v>39545</v>
      </c>
    </row>
    <row r="487" spans="2:51" x14ac:dyDescent="0.2">
      <c r="B487" s="260"/>
      <c r="C487" s="189"/>
      <c r="AY487" s="224">
        <v>39546</v>
      </c>
    </row>
    <row r="488" spans="2:51" x14ac:dyDescent="0.2">
      <c r="B488" s="260"/>
      <c r="C488" s="189"/>
      <c r="AY488" s="224">
        <v>39547</v>
      </c>
    </row>
    <row r="489" spans="2:51" x14ac:dyDescent="0.2">
      <c r="B489" s="260"/>
      <c r="C489" s="189"/>
      <c r="AY489" s="224">
        <v>39548</v>
      </c>
    </row>
    <row r="490" spans="2:51" x14ac:dyDescent="0.2">
      <c r="B490" s="260"/>
      <c r="C490" s="189"/>
      <c r="AY490" s="224">
        <v>39549</v>
      </c>
    </row>
    <row r="491" spans="2:51" x14ac:dyDescent="0.2">
      <c r="B491" s="260"/>
      <c r="C491" s="189"/>
      <c r="AY491" s="224">
        <v>39550</v>
      </c>
    </row>
    <row r="492" spans="2:51" x14ac:dyDescent="0.2">
      <c r="B492" s="260"/>
      <c r="C492" s="189"/>
      <c r="AY492" s="224">
        <v>39551</v>
      </c>
    </row>
    <row r="493" spans="2:51" x14ac:dyDescent="0.2">
      <c r="B493" s="260"/>
      <c r="C493" s="189"/>
      <c r="AY493" s="224">
        <v>39552</v>
      </c>
    </row>
    <row r="494" spans="2:51" x14ac:dyDescent="0.2">
      <c r="B494" s="260"/>
      <c r="C494" s="189"/>
      <c r="AY494" s="224">
        <v>39553</v>
      </c>
    </row>
    <row r="495" spans="2:51" x14ac:dyDescent="0.2">
      <c r="B495" s="260"/>
      <c r="C495" s="189"/>
      <c r="AY495" s="224">
        <v>39554</v>
      </c>
    </row>
    <row r="496" spans="2:51" x14ac:dyDescent="0.2">
      <c r="B496" s="260"/>
      <c r="C496" s="189"/>
      <c r="AY496" s="224">
        <v>39555</v>
      </c>
    </row>
    <row r="497" spans="2:51" x14ac:dyDescent="0.2">
      <c r="B497" s="260"/>
      <c r="C497" s="189"/>
      <c r="AY497" s="224">
        <v>39556</v>
      </c>
    </row>
    <row r="498" spans="2:51" x14ac:dyDescent="0.2">
      <c r="B498" s="260"/>
      <c r="C498" s="189"/>
      <c r="AY498" s="224">
        <v>39557</v>
      </c>
    </row>
    <row r="499" spans="2:51" x14ac:dyDescent="0.2">
      <c r="B499" s="260"/>
      <c r="C499" s="189"/>
      <c r="AY499" s="224">
        <v>39558</v>
      </c>
    </row>
    <row r="500" spans="2:51" x14ac:dyDescent="0.2">
      <c r="B500" s="260"/>
      <c r="C500" s="189"/>
      <c r="AY500" s="224">
        <v>39559</v>
      </c>
    </row>
    <row r="501" spans="2:51" x14ac:dyDescent="0.2">
      <c r="B501" s="260"/>
      <c r="C501" s="189"/>
      <c r="AY501" s="224">
        <v>39560</v>
      </c>
    </row>
    <row r="502" spans="2:51" x14ac:dyDescent="0.2">
      <c r="B502" s="260"/>
      <c r="C502" s="189"/>
      <c r="AY502" s="224">
        <v>39561</v>
      </c>
    </row>
    <row r="503" spans="2:51" x14ac:dyDescent="0.2">
      <c r="B503" s="260"/>
      <c r="C503" s="189"/>
      <c r="AY503" s="224">
        <v>39562</v>
      </c>
    </row>
    <row r="504" spans="2:51" x14ac:dyDescent="0.2">
      <c r="B504" s="260"/>
      <c r="C504" s="189"/>
      <c r="AY504" s="224">
        <v>39563</v>
      </c>
    </row>
    <row r="505" spans="2:51" x14ac:dyDescent="0.2">
      <c r="B505" s="260"/>
      <c r="C505" s="189"/>
      <c r="AY505" s="224">
        <v>39564</v>
      </c>
    </row>
    <row r="506" spans="2:51" x14ac:dyDescent="0.2">
      <c r="B506" s="260"/>
      <c r="C506" s="189"/>
      <c r="AY506" s="224">
        <v>39565</v>
      </c>
    </row>
    <row r="507" spans="2:51" x14ac:dyDescent="0.2">
      <c r="B507" s="260"/>
      <c r="C507" s="189"/>
      <c r="AY507" s="224">
        <v>39566</v>
      </c>
    </row>
    <row r="508" spans="2:51" x14ac:dyDescent="0.2">
      <c r="B508" s="260"/>
      <c r="C508" s="189"/>
      <c r="AY508" s="224">
        <v>39567</v>
      </c>
    </row>
    <row r="509" spans="2:51" x14ac:dyDescent="0.2">
      <c r="B509" s="260"/>
      <c r="C509" s="189"/>
      <c r="AY509" s="224">
        <v>39568</v>
      </c>
    </row>
    <row r="510" spans="2:51" x14ac:dyDescent="0.2">
      <c r="B510" s="260"/>
      <c r="C510" s="189"/>
      <c r="AY510" s="224">
        <v>39569</v>
      </c>
    </row>
    <row r="511" spans="2:51" x14ac:dyDescent="0.2">
      <c r="B511" s="260"/>
      <c r="C511" s="189"/>
      <c r="AY511" s="224">
        <v>39570</v>
      </c>
    </row>
    <row r="512" spans="2:51" x14ac:dyDescent="0.2">
      <c r="B512" s="260"/>
      <c r="C512" s="189"/>
      <c r="AY512" s="224">
        <v>39571</v>
      </c>
    </row>
    <row r="513" spans="2:51" x14ac:dyDescent="0.2">
      <c r="B513" s="260"/>
      <c r="C513" s="189"/>
      <c r="AY513" s="224">
        <v>39572</v>
      </c>
    </row>
    <row r="514" spans="2:51" x14ac:dyDescent="0.2">
      <c r="B514" s="260"/>
      <c r="C514" s="189"/>
      <c r="AY514" s="224">
        <v>39573</v>
      </c>
    </row>
    <row r="515" spans="2:51" x14ac:dyDescent="0.2">
      <c r="B515" s="260"/>
      <c r="C515" s="189"/>
      <c r="AY515" s="224">
        <v>39574</v>
      </c>
    </row>
    <row r="516" spans="2:51" x14ac:dyDescent="0.2">
      <c r="B516" s="260"/>
      <c r="C516" s="189"/>
      <c r="AY516" s="224">
        <v>39575</v>
      </c>
    </row>
    <row r="517" spans="2:51" x14ac:dyDescent="0.2">
      <c r="B517" s="260"/>
      <c r="C517" s="189"/>
      <c r="AY517" s="224">
        <v>39576</v>
      </c>
    </row>
    <row r="518" spans="2:51" x14ac:dyDescent="0.2">
      <c r="B518" s="260"/>
      <c r="C518" s="189"/>
      <c r="AY518" s="224">
        <v>39577</v>
      </c>
    </row>
    <row r="519" spans="2:51" x14ac:dyDescent="0.2">
      <c r="B519" s="260"/>
      <c r="C519" s="189"/>
      <c r="AY519" s="224">
        <v>39578</v>
      </c>
    </row>
    <row r="520" spans="2:51" x14ac:dyDescent="0.2">
      <c r="B520" s="260"/>
      <c r="C520" s="189"/>
      <c r="AY520" s="224">
        <v>39579</v>
      </c>
    </row>
    <row r="521" spans="2:51" x14ac:dyDescent="0.2">
      <c r="B521" s="260"/>
      <c r="C521" s="189"/>
      <c r="AY521" s="224">
        <v>39580</v>
      </c>
    </row>
    <row r="522" spans="2:51" x14ac:dyDescent="0.2">
      <c r="B522" s="260"/>
      <c r="C522" s="189"/>
      <c r="AY522" s="224">
        <v>39581</v>
      </c>
    </row>
    <row r="523" spans="2:51" x14ac:dyDescent="0.2">
      <c r="B523" s="260"/>
      <c r="C523" s="189"/>
      <c r="AY523" s="224">
        <v>39582</v>
      </c>
    </row>
    <row r="524" spans="2:51" x14ac:dyDescent="0.2">
      <c r="B524" s="260"/>
      <c r="C524" s="189"/>
      <c r="AY524" s="224">
        <v>39583</v>
      </c>
    </row>
    <row r="525" spans="2:51" x14ac:dyDescent="0.2">
      <c r="B525" s="260"/>
      <c r="C525" s="189"/>
      <c r="AY525" s="224">
        <v>39584</v>
      </c>
    </row>
    <row r="526" spans="2:51" x14ac:dyDescent="0.2">
      <c r="B526" s="260"/>
      <c r="C526" s="189"/>
      <c r="AY526" s="224">
        <v>39585</v>
      </c>
    </row>
    <row r="527" spans="2:51" x14ac:dyDescent="0.2">
      <c r="B527" s="260"/>
      <c r="C527" s="189"/>
      <c r="AY527" s="224">
        <v>39586</v>
      </c>
    </row>
    <row r="528" spans="2:51" x14ac:dyDescent="0.2">
      <c r="B528" s="260"/>
      <c r="C528" s="189"/>
      <c r="AY528" s="224">
        <v>39587</v>
      </c>
    </row>
    <row r="529" spans="2:51" x14ac:dyDescent="0.2">
      <c r="B529" s="260"/>
      <c r="C529" s="189"/>
      <c r="AY529" s="224">
        <v>39588</v>
      </c>
    </row>
    <row r="530" spans="2:51" x14ac:dyDescent="0.2">
      <c r="B530" s="260"/>
      <c r="C530" s="189"/>
      <c r="AY530" s="224">
        <v>39589</v>
      </c>
    </row>
    <row r="531" spans="2:51" x14ac:dyDescent="0.2">
      <c r="B531" s="260"/>
      <c r="C531" s="189"/>
      <c r="AY531" s="224">
        <v>39590</v>
      </c>
    </row>
    <row r="532" spans="2:51" x14ac:dyDescent="0.2">
      <c r="B532" s="260"/>
      <c r="C532" s="189"/>
      <c r="AY532" s="224">
        <v>39591</v>
      </c>
    </row>
    <row r="533" spans="2:51" x14ac:dyDescent="0.2">
      <c r="B533" s="260"/>
      <c r="C533" s="189"/>
      <c r="AY533" s="224">
        <v>39592</v>
      </c>
    </row>
    <row r="534" spans="2:51" x14ac:dyDescent="0.2">
      <c r="B534" s="260"/>
      <c r="C534" s="189"/>
      <c r="AY534" s="224">
        <v>39593</v>
      </c>
    </row>
    <row r="535" spans="2:51" x14ac:dyDescent="0.2">
      <c r="B535" s="260"/>
      <c r="C535" s="189"/>
      <c r="AY535" s="224">
        <v>39594</v>
      </c>
    </row>
    <row r="536" spans="2:51" x14ac:dyDescent="0.2">
      <c r="B536" s="260"/>
      <c r="C536" s="189"/>
      <c r="AY536" s="224">
        <v>39595</v>
      </c>
    </row>
    <row r="537" spans="2:51" x14ac:dyDescent="0.2">
      <c r="B537" s="260"/>
      <c r="C537" s="189"/>
      <c r="AY537" s="224">
        <v>39596</v>
      </c>
    </row>
    <row r="538" spans="2:51" x14ac:dyDescent="0.2">
      <c r="B538" s="260"/>
      <c r="C538" s="189"/>
      <c r="AY538" s="224">
        <v>39597</v>
      </c>
    </row>
    <row r="539" spans="2:51" x14ac:dyDescent="0.2">
      <c r="B539" s="260"/>
      <c r="C539" s="189"/>
      <c r="AY539" s="224">
        <v>39598</v>
      </c>
    </row>
    <row r="540" spans="2:51" x14ac:dyDescent="0.2">
      <c r="B540" s="260"/>
      <c r="C540" s="189"/>
      <c r="AY540" s="224">
        <v>39599</v>
      </c>
    </row>
    <row r="541" spans="2:51" x14ac:dyDescent="0.2">
      <c r="B541" s="260"/>
      <c r="C541" s="189"/>
      <c r="AY541" s="224">
        <v>39600</v>
      </c>
    </row>
    <row r="542" spans="2:51" x14ac:dyDescent="0.2">
      <c r="B542" s="260"/>
      <c r="C542" s="189"/>
      <c r="AY542" s="224">
        <v>39601</v>
      </c>
    </row>
    <row r="543" spans="2:51" x14ac:dyDescent="0.2">
      <c r="B543" s="260"/>
      <c r="C543" s="189"/>
      <c r="AY543" s="224">
        <v>39602</v>
      </c>
    </row>
    <row r="544" spans="2:51" x14ac:dyDescent="0.2">
      <c r="B544" s="260"/>
      <c r="C544" s="189"/>
      <c r="AY544" s="224">
        <v>39603</v>
      </c>
    </row>
    <row r="545" spans="2:51" x14ac:dyDescent="0.2">
      <c r="B545" s="260"/>
      <c r="C545" s="189"/>
      <c r="AY545" s="224">
        <v>39604</v>
      </c>
    </row>
    <row r="546" spans="2:51" x14ac:dyDescent="0.2">
      <c r="B546" s="260"/>
      <c r="C546" s="189"/>
      <c r="AY546" s="224">
        <v>39605</v>
      </c>
    </row>
    <row r="547" spans="2:51" x14ac:dyDescent="0.2">
      <c r="B547" s="260"/>
      <c r="C547" s="189"/>
      <c r="AY547" s="224">
        <v>39606</v>
      </c>
    </row>
    <row r="548" spans="2:51" x14ac:dyDescent="0.2">
      <c r="B548" s="260"/>
      <c r="C548" s="189"/>
      <c r="AY548" s="224">
        <v>39607</v>
      </c>
    </row>
    <row r="549" spans="2:51" x14ac:dyDescent="0.2">
      <c r="B549" s="260"/>
      <c r="C549" s="189"/>
      <c r="AY549" s="224">
        <v>39608</v>
      </c>
    </row>
    <row r="550" spans="2:51" x14ac:dyDescent="0.2">
      <c r="B550" s="260"/>
      <c r="C550" s="189"/>
      <c r="AY550" s="224">
        <v>39609</v>
      </c>
    </row>
    <row r="551" spans="2:51" x14ac:dyDescent="0.2">
      <c r="B551" s="260"/>
      <c r="C551" s="189"/>
      <c r="AY551" s="224">
        <v>39610</v>
      </c>
    </row>
    <row r="552" spans="2:51" x14ac:dyDescent="0.2">
      <c r="B552" s="260"/>
      <c r="C552" s="189"/>
      <c r="AY552" s="224">
        <v>39611</v>
      </c>
    </row>
    <row r="553" spans="2:51" x14ac:dyDescent="0.2">
      <c r="B553" s="260"/>
      <c r="C553" s="189"/>
      <c r="AY553" s="224">
        <v>39612</v>
      </c>
    </row>
    <row r="554" spans="2:51" x14ac:dyDescent="0.2">
      <c r="B554" s="260"/>
      <c r="C554" s="189"/>
      <c r="AY554" s="224">
        <v>39613</v>
      </c>
    </row>
    <row r="555" spans="2:51" x14ac:dyDescent="0.2">
      <c r="B555" s="260"/>
      <c r="C555" s="189"/>
      <c r="AY555" s="224">
        <v>39614</v>
      </c>
    </row>
    <row r="556" spans="2:51" x14ac:dyDescent="0.2">
      <c r="B556" s="260"/>
      <c r="C556" s="189"/>
      <c r="AY556" s="224">
        <v>39615</v>
      </c>
    </row>
    <row r="557" spans="2:51" x14ac:dyDescent="0.2">
      <c r="B557" s="260"/>
      <c r="C557" s="189"/>
      <c r="AY557" s="224">
        <v>39616</v>
      </c>
    </row>
    <row r="558" spans="2:51" x14ac:dyDescent="0.2">
      <c r="B558" s="260"/>
      <c r="C558" s="189"/>
      <c r="AY558" s="224">
        <v>39617</v>
      </c>
    </row>
    <row r="559" spans="2:51" x14ac:dyDescent="0.2">
      <c r="B559" s="260"/>
      <c r="C559" s="189"/>
      <c r="AY559" s="224">
        <v>39618</v>
      </c>
    </row>
    <row r="560" spans="2:51" x14ac:dyDescent="0.2">
      <c r="B560" s="260"/>
      <c r="C560" s="189"/>
      <c r="AY560" s="224">
        <v>39619</v>
      </c>
    </row>
    <row r="561" spans="2:51" x14ac:dyDescent="0.2">
      <c r="B561" s="260"/>
      <c r="C561" s="189"/>
      <c r="AY561" s="224">
        <v>39620</v>
      </c>
    </row>
    <row r="562" spans="2:51" x14ac:dyDescent="0.2">
      <c r="B562" s="260"/>
      <c r="C562" s="189"/>
      <c r="AY562" s="224">
        <v>39621</v>
      </c>
    </row>
    <row r="563" spans="2:51" x14ac:dyDescent="0.2">
      <c r="B563" s="260"/>
      <c r="C563" s="189"/>
      <c r="AY563" s="224">
        <v>39622</v>
      </c>
    </row>
    <row r="564" spans="2:51" x14ac:dyDescent="0.2">
      <c r="B564" s="260"/>
      <c r="C564" s="189"/>
      <c r="AY564" s="224">
        <v>39623</v>
      </c>
    </row>
    <row r="565" spans="2:51" x14ac:dyDescent="0.2">
      <c r="B565" s="260"/>
      <c r="C565" s="189"/>
      <c r="AY565" s="224">
        <v>39624</v>
      </c>
    </row>
    <row r="566" spans="2:51" x14ac:dyDescent="0.2">
      <c r="B566" s="260"/>
      <c r="C566" s="189"/>
      <c r="AY566" s="224">
        <v>39625</v>
      </c>
    </row>
    <row r="567" spans="2:51" x14ac:dyDescent="0.2">
      <c r="B567" s="260"/>
      <c r="C567" s="189"/>
      <c r="AY567" s="224">
        <v>39626</v>
      </c>
    </row>
    <row r="568" spans="2:51" x14ac:dyDescent="0.2">
      <c r="B568" s="260"/>
      <c r="C568" s="189"/>
      <c r="AY568" s="224">
        <v>39627</v>
      </c>
    </row>
    <row r="569" spans="2:51" x14ac:dyDescent="0.2">
      <c r="B569" s="260"/>
      <c r="C569" s="189"/>
      <c r="AY569" s="224">
        <v>39628</v>
      </c>
    </row>
    <row r="570" spans="2:51" x14ac:dyDescent="0.2">
      <c r="B570" s="260"/>
      <c r="C570" s="189"/>
      <c r="AY570" s="224">
        <v>39629</v>
      </c>
    </row>
    <row r="571" spans="2:51" x14ac:dyDescent="0.2">
      <c r="B571" s="260"/>
      <c r="C571" s="189"/>
      <c r="AY571" s="224">
        <v>39630</v>
      </c>
    </row>
    <row r="572" spans="2:51" x14ac:dyDescent="0.2">
      <c r="B572" s="260"/>
      <c r="C572" s="189"/>
      <c r="AY572" s="224">
        <v>39631</v>
      </c>
    </row>
    <row r="573" spans="2:51" x14ac:dyDescent="0.2">
      <c r="B573" s="260"/>
      <c r="C573" s="189"/>
      <c r="AY573" s="224">
        <v>39632</v>
      </c>
    </row>
    <row r="574" spans="2:51" x14ac:dyDescent="0.2">
      <c r="B574" s="260"/>
      <c r="C574" s="189"/>
      <c r="AY574" s="224">
        <v>39633</v>
      </c>
    </row>
    <row r="575" spans="2:51" x14ac:dyDescent="0.2">
      <c r="B575" s="260"/>
      <c r="C575" s="189"/>
      <c r="AY575" s="224">
        <v>39634</v>
      </c>
    </row>
    <row r="576" spans="2:51" x14ac:dyDescent="0.2">
      <c r="B576" s="260"/>
      <c r="C576" s="189"/>
      <c r="AY576" s="224">
        <v>39635</v>
      </c>
    </row>
    <row r="577" spans="2:51" x14ac:dyDescent="0.2">
      <c r="B577" s="260"/>
      <c r="C577" s="189"/>
      <c r="AY577" s="224">
        <v>39636</v>
      </c>
    </row>
    <row r="578" spans="2:51" x14ac:dyDescent="0.2">
      <c r="B578" s="260"/>
      <c r="C578" s="189"/>
      <c r="AY578" s="224">
        <v>39637</v>
      </c>
    </row>
    <row r="579" spans="2:51" x14ac:dyDescent="0.2">
      <c r="B579" s="260"/>
      <c r="C579" s="189"/>
      <c r="AY579" s="224">
        <v>39638</v>
      </c>
    </row>
    <row r="580" spans="2:51" x14ac:dyDescent="0.2">
      <c r="B580" s="260"/>
      <c r="C580" s="189"/>
      <c r="AY580" s="224">
        <v>39639</v>
      </c>
    </row>
    <row r="581" spans="2:51" x14ac:dyDescent="0.2">
      <c r="B581" s="260"/>
      <c r="C581" s="189"/>
      <c r="AY581" s="224">
        <v>39640</v>
      </c>
    </row>
    <row r="582" spans="2:51" x14ac:dyDescent="0.2">
      <c r="B582" s="260"/>
      <c r="C582" s="189"/>
      <c r="AY582" s="224">
        <v>39641</v>
      </c>
    </row>
    <row r="583" spans="2:51" x14ac:dyDescent="0.2">
      <c r="B583" s="260"/>
      <c r="C583" s="189"/>
      <c r="AY583" s="224">
        <v>39642</v>
      </c>
    </row>
    <row r="584" spans="2:51" x14ac:dyDescent="0.2">
      <c r="B584" s="260"/>
      <c r="C584" s="189"/>
      <c r="AY584" s="224">
        <v>39643</v>
      </c>
    </row>
    <row r="585" spans="2:51" x14ac:dyDescent="0.2">
      <c r="B585" s="260"/>
      <c r="C585" s="189"/>
      <c r="AY585" s="224">
        <v>39644</v>
      </c>
    </row>
    <row r="586" spans="2:51" x14ac:dyDescent="0.2">
      <c r="B586" s="260"/>
      <c r="C586" s="189"/>
      <c r="AY586" s="224">
        <v>39645</v>
      </c>
    </row>
    <row r="587" spans="2:51" x14ac:dyDescent="0.2">
      <c r="B587" s="260"/>
      <c r="C587" s="189"/>
      <c r="AY587" s="224">
        <v>39646</v>
      </c>
    </row>
    <row r="588" spans="2:51" x14ac:dyDescent="0.2">
      <c r="B588" s="260"/>
      <c r="C588" s="189"/>
      <c r="AY588" s="224">
        <v>39647</v>
      </c>
    </row>
    <row r="589" spans="2:51" x14ac:dyDescent="0.2">
      <c r="B589" s="260"/>
      <c r="C589" s="189"/>
      <c r="AY589" s="224">
        <v>39648</v>
      </c>
    </row>
    <row r="590" spans="2:51" x14ac:dyDescent="0.2">
      <c r="B590" s="260"/>
      <c r="C590" s="189"/>
      <c r="AY590" s="224">
        <v>39649</v>
      </c>
    </row>
    <row r="591" spans="2:51" x14ac:dyDescent="0.2">
      <c r="B591" s="260"/>
      <c r="C591" s="189"/>
      <c r="AY591" s="224">
        <v>39650</v>
      </c>
    </row>
    <row r="592" spans="2:51" x14ac:dyDescent="0.2">
      <c r="B592" s="260"/>
      <c r="C592" s="189"/>
      <c r="AY592" s="224">
        <v>39651</v>
      </c>
    </row>
    <row r="593" spans="2:51" x14ac:dyDescent="0.2">
      <c r="B593" s="260"/>
      <c r="C593" s="189"/>
      <c r="AY593" s="224">
        <v>39652</v>
      </c>
    </row>
    <row r="594" spans="2:51" x14ac:dyDescent="0.2">
      <c r="B594" s="260"/>
      <c r="C594" s="189"/>
      <c r="AY594" s="224">
        <v>39653</v>
      </c>
    </row>
    <row r="595" spans="2:51" x14ac:dyDescent="0.2">
      <c r="B595" s="260"/>
      <c r="C595" s="189"/>
      <c r="AY595" s="224">
        <v>39654</v>
      </c>
    </row>
    <row r="596" spans="2:51" x14ac:dyDescent="0.2">
      <c r="B596" s="260"/>
      <c r="C596" s="189"/>
      <c r="AY596" s="224">
        <v>39655</v>
      </c>
    </row>
    <row r="597" spans="2:51" x14ac:dyDescent="0.2">
      <c r="B597" s="260"/>
      <c r="C597" s="189"/>
      <c r="AY597" s="224">
        <v>39656</v>
      </c>
    </row>
    <row r="598" spans="2:51" x14ac:dyDescent="0.2">
      <c r="B598" s="260"/>
      <c r="C598" s="189"/>
      <c r="AY598" s="224">
        <v>39657</v>
      </c>
    </row>
    <row r="599" spans="2:51" x14ac:dyDescent="0.2">
      <c r="B599" s="260"/>
      <c r="C599" s="189"/>
      <c r="AY599" s="224">
        <v>39658</v>
      </c>
    </row>
    <row r="600" spans="2:51" x14ac:dyDescent="0.2">
      <c r="B600" s="260"/>
      <c r="C600" s="189"/>
      <c r="AY600" s="224">
        <v>39659</v>
      </c>
    </row>
    <row r="601" spans="2:51" x14ac:dyDescent="0.2">
      <c r="B601" s="260"/>
      <c r="C601" s="189"/>
      <c r="AY601" s="224">
        <v>39660</v>
      </c>
    </row>
    <row r="602" spans="2:51" x14ac:dyDescent="0.2">
      <c r="B602" s="260"/>
      <c r="C602" s="189"/>
      <c r="AY602" s="224">
        <v>39661</v>
      </c>
    </row>
    <row r="603" spans="2:51" x14ac:dyDescent="0.2">
      <c r="B603" s="260"/>
      <c r="C603" s="189"/>
      <c r="AY603" s="224">
        <v>39662</v>
      </c>
    </row>
    <row r="604" spans="2:51" x14ac:dyDescent="0.2">
      <c r="B604" s="260"/>
      <c r="C604" s="189"/>
      <c r="AY604" s="224">
        <v>39663</v>
      </c>
    </row>
    <row r="605" spans="2:51" x14ac:dyDescent="0.2">
      <c r="B605" s="260"/>
      <c r="C605" s="189"/>
      <c r="AY605" s="224">
        <v>39664</v>
      </c>
    </row>
    <row r="606" spans="2:51" x14ac:dyDescent="0.2">
      <c r="B606" s="260"/>
      <c r="C606" s="189"/>
      <c r="AY606" s="224">
        <v>39665</v>
      </c>
    </row>
    <row r="607" spans="2:51" x14ac:dyDescent="0.2">
      <c r="B607" s="260"/>
      <c r="C607" s="189"/>
      <c r="AY607" s="224">
        <v>39666</v>
      </c>
    </row>
    <row r="608" spans="2:51" x14ac:dyDescent="0.2">
      <c r="B608" s="260"/>
      <c r="C608" s="189"/>
      <c r="AY608" s="224">
        <v>39667</v>
      </c>
    </row>
    <row r="609" spans="2:51" x14ac:dyDescent="0.2">
      <c r="B609" s="260"/>
      <c r="C609" s="189"/>
      <c r="AY609" s="224">
        <v>39668</v>
      </c>
    </row>
    <row r="610" spans="2:51" x14ac:dyDescent="0.2">
      <c r="B610" s="260"/>
      <c r="C610" s="189"/>
      <c r="AY610" s="224">
        <v>39669</v>
      </c>
    </row>
    <row r="611" spans="2:51" x14ac:dyDescent="0.2">
      <c r="B611" s="260"/>
      <c r="C611" s="189"/>
      <c r="AY611" s="224">
        <v>39670</v>
      </c>
    </row>
    <row r="612" spans="2:51" x14ac:dyDescent="0.2">
      <c r="B612" s="260"/>
      <c r="C612" s="189"/>
      <c r="AY612" s="224">
        <v>39671</v>
      </c>
    </row>
    <row r="613" spans="2:51" x14ac:dyDescent="0.2">
      <c r="B613" s="260"/>
      <c r="C613" s="189"/>
      <c r="AY613" s="224">
        <v>39672</v>
      </c>
    </row>
    <row r="614" spans="2:51" x14ac:dyDescent="0.2">
      <c r="B614" s="260"/>
      <c r="C614" s="189"/>
      <c r="AY614" s="224">
        <v>39673</v>
      </c>
    </row>
    <row r="615" spans="2:51" x14ac:dyDescent="0.2">
      <c r="B615" s="260"/>
      <c r="C615" s="189"/>
      <c r="AY615" s="224">
        <v>39674</v>
      </c>
    </row>
    <row r="616" spans="2:51" x14ac:dyDescent="0.2">
      <c r="B616" s="260"/>
      <c r="C616" s="189"/>
      <c r="AY616" s="224">
        <v>39675</v>
      </c>
    </row>
    <row r="617" spans="2:51" x14ac:dyDescent="0.2">
      <c r="B617" s="260"/>
      <c r="C617" s="189"/>
      <c r="AY617" s="224">
        <v>39676</v>
      </c>
    </row>
    <row r="618" spans="2:51" x14ac:dyDescent="0.2">
      <c r="B618" s="260"/>
      <c r="C618" s="189"/>
      <c r="AY618" s="224">
        <v>39677</v>
      </c>
    </row>
    <row r="619" spans="2:51" x14ac:dyDescent="0.2">
      <c r="B619" s="260"/>
      <c r="C619" s="189"/>
      <c r="AY619" s="224">
        <v>39678</v>
      </c>
    </row>
    <row r="620" spans="2:51" x14ac:dyDescent="0.2">
      <c r="B620" s="260"/>
      <c r="C620" s="189"/>
      <c r="AY620" s="224">
        <v>39679</v>
      </c>
    </row>
    <row r="621" spans="2:51" x14ac:dyDescent="0.2">
      <c r="B621" s="260"/>
      <c r="C621" s="189"/>
      <c r="AY621" s="224">
        <v>39680</v>
      </c>
    </row>
    <row r="622" spans="2:51" x14ac:dyDescent="0.2">
      <c r="B622" s="260"/>
      <c r="C622" s="189"/>
      <c r="AY622" s="224">
        <v>39681</v>
      </c>
    </row>
    <row r="623" spans="2:51" x14ac:dyDescent="0.2">
      <c r="B623" s="260"/>
      <c r="C623" s="189"/>
      <c r="AY623" s="224">
        <v>39682</v>
      </c>
    </row>
    <row r="624" spans="2:51" x14ac:dyDescent="0.2">
      <c r="B624" s="260"/>
      <c r="C624" s="189"/>
      <c r="AY624" s="224">
        <v>39683</v>
      </c>
    </row>
    <row r="625" spans="2:51" x14ac:dyDescent="0.2">
      <c r="B625" s="260"/>
      <c r="C625" s="189"/>
      <c r="AY625" s="224">
        <v>39684</v>
      </c>
    </row>
    <row r="626" spans="2:51" x14ac:dyDescent="0.2">
      <c r="B626" s="260"/>
      <c r="C626" s="189"/>
      <c r="AY626" s="224">
        <v>39685</v>
      </c>
    </row>
    <row r="627" spans="2:51" x14ac:dyDescent="0.2">
      <c r="B627" s="260"/>
      <c r="C627" s="189"/>
      <c r="AY627" s="224">
        <v>39686</v>
      </c>
    </row>
    <row r="628" spans="2:51" x14ac:dyDescent="0.2">
      <c r="B628" s="260"/>
      <c r="C628" s="189"/>
      <c r="AY628" s="224">
        <v>39687</v>
      </c>
    </row>
    <row r="629" spans="2:51" x14ac:dyDescent="0.2">
      <c r="B629" s="260"/>
      <c r="C629" s="189"/>
      <c r="AY629" s="224">
        <v>39688</v>
      </c>
    </row>
    <row r="630" spans="2:51" x14ac:dyDescent="0.2">
      <c r="B630" s="260"/>
      <c r="C630" s="189"/>
      <c r="AY630" s="224">
        <v>39689</v>
      </c>
    </row>
    <row r="631" spans="2:51" x14ac:dyDescent="0.2">
      <c r="B631" s="260"/>
      <c r="C631" s="189"/>
      <c r="AY631" s="224">
        <v>39690</v>
      </c>
    </row>
    <row r="632" spans="2:51" x14ac:dyDescent="0.2">
      <c r="B632" s="260"/>
      <c r="C632" s="189"/>
      <c r="AY632" s="224">
        <v>39691</v>
      </c>
    </row>
    <row r="633" spans="2:51" x14ac:dyDescent="0.2">
      <c r="B633" s="260"/>
      <c r="C633" s="189"/>
      <c r="AY633" s="224">
        <v>39692</v>
      </c>
    </row>
    <row r="634" spans="2:51" x14ac:dyDescent="0.2">
      <c r="B634" s="260"/>
      <c r="C634" s="189"/>
      <c r="AY634" s="224">
        <v>39693</v>
      </c>
    </row>
    <row r="635" spans="2:51" x14ac:dyDescent="0.2">
      <c r="B635" s="260"/>
      <c r="C635" s="189"/>
      <c r="AY635" s="224">
        <v>39694</v>
      </c>
    </row>
    <row r="636" spans="2:51" x14ac:dyDescent="0.2">
      <c r="B636" s="260"/>
      <c r="C636" s="189"/>
      <c r="AY636" s="224">
        <v>39695</v>
      </c>
    </row>
    <row r="637" spans="2:51" x14ac:dyDescent="0.2">
      <c r="B637" s="260"/>
      <c r="C637" s="189"/>
      <c r="AY637" s="224">
        <v>39696</v>
      </c>
    </row>
    <row r="638" spans="2:51" x14ac:dyDescent="0.2">
      <c r="B638" s="260"/>
      <c r="C638" s="189"/>
      <c r="AY638" s="224">
        <v>39697</v>
      </c>
    </row>
    <row r="639" spans="2:51" x14ac:dyDescent="0.2">
      <c r="B639" s="260"/>
      <c r="C639" s="189"/>
      <c r="AY639" s="224">
        <v>39698</v>
      </c>
    </row>
    <row r="640" spans="2:51" x14ac:dyDescent="0.2">
      <c r="B640" s="260"/>
      <c r="C640" s="189"/>
      <c r="AY640" s="224">
        <v>39699</v>
      </c>
    </row>
    <row r="641" spans="2:51" x14ac:dyDescent="0.2">
      <c r="B641" s="260"/>
      <c r="C641" s="189"/>
      <c r="AY641" s="224">
        <v>39700</v>
      </c>
    </row>
    <row r="642" spans="2:51" x14ac:dyDescent="0.2">
      <c r="B642" s="260"/>
      <c r="C642" s="189"/>
      <c r="AY642" s="224">
        <v>39701</v>
      </c>
    </row>
    <row r="643" spans="2:51" x14ac:dyDescent="0.2">
      <c r="B643" s="260"/>
      <c r="C643" s="189"/>
      <c r="AY643" s="224">
        <v>39702</v>
      </c>
    </row>
    <row r="644" spans="2:51" x14ac:dyDescent="0.2">
      <c r="B644" s="260"/>
      <c r="C644" s="189"/>
      <c r="AY644" s="224">
        <v>39703</v>
      </c>
    </row>
    <row r="645" spans="2:51" x14ac:dyDescent="0.2">
      <c r="B645" s="260"/>
      <c r="C645" s="189"/>
      <c r="AY645" s="224">
        <v>39704</v>
      </c>
    </row>
    <row r="646" spans="2:51" x14ac:dyDescent="0.2">
      <c r="B646" s="260"/>
      <c r="C646" s="189"/>
      <c r="AY646" s="224">
        <v>39705</v>
      </c>
    </row>
    <row r="647" spans="2:51" x14ac:dyDescent="0.2">
      <c r="B647" s="260"/>
      <c r="C647" s="189"/>
      <c r="AY647" s="224">
        <v>39706</v>
      </c>
    </row>
    <row r="648" spans="2:51" x14ac:dyDescent="0.2">
      <c r="B648" s="260"/>
      <c r="C648" s="189"/>
      <c r="AY648" s="224">
        <v>39707</v>
      </c>
    </row>
    <row r="649" spans="2:51" x14ac:dyDescent="0.2">
      <c r="B649" s="260"/>
      <c r="C649" s="189"/>
      <c r="AY649" s="224">
        <v>39708</v>
      </c>
    </row>
    <row r="650" spans="2:51" x14ac:dyDescent="0.2">
      <c r="B650" s="260"/>
      <c r="C650" s="189"/>
      <c r="AY650" s="224">
        <v>39709</v>
      </c>
    </row>
    <row r="651" spans="2:51" x14ac:dyDescent="0.2">
      <c r="B651" s="260"/>
      <c r="C651" s="189"/>
      <c r="AY651" s="224">
        <v>39710</v>
      </c>
    </row>
    <row r="652" spans="2:51" x14ac:dyDescent="0.2">
      <c r="B652" s="260"/>
      <c r="C652" s="189"/>
      <c r="AY652" s="224">
        <v>39711</v>
      </c>
    </row>
    <row r="653" spans="2:51" x14ac:dyDescent="0.2">
      <c r="B653" s="260"/>
      <c r="C653" s="189"/>
      <c r="AY653" s="224">
        <v>39712</v>
      </c>
    </row>
    <row r="654" spans="2:51" x14ac:dyDescent="0.2">
      <c r="B654" s="260"/>
      <c r="C654" s="189"/>
      <c r="AY654" s="224">
        <v>39713</v>
      </c>
    </row>
    <row r="655" spans="2:51" x14ac:dyDescent="0.2">
      <c r="B655" s="260"/>
      <c r="C655" s="189"/>
      <c r="AY655" s="224">
        <v>39714</v>
      </c>
    </row>
    <row r="656" spans="2:51" x14ac:dyDescent="0.2">
      <c r="B656" s="260"/>
      <c r="C656" s="189"/>
      <c r="AY656" s="224">
        <v>39715</v>
      </c>
    </row>
    <row r="657" spans="2:51" x14ac:dyDescent="0.2">
      <c r="B657" s="260"/>
      <c r="C657" s="189"/>
      <c r="AY657" s="224">
        <v>39716</v>
      </c>
    </row>
    <row r="658" spans="2:51" x14ac:dyDescent="0.2">
      <c r="B658" s="260"/>
      <c r="C658" s="189"/>
      <c r="AY658" s="224">
        <v>39717</v>
      </c>
    </row>
    <row r="659" spans="2:51" x14ac:dyDescent="0.2">
      <c r="B659" s="260"/>
      <c r="C659" s="189"/>
      <c r="AY659" s="224">
        <v>39718</v>
      </c>
    </row>
    <row r="660" spans="2:51" x14ac:dyDescent="0.2">
      <c r="B660" s="260"/>
      <c r="C660" s="189"/>
      <c r="AY660" s="224">
        <v>39719</v>
      </c>
    </row>
    <row r="661" spans="2:51" x14ac:dyDescent="0.2">
      <c r="B661" s="260"/>
      <c r="C661" s="189"/>
      <c r="AY661" s="224">
        <v>39720</v>
      </c>
    </row>
    <row r="662" spans="2:51" x14ac:dyDescent="0.2">
      <c r="B662" s="260"/>
      <c r="C662" s="189"/>
      <c r="AY662" s="224">
        <v>39721</v>
      </c>
    </row>
    <row r="663" spans="2:51" x14ac:dyDescent="0.2">
      <c r="B663" s="260"/>
      <c r="C663" s="189"/>
      <c r="AY663" s="224">
        <v>39722</v>
      </c>
    </row>
    <row r="664" spans="2:51" x14ac:dyDescent="0.2">
      <c r="B664" s="260"/>
      <c r="C664" s="189"/>
      <c r="AY664" s="224">
        <v>39723</v>
      </c>
    </row>
    <row r="665" spans="2:51" x14ac:dyDescent="0.2">
      <c r="B665" s="260"/>
      <c r="C665" s="189"/>
      <c r="AY665" s="224">
        <v>39724</v>
      </c>
    </row>
    <row r="666" spans="2:51" x14ac:dyDescent="0.2">
      <c r="B666" s="260"/>
      <c r="C666" s="189"/>
      <c r="AY666" s="224">
        <v>39725</v>
      </c>
    </row>
    <row r="667" spans="2:51" x14ac:dyDescent="0.2">
      <c r="B667" s="260"/>
      <c r="C667" s="189"/>
      <c r="AY667" s="224">
        <v>39726</v>
      </c>
    </row>
    <row r="668" spans="2:51" x14ac:dyDescent="0.2">
      <c r="B668" s="260"/>
      <c r="C668" s="189"/>
      <c r="AY668" s="224">
        <v>39727</v>
      </c>
    </row>
    <row r="669" spans="2:51" x14ac:dyDescent="0.2">
      <c r="B669" s="260"/>
      <c r="C669" s="189"/>
      <c r="AY669" s="224">
        <v>39728</v>
      </c>
    </row>
    <row r="670" spans="2:51" x14ac:dyDescent="0.2">
      <c r="B670" s="260"/>
      <c r="C670" s="189"/>
      <c r="AY670" s="224">
        <v>39729</v>
      </c>
    </row>
    <row r="671" spans="2:51" x14ac:dyDescent="0.2">
      <c r="B671" s="260"/>
      <c r="C671" s="189"/>
      <c r="AY671" s="224">
        <v>39730</v>
      </c>
    </row>
    <row r="672" spans="2:51" x14ac:dyDescent="0.2">
      <c r="B672" s="260"/>
      <c r="C672" s="189"/>
      <c r="AY672" s="224">
        <v>39731</v>
      </c>
    </row>
    <row r="673" spans="2:51" x14ac:dyDescent="0.2">
      <c r="B673" s="260"/>
      <c r="C673" s="189"/>
      <c r="AY673" s="224">
        <v>39732</v>
      </c>
    </row>
    <row r="674" spans="2:51" x14ac:dyDescent="0.2">
      <c r="B674" s="260"/>
      <c r="C674" s="189"/>
      <c r="AY674" s="224">
        <v>39733</v>
      </c>
    </row>
    <row r="675" spans="2:51" x14ac:dyDescent="0.2">
      <c r="B675" s="260"/>
      <c r="C675" s="189"/>
      <c r="AY675" s="224">
        <v>39734</v>
      </c>
    </row>
    <row r="676" spans="2:51" x14ac:dyDescent="0.2">
      <c r="B676" s="260"/>
      <c r="C676" s="189"/>
      <c r="AY676" s="224">
        <v>39735</v>
      </c>
    </row>
    <row r="677" spans="2:51" x14ac:dyDescent="0.2">
      <c r="B677" s="260"/>
      <c r="C677" s="189"/>
      <c r="AY677" s="224">
        <v>39736</v>
      </c>
    </row>
    <row r="678" spans="2:51" x14ac:dyDescent="0.2">
      <c r="B678" s="260"/>
      <c r="C678" s="189"/>
      <c r="AY678" s="224">
        <v>39737</v>
      </c>
    </row>
    <row r="679" spans="2:51" x14ac:dyDescent="0.2">
      <c r="B679" s="260"/>
      <c r="C679" s="189"/>
      <c r="AY679" s="224">
        <v>39738</v>
      </c>
    </row>
    <row r="680" spans="2:51" x14ac:dyDescent="0.2">
      <c r="B680" s="260"/>
      <c r="C680" s="189"/>
      <c r="AY680" s="224">
        <v>39739</v>
      </c>
    </row>
    <row r="681" spans="2:51" x14ac:dyDescent="0.2">
      <c r="B681" s="260"/>
      <c r="C681" s="189"/>
      <c r="AY681" s="224">
        <v>39740</v>
      </c>
    </row>
    <row r="682" spans="2:51" x14ac:dyDescent="0.2">
      <c r="B682" s="260"/>
      <c r="C682" s="189"/>
      <c r="AY682" s="224">
        <v>39741</v>
      </c>
    </row>
    <row r="683" spans="2:51" x14ac:dyDescent="0.2">
      <c r="B683" s="260"/>
      <c r="C683" s="189"/>
      <c r="AY683" s="224">
        <v>39742</v>
      </c>
    </row>
    <row r="684" spans="2:51" x14ac:dyDescent="0.2">
      <c r="B684" s="260"/>
      <c r="C684" s="189"/>
      <c r="AY684" s="224">
        <v>39743</v>
      </c>
    </row>
    <row r="685" spans="2:51" x14ac:dyDescent="0.2">
      <c r="B685" s="260"/>
      <c r="C685" s="189"/>
      <c r="AY685" s="224">
        <v>39744</v>
      </c>
    </row>
    <row r="686" spans="2:51" x14ac:dyDescent="0.2">
      <c r="B686" s="260"/>
      <c r="C686" s="189"/>
      <c r="AY686" s="224">
        <v>39745</v>
      </c>
    </row>
    <row r="687" spans="2:51" x14ac:dyDescent="0.2">
      <c r="B687" s="260"/>
      <c r="C687" s="189"/>
      <c r="AY687" s="224">
        <v>39746</v>
      </c>
    </row>
    <row r="688" spans="2:51" x14ac:dyDescent="0.2">
      <c r="B688" s="260"/>
      <c r="C688" s="189"/>
      <c r="AY688" s="224">
        <v>39747</v>
      </c>
    </row>
    <row r="689" spans="2:51" x14ac:dyDescent="0.2">
      <c r="B689" s="260"/>
      <c r="C689" s="189"/>
      <c r="AY689" s="224">
        <v>39748</v>
      </c>
    </row>
    <row r="690" spans="2:51" x14ac:dyDescent="0.2">
      <c r="B690" s="260"/>
      <c r="C690" s="189"/>
      <c r="AY690" s="224">
        <v>39749</v>
      </c>
    </row>
    <row r="691" spans="2:51" x14ac:dyDescent="0.2">
      <c r="B691" s="260"/>
      <c r="C691" s="189"/>
      <c r="AY691" s="224">
        <v>39750</v>
      </c>
    </row>
    <row r="692" spans="2:51" x14ac:dyDescent="0.2">
      <c r="B692" s="260"/>
      <c r="C692" s="189"/>
      <c r="AY692" s="224">
        <v>39751</v>
      </c>
    </row>
    <row r="693" spans="2:51" x14ac:dyDescent="0.2">
      <c r="B693" s="260"/>
      <c r="C693" s="189"/>
      <c r="AY693" s="224">
        <v>39752</v>
      </c>
    </row>
    <row r="694" spans="2:51" x14ac:dyDescent="0.2">
      <c r="B694" s="260"/>
      <c r="C694" s="189"/>
      <c r="AY694" s="224">
        <v>39753</v>
      </c>
    </row>
    <row r="695" spans="2:51" x14ac:dyDescent="0.2">
      <c r="B695" s="260"/>
      <c r="C695" s="189"/>
      <c r="AY695" s="224">
        <v>39754</v>
      </c>
    </row>
    <row r="696" spans="2:51" x14ac:dyDescent="0.2">
      <c r="B696" s="260"/>
      <c r="C696" s="189"/>
      <c r="AY696" s="224">
        <v>39755</v>
      </c>
    </row>
    <row r="697" spans="2:51" x14ac:dyDescent="0.2">
      <c r="B697" s="260"/>
      <c r="C697" s="189"/>
      <c r="AY697" s="224">
        <v>39756</v>
      </c>
    </row>
    <row r="698" spans="2:51" x14ac:dyDescent="0.2">
      <c r="B698" s="260"/>
      <c r="C698" s="189"/>
      <c r="AY698" s="224">
        <v>39757</v>
      </c>
    </row>
    <row r="699" spans="2:51" x14ac:dyDescent="0.2">
      <c r="B699" s="260"/>
      <c r="C699" s="189"/>
      <c r="AY699" s="224">
        <v>39758</v>
      </c>
    </row>
    <row r="700" spans="2:51" x14ac:dyDescent="0.2">
      <c r="B700" s="260"/>
      <c r="C700" s="189"/>
      <c r="AY700" s="224">
        <v>39759</v>
      </c>
    </row>
    <row r="701" spans="2:51" x14ac:dyDescent="0.2">
      <c r="B701" s="260"/>
      <c r="C701" s="189"/>
      <c r="AY701" s="224">
        <v>39760</v>
      </c>
    </row>
    <row r="702" spans="2:51" x14ac:dyDescent="0.2">
      <c r="B702" s="260"/>
      <c r="C702" s="189"/>
      <c r="AY702" s="224">
        <v>39761</v>
      </c>
    </row>
    <row r="703" spans="2:51" x14ac:dyDescent="0.2">
      <c r="B703" s="260"/>
      <c r="C703" s="189"/>
      <c r="AY703" s="224">
        <v>39762</v>
      </c>
    </row>
    <row r="704" spans="2:51" x14ac:dyDescent="0.2">
      <c r="B704" s="260"/>
      <c r="C704" s="189"/>
      <c r="AY704" s="224">
        <v>39763</v>
      </c>
    </row>
    <row r="705" spans="2:51" x14ac:dyDescent="0.2">
      <c r="B705" s="260"/>
      <c r="C705" s="189"/>
      <c r="AY705" s="224">
        <v>39764</v>
      </c>
    </row>
    <row r="706" spans="2:51" x14ac:dyDescent="0.2">
      <c r="B706" s="260"/>
      <c r="C706" s="189"/>
      <c r="AY706" s="224">
        <v>39765</v>
      </c>
    </row>
    <row r="707" spans="2:51" x14ac:dyDescent="0.2">
      <c r="B707" s="260"/>
      <c r="C707" s="189"/>
      <c r="AY707" s="224">
        <v>39766</v>
      </c>
    </row>
    <row r="708" spans="2:51" x14ac:dyDescent="0.2">
      <c r="B708" s="260"/>
      <c r="C708" s="189"/>
      <c r="AY708" s="224">
        <v>39767</v>
      </c>
    </row>
    <row r="709" spans="2:51" x14ac:dyDescent="0.2">
      <c r="B709" s="260"/>
      <c r="C709" s="189"/>
      <c r="AY709" s="224">
        <v>39768</v>
      </c>
    </row>
    <row r="710" spans="2:51" x14ac:dyDescent="0.2">
      <c r="B710" s="260"/>
      <c r="C710" s="189"/>
      <c r="AY710" s="224">
        <v>39769</v>
      </c>
    </row>
    <row r="711" spans="2:51" x14ac:dyDescent="0.2">
      <c r="B711" s="260"/>
      <c r="C711" s="189"/>
      <c r="AY711" s="224">
        <v>39770</v>
      </c>
    </row>
    <row r="712" spans="2:51" x14ac:dyDescent="0.2">
      <c r="B712" s="260"/>
      <c r="C712" s="189"/>
      <c r="AY712" s="224">
        <v>39771</v>
      </c>
    </row>
    <row r="713" spans="2:51" x14ac:dyDescent="0.2">
      <c r="B713" s="260"/>
      <c r="C713" s="189"/>
      <c r="AY713" s="224">
        <v>39772</v>
      </c>
    </row>
    <row r="714" spans="2:51" x14ac:dyDescent="0.2">
      <c r="B714" s="260"/>
      <c r="C714" s="189"/>
      <c r="AY714" s="224">
        <v>39773</v>
      </c>
    </row>
    <row r="715" spans="2:51" x14ac:dyDescent="0.2">
      <c r="B715" s="260"/>
      <c r="C715" s="189"/>
      <c r="AY715" s="224">
        <v>39774</v>
      </c>
    </row>
    <row r="716" spans="2:51" x14ac:dyDescent="0.2">
      <c r="B716" s="260"/>
      <c r="C716" s="189"/>
      <c r="AY716" s="224">
        <v>39775</v>
      </c>
    </row>
    <row r="717" spans="2:51" x14ac:dyDescent="0.2">
      <c r="B717" s="260"/>
      <c r="C717" s="189"/>
      <c r="AY717" s="224">
        <v>39776</v>
      </c>
    </row>
    <row r="718" spans="2:51" x14ac:dyDescent="0.2">
      <c r="B718" s="260"/>
      <c r="C718" s="189"/>
      <c r="AY718" s="224">
        <v>39777</v>
      </c>
    </row>
    <row r="719" spans="2:51" x14ac:dyDescent="0.2">
      <c r="B719" s="260"/>
      <c r="C719" s="189"/>
      <c r="AY719" s="224">
        <v>39778</v>
      </c>
    </row>
    <row r="720" spans="2:51" x14ac:dyDescent="0.2">
      <c r="B720" s="260"/>
      <c r="C720" s="189"/>
      <c r="AY720" s="224">
        <v>39779</v>
      </c>
    </row>
    <row r="721" spans="2:51" x14ac:dyDescent="0.2">
      <c r="B721" s="260"/>
      <c r="C721" s="189"/>
      <c r="AY721" s="224">
        <v>39780</v>
      </c>
    </row>
    <row r="722" spans="2:51" x14ac:dyDescent="0.2">
      <c r="B722" s="260"/>
      <c r="C722" s="189"/>
      <c r="AY722" s="224">
        <v>39781</v>
      </c>
    </row>
    <row r="723" spans="2:51" x14ac:dyDescent="0.2">
      <c r="B723" s="260"/>
      <c r="C723" s="189"/>
      <c r="AY723" s="224">
        <v>39782</v>
      </c>
    </row>
    <row r="724" spans="2:51" x14ac:dyDescent="0.2">
      <c r="B724" s="260"/>
      <c r="C724" s="189"/>
      <c r="AY724" s="224">
        <v>39783</v>
      </c>
    </row>
    <row r="725" spans="2:51" x14ac:dyDescent="0.2">
      <c r="B725" s="260"/>
      <c r="C725" s="189"/>
      <c r="AY725" s="224">
        <v>39784</v>
      </c>
    </row>
    <row r="726" spans="2:51" x14ac:dyDescent="0.2">
      <c r="B726" s="260"/>
      <c r="C726" s="189"/>
      <c r="AY726" s="224">
        <v>39785</v>
      </c>
    </row>
    <row r="727" spans="2:51" x14ac:dyDescent="0.2">
      <c r="B727" s="260"/>
      <c r="C727" s="189"/>
      <c r="AY727" s="224">
        <v>39786</v>
      </c>
    </row>
    <row r="728" spans="2:51" x14ac:dyDescent="0.2">
      <c r="B728" s="260"/>
      <c r="C728" s="189"/>
      <c r="AY728" s="224">
        <v>39787</v>
      </c>
    </row>
    <row r="729" spans="2:51" x14ac:dyDescent="0.2">
      <c r="B729" s="260"/>
      <c r="C729" s="189"/>
      <c r="AY729" s="224">
        <v>39788</v>
      </c>
    </row>
    <row r="730" spans="2:51" x14ac:dyDescent="0.2">
      <c r="B730" s="260"/>
      <c r="C730" s="189"/>
      <c r="AY730" s="224">
        <v>39789</v>
      </c>
    </row>
    <row r="731" spans="2:51" x14ac:dyDescent="0.2">
      <c r="B731" s="260"/>
      <c r="C731" s="189"/>
      <c r="AY731" s="224">
        <v>39790</v>
      </c>
    </row>
    <row r="732" spans="2:51" x14ac:dyDescent="0.2">
      <c r="B732" s="260"/>
      <c r="C732" s="189"/>
      <c r="AY732" s="224">
        <v>39791</v>
      </c>
    </row>
    <row r="733" spans="2:51" x14ac:dyDescent="0.2">
      <c r="B733" s="260"/>
      <c r="C733" s="189"/>
      <c r="AY733" s="224">
        <v>39792</v>
      </c>
    </row>
    <row r="734" spans="2:51" x14ac:dyDescent="0.2">
      <c r="B734" s="260"/>
      <c r="C734" s="189"/>
      <c r="AY734" s="224">
        <v>39793</v>
      </c>
    </row>
    <row r="735" spans="2:51" x14ac:dyDescent="0.2">
      <c r="B735" s="260"/>
      <c r="C735" s="189"/>
      <c r="AY735" s="224">
        <v>39794</v>
      </c>
    </row>
    <row r="736" spans="2:51" x14ac:dyDescent="0.2">
      <c r="B736" s="260"/>
      <c r="C736" s="189"/>
      <c r="AY736" s="224">
        <v>39795</v>
      </c>
    </row>
    <row r="737" spans="2:51" x14ac:dyDescent="0.2">
      <c r="B737" s="260"/>
      <c r="C737" s="189"/>
      <c r="AY737" s="224">
        <v>39796</v>
      </c>
    </row>
    <row r="738" spans="2:51" x14ac:dyDescent="0.2">
      <c r="B738" s="260"/>
      <c r="C738" s="189"/>
      <c r="AY738" s="224">
        <v>39797</v>
      </c>
    </row>
    <row r="739" spans="2:51" x14ac:dyDescent="0.2">
      <c r="B739" s="260"/>
      <c r="C739" s="189"/>
      <c r="AY739" s="224">
        <v>39798</v>
      </c>
    </row>
    <row r="740" spans="2:51" x14ac:dyDescent="0.2">
      <c r="B740" s="260"/>
      <c r="C740" s="189"/>
      <c r="AY740" s="224">
        <v>39799</v>
      </c>
    </row>
    <row r="741" spans="2:51" x14ac:dyDescent="0.2">
      <c r="B741" s="260"/>
      <c r="C741" s="189"/>
      <c r="AY741" s="224">
        <v>39800</v>
      </c>
    </row>
    <row r="742" spans="2:51" x14ac:dyDescent="0.2">
      <c r="B742" s="260"/>
      <c r="C742" s="189"/>
      <c r="AY742" s="224">
        <v>39801</v>
      </c>
    </row>
    <row r="743" spans="2:51" x14ac:dyDescent="0.2">
      <c r="B743" s="260"/>
      <c r="C743" s="189"/>
      <c r="AY743" s="224">
        <v>39802</v>
      </c>
    </row>
    <row r="744" spans="2:51" x14ac:dyDescent="0.2">
      <c r="B744" s="260"/>
      <c r="C744" s="189"/>
      <c r="AY744" s="224">
        <v>39803</v>
      </c>
    </row>
    <row r="745" spans="2:51" x14ac:dyDescent="0.2">
      <c r="B745" s="260"/>
      <c r="C745" s="189"/>
      <c r="AY745" s="224">
        <v>39804</v>
      </c>
    </row>
    <row r="746" spans="2:51" x14ac:dyDescent="0.2">
      <c r="B746" s="260"/>
      <c r="C746" s="189"/>
      <c r="AY746" s="224">
        <v>39805</v>
      </c>
    </row>
    <row r="747" spans="2:51" x14ac:dyDescent="0.2">
      <c r="B747" s="260"/>
      <c r="C747" s="189"/>
      <c r="AY747" s="224">
        <v>39806</v>
      </c>
    </row>
    <row r="748" spans="2:51" x14ac:dyDescent="0.2">
      <c r="B748" s="260"/>
      <c r="C748" s="189"/>
      <c r="AY748" s="224">
        <v>39807</v>
      </c>
    </row>
    <row r="749" spans="2:51" x14ac:dyDescent="0.2">
      <c r="B749" s="260"/>
      <c r="C749" s="189"/>
      <c r="AY749" s="224">
        <v>39808</v>
      </c>
    </row>
    <row r="750" spans="2:51" x14ac:dyDescent="0.2">
      <c r="B750" s="260"/>
      <c r="C750" s="189"/>
      <c r="AY750" s="224">
        <v>39809</v>
      </c>
    </row>
    <row r="751" spans="2:51" x14ac:dyDescent="0.2">
      <c r="B751" s="260"/>
      <c r="C751" s="189"/>
      <c r="AY751" s="224">
        <v>39810</v>
      </c>
    </row>
    <row r="752" spans="2:51" x14ac:dyDescent="0.2">
      <c r="B752" s="260"/>
      <c r="C752" s="189"/>
      <c r="AY752" s="224">
        <v>39811</v>
      </c>
    </row>
    <row r="753" spans="2:51" x14ac:dyDescent="0.2">
      <c r="B753" s="260"/>
      <c r="C753" s="189"/>
      <c r="AY753" s="224">
        <v>39812</v>
      </c>
    </row>
    <row r="754" spans="2:51" x14ac:dyDescent="0.2">
      <c r="B754" s="260"/>
      <c r="C754" s="189"/>
      <c r="AY754" s="224">
        <v>39813</v>
      </c>
    </row>
    <row r="755" spans="2:51" x14ac:dyDescent="0.2">
      <c r="B755" s="260"/>
      <c r="C755" s="189"/>
      <c r="AY755" s="224"/>
    </row>
    <row r="756" spans="2:51" x14ac:dyDescent="0.2">
      <c r="B756" s="260"/>
      <c r="C756" s="189"/>
      <c r="AY756" s="224"/>
    </row>
    <row r="757" spans="2:51" x14ac:dyDescent="0.2">
      <c r="B757" s="260"/>
      <c r="C757" s="189"/>
    </row>
    <row r="758" spans="2:51" x14ac:dyDescent="0.2">
      <c r="B758" s="260"/>
      <c r="C758" s="189"/>
    </row>
    <row r="759" spans="2:51" x14ac:dyDescent="0.2">
      <c r="B759" s="260"/>
      <c r="C759" s="189"/>
    </row>
    <row r="760" spans="2:51" x14ac:dyDescent="0.2">
      <c r="B760" s="260"/>
      <c r="C760" s="189"/>
    </row>
    <row r="761" spans="2:51" x14ac:dyDescent="0.2">
      <c r="B761" s="260"/>
      <c r="C761" s="189"/>
    </row>
    <row r="762" spans="2:51" x14ac:dyDescent="0.2">
      <c r="B762" s="260"/>
      <c r="C762" s="189"/>
    </row>
    <row r="763" spans="2:51" x14ac:dyDescent="0.2">
      <c r="B763" s="260"/>
      <c r="C763" s="189"/>
    </row>
    <row r="764" spans="2:51" x14ac:dyDescent="0.2">
      <c r="B764" s="260"/>
      <c r="C764" s="189"/>
    </row>
    <row r="765" spans="2:51" x14ac:dyDescent="0.2">
      <c r="B765" s="260"/>
      <c r="C765" s="189"/>
    </row>
    <row r="766" spans="2:51" x14ac:dyDescent="0.2">
      <c r="B766" s="260"/>
      <c r="C766" s="189"/>
    </row>
    <row r="767" spans="2:51" x14ac:dyDescent="0.2">
      <c r="B767" s="260"/>
      <c r="C767" s="189"/>
    </row>
    <row r="768" spans="2:51" x14ac:dyDescent="0.2">
      <c r="B768" s="260"/>
      <c r="C768" s="189"/>
    </row>
    <row r="769" spans="2:3" x14ac:dyDescent="0.2">
      <c r="B769" s="260"/>
      <c r="C769" s="189"/>
    </row>
    <row r="770" spans="2:3" x14ac:dyDescent="0.2">
      <c r="B770" s="260"/>
      <c r="C770" s="189"/>
    </row>
    <row r="771" spans="2:3" x14ac:dyDescent="0.2">
      <c r="B771" s="260"/>
      <c r="C771" s="189"/>
    </row>
    <row r="772" spans="2:3" x14ac:dyDescent="0.2">
      <c r="B772" s="260"/>
      <c r="C772" s="189"/>
    </row>
    <row r="773" spans="2:3" x14ac:dyDescent="0.2">
      <c r="B773" s="260"/>
      <c r="C773" s="189"/>
    </row>
    <row r="774" spans="2:3" x14ac:dyDescent="0.2">
      <c r="B774" s="260"/>
      <c r="C774" s="189"/>
    </row>
    <row r="775" spans="2:3" x14ac:dyDescent="0.2">
      <c r="B775" s="260"/>
      <c r="C775" s="189"/>
    </row>
    <row r="776" spans="2:3" x14ac:dyDescent="0.2">
      <c r="B776" s="260"/>
      <c r="C776" s="189"/>
    </row>
    <row r="777" spans="2:3" x14ac:dyDescent="0.2">
      <c r="B777" s="260"/>
      <c r="C777" s="189"/>
    </row>
    <row r="778" spans="2:3" x14ac:dyDescent="0.2">
      <c r="B778" s="260"/>
      <c r="C778" s="189"/>
    </row>
    <row r="779" spans="2:3" x14ac:dyDescent="0.2">
      <c r="B779" s="260"/>
      <c r="C779" s="189"/>
    </row>
    <row r="780" spans="2:3" x14ac:dyDescent="0.2">
      <c r="B780" s="260"/>
      <c r="C780" s="189"/>
    </row>
    <row r="781" spans="2:3" x14ac:dyDescent="0.2">
      <c r="B781" s="260"/>
      <c r="C781" s="189"/>
    </row>
    <row r="782" spans="2:3" x14ac:dyDescent="0.2">
      <c r="B782" s="260"/>
      <c r="C782" s="189"/>
    </row>
    <row r="783" spans="2:3" x14ac:dyDescent="0.2">
      <c r="B783" s="260"/>
      <c r="C783" s="189"/>
    </row>
    <row r="784" spans="2:3" x14ac:dyDescent="0.2">
      <c r="B784" s="260"/>
      <c r="C784" s="189"/>
    </row>
    <row r="785" spans="2:3" x14ac:dyDescent="0.2">
      <c r="B785" s="260"/>
      <c r="C785" s="189"/>
    </row>
    <row r="786" spans="2:3" x14ac:dyDescent="0.2">
      <c r="B786" s="260"/>
      <c r="C786" s="189"/>
    </row>
    <row r="787" spans="2:3" x14ac:dyDescent="0.2">
      <c r="B787" s="260"/>
      <c r="C787" s="189"/>
    </row>
    <row r="788" spans="2:3" x14ac:dyDescent="0.2">
      <c r="B788" s="260"/>
      <c r="C788" s="189"/>
    </row>
    <row r="789" spans="2:3" x14ac:dyDescent="0.2">
      <c r="B789" s="260"/>
      <c r="C789" s="189"/>
    </row>
    <row r="790" spans="2:3" x14ac:dyDescent="0.2">
      <c r="B790" s="260"/>
      <c r="C790" s="189"/>
    </row>
    <row r="791" spans="2:3" x14ac:dyDescent="0.2">
      <c r="B791" s="260"/>
      <c r="C791" s="189"/>
    </row>
    <row r="792" spans="2:3" x14ac:dyDescent="0.2">
      <c r="B792" s="260"/>
      <c r="C792" s="189"/>
    </row>
    <row r="793" spans="2:3" x14ac:dyDescent="0.2">
      <c r="B793" s="260"/>
      <c r="C793" s="189"/>
    </row>
    <row r="794" spans="2:3" x14ac:dyDescent="0.2">
      <c r="B794" s="260"/>
      <c r="C794" s="189"/>
    </row>
    <row r="795" spans="2:3" x14ac:dyDescent="0.2">
      <c r="B795" s="260"/>
      <c r="C795" s="189"/>
    </row>
    <row r="796" spans="2:3" x14ac:dyDescent="0.2">
      <c r="B796" s="260"/>
      <c r="C796" s="189"/>
    </row>
    <row r="797" spans="2:3" x14ac:dyDescent="0.2">
      <c r="B797" s="260"/>
      <c r="C797" s="189"/>
    </row>
    <row r="798" spans="2:3" x14ac:dyDescent="0.2">
      <c r="B798" s="260"/>
      <c r="C798" s="189"/>
    </row>
    <row r="799" spans="2:3" x14ac:dyDescent="0.2">
      <c r="B799" s="260"/>
      <c r="C799" s="189"/>
    </row>
    <row r="800" spans="2:3" x14ac:dyDescent="0.2">
      <c r="B800" s="260"/>
      <c r="C800" s="189"/>
    </row>
    <row r="801" spans="2:3" x14ac:dyDescent="0.2">
      <c r="B801" s="260"/>
      <c r="C801" s="189"/>
    </row>
    <row r="802" spans="2:3" x14ac:dyDescent="0.2">
      <c r="B802" s="260"/>
      <c r="C802" s="189"/>
    </row>
    <row r="803" spans="2:3" x14ac:dyDescent="0.2">
      <c r="B803" s="260"/>
      <c r="C803" s="189"/>
    </row>
    <row r="804" spans="2:3" x14ac:dyDescent="0.2">
      <c r="B804" s="260"/>
      <c r="C804" s="189"/>
    </row>
    <row r="805" spans="2:3" x14ac:dyDescent="0.2">
      <c r="B805" s="260"/>
      <c r="C805" s="189"/>
    </row>
    <row r="806" spans="2:3" x14ac:dyDescent="0.2">
      <c r="B806" s="260"/>
      <c r="C806" s="189"/>
    </row>
    <row r="807" spans="2:3" x14ac:dyDescent="0.2">
      <c r="B807" s="260"/>
      <c r="C807" s="189"/>
    </row>
    <row r="808" spans="2:3" x14ac:dyDescent="0.2">
      <c r="B808" s="260"/>
      <c r="C808" s="189"/>
    </row>
    <row r="809" spans="2:3" x14ac:dyDescent="0.2">
      <c r="B809" s="260"/>
      <c r="C809" s="189"/>
    </row>
    <row r="810" spans="2:3" x14ac:dyDescent="0.2">
      <c r="B810" s="260"/>
      <c r="C810" s="189"/>
    </row>
    <row r="811" spans="2:3" x14ac:dyDescent="0.2">
      <c r="B811" s="260"/>
      <c r="C811" s="189"/>
    </row>
    <row r="812" spans="2:3" x14ac:dyDescent="0.2">
      <c r="B812" s="260"/>
      <c r="C812" s="189"/>
    </row>
    <row r="813" spans="2:3" x14ac:dyDescent="0.2">
      <c r="B813" s="260"/>
      <c r="C813" s="189"/>
    </row>
    <row r="814" spans="2:3" x14ac:dyDescent="0.2">
      <c r="B814" s="260"/>
      <c r="C814" s="189"/>
    </row>
    <row r="815" spans="2:3" x14ac:dyDescent="0.2">
      <c r="B815" s="260"/>
      <c r="C815" s="189"/>
    </row>
    <row r="816" spans="2:3" x14ac:dyDescent="0.2">
      <c r="B816" s="260"/>
      <c r="C816" s="189"/>
    </row>
    <row r="817" spans="2:3" x14ac:dyDescent="0.2">
      <c r="B817" s="260"/>
      <c r="C817" s="189"/>
    </row>
    <row r="818" spans="2:3" x14ac:dyDescent="0.2">
      <c r="B818" s="260"/>
      <c r="C818" s="189"/>
    </row>
    <row r="819" spans="2:3" x14ac:dyDescent="0.2">
      <c r="B819" s="260"/>
      <c r="C819" s="189"/>
    </row>
    <row r="820" spans="2:3" x14ac:dyDescent="0.2">
      <c r="B820" s="260"/>
      <c r="C820" s="189"/>
    </row>
    <row r="821" spans="2:3" x14ac:dyDescent="0.2">
      <c r="B821" s="260"/>
      <c r="C821" s="189"/>
    </row>
    <row r="822" spans="2:3" x14ac:dyDescent="0.2">
      <c r="B822" s="260"/>
      <c r="C822" s="189"/>
    </row>
    <row r="823" spans="2:3" x14ac:dyDescent="0.2">
      <c r="B823" s="260"/>
      <c r="C823" s="189"/>
    </row>
    <row r="824" spans="2:3" x14ac:dyDescent="0.2">
      <c r="B824" s="260"/>
      <c r="C824" s="189"/>
    </row>
    <row r="825" spans="2:3" x14ac:dyDescent="0.2">
      <c r="B825" s="260"/>
      <c r="C825" s="189"/>
    </row>
    <row r="826" spans="2:3" x14ac:dyDescent="0.2">
      <c r="B826" s="260"/>
      <c r="C826" s="189"/>
    </row>
    <row r="827" spans="2:3" x14ac:dyDescent="0.2">
      <c r="B827" s="260"/>
      <c r="C827" s="189"/>
    </row>
    <row r="828" spans="2:3" x14ac:dyDescent="0.2">
      <c r="B828" s="260"/>
      <c r="C828" s="189"/>
    </row>
    <row r="829" spans="2:3" x14ac:dyDescent="0.2">
      <c r="B829" s="260"/>
      <c r="C829" s="189"/>
    </row>
    <row r="830" spans="2:3" x14ac:dyDescent="0.2">
      <c r="B830" s="260"/>
      <c r="C830" s="189"/>
    </row>
    <row r="831" spans="2:3" x14ac:dyDescent="0.2">
      <c r="B831" s="260"/>
      <c r="C831" s="189"/>
    </row>
    <row r="832" spans="2:3" x14ac:dyDescent="0.2">
      <c r="B832" s="260"/>
      <c r="C832" s="189"/>
    </row>
    <row r="833" spans="2:3" x14ac:dyDescent="0.2">
      <c r="B833" s="260"/>
      <c r="C833" s="189"/>
    </row>
    <row r="834" spans="2:3" x14ac:dyDescent="0.2">
      <c r="B834" s="260"/>
      <c r="C834" s="189"/>
    </row>
    <row r="835" spans="2:3" x14ac:dyDescent="0.2">
      <c r="B835" s="260"/>
      <c r="C835" s="189"/>
    </row>
    <row r="836" spans="2:3" x14ac:dyDescent="0.2">
      <c r="B836" s="260"/>
      <c r="C836" s="189"/>
    </row>
    <row r="837" spans="2:3" x14ac:dyDescent="0.2">
      <c r="B837" s="260"/>
      <c r="C837" s="189"/>
    </row>
    <row r="838" spans="2:3" x14ac:dyDescent="0.2">
      <c r="B838" s="260"/>
      <c r="C838" s="189"/>
    </row>
    <row r="839" spans="2:3" x14ac:dyDescent="0.2">
      <c r="B839" s="260"/>
      <c r="C839" s="189"/>
    </row>
    <row r="840" spans="2:3" x14ac:dyDescent="0.2">
      <c r="B840" s="260"/>
      <c r="C840" s="189"/>
    </row>
    <row r="841" spans="2:3" x14ac:dyDescent="0.2">
      <c r="B841" s="260"/>
      <c r="C841" s="189"/>
    </row>
    <row r="842" spans="2:3" x14ac:dyDescent="0.2">
      <c r="B842" s="260"/>
      <c r="C842" s="189"/>
    </row>
    <row r="843" spans="2:3" x14ac:dyDescent="0.2">
      <c r="B843" s="260"/>
      <c r="C843" s="189"/>
    </row>
    <row r="844" spans="2:3" x14ac:dyDescent="0.2">
      <c r="B844" s="260"/>
      <c r="C844" s="189"/>
    </row>
    <row r="845" spans="2:3" x14ac:dyDescent="0.2">
      <c r="B845" s="260"/>
      <c r="C845" s="189"/>
    </row>
    <row r="846" spans="2:3" x14ac:dyDescent="0.2">
      <c r="B846" s="260"/>
      <c r="C846" s="189"/>
    </row>
    <row r="847" spans="2:3" x14ac:dyDescent="0.2">
      <c r="B847" s="260"/>
      <c r="C847" s="189"/>
    </row>
    <row r="848" spans="2:3" x14ac:dyDescent="0.2">
      <c r="B848" s="260"/>
      <c r="C848" s="189"/>
    </row>
    <row r="849" spans="2:3" x14ac:dyDescent="0.2">
      <c r="B849" s="260"/>
      <c r="C849" s="189"/>
    </row>
    <row r="850" spans="2:3" x14ac:dyDescent="0.2">
      <c r="B850" s="260"/>
      <c r="C850" s="189"/>
    </row>
    <row r="851" spans="2:3" x14ac:dyDescent="0.2">
      <c r="B851" s="260"/>
      <c r="C851" s="189"/>
    </row>
    <row r="852" spans="2:3" x14ac:dyDescent="0.2">
      <c r="B852" s="260"/>
      <c r="C852" s="189"/>
    </row>
    <row r="853" spans="2:3" x14ac:dyDescent="0.2">
      <c r="B853" s="260"/>
      <c r="C853" s="189"/>
    </row>
    <row r="854" spans="2:3" x14ac:dyDescent="0.2">
      <c r="B854" s="260"/>
      <c r="C854" s="189"/>
    </row>
    <row r="855" spans="2:3" x14ac:dyDescent="0.2">
      <c r="B855" s="260"/>
      <c r="C855" s="189"/>
    </row>
    <row r="856" spans="2:3" x14ac:dyDescent="0.2">
      <c r="B856" s="260"/>
      <c r="C856" s="189"/>
    </row>
    <row r="857" spans="2:3" x14ac:dyDescent="0.2">
      <c r="B857" s="260"/>
      <c r="C857" s="189"/>
    </row>
    <row r="858" spans="2:3" x14ac:dyDescent="0.2">
      <c r="B858" s="260"/>
      <c r="C858" s="189"/>
    </row>
    <row r="859" spans="2:3" x14ac:dyDescent="0.2">
      <c r="B859" s="260"/>
      <c r="C859" s="189"/>
    </row>
    <row r="860" spans="2:3" x14ac:dyDescent="0.2">
      <c r="B860" s="260"/>
      <c r="C860" s="189"/>
    </row>
    <row r="861" spans="2:3" x14ac:dyDescent="0.2">
      <c r="B861" s="260"/>
      <c r="C861" s="189"/>
    </row>
    <row r="862" spans="2:3" x14ac:dyDescent="0.2">
      <c r="B862" s="260"/>
      <c r="C862" s="189"/>
    </row>
    <row r="863" spans="2:3" x14ac:dyDescent="0.2">
      <c r="B863" s="260"/>
      <c r="C863" s="189"/>
    </row>
    <row r="864" spans="2:3" x14ac:dyDescent="0.2">
      <c r="B864" s="260"/>
      <c r="C864" s="189"/>
    </row>
    <row r="865" spans="2:3" x14ac:dyDescent="0.2">
      <c r="B865" s="260"/>
      <c r="C865" s="189"/>
    </row>
    <row r="866" spans="2:3" x14ac:dyDescent="0.2">
      <c r="B866" s="260"/>
      <c r="C866" s="189"/>
    </row>
    <row r="867" spans="2:3" x14ac:dyDescent="0.2">
      <c r="B867" s="260"/>
      <c r="C867" s="189"/>
    </row>
    <row r="868" spans="2:3" x14ac:dyDescent="0.2">
      <c r="B868" s="260"/>
      <c r="C868" s="189"/>
    </row>
    <row r="869" spans="2:3" x14ac:dyDescent="0.2">
      <c r="B869" s="260"/>
      <c r="C869" s="189"/>
    </row>
    <row r="870" spans="2:3" x14ac:dyDescent="0.2">
      <c r="B870" s="260"/>
      <c r="C870" s="189"/>
    </row>
    <row r="871" spans="2:3" x14ac:dyDescent="0.2">
      <c r="B871" s="260"/>
      <c r="C871" s="189"/>
    </row>
    <row r="872" spans="2:3" x14ac:dyDescent="0.2">
      <c r="B872" s="260"/>
      <c r="C872" s="189"/>
    </row>
    <row r="873" spans="2:3" x14ac:dyDescent="0.2">
      <c r="B873" s="260"/>
      <c r="C873" s="189"/>
    </row>
    <row r="874" spans="2:3" x14ac:dyDescent="0.2">
      <c r="B874" s="260"/>
      <c r="C874" s="189"/>
    </row>
    <row r="875" spans="2:3" x14ac:dyDescent="0.2">
      <c r="B875" s="260"/>
      <c r="C875" s="189"/>
    </row>
    <row r="876" spans="2:3" x14ac:dyDescent="0.2">
      <c r="B876" s="260"/>
      <c r="C876" s="189"/>
    </row>
    <row r="877" spans="2:3" x14ac:dyDescent="0.2">
      <c r="B877" s="260"/>
      <c r="C877" s="189"/>
    </row>
    <row r="878" spans="2:3" x14ac:dyDescent="0.2">
      <c r="B878" s="260"/>
      <c r="C878" s="189"/>
    </row>
    <row r="879" spans="2:3" x14ac:dyDescent="0.2">
      <c r="B879" s="260"/>
      <c r="C879" s="189"/>
    </row>
    <row r="880" spans="2:3" x14ac:dyDescent="0.2">
      <c r="B880" s="260"/>
      <c r="C880" s="189"/>
    </row>
    <row r="881" spans="2:3" x14ac:dyDescent="0.2">
      <c r="B881" s="260"/>
      <c r="C881" s="189"/>
    </row>
    <row r="882" spans="2:3" x14ac:dyDescent="0.2">
      <c r="B882" s="260"/>
      <c r="C882" s="189"/>
    </row>
    <row r="883" spans="2:3" x14ac:dyDescent="0.2">
      <c r="B883" s="260"/>
      <c r="C883" s="189"/>
    </row>
    <row r="884" spans="2:3" x14ac:dyDescent="0.2">
      <c r="B884" s="260"/>
      <c r="C884" s="189"/>
    </row>
    <row r="885" spans="2:3" x14ac:dyDescent="0.2">
      <c r="B885" s="260"/>
      <c r="C885" s="189"/>
    </row>
    <row r="886" spans="2:3" x14ac:dyDescent="0.2">
      <c r="B886" s="260"/>
      <c r="C886" s="189"/>
    </row>
    <row r="887" spans="2:3" x14ac:dyDescent="0.2">
      <c r="B887" s="260"/>
      <c r="C887" s="189"/>
    </row>
    <row r="888" spans="2:3" x14ac:dyDescent="0.2">
      <c r="B888" s="260"/>
      <c r="C888" s="189"/>
    </row>
    <row r="889" spans="2:3" x14ac:dyDescent="0.2">
      <c r="B889" s="260"/>
      <c r="C889" s="189"/>
    </row>
    <row r="890" spans="2:3" x14ac:dyDescent="0.2">
      <c r="B890" s="260"/>
      <c r="C890" s="189"/>
    </row>
    <row r="891" spans="2:3" x14ac:dyDescent="0.2">
      <c r="B891" s="260"/>
      <c r="C891" s="189"/>
    </row>
    <row r="892" spans="2:3" x14ac:dyDescent="0.2">
      <c r="B892" s="260"/>
      <c r="C892" s="189"/>
    </row>
    <row r="893" spans="2:3" x14ac:dyDescent="0.2">
      <c r="B893" s="260"/>
      <c r="C893" s="189"/>
    </row>
    <row r="894" spans="2:3" x14ac:dyDescent="0.2">
      <c r="B894" s="260"/>
      <c r="C894" s="189"/>
    </row>
    <row r="895" spans="2:3" x14ac:dyDescent="0.2">
      <c r="B895" s="260"/>
      <c r="C895" s="189"/>
    </row>
    <row r="896" spans="2:3" x14ac:dyDescent="0.2">
      <c r="B896" s="260"/>
      <c r="C896" s="189"/>
    </row>
    <row r="897" spans="2:3" x14ac:dyDescent="0.2">
      <c r="B897" s="260"/>
      <c r="C897" s="189"/>
    </row>
    <row r="898" spans="2:3" x14ac:dyDescent="0.2">
      <c r="B898" s="260"/>
      <c r="C898" s="189"/>
    </row>
    <row r="899" spans="2:3" x14ac:dyDescent="0.2">
      <c r="B899" s="260"/>
      <c r="C899" s="189"/>
    </row>
    <row r="900" spans="2:3" x14ac:dyDescent="0.2">
      <c r="B900" s="260"/>
      <c r="C900" s="189"/>
    </row>
    <row r="901" spans="2:3" x14ac:dyDescent="0.2">
      <c r="B901" s="260"/>
      <c r="C901" s="189"/>
    </row>
    <row r="902" spans="2:3" x14ac:dyDescent="0.2">
      <c r="B902" s="260"/>
      <c r="C902" s="189"/>
    </row>
    <row r="903" spans="2:3" x14ac:dyDescent="0.2">
      <c r="B903" s="260"/>
      <c r="C903" s="189"/>
    </row>
    <row r="904" spans="2:3" x14ac:dyDescent="0.2">
      <c r="B904" s="260"/>
      <c r="C904" s="189"/>
    </row>
    <row r="905" spans="2:3" x14ac:dyDescent="0.2">
      <c r="B905" s="260"/>
      <c r="C905" s="189"/>
    </row>
    <row r="906" spans="2:3" x14ac:dyDescent="0.2">
      <c r="B906" s="260"/>
      <c r="C906" s="189"/>
    </row>
    <row r="907" spans="2:3" x14ac:dyDescent="0.2">
      <c r="B907" s="260"/>
      <c r="C907" s="189"/>
    </row>
    <row r="908" spans="2:3" x14ac:dyDescent="0.2">
      <c r="B908" s="260"/>
      <c r="C908" s="189"/>
    </row>
    <row r="909" spans="2:3" x14ac:dyDescent="0.2">
      <c r="B909" s="260"/>
      <c r="C909" s="189"/>
    </row>
    <row r="910" spans="2:3" x14ac:dyDescent="0.2">
      <c r="B910" s="260"/>
      <c r="C910" s="189"/>
    </row>
    <row r="911" spans="2:3" x14ac:dyDescent="0.2">
      <c r="B911" s="260"/>
      <c r="C911" s="189"/>
    </row>
    <row r="912" spans="2:3" x14ac:dyDescent="0.2">
      <c r="B912" s="260"/>
      <c r="C912" s="189"/>
    </row>
    <row r="913" spans="2:3" x14ac:dyDescent="0.2">
      <c r="B913" s="260"/>
      <c r="C913" s="189"/>
    </row>
    <row r="914" spans="2:3" x14ac:dyDescent="0.2">
      <c r="B914" s="260"/>
      <c r="C914" s="189"/>
    </row>
    <row r="915" spans="2:3" x14ac:dyDescent="0.2">
      <c r="B915" s="260"/>
      <c r="C915" s="189"/>
    </row>
    <row r="916" spans="2:3" x14ac:dyDescent="0.2">
      <c r="B916" s="260"/>
      <c r="C916" s="189"/>
    </row>
    <row r="917" spans="2:3" x14ac:dyDescent="0.2">
      <c r="B917" s="260"/>
      <c r="C917" s="189"/>
    </row>
    <row r="918" spans="2:3" x14ac:dyDescent="0.2">
      <c r="B918" s="260"/>
      <c r="C918" s="189"/>
    </row>
    <row r="919" spans="2:3" x14ac:dyDescent="0.2">
      <c r="B919" s="260"/>
      <c r="C919" s="189"/>
    </row>
    <row r="920" spans="2:3" x14ac:dyDescent="0.2">
      <c r="B920" s="260"/>
      <c r="C920" s="189"/>
    </row>
    <row r="921" spans="2:3" x14ac:dyDescent="0.2">
      <c r="B921" s="260"/>
      <c r="C921" s="189"/>
    </row>
    <row r="922" spans="2:3" x14ac:dyDescent="0.2">
      <c r="B922" s="260"/>
      <c r="C922" s="189"/>
    </row>
    <row r="923" spans="2:3" x14ac:dyDescent="0.2">
      <c r="B923" s="260"/>
      <c r="C923" s="189"/>
    </row>
    <row r="924" spans="2:3" x14ac:dyDescent="0.2">
      <c r="B924" s="260"/>
      <c r="C924" s="189"/>
    </row>
    <row r="925" spans="2:3" x14ac:dyDescent="0.2">
      <c r="B925" s="260"/>
      <c r="C925" s="189"/>
    </row>
    <row r="926" spans="2:3" x14ac:dyDescent="0.2">
      <c r="B926" s="260"/>
      <c r="C926" s="189"/>
    </row>
    <row r="927" spans="2:3" x14ac:dyDescent="0.2">
      <c r="B927" s="260"/>
      <c r="C927" s="189"/>
    </row>
    <row r="928" spans="2:3" x14ac:dyDescent="0.2">
      <c r="B928" s="260"/>
      <c r="C928" s="189"/>
    </row>
    <row r="929" spans="2:3" x14ac:dyDescent="0.2">
      <c r="B929" s="260"/>
      <c r="C929" s="189"/>
    </row>
    <row r="930" spans="2:3" x14ac:dyDescent="0.2">
      <c r="B930" s="260"/>
      <c r="C930" s="189"/>
    </row>
    <row r="931" spans="2:3" x14ac:dyDescent="0.2">
      <c r="B931" s="260"/>
      <c r="C931" s="189"/>
    </row>
    <row r="932" spans="2:3" x14ac:dyDescent="0.2">
      <c r="B932" s="260"/>
      <c r="C932" s="189"/>
    </row>
    <row r="933" spans="2:3" x14ac:dyDescent="0.2">
      <c r="B933" s="260"/>
      <c r="C933" s="189"/>
    </row>
    <row r="934" spans="2:3" x14ac:dyDescent="0.2">
      <c r="B934" s="260"/>
      <c r="C934" s="189"/>
    </row>
    <row r="935" spans="2:3" x14ac:dyDescent="0.2">
      <c r="B935" s="260"/>
      <c r="C935" s="189"/>
    </row>
    <row r="936" spans="2:3" x14ac:dyDescent="0.2">
      <c r="B936" s="260"/>
      <c r="C936" s="189"/>
    </row>
    <row r="937" spans="2:3" x14ac:dyDescent="0.2">
      <c r="B937" s="260"/>
      <c r="C937" s="189"/>
    </row>
    <row r="938" spans="2:3" x14ac:dyDescent="0.2">
      <c r="B938" s="260"/>
      <c r="C938" s="189"/>
    </row>
    <row r="939" spans="2:3" x14ac:dyDescent="0.2">
      <c r="B939" s="260"/>
      <c r="C939" s="189"/>
    </row>
    <row r="940" spans="2:3" x14ac:dyDescent="0.2">
      <c r="B940" s="260"/>
      <c r="C940" s="189"/>
    </row>
    <row r="941" spans="2:3" x14ac:dyDescent="0.2">
      <c r="B941" s="260"/>
      <c r="C941" s="189"/>
    </row>
    <row r="942" spans="2:3" x14ac:dyDescent="0.2">
      <c r="B942" s="260"/>
      <c r="C942" s="189"/>
    </row>
    <row r="943" spans="2:3" x14ac:dyDescent="0.2">
      <c r="B943" s="260"/>
      <c r="C943" s="189"/>
    </row>
    <row r="944" spans="2:3" x14ac:dyDescent="0.2">
      <c r="B944" s="260"/>
      <c r="C944" s="189"/>
    </row>
    <row r="945" spans="2:3" x14ac:dyDescent="0.2">
      <c r="B945" s="260"/>
      <c r="C945" s="189"/>
    </row>
    <row r="946" spans="2:3" x14ac:dyDescent="0.2">
      <c r="B946" s="260"/>
      <c r="C946" s="189"/>
    </row>
    <row r="947" spans="2:3" x14ac:dyDescent="0.2">
      <c r="B947" s="260"/>
      <c r="C947" s="189"/>
    </row>
    <row r="948" spans="2:3" x14ac:dyDescent="0.2">
      <c r="B948" s="260"/>
      <c r="C948" s="189"/>
    </row>
    <row r="949" spans="2:3" x14ac:dyDescent="0.2">
      <c r="B949" s="260"/>
      <c r="C949" s="189"/>
    </row>
    <row r="950" spans="2:3" x14ac:dyDescent="0.2">
      <c r="B950" s="260"/>
      <c r="C950" s="189"/>
    </row>
    <row r="951" spans="2:3" x14ac:dyDescent="0.2">
      <c r="B951" s="260"/>
      <c r="C951" s="189"/>
    </row>
    <row r="952" spans="2:3" x14ac:dyDescent="0.2">
      <c r="B952" s="260"/>
      <c r="C952" s="189"/>
    </row>
    <row r="953" spans="2:3" x14ac:dyDescent="0.2">
      <c r="B953" s="260"/>
      <c r="C953" s="189"/>
    </row>
    <row r="954" spans="2:3" x14ac:dyDescent="0.2">
      <c r="B954" s="260"/>
      <c r="C954" s="189"/>
    </row>
    <row r="955" spans="2:3" x14ac:dyDescent="0.2">
      <c r="B955" s="260"/>
      <c r="C955" s="189"/>
    </row>
    <row r="956" spans="2:3" x14ac:dyDescent="0.2">
      <c r="B956" s="260"/>
      <c r="C956" s="189"/>
    </row>
    <row r="957" spans="2:3" x14ac:dyDescent="0.2">
      <c r="B957" s="260"/>
      <c r="C957" s="189"/>
    </row>
    <row r="958" spans="2:3" x14ac:dyDescent="0.2">
      <c r="B958" s="260"/>
      <c r="C958" s="189"/>
    </row>
    <row r="959" spans="2:3" x14ac:dyDescent="0.2">
      <c r="B959" s="260"/>
      <c r="C959" s="189"/>
    </row>
    <row r="960" spans="2:3" x14ac:dyDescent="0.2">
      <c r="B960" s="260"/>
      <c r="C960" s="189"/>
    </row>
    <row r="961" spans="2:3" x14ac:dyDescent="0.2">
      <c r="B961" s="260"/>
      <c r="C961" s="189"/>
    </row>
    <row r="962" spans="2:3" x14ac:dyDescent="0.2">
      <c r="B962" s="260"/>
      <c r="C962" s="189"/>
    </row>
    <row r="963" spans="2:3" x14ac:dyDescent="0.2">
      <c r="B963" s="260"/>
      <c r="C963" s="189"/>
    </row>
    <row r="964" spans="2:3" x14ac:dyDescent="0.2">
      <c r="B964" s="260"/>
      <c r="C964" s="189"/>
    </row>
    <row r="965" spans="2:3" x14ac:dyDescent="0.2">
      <c r="B965" s="260"/>
      <c r="C965" s="189"/>
    </row>
    <row r="966" spans="2:3" x14ac:dyDescent="0.2">
      <c r="B966" s="260"/>
      <c r="C966" s="189"/>
    </row>
    <row r="967" spans="2:3" x14ac:dyDescent="0.2">
      <c r="B967" s="260"/>
      <c r="C967" s="189"/>
    </row>
    <row r="968" spans="2:3" x14ac:dyDescent="0.2">
      <c r="B968" s="260"/>
      <c r="C968" s="189"/>
    </row>
    <row r="969" spans="2:3" x14ac:dyDescent="0.2">
      <c r="B969" s="260"/>
      <c r="C969" s="189"/>
    </row>
    <row r="970" spans="2:3" x14ac:dyDescent="0.2">
      <c r="B970" s="260"/>
      <c r="C970" s="189"/>
    </row>
    <row r="971" spans="2:3" x14ac:dyDescent="0.2">
      <c r="B971" s="260"/>
      <c r="C971" s="189"/>
    </row>
    <row r="972" spans="2:3" x14ac:dyDescent="0.2">
      <c r="B972" s="260"/>
      <c r="C972" s="189"/>
    </row>
    <row r="973" spans="2:3" x14ac:dyDescent="0.2">
      <c r="B973" s="260"/>
      <c r="C973" s="189"/>
    </row>
    <row r="974" spans="2:3" x14ac:dyDescent="0.2">
      <c r="B974" s="260"/>
      <c r="C974" s="189"/>
    </row>
    <row r="975" spans="2:3" x14ac:dyDescent="0.2">
      <c r="B975" s="260"/>
      <c r="C975" s="189"/>
    </row>
    <row r="976" spans="2:3" x14ac:dyDescent="0.2">
      <c r="B976" s="260"/>
      <c r="C976" s="189"/>
    </row>
    <row r="977" spans="2:3" x14ac:dyDescent="0.2">
      <c r="B977" s="260"/>
      <c r="C977" s="189"/>
    </row>
    <row r="978" spans="2:3" x14ac:dyDescent="0.2">
      <c r="B978" s="260"/>
      <c r="C978" s="189"/>
    </row>
    <row r="979" spans="2:3" x14ac:dyDescent="0.2">
      <c r="B979" s="260"/>
      <c r="C979" s="189"/>
    </row>
    <row r="980" spans="2:3" x14ac:dyDescent="0.2">
      <c r="B980" s="260"/>
      <c r="C980" s="189"/>
    </row>
    <row r="981" spans="2:3" x14ac:dyDescent="0.2">
      <c r="B981" s="260"/>
      <c r="C981" s="189"/>
    </row>
    <row r="982" spans="2:3" x14ac:dyDescent="0.2">
      <c r="B982" s="260"/>
      <c r="C982" s="189"/>
    </row>
    <row r="983" spans="2:3" x14ac:dyDescent="0.2">
      <c r="B983" s="260"/>
      <c r="C983" s="189"/>
    </row>
    <row r="984" spans="2:3" x14ac:dyDescent="0.2">
      <c r="B984" s="260"/>
      <c r="C984" s="189"/>
    </row>
    <row r="985" spans="2:3" x14ac:dyDescent="0.2">
      <c r="B985" s="260"/>
      <c r="C985" s="189"/>
    </row>
    <row r="986" spans="2:3" x14ac:dyDescent="0.2">
      <c r="B986" s="260"/>
      <c r="C986" s="189"/>
    </row>
    <row r="987" spans="2:3" x14ac:dyDescent="0.2">
      <c r="B987" s="260"/>
      <c r="C987" s="189"/>
    </row>
    <row r="988" spans="2:3" x14ac:dyDescent="0.2">
      <c r="B988" s="260"/>
      <c r="C988" s="189"/>
    </row>
    <row r="989" spans="2:3" x14ac:dyDescent="0.2">
      <c r="B989" s="260"/>
      <c r="C989" s="189"/>
    </row>
    <row r="990" spans="2:3" x14ac:dyDescent="0.2">
      <c r="B990" s="260"/>
      <c r="C990" s="189"/>
    </row>
    <row r="991" spans="2:3" x14ac:dyDescent="0.2">
      <c r="B991" s="260"/>
      <c r="C991" s="189"/>
    </row>
    <row r="992" spans="2:3" x14ac:dyDescent="0.2">
      <c r="B992" s="260"/>
      <c r="C992" s="189"/>
    </row>
    <row r="993" spans="2:3" x14ac:dyDescent="0.2">
      <c r="B993" s="260"/>
      <c r="C993" s="189"/>
    </row>
    <row r="994" spans="2:3" x14ac:dyDescent="0.2">
      <c r="B994" s="260"/>
      <c r="C994" s="189"/>
    </row>
    <row r="995" spans="2:3" x14ac:dyDescent="0.2">
      <c r="B995" s="260"/>
      <c r="C995" s="189"/>
    </row>
    <row r="996" spans="2:3" x14ac:dyDescent="0.2">
      <c r="B996" s="260"/>
      <c r="C996" s="189"/>
    </row>
    <row r="997" spans="2:3" x14ac:dyDescent="0.2">
      <c r="B997" s="260"/>
      <c r="C997" s="189"/>
    </row>
    <row r="998" spans="2:3" x14ac:dyDescent="0.2">
      <c r="B998" s="260"/>
      <c r="C998" s="189"/>
    </row>
    <row r="999" spans="2:3" x14ac:dyDescent="0.2">
      <c r="B999" s="260"/>
      <c r="C999" s="189"/>
    </row>
    <row r="1000" spans="2:3" x14ac:dyDescent="0.2">
      <c r="B1000" s="260"/>
      <c r="C1000" s="189"/>
    </row>
    <row r="1001" spans="2:3" x14ac:dyDescent="0.2">
      <c r="B1001" s="260"/>
      <c r="C1001" s="189"/>
    </row>
    <row r="1002" spans="2:3" x14ac:dyDescent="0.2">
      <c r="B1002" s="260"/>
      <c r="C1002" s="189"/>
    </row>
    <row r="1003" spans="2:3" x14ac:dyDescent="0.2">
      <c r="B1003" s="260"/>
      <c r="C1003" s="189"/>
    </row>
    <row r="1004" spans="2:3" x14ac:dyDescent="0.2">
      <c r="B1004" s="260"/>
      <c r="C1004" s="189"/>
    </row>
    <row r="1005" spans="2:3" x14ac:dyDescent="0.2">
      <c r="B1005" s="260"/>
      <c r="C1005" s="189"/>
    </row>
    <row r="1006" spans="2:3" x14ac:dyDescent="0.2">
      <c r="B1006" s="260"/>
      <c r="C1006" s="189"/>
    </row>
    <row r="1007" spans="2:3" x14ac:dyDescent="0.2">
      <c r="B1007" s="260"/>
      <c r="C1007" s="189"/>
    </row>
    <row r="1008" spans="2:3" x14ac:dyDescent="0.2">
      <c r="B1008" s="260"/>
      <c r="C1008" s="189"/>
    </row>
    <row r="1009" spans="2:3" x14ac:dyDescent="0.2">
      <c r="B1009" s="260"/>
      <c r="C1009" s="189"/>
    </row>
    <row r="1010" spans="2:3" x14ac:dyDescent="0.2">
      <c r="B1010" s="260"/>
      <c r="C1010" s="189"/>
    </row>
    <row r="1011" spans="2:3" x14ac:dyDescent="0.2">
      <c r="B1011" s="260"/>
      <c r="C1011" s="189"/>
    </row>
    <row r="1012" spans="2:3" x14ac:dyDescent="0.2">
      <c r="B1012" s="260"/>
      <c r="C1012" s="189"/>
    </row>
    <row r="1013" spans="2:3" x14ac:dyDescent="0.2">
      <c r="B1013" s="260"/>
      <c r="C1013" s="189"/>
    </row>
    <row r="1014" spans="2:3" x14ac:dyDescent="0.2">
      <c r="B1014" s="260"/>
      <c r="C1014" s="189"/>
    </row>
    <row r="1015" spans="2:3" x14ac:dyDescent="0.2">
      <c r="B1015" s="260"/>
      <c r="C1015" s="189"/>
    </row>
    <row r="1016" spans="2:3" x14ac:dyDescent="0.2">
      <c r="B1016" s="260"/>
      <c r="C1016" s="189"/>
    </row>
    <row r="1017" spans="2:3" x14ac:dyDescent="0.2">
      <c r="B1017" s="260"/>
      <c r="C1017" s="189"/>
    </row>
    <row r="1018" spans="2:3" x14ac:dyDescent="0.2">
      <c r="B1018" s="260"/>
      <c r="C1018" s="189"/>
    </row>
    <row r="1019" spans="2:3" x14ac:dyDescent="0.2">
      <c r="B1019" s="260"/>
      <c r="C1019" s="189"/>
    </row>
    <row r="1020" spans="2:3" x14ac:dyDescent="0.2">
      <c r="B1020" s="260"/>
      <c r="C1020" s="189"/>
    </row>
    <row r="1021" spans="2:3" x14ac:dyDescent="0.2">
      <c r="B1021" s="260"/>
      <c r="C1021" s="189"/>
    </row>
    <row r="1022" spans="2:3" x14ac:dyDescent="0.2">
      <c r="B1022" s="260"/>
      <c r="C1022" s="189"/>
    </row>
    <row r="1023" spans="2:3" x14ac:dyDescent="0.2">
      <c r="B1023" s="260"/>
      <c r="C1023" s="189"/>
    </row>
    <row r="1024" spans="2:3" x14ac:dyDescent="0.2">
      <c r="B1024" s="260"/>
      <c r="C1024" s="189"/>
    </row>
    <row r="1025" spans="2:3" x14ac:dyDescent="0.2">
      <c r="B1025" s="260"/>
      <c r="C1025" s="189"/>
    </row>
    <row r="1026" spans="2:3" x14ac:dyDescent="0.2">
      <c r="B1026" s="260"/>
      <c r="C1026" s="189"/>
    </row>
    <row r="1027" spans="2:3" x14ac:dyDescent="0.2">
      <c r="B1027" s="260"/>
      <c r="C1027" s="189"/>
    </row>
    <row r="1028" spans="2:3" x14ac:dyDescent="0.2">
      <c r="B1028" s="260"/>
      <c r="C1028" s="189"/>
    </row>
    <row r="1029" spans="2:3" x14ac:dyDescent="0.2">
      <c r="B1029" s="260"/>
      <c r="C1029" s="189"/>
    </row>
    <row r="1030" spans="2:3" x14ac:dyDescent="0.2">
      <c r="B1030" s="260"/>
      <c r="C1030" s="189"/>
    </row>
    <row r="1031" spans="2:3" x14ac:dyDescent="0.2">
      <c r="B1031" s="260"/>
      <c r="C1031" s="189"/>
    </row>
    <row r="1032" spans="2:3" x14ac:dyDescent="0.2">
      <c r="B1032" s="260"/>
      <c r="C1032" s="189"/>
    </row>
    <row r="1033" spans="2:3" x14ac:dyDescent="0.2">
      <c r="B1033" s="260"/>
      <c r="C1033" s="189"/>
    </row>
    <row r="1034" spans="2:3" x14ac:dyDescent="0.2">
      <c r="B1034" s="260"/>
      <c r="C1034" s="189"/>
    </row>
    <row r="1035" spans="2:3" x14ac:dyDescent="0.2">
      <c r="B1035" s="260"/>
      <c r="C1035" s="189"/>
    </row>
    <row r="1036" spans="2:3" x14ac:dyDescent="0.2">
      <c r="B1036" s="260"/>
      <c r="C1036" s="189"/>
    </row>
    <row r="1037" spans="2:3" x14ac:dyDescent="0.2">
      <c r="B1037" s="260"/>
      <c r="C1037" s="189"/>
    </row>
    <row r="1038" spans="2:3" x14ac:dyDescent="0.2">
      <c r="B1038" s="260"/>
      <c r="C1038" s="189"/>
    </row>
    <row r="1039" spans="2:3" x14ac:dyDescent="0.2">
      <c r="B1039" s="260"/>
      <c r="C1039" s="189"/>
    </row>
    <row r="1040" spans="2:3" x14ac:dyDescent="0.2">
      <c r="B1040" s="260"/>
      <c r="C1040" s="189"/>
    </row>
    <row r="1041" spans="2:3" x14ac:dyDescent="0.2">
      <c r="B1041" s="260"/>
      <c r="C1041" s="189"/>
    </row>
    <row r="1042" spans="2:3" x14ac:dyDescent="0.2">
      <c r="B1042" s="260"/>
      <c r="C1042" s="189"/>
    </row>
    <row r="1043" spans="2:3" x14ac:dyDescent="0.2">
      <c r="B1043" s="260"/>
      <c r="C1043" s="189"/>
    </row>
    <row r="1044" spans="2:3" x14ac:dyDescent="0.2">
      <c r="B1044" s="260"/>
      <c r="C1044" s="189"/>
    </row>
    <row r="1045" spans="2:3" x14ac:dyDescent="0.2">
      <c r="B1045" s="260"/>
      <c r="C1045" s="189"/>
    </row>
    <row r="1046" spans="2:3" x14ac:dyDescent="0.2">
      <c r="B1046" s="260"/>
      <c r="C1046" s="189"/>
    </row>
    <row r="1047" spans="2:3" x14ac:dyDescent="0.2">
      <c r="B1047" s="260"/>
      <c r="C1047" s="189"/>
    </row>
    <row r="1048" spans="2:3" x14ac:dyDescent="0.2">
      <c r="B1048" s="260"/>
      <c r="C1048" s="189"/>
    </row>
    <row r="1049" spans="2:3" x14ac:dyDescent="0.2">
      <c r="B1049" s="260"/>
      <c r="C1049" s="189"/>
    </row>
    <row r="1050" spans="2:3" x14ac:dyDescent="0.2">
      <c r="B1050" s="260"/>
      <c r="C1050" s="189"/>
    </row>
    <row r="1051" spans="2:3" x14ac:dyDescent="0.2">
      <c r="B1051" s="260"/>
      <c r="C1051" s="189"/>
    </row>
    <row r="1052" spans="2:3" x14ac:dyDescent="0.2">
      <c r="B1052" s="260"/>
      <c r="C1052" s="189"/>
    </row>
    <row r="1053" spans="2:3" x14ac:dyDescent="0.2">
      <c r="B1053" s="260"/>
      <c r="C1053" s="189"/>
    </row>
    <row r="1054" spans="2:3" x14ac:dyDescent="0.2">
      <c r="B1054" s="260"/>
      <c r="C1054" s="189"/>
    </row>
    <row r="1055" spans="2:3" x14ac:dyDescent="0.2">
      <c r="B1055" s="260"/>
      <c r="C1055" s="189"/>
    </row>
    <row r="1056" spans="2:3" x14ac:dyDescent="0.2">
      <c r="B1056" s="260"/>
      <c r="C1056" s="189"/>
    </row>
    <row r="1057" spans="2:3" x14ac:dyDescent="0.2">
      <c r="B1057" s="260"/>
      <c r="C1057" s="189"/>
    </row>
    <row r="1058" spans="2:3" x14ac:dyDescent="0.2">
      <c r="B1058" s="260"/>
      <c r="C1058" s="189"/>
    </row>
    <row r="1059" spans="2:3" x14ac:dyDescent="0.2">
      <c r="B1059" s="260"/>
      <c r="C1059" s="189"/>
    </row>
    <row r="1060" spans="2:3" x14ac:dyDescent="0.2">
      <c r="B1060" s="260"/>
      <c r="C1060" s="189"/>
    </row>
    <row r="1061" spans="2:3" x14ac:dyDescent="0.2">
      <c r="B1061" s="260"/>
      <c r="C1061" s="189"/>
    </row>
    <row r="1062" spans="2:3" x14ac:dyDescent="0.2">
      <c r="B1062" s="260"/>
      <c r="C1062" s="189"/>
    </row>
    <row r="1063" spans="2:3" x14ac:dyDescent="0.2">
      <c r="B1063" s="260"/>
      <c r="C1063" s="189"/>
    </row>
    <row r="1064" spans="2:3" x14ac:dyDescent="0.2">
      <c r="B1064" s="260"/>
      <c r="C1064" s="189"/>
    </row>
    <row r="1065" spans="2:3" x14ac:dyDescent="0.2">
      <c r="B1065" s="260"/>
      <c r="C1065" s="189"/>
    </row>
    <row r="1066" spans="2:3" x14ac:dyDescent="0.2">
      <c r="B1066" s="260"/>
      <c r="C1066" s="189"/>
    </row>
    <row r="1067" spans="2:3" x14ac:dyDescent="0.2">
      <c r="B1067" s="260"/>
      <c r="C1067" s="189"/>
    </row>
    <row r="1068" spans="2:3" x14ac:dyDescent="0.2">
      <c r="B1068" s="260"/>
      <c r="C1068" s="189"/>
    </row>
    <row r="1069" spans="2:3" x14ac:dyDescent="0.2">
      <c r="B1069" s="260"/>
      <c r="C1069" s="189"/>
    </row>
    <row r="1070" spans="2:3" x14ac:dyDescent="0.2">
      <c r="B1070" s="260"/>
      <c r="C1070" s="189"/>
    </row>
    <row r="1071" spans="2:3" x14ac:dyDescent="0.2">
      <c r="B1071" s="260"/>
      <c r="C1071" s="189"/>
    </row>
    <row r="1072" spans="2:3" x14ac:dyDescent="0.2">
      <c r="B1072" s="260"/>
      <c r="C1072" s="189"/>
    </row>
    <row r="1073" spans="2:3" x14ac:dyDescent="0.2">
      <c r="B1073" s="260"/>
      <c r="C1073" s="189"/>
    </row>
    <row r="1074" spans="2:3" x14ac:dyDescent="0.2">
      <c r="B1074" s="260"/>
      <c r="C1074" s="189"/>
    </row>
    <row r="1075" spans="2:3" x14ac:dyDescent="0.2">
      <c r="B1075" s="260"/>
      <c r="C1075" s="189"/>
    </row>
    <row r="1076" spans="2:3" x14ac:dyDescent="0.2">
      <c r="B1076" s="260"/>
      <c r="C1076" s="189"/>
    </row>
    <row r="1077" spans="2:3" x14ac:dyDescent="0.2">
      <c r="B1077" s="260"/>
      <c r="C1077" s="189"/>
    </row>
    <row r="1078" spans="2:3" x14ac:dyDescent="0.2">
      <c r="B1078" s="260"/>
      <c r="C1078" s="189"/>
    </row>
    <row r="1079" spans="2:3" x14ac:dyDescent="0.2">
      <c r="B1079" s="260"/>
      <c r="C1079" s="189"/>
    </row>
    <row r="1080" spans="2:3" x14ac:dyDescent="0.2">
      <c r="B1080" s="260"/>
      <c r="C1080" s="189"/>
    </row>
    <row r="1081" spans="2:3" x14ac:dyDescent="0.2">
      <c r="B1081" s="260"/>
      <c r="C1081" s="189"/>
    </row>
    <row r="1082" spans="2:3" x14ac:dyDescent="0.2">
      <c r="B1082" s="260"/>
      <c r="C1082" s="189"/>
    </row>
    <row r="1083" spans="2:3" x14ac:dyDescent="0.2">
      <c r="B1083" s="260"/>
      <c r="C1083" s="189"/>
    </row>
    <row r="1084" spans="2:3" x14ac:dyDescent="0.2">
      <c r="B1084" s="260"/>
      <c r="C1084" s="189"/>
    </row>
    <row r="1085" spans="2:3" x14ac:dyDescent="0.2">
      <c r="B1085" s="260"/>
      <c r="C1085" s="189"/>
    </row>
    <row r="1086" spans="2:3" x14ac:dyDescent="0.2">
      <c r="B1086" s="260"/>
      <c r="C1086" s="189"/>
    </row>
    <row r="1087" spans="2:3" x14ac:dyDescent="0.2">
      <c r="B1087" s="260"/>
      <c r="C1087" s="189"/>
    </row>
    <row r="1088" spans="2:3" x14ac:dyDescent="0.2">
      <c r="B1088" s="260"/>
      <c r="C1088" s="189"/>
    </row>
    <row r="1089" spans="2:3" x14ac:dyDescent="0.2">
      <c r="B1089" s="260"/>
      <c r="C1089" s="189"/>
    </row>
    <row r="1090" spans="2:3" x14ac:dyDescent="0.2">
      <c r="B1090" s="260"/>
      <c r="C1090" s="189"/>
    </row>
    <row r="1091" spans="2:3" x14ac:dyDescent="0.2">
      <c r="B1091" s="260"/>
      <c r="C1091" s="189"/>
    </row>
    <row r="1092" spans="2:3" x14ac:dyDescent="0.2">
      <c r="B1092" s="260"/>
      <c r="C1092" s="189"/>
    </row>
    <row r="1093" spans="2:3" x14ac:dyDescent="0.2">
      <c r="B1093" s="260"/>
      <c r="C1093" s="189"/>
    </row>
    <row r="1094" spans="2:3" x14ac:dyDescent="0.2">
      <c r="B1094" s="260"/>
      <c r="C1094" s="189"/>
    </row>
    <row r="1095" spans="2:3" x14ac:dyDescent="0.2">
      <c r="B1095" s="260"/>
      <c r="C1095" s="189"/>
    </row>
    <row r="1096" spans="2:3" x14ac:dyDescent="0.2">
      <c r="B1096" s="260"/>
      <c r="C1096" s="189"/>
    </row>
  </sheetData>
  <mergeCells count="39">
    <mergeCell ref="D2:E2"/>
    <mergeCell ref="J13:K13"/>
    <mergeCell ref="M2:N2"/>
    <mergeCell ref="M3:N3"/>
    <mergeCell ref="M4:N4"/>
    <mergeCell ref="M5:N5"/>
    <mergeCell ref="H13:I13"/>
    <mergeCell ref="IA100:IA101"/>
    <mergeCell ref="W13:X13"/>
    <mergeCell ref="Y13:Z13"/>
    <mergeCell ref="AA13:AB13"/>
    <mergeCell ref="AI13:AJ13"/>
    <mergeCell ref="AM13:AN13"/>
    <mergeCell ref="AK13:AL13"/>
    <mergeCell ref="AC13:AD13"/>
    <mergeCell ref="AS13:AT13"/>
    <mergeCell ref="AU13:AV13"/>
    <mergeCell ref="C84:E84"/>
    <mergeCell ref="I84:I85"/>
    <mergeCell ref="B13:C13"/>
    <mergeCell ref="D13:E13"/>
    <mergeCell ref="F84:G84"/>
    <mergeCell ref="H84:H85"/>
    <mergeCell ref="F13:G13"/>
    <mergeCell ref="Q13:R13"/>
    <mergeCell ref="S13:T13"/>
    <mergeCell ref="O13:P13"/>
    <mergeCell ref="AQ13:AR13"/>
    <mergeCell ref="AO13:AP13"/>
    <mergeCell ref="AE13:AF13"/>
    <mergeCell ref="AG13:AH13"/>
    <mergeCell ref="K84:K85"/>
    <mergeCell ref="J84:J85"/>
    <mergeCell ref="M6:N6"/>
    <mergeCell ref="M7:N7"/>
    <mergeCell ref="M8:N8"/>
    <mergeCell ref="M9:N9"/>
    <mergeCell ref="M10:N10"/>
    <mergeCell ref="L84:N84"/>
  </mergeCells>
  <phoneticPr fontId="0" type="noConversion"/>
  <pageMargins left="0.78740157499999996" right="0.78740157499999996" top="0.984251969" bottom="0.984251969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">
    <tabColor rgb="FF00B050"/>
  </sheetPr>
  <dimension ref="A1:BM170"/>
  <sheetViews>
    <sheetView zoomScale="90" zoomScaleNormal="90" workbookViewId="0"/>
  </sheetViews>
  <sheetFormatPr defaultColWidth="9.140625" defaultRowHeight="12.75" x14ac:dyDescent="0.2"/>
  <cols>
    <col min="1" max="1" width="2.140625" style="437" customWidth="1"/>
    <col min="2" max="2" width="27.7109375" style="437" customWidth="1"/>
    <col min="3" max="7" width="11.85546875" style="437" customWidth="1"/>
    <col min="8" max="8" width="11.7109375" style="437" customWidth="1"/>
    <col min="9" max="9" width="12.5703125" style="437" customWidth="1"/>
    <col min="10" max="10" width="11.85546875" style="437" customWidth="1"/>
    <col min="11" max="11" width="13.28515625" style="437" customWidth="1"/>
    <col min="12" max="12" width="15.85546875" style="437" customWidth="1"/>
    <col min="13" max="13" width="13.85546875" style="437" customWidth="1"/>
    <col min="14" max="14" width="17.85546875" style="437" customWidth="1"/>
    <col min="15" max="15" width="11.28515625" style="437" customWidth="1"/>
    <col min="16" max="16" width="24.28515625" style="437" customWidth="1"/>
    <col min="17" max="17" width="14.5703125" style="437" customWidth="1"/>
    <col min="18" max="19" width="12.42578125" style="437" customWidth="1"/>
    <col min="20" max="21" width="12.140625" style="437" customWidth="1"/>
    <col min="22" max="22" width="12.28515625" style="437" customWidth="1"/>
    <col min="23" max="23" width="18.7109375" style="437" customWidth="1"/>
    <col min="24" max="24" width="20.140625" style="437" customWidth="1"/>
    <col min="25" max="27" width="9.140625" style="437" customWidth="1"/>
    <col min="28" max="28" width="13.42578125" style="437" customWidth="1"/>
    <col min="29" max="31" width="9.140625" style="437" customWidth="1"/>
    <col min="32" max="32" width="19.140625" style="437" customWidth="1"/>
    <col min="33" max="33" width="9.140625" style="437" customWidth="1"/>
    <col min="34" max="16384" width="9.140625" style="437"/>
  </cols>
  <sheetData>
    <row r="1" spans="2:60" s="509" customFormat="1" x14ac:dyDescent="0.2">
      <c r="B1" s="413"/>
      <c r="C1" s="413"/>
      <c r="D1" s="413"/>
      <c r="E1" s="413"/>
      <c r="F1" s="413"/>
      <c r="G1" s="413"/>
      <c r="H1" s="413"/>
      <c r="I1" s="413"/>
      <c r="J1" s="414"/>
      <c r="K1" s="414"/>
      <c r="M1" s="575"/>
      <c r="N1" s="575"/>
      <c r="O1" s="414"/>
      <c r="R1" s="576"/>
      <c r="S1" s="576"/>
      <c r="U1" s="437"/>
    </row>
    <row r="2" spans="2:60" s="509" customFormat="1" x14ac:dyDescent="0.2">
      <c r="B2" s="413"/>
      <c r="C2" s="413"/>
      <c r="D2" s="413"/>
      <c r="E2" s="413"/>
      <c r="F2" s="413"/>
      <c r="G2" s="413"/>
      <c r="H2" s="413"/>
      <c r="I2" s="413"/>
      <c r="J2" s="414"/>
      <c r="K2" s="414"/>
      <c r="M2" s="575"/>
      <c r="N2" s="575"/>
      <c r="O2" s="414"/>
      <c r="R2" s="576"/>
      <c r="S2" s="576"/>
      <c r="U2" s="437"/>
    </row>
    <row r="3" spans="2:60" s="509" customFormat="1" x14ac:dyDescent="0.2">
      <c r="B3" s="413"/>
      <c r="C3" s="413"/>
      <c r="D3" s="413"/>
      <c r="E3" s="413"/>
      <c r="F3" s="413"/>
      <c r="G3" s="413"/>
      <c r="H3" s="413"/>
      <c r="I3" s="413"/>
      <c r="J3" s="414"/>
      <c r="K3" s="414"/>
      <c r="M3" s="575"/>
      <c r="N3" s="575"/>
      <c r="O3" s="414"/>
      <c r="R3" s="576"/>
      <c r="S3" s="576"/>
      <c r="U3" s="437"/>
    </row>
    <row r="4" spans="2:60" s="509" customFormat="1" x14ac:dyDescent="0.2">
      <c r="B4" s="413"/>
      <c r="C4" s="413"/>
      <c r="D4" s="413"/>
      <c r="E4" s="413"/>
      <c r="F4" s="413"/>
      <c r="G4" s="413"/>
      <c r="H4" s="413"/>
      <c r="I4" s="413"/>
      <c r="J4" s="414"/>
      <c r="K4" s="414"/>
      <c r="M4" s="575"/>
      <c r="N4" s="575"/>
      <c r="O4" s="414"/>
      <c r="R4" s="576"/>
      <c r="S4" s="576"/>
      <c r="U4" s="437"/>
    </row>
    <row r="5" spans="2:60" s="509" customFormat="1" x14ac:dyDescent="0.2">
      <c r="B5" s="413"/>
      <c r="C5" s="413"/>
      <c r="D5" s="413"/>
      <c r="E5" s="413"/>
      <c r="F5" s="413"/>
      <c r="G5" s="413"/>
      <c r="H5" s="413"/>
      <c r="I5" s="413"/>
      <c r="J5" s="414"/>
      <c r="K5" s="414"/>
      <c r="M5" s="575"/>
      <c r="N5" s="575"/>
      <c r="O5" s="414"/>
      <c r="R5" s="576"/>
      <c r="S5" s="576"/>
      <c r="U5" s="437"/>
    </row>
    <row r="6" spans="2:60" s="509" customFormat="1" ht="27" thickBot="1" x14ac:dyDescent="0.45">
      <c r="B6" s="413"/>
      <c r="D6" s="577" t="s">
        <v>387</v>
      </c>
      <c r="E6" s="413"/>
      <c r="F6" s="413"/>
      <c r="G6" s="413"/>
      <c r="H6" s="413"/>
      <c r="I6" s="413"/>
      <c r="J6" s="414"/>
      <c r="K6" s="414"/>
      <c r="L6" s="903"/>
      <c r="M6" s="2529" t="s">
        <v>1327</v>
      </c>
      <c r="N6" s="2529"/>
      <c r="O6" s="902"/>
      <c r="P6" s="2527" t="s">
        <v>1328</v>
      </c>
      <c r="Q6" s="2528"/>
      <c r="R6" s="576"/>
      <c r="S6" s="576"/>
      <c r="U6" s="437"/>
    </row>
    <row r="7" spans="2:60" s="509" customFormat="1" ht="13.5" thickBot="1" x14ac:dyDescent="0.25">
      <c r="B7" s="413"/>
      <c r="C7" s="413"/>
      <c r="D7" s="1506" t="s">
        <v>1329</v>
      </c>
      <c r="E7" s="413"/>
      <c r="F7" s="413"/>
      <c r="G7" s="413"/>
      <c r="H7" s="413"/>
      <c r="I7" s="413"/>
      <c r="J7" s="414"/>
      <c r="K7" s="414"/>
      <c r="L7" s="901"/>
      <c r="M7" s="1438" t="s">
        <v>1168</v>
      </c>
      <c r="N7" s="2289">
        <v>2</v>
      </c>
      <c r="O7" s="902"/>
      <c r="P7" s="1432" t="s">
        <v>828</v>
      </c>
      <c r="Q7" s="1445" t="s">
        <v>1299</v>
      </c>
      <c r="R7" s="576"/>
      <c r="S7" s="576"/>
      <c r="U7" s="437"/>
    </row>
    <row r="8" spans="2:60" s="509" customFormat="1" ht="13.5" thickTop="1" x14ac:dyDescent="0.2">
      <c r="B8" s="413"/>
      <c r="C8" s="413"/>
      <c r="D8" s="413"/>
      <c r="E8" s="413"/>
      <c r="F8" s="413"/>
      <c r="G8" s="413"/>
      <c r="H8" s="416"/>
      <c r="I8" s="413"/>
      <c r="J8" s="414"/>
      <c r="K8" s="911"/>
      <c r="L8" s="911"/>
      <c r="M8" s="1438" t="s">
        <v>1301</v>
      </c>
      <c r="N8" s="1435">
        <v>19</v>
      </c>
      <c r="O8" s="902"/>
      <c r="P8" s="1433" t="s">
        <v>1324</v>
      </c>
      <c r="Q8" s="1504">
        <v>10000</v>
      </c>
      <c r="R8" s="576"/>
      <c r="S8" s="576"/>
      <c r="U8" s="437"/>
    </row>
    <row r="9" spans="2:60" s="509" customFormat="1" x14ac:dyDescent="0.2">
      <c r="B9" s="413"/>
      <c r="C9" s="413"/>
      <c r="D9" s="413"/>
      <c r="E9" s="413"/>
      <c r="F9" s="413"/>
      <c r="G9" s="413"/>
      <c r="H9" s="416"/>
      <c r="I9" s="413"/>
      <c r="J9" s="927"/>
      <c r="K9" s="911"/>
      <c r="L9" s="911"/>
      <c r="M9" s="1439" t="s">
        <v>1302</v>
      </c>
      <c r="N9" s="1440"/>
      <c r="O9" s="902"/>
      <c r="P9" s="1434" t="s">
        <v>1300</v>
      </c>
      <c r="Q9" s="1504">
        <f>$Q$8</f>
        <v>10000</v>
      </c>
      <c r="R9" s="576"/>
      <c r="S9" s="576"/>
      <c r="U9" s="437"/>
    </row>
    <row r="10" spans="2:60" s="509" customFormat="1" ht="13.5" thickBot="1" x14ac:dyDescent="0.25">
      <c r="B10" s="413"/>
      <c r="C10" s="413"/>
      <c r="D10" s="413"/>
      <c r="E10" s="413"/>
      <c r="F10" s="413"/>
      <c r="G10" s="413"/>
      <c r="H10" s="416"/>
      <c r="I10" s="413"/>
      <c r="J10" s="414"/>
      <c r="K10" s="414"/>
      <c r="L10" s="901"/>
      <c r="M10" s="1656" t="s">
        <v>1323</v>
      </c>
      <c r="N10" s="1441">
        <v>12</v>
      </c>
      <c r="O10" s="902"/>
      <c r="P10" s="1436" t="s">
        <v>1325</v>
      </c>
      <c r="Q10" s="1504">
        <f>$Q$8</f>
        <v>10000</v>
      </c>
      <c r="R10" s="576"/>
      <c r="S10" s="576"/>
      <c r="U10" s="437"/>
    </row>
    <row r="11" spans="2:60" s="509" customFormat="1" ht="13.5" thickTop="1" x14ac:dyDescent="0.2">
      <c r="B11" s="413"/>
      <c r="C11" s="413"/>
      <c r="D11" s="413"/>
      <c r="E11" s="413"/>
      <c r="F11" s="413"/>
      <c r="G11" s="413"/>
      <c r="H11" s="416"/>
      <c r="I11" s="413"/>
      <c r="J11" s="839" t="s">
        <v>999</v>
      </c>
      <c r="K11" s="414" t="s">
        <v>1053</v>
      </c>
      <c r="M11" s="1442" t="s">
        <v>1303</v>
      </c>
      <c r="N11" s="1443">
        <f ca="1">Rebanho!E66/(Descrição!Q19+Descrição!Q20)</f>
        <v>2.0147107334035157</v>
      </c>
      <c r="O11" s="414"/>
      <c r="P11" s="1437" t="s">
        <v>1326</v>
      </c>
      <c r="Q11" s="1505">
        <f>AVERAGE(Q8:Q10)</f>
        <v>10000</v>
      </c>
      <c r="R11" s="576"/>
      <c r="S11" s="576"/>
      <c r="U11" s="437"/>
    </row>
    <row r="12" spans="2:60" s="509" customFormat="1" x14ac:dyDescent="0.2">
      <c r="B12" s="413"/>
      <c r="C12" s="413"/>
      <c r="D12" s="413"/>
      <c r="E12" s="413"/>
      <c r="F12" s="413"/>
      <c r="G12" s="413"/>
      <c r="H12" s="416"/>
      <c r="I12" s="413"/>
      <c r="J12" s="1466">
        <v>1000</v>
      </c>
      <c r="K12" s="1463">
        <f>SUM(J14:J22)-J12</f>
        <v>0</v>
      </c>
      <c r="M12" s="575"/>
      <c r="N12" s="913"/>
    </row>
    <row r="13" spans="2:60" s="510" customFormat="1" ht="15" customHeight="1" thickBot="1" x14ac:dyDescent="0.3">
      <c r="B13" s="578" t="s">
        <v>949</v>
      </c>
      <c r="C13" s="2523" t="s">
        <v>1399</v>
      </c>
      <c r="D13" s="2523"/>
      <c r="E13" s="579"/>
      <c r="G13" s="584" t="s">
        <v>820</v>
      </c>
      <c r="H13" s="571" t="s">
        <v>292</v>
      </c>
      <c r="I13" s="571" t="s">
        <v>947</v>
      </c>
      <c r="J13" s="571" t="s">
        <v>948</v>
      </c>
      <c r="K13" s="571" t="s">
        <v>998</v>
      </c>
      <c r="L13" s="571" t="s">
        <v>953</v>
      </c>
      <c r="M13" s="571" t="s">
        <v>954</v>
      </c>
      <c r="N13" s="571" t="s">
        <v>979</v>
      </c>
      <c r="P13" s="415"/>
      <c r="Q13" s="415"/>
      <c r="W13" s="571" t="s">
        <v>1047</v>
      </c>
      <c r="X13" s="571" t="s">
        <v>1041</v>
      </c>
      <c r="Y13" s="415"/>
      <c r="Z13" s="415"/>
      <c r="AA13" s="415"/>
      <c r="AB13" s="415"/>
      <c r="AC13" s="415"/>
      <c r="AD13" s="415"/>
      <c r="AE13" s="415"/>
      <c r="AF13" s="415"/>
      <c r="AG13" s="415"/>
      <c r="AH13" s="415"/>
      <c r="AI13" s="415"/>
      <c r="AJ13" s="415"/>
      <c r="AK13" s="415"/>
      <c r="AL13" s="415"/>
      <c r="AM13" s="415"/>
      <c r="AN13" s="415"/>
      <c r="AO13" s="415"/>
      <c r="AP13" s="415"/>
      <c r="AQ13" s="415"/>
      <c r="AR13" s="415"/>
      <c r="AS13" s="415"/>
      <c r="AT13" s="415"/>
      <c r="AU13" s="415"/>
      <c r="AV13" s="415"/>
      <c r="AW13" s="415"/>
      <c r="AX13" s="415"/>
      <c r="AY13" s="415"/>
      <c r="AZ13" s="415"/>
      <c r="BA13" s="415"/>
      <c r="BB13" s="415"/>
      <c r="BC13" s="415"/>
      <c r="BD13" s="415"/>
      <c r="BE13" s="415"/>
      <c r="BF13" s="415"/>
      <c r="BG13" s="415"/>
      <c r="BH13" s="415"/>
    </row>
    <row r="14" spans="2:60" s="416" customFormat="1" ht="15" customHeight="1" thickBot="1" x14ac:dyDescent="0.3">
      <c r="B14" s="580"/>
      <c r="C14" s="581"/>
      <c r="E14" s="582"/>
      <c r="F14" s="2522">
        <v>2</v>
      </c>
      <c r="G14" s="2522"/>
      <c r="H14" s="587">
        <v>2</v>
      </c>
      <c r="I14" s="587">
        <v>13</v>
      </c>
      <c r="J14" s="912">
        <v>26</v>
      </c>
      <c r="K14" s="1655">
        <f>IF(J14=0,0,J14/$J$12)</f>
        <v>2.5999999999999999E-2</v>
      </c>
      <c r="L14" s="1464">
        <f>IF(F14=2,$Q$11,IF(F14=3,IF($Q$8=0,$Q$11,$Q$8),IF(OR(F14=4,F14=5),IF($Q$10=0,$Q$11,$Q$10),IF(OR(F14=6,F14=7,F14=8,F14=9,F14=10,F14=11,F14=12,F14=13,F14=14,F14=15),IF($Q$9=0,$Q$11,$Q$9),0))))</f>
        <v>10000</v>
      </c>
      <c r="M14" s="1465">
        <v>1</v>
      </c>
      <c r="N14" s="1464">
        <f ca="1">IF(N7=2,N8*N11*12,IF(N7=5,N8,IF(N7=6,N8,N8*N9)))</f>
        <v>459.35404721600162</v>
      </c>
      <c r="P14" s="2534" t="s">
        <v>997</v>
      </c>
      <c r="Q14" s="2535"/>
      <c r="R14" s="2535"/>
      <c r="S14" s="2535"/>
      <c r="T14" s="2535"/>
      <c r="U14" s="2536"/>
      <c r="W14" s="512">
        <f>L14*J14</f>
        <v>260000</v>
      </c>
      <c r="X14" s="512">
        <f t="shared" ref="X14:X22" ca="1" si="0">J14*N14</f>
        <v>11943.205227616043</v>
      </c>
      <c r="Y14" s="417"/>
      <c r="Z14" s="417"/>
      <c r="AA14" s="417"/>
      <c r="AB14" s="417"/>
      <c r="AC14" s="417"/>
      <c r="AD14" s="417"/>
      <c r="AE14" s="417"/>
      <c r="AF14" s="417"/>
      <c r="AG14" s="417"/>
      <c r="AI14" s="417"/>
      <c r="AJ14" s="417"/>
      <c r="AK14" s="417"/>
      <c r="AL14" s="417"/>
      <c r="AM14" s="417"/>
      <c r="AN14" s="417"/>
      <c r="AO14" s="417"/>
      <c r="AP14" s="417"/>
      <c r="AQ14" s="417"/>
      <c r="AR14" s="417"/>
      <c r="AS14" s="417"/>
      <c r="AT14" s="417"/>
      <c r="AU14" s="417"/>
      <c r="AV14" s="417"/>
      <c r="AW14" s="417"/>
      <c r="AX14" s="417"/>
      <c r="AY14" s="417"/>
      <c r="AZ14" s="417"/>
      <c r="BA14" s="417"/>
      <c r="BB14" s="417"/>
      <c r="BC14" s="417"/>
      <c r="BD14" s="417"/>
      <c r="BE14" s="417"/>
      <c r="BF14" s="417"/>
    </row>
    <row r="15" spans="2:60" s="416" customFormat="1" ht="15" customHeight="1" thickBot="1" x14ac:dyDescent="0.3">
      <c r="B15" s="578" t="s">
        <v>950</v>
      </c>
      <c r="C15" s="2523" t="s">
        <v>1148</v>
      </c>
      <c r="D15" s="2523"/>
      <c r="F15" s="2522">
        <v>3</v>
      </c>
      <c r="G15" s="2522"/>
      <c r="H15" s="587">
        <v>2</v>
      </c>
      <c r="I15" s="587">
        <v>13</v>
      </c>
      <c r="J15" s="912">
        <f>J12*0.2</f>
        <v>200</v>
      </c>
      <c r="K15" s="1655">
        <f t="shared" ref="K15:K22" si="1">IF(J15=0,0,J15/$J$12)</f>
        <v>0.2</v>
      </c>
      <c r="L15" s="1464">
        <f t="shared" ref="L15:L22" si="2">IF(F15=2,$Q$11,IF(F15=3,IF($Q$8=0,$Q$11,$Q$8),IF(OR(F15=4,F15=5),IF($Q$10=0,$Q$11,$Q$10),IF(OR(F15=6,F15=7,F15=8,F15=9,F15=10,F15=11,F15=12,F15=13,F15=14,F15=15),IF($Q$9=0,$Q$11,$Q$9),0))))</f>
        <v>10000</v>
      </c>
      <c r="M15" s="1465">
        <v>1</v>
      </c>
      <c r="N15" s="1464">
        <f ca="1">$N$14</f>
        <v>459.35404721600162</v>
      </c>
      <c r="P15" s="710"/>
      <c r="Q15" s="711"/>
      <c r="R15" s="711"/>
      <c r="S15" s="711"/>
      <c r="T15" s="2532" t="s">
        <v>1000</v>
      </c>
      <c r="U15" s="2533"/>
      <c r="W15" s="512">
        <f t="shared" ref="W15:W22" si="3">L15*J15</f>
        <v>2000000</v>
      </c>
      <c r="X15" s="512">
        <f t="shared" ca="1" si="0"/>
        <v>91870.809443200327</v>
      </c>
      <c r="Y15" s="416">
        <v>1</v>
      </c>
      <c r="AC15" s="416">
        <v>1</v>
      </c>
      <c r="AD15" s="1444"/>
      <c r="AE15" s="1444">
        <v>1</v>
      </c>
      <c r="AF15" s="2530"/>
      <c r="AG15" s="2531"/>
      <c r="AH15" s="1444">
        <v>1</v>
      </c>
      <c r="AI15" s="1444" t="s">
        <v>1304</v>
      </c>
    </row>
    <row r="16" spans="2:60" s="416" customFormat="1" ht="15" customHeight="1" thickBot="1" x14ac:dyDescent="0.25">
      <c r="B16" s="452"/>
      <c r="F16" s="2522">
        <v>4</v>
      </c>
      <c r="G16" s="2522"/>
      <c r="H16" s="590">
        <v>2</v>
      </c>
      <c r="I16" s="590">
        <v>13</v>
      </c>
      <c r="J16" s="912">
        <f>826-52</f>
        <v>774</v>
      </c>
      <c r="K16" s="1655">
        <f t="shared" si="1"/>
        <v>0.77400000000000002</v>
      </c>
      <c r="L16" s="1464">
        <f t="shared" si="2"/>
        <v>10000</v>
      </c>
      <c r="M16" s="1465">
        <v>40</v>
      </c>
      <c r="N16" s="1464">
        <f t="shared" ref="N16:N22" ca="1" si="4">$N$14</f>
        <v>459.35404721600162</v>
      </c>
      <c r="O16" s="416">
        <f>J16/M16</f>
        <v>19.350000000000001</v>
      </c>
      <c r="P16" s="705" t="s">
        <v>991</v>
      </c>
      <c r="Q16" s="709" t="s">
        <v>992</v>
      </c>
      <c r="R16" s="719" t="s">
        <v>1003</v>
      </c>
      <c r="S16" s="725" t="s">
        <v>1005</v>
      </c>
      <c r="T16" s="714" t="s">
        <v>1001</v>
      </c>
      <c r="U16" s="715" t="s">
        <v>1002</v>
      </c>
      <c r="W16" s="512">
        <f t="shared" si="3"/>
        <v>7740000</v>
      </c>
      <c r="X16" s="512">
        <f t="shared" ca="1" si="0"/>
        <v>355540.03254518524</v>
      </c>
      <c r="Y16" s="416">
        <v>2</v>
      </c>
      <c r="Z16" s="416" t="s">
        <v>388</v>
      </c>
      <c r="AB16" s="583"/>
      <c r="AC16" s="416">
        <v>2</v>
      </c>
      <c r="AD16" s="583">
        <v>36892</v>
      </c>
      <c r="AE16" s="1444">
        <v>2</v>
      </c>
      <c r="AF16" s="1446" t="s">
        <v>821</v>
      </c>
      <c r="AG16" s="595"/>
      <c r="AH16" s="1444">
        <v>2</v>
      </c>
      <c r="AI16" s="1444" t="s">
        <v>1305</v>
      </c>
    </row>
    <row r="17" spans="2:63" s="416" customFormat="1" ht="15" customHeight="1" x14ac:dyDescent="0.25">
      <c r="B17" s="578" t="s">
        <v>951</v>
      </c>
      <c r="C17" s="2524">
        <v>42233</v>
      </c>
      <c r="D17" s="2523"/>
      <c r="F17" s="2522">
        <v>1</v>
      </c>
      <c r="G17" s="2522"/>
      <c r="H17" s="588">
        <v>1</v>
      </c>
      <c r="I17" s="588">
        <v>1</v>
      </c>
      <c r="J17" s="770"/>
      <c r="K17" s="1462">
        <f t="shared" si="1"/>
        <v>0</v>
      </c>
      <c r="L17" s="1464">
        <f t="shared" si="2"/>
        <v>0</v>
      </c>
      <c r="M17" s="1465"/>
      <c r="N17" s="1464">
        <f t="shared" ca="1" si="4"/>
        <v>459.35404721600162</v>
      </c>
      <c r="O17" s="416">
        <f>O16/4.84</f>
        <v>3.9979338842975212</v>
      </c>
      <c r="P17" s="566" t="s">
        <v>821</v>
      </c>
      <c r="Q17" s="706">
        <f ca="1">SUMIF($F$14:$G$22,2,$J$14:$J$22)</f>
        <v>26</v>
      </c>
      <c r="R17" s="1501">
        <f ca="1">SUMIF($F$14:$G$22,2,$M$14:$M$22)</f>
        <v>1</v>
      </c>
      <c r="S17" s="1503">
        <f ca="1">IF(R17=0,0,Q17/R17)</f>
        <v>26</v>
      </c>
      <c r="T17" s="712">
        <f ca="1">IF(R17=0,0,(((Q17*10000)^0.5)/1000)*(ROUNDUP(R17/2,0)))</f>
        <v>0.50990195135927852</v>
      </c>
      <c r="U17" s="708"/>
      <c r="W17" s="512">
        <f t="shared" si="3"/>
        <v>0</v>
      </c>
      <c r="X17" s="512">
        <f t="shared" ca="1" si="0"/>
        <v>0</v>
      </c>
      <c r="Y17" s="416">
        <v>3</v>
      </c>
      <c r="Z17" s="416" t="s">
        <v>389</v>
      </c>
      <c r="AB17" s="583"/>
      <c r="AC17" s="416">
        <v>3</v>
      </c>
      <c r="AD17" s="583">
        <v>36923</v>
      </c>
      <c r="AE17" s="1444">
        <v>3</v>
      </c>
      <c r="AF17" s="1447" t="s">
        <v>3</v>
      </c>
      <c r="AG17" s="1431"/>
      <c r="AH17" s="1444">
        <v>3</v>
      </c>
      <c r="AI17" s="1444" t="s">
        <v>314</v>
      </c>
    </row>
    <row r="18" spans="2:63" s="416" customFormat="1" ht="15" customHeight="1" x14ac:dyDescent="0.2">
      <c r="E18" s="585"/>
      <c r="F18" s="2522">
        <v>1</v>
      </c>
      <c r="G18" s="2522"/>
      <c r="H18" s="587">
        <v>1</v>
      </c>
      <c r="I18" s="587">
        <v>1</v>
      </c>
      <c r="J18" s="770"/>
      <c r="K18" s="1462">
        <f t="shared" si="1"/>
        <v>0</v>
      </c>
      <c r="L18" s="1464">
        <f t="shared" si="2"/>
        <v>0</v>
      </c>
      <c r="M18" s="1465"/>
      <c r="N18" s="1464">
        <f t="shared" ca="1" si="4"/>
        <v>459.35404721600162</v>
      </c>
      <c r="O18" s="416">
        <f>J16/4.84</f>
        <v>159.91735537190084</v>
      </c>
      <c r="P18" s="464" t="s">
        <v>993</v>
      </c>
      <c r="Q18" s="590">
        <f ca="1">SUMIF($F$14:$G$22,3,$J$14:$J$22)</f>
        <v>200</v>
      </c>
      <c r="R18" s="1502">
        <f ca="1">SUMIF($F$14:$G$22,3,$M$14:$M$22)</f>
        <v>1</v>
      </c>
      <c r="S18" s="1503">
        <f ca="1">IF(R18=0,0,Q18/R18)</f>
        <v>200</v>
      </c>
      <c r="T18" s="713">
        <f ca="1">IF(R18=0,0,(((Q18*10000)^0.5)/1000)*(ROUNDUP(R18/2,0)))</f>
        <v>1.4142135623730951</v>
      </c>
      <c r="U18" s="707"/>
      <c r="W18" s="512">
        <f t="shared" si="3"/>
        <v>0</v>
      </c>
      <c r="X18" s="512">
        <f t="shared" ca="1" si="0"/>
        <v>0</v>
      </c>
      <c r="Y18" s="416">
        <v>4</v>
      </c>
      <c r="Z18" s="416" t="s">
        <v>390</v>
      </c>
      <c r="AB18" s="583"/>
      <c r="AC18" s="416">
        <v>3</v>
      </c>
      <c r="AD18" s="583">
        <v>36951</v>
      </c>
      <c r="AE18" s="1444">
        <v>4</v>
      </c>
      <c r="AF18" s="1447" t="s">
        <v>975</v>
      </c>
      <c r="AG18" s="1431"/>
      <c r="AH18" s="1444">
        <v>4</v>
      </c>
      <c r="AI18" s="1444" t="s">
        <v>571</v>
      </c>
    </row>
    <row r="19" spans="2:63" s="416" customFormat="1" ht="15" customHeight="1" x14ac:dyDescent="0.25">
      <c r="B19" s="578" t="s">
        <v>952</v>
      </c>
      <c r="C19" s="2525">
        <v>7</v>
      </c>
      <c r="D19" s="2526"/>
      <c r="E19" s="585"/>
      <c r="F19" s="2522">
        <v>1</v>
      </c>
      <c r="G19" s="2522"/>
      <c r="H19" s="587">
        <v>1</v>
      </c>
      <c r="I19" s="587">
        <v>1</v>
      </c>
      <c r="J19" s="770"/>
      <c r="K19" s="1462">
        <f t="shared" si="1"/>
        <v>0</v>
      </c>
      <c r="L19" s="1464">
        <f t="shared" si="2"/>
        <v>0</v>
      </c>
      <c r="M19" s="1465"/>
      <c r="N19" s="1464">
        <f t="shared" ca="1" si="4"/>
        <v>459.35404721600162</v>
      </c>
      <c r="P19" s="464" t="s">
        <v>994</v>
      </c>
      <c r="Q19" s="590">
        <f ca="1">SUMIF($F$14:$G$22,4,$J$14:$J$22)+SUMIF($F$14:$G$22,5,$J$14:$J$22)</f>
        <v>774</v>
      </c>
      <c r="R19" s="1502">
        <f ca="1">SUMIF($F$14:$G$22,4,$M$14:$M$22)+SUMIF($F$14:$G$22,5,$M$14:$M$22)</f>
        <v>40</v>
      </c>
      <c r="S19" s="1503">
        <f ca="1">IF(R19=0,0,Q19/R19)</f>
        <v>19.350000000000001</v>
      </c>
      <c r="T19" s="713">
        <f ca="1">IF(R19=0,0,(((Q19*10000)^0.5)/1000)*(ROUNDUP(R19/2,0)))</f>
        <v>55.641710972974224</v>
      </c>
      <c r="U19" s="707"/>
      <c r="W19" s="512">
        <f t="shared" si="3"/>
        <v>0</v>
      </c>
      <c r="X19" s="512">
        <f t="shared" ca="1" si="0"/>
        <v>0</v>
      </c>
      <c r="Y19" s="416">
        <v>5</v>
      </c>
      <c r="Z19" s="416" t="s">
        <v>391</v>
      </c>
      <c r="AB19" s="583"/>
      <c r="AC19" s="416">
        <v>4</v>
      </c>
      <c r="AD19" s="583">
        <v>36982</v>
      </c>
      <c r="AE19" s="1444">
        <v>5</v>
      </c>
      <c r="AF19" s="1447" t="s">
        <v>960</v>
      </c>
      <c r="AH19" s="1444">
        <v>5</v>
      </c>
      <c r="AI19" s="1444" t="s">
        <v>1306</v>
      </c>
    </row>
    <row r="20" spans="2:63" s="416" customFormat="1" ht="15" customHeight="1" x14ac:dyDescent="0.2">
      <c r="F20" s="2522">
        <v>1</v>
      </c>
      <c r="G20" s="2522"/>
      <c r="H20" s="587">
        <v>1</v>
      </c>
      <c r="I20" s="587">
        <v>1</v>
      </c>
      <c r="J20" s="770"/>
      <c r="K20" s="1462">
        <f t="shared" si="1"/>
        <v>0</v>
      </c>
      <c r="L20" s="1464">
        <f t="shared" si="2"/>
        <v>0</v>
      </c>
      <c r="M20" s="1465"/>
      <c r="N20" s="1464">
        <f t="shared" ca="1" si="4"/>
        <v>459.35404721600162</v>
      </c>
      <c r="P20" s="464" t="s">
        <v>995</v>
      </c>
      <c r="Q20" s="590">
        <f ca="1">SUMIF($F$14:$G$22,6,$J$14:$J$22)</f>
        <v>0</v>
      </c>
      <c r="R20" s="1502">
        <f ca="1">SUMIF($F$14:$G$22,6,$M$14:$M$22)</f>
        <v>0</v>
      </c>
      <c r="S20" s="1550">
        <f ca="1">IF(R20=0,0,Q20/R20)</f>
        <v>0</v>
      </c>
      <c r="T20" s="713">
        <f ca="1">IF(R20=0,0,(((Q20*10000)^0.5)/1000)*(ROUNDUP(R20/2,0)))</f>
        <v>0</v>
      </c>
      <c r="U20" s="707"/>
      <c r="W20" s="512">
        <f t="shared" si="3"/>
        <v>0</v>
      </c>
      <c r="X20" s="512">
        <f t="shared" ca="1" si="0"/>
        <v>0</v>
      </c>
      <c r="Y20" s="416">
        <v>6</v>
      </c>
      <c r="Z20" s="416" t="s">
        <v>1017</v>
      </c>
      <c r="AB20" s="583"/>
      <c r="AC20" s="416">
        <v>5</v>
      </c>
      <c r="AD20" s="583">
        <v>37012</v>
      </c>
      <c r="AE20" s="1444">
        <v>6</v>
      </c>
      <c r="AF20" s="1444" t="s">
        <v>1330</v>
      </c>
      <c r="AH20" s="1444">
        <v>6</v>
      </c>
      <c r="AI20" s="1444" t="s">
        <v>1307</v>
      </c>
    </row>
    <row r="21" spans="2:63" s="416" customFormat="1" ht="15" customHeight="1" x14ac:dyDescent="0.25">
      <c r="B21" s="578" t="s">
        <v>955</v>
      </c>
      <c r="C21" s="2521">
        <v>0.06</v>
      </c>
      <c r="D21" s="2521"/>
      <c r="F21" s="2522">
        <v>1</v>
      </c>
      <c r="G21" s="2522"/>
      <c r="H21" s="587">
        <v>1</v>
      </c>
      <c r="I21" s="587">
        <v>1</v>
      </c>
      <c r="J21" s="770"/>
      <c r="K21" s="1462">
        <f t="shared" si="1"/>
        <v>0</v>
      </c>
      <c r="L21" s="1464">
        <f t="shared" si="2"/>
        <v>0</v>
      </c>
      <c r="M21" s="1465"/>
      <c r="N21" s="1464">
        <f t="shared" ca="1" si="4"/>
        <v>459.35404721600162</v>
      </c>
      <c r="P21" s="464" t="s">
        <v>996</v>
      </c>
      <c r="Q21" s="590">
        <f ca="1">SUMIF($F$14:$G$22,7,$J$14:$J$22)+SUMIF($F$14:$G$22,8,$J$14:$J$22)+SUMIF($F$14:$G$22,9,$J$14:$J$22)+SUMIF($F$14:$G$22,10,$J$14:$J$22)+SUMIF($F$14:$G$22,11,$J$14:$J$22)+SUMIF($F$14:$G$22,13,$J$14:$J$22)</f>
        <v>0</v>
      </c>
      <c r="R21" s="1502">
        <f ca="1">SUMIF($F$14:$G$22,7,$M$14:$M$22)+SUMIF($F$14:$G$22,8,$M$14:$M$22)+SUMIF($F$14:$G$22,9,$M$14:$M$22)+SUMIF($F$14:$G$22,10,$M$14:$M$22)+SUMIF($F$14:$G$22,11,$M$14:$M$22)+SUMIF($F$14:$G$22,13,$M$14:$M$22)</f>
        <v>0</v>
      </c>
      <c r="S21" s="1503">
        <f ca="1">IF(R21=0,0,Q21/R21)</f>
        <v>0</v>
      </c>
      <c r="T21" s="713">
        <f ca="1">IF(R21=0,0,(((Q21*10000)^0.5)/1000)*(ROUNDUP(R21/2,0)))</f>
        <v>0</v>
      </c>
      <c r="U21" s="707"/>
      <c r="V21" s="417"/>
      <c r="W21" s="512">
        <f t="shared" si="3"/>
        <v>0</v>
      </c>
      <c r="X21" s="512">
        <f t="shared" ca="1" si="0"/>
        <v>0</v>
      </c>
      <c r="Y21" s="416">
        <v>7</v>
      </c>
      <c r="Z21" s="416" t="s">
        <v>392</v>
      </c>
      <c r="AB21" s="583"/>
      <c r="AC21" s="416">
        <v>6</v>
      </c>
      <c r="AD21" s="583">
        <v>37043</v>
      </c>
      <c r="AE21" s="1444">
        <v>7</v>
      </c>
      <c r="AF21" s="1444" t="s">
        <v>571</v>
      </c>
    </row>
    <row r="22" spans="2:63" s="416" customFormat="1" ht="15" customHeight="1" thickBot="1" x14ac:dyDescent="0.25">
      <c r="C22" s="626"/>
      <c r="F22" s="2522">
        <v>1</v>
      </c>
      <c r="G22" s="2522"/>
      <c r="H22" s="587">
        <v>1</v>
      </c>
      <c r="I22" s="587">
        <v>1</v>
      </c>
      <c r="J22" s="770"/>
      <c r="K22" s="1462">
        <f t="shared" si="1"/>
        <v>0</v>
      </c>
      <c r="L22" s="1464">
        <f t="shared" si="2"/>
        <v>0</v>
      </c>
      <c r="M22" s="1465"/>
      <c r="N22" s="1464">
        <f t="shared" ca="1" si="4"/>
        <v>459.35404721600162</v>
      </c>
      <c r="P22" s="1544" t="s">
        <v>1341</v>
      </c>
      <c r="Q22" s="1545">
        <f ca="1">+SUMIF($F$14:$G$22,13,$J$14:$J$22)</f>
        <v>0</v>
      </c>
      <c r="R22" s="1546">
        <f ca="1">SUMIF($F$14:$G$22,12,$M$14:$M$22)</f>
        <v>0</v>
      </c>
      <c r="S22" s="1547">
        <f t="shared" ref="S22" ca="1" si="5">IF(R22=0,0,Q22/R22)</f>
        <v>0</v>
      </c>
      <c r="T22" s="1548">
        <f t="shared" ref="T22" ca="1" si="6">IF(R22=0,0,(((Q22*10000)^0.5)/1000)*(ROUNDUP(R22/2,0)))</f>
        <v>0</v>
      </c>
      <c r="U22" s="1549"/>
      <c r="V22" s="417"/>
      <c r="W22" s="512">
        <f t="shared" si="3"/>
        <v>0</v>
      </c>
      <c r="X22" s="512">
        <f t="shared" ca="1" si="0"/>
        <v>0</v>
      </c>
      <c r="Y22" s="416">
        <v>8</v>
      </c>
      <c r="Z22" s="416" t="s">
        <v>605</v>
      </c>
      <c r="AB22" s="583"/>
      <c r="AC22" s="416">
        <v>7</v>
      </c>
      <c r="AD22" s="583">
        <v>37073</v>
      </c>
      <c r="AE22" s="1444">
        <v>8</v>
      </c>
      <c r="AF22" s="1444" t="s">
        <v>314</v>
      </c>
    </row>
    <row r="23" spans="2:63" s="416" customFormat="1" ht="18" customHeight="1" thickBot="1" x14ac:dyDescent="0.25">
      <c r="F23" s="571"/>
      <c r="G23" s="507"/>
      <c r="H23" s="519"/>
      <c r="I23" s="519"/>
      <c r="J23" s="593"/>
      <c r="K23" s="594"/>
      <c r="P23" s="716" t="s">
        <v>819</v>
      </c>
      <c r="Q23" s="717">
        <f ca="1">SUM(Q17:Q21)</f>
        <v>1000</v>
      </c>
      <c r="R23" s="724"/>
      <c r="S23" s="718"/>
      <c r="T23" s="771">
        <f ca="1">SUM(T17:T21)</f>
        <v>57.565826486706598</v>
      </c>
      <c r="U23" s="772">
        <f ca="1">IF(Q23=0,0,(((Q23*10000)^0.5)/1000)*2)</f>
        <v>6.324555320336759</v>
      </c>
      <c r="V23" s="417"/>
      <c r="W23" s="625">
        <f>SUM(W14:W22)</f>
        <v>10000000</v>
      </c>
      <c r="X23" s="625">
        <f ca="1">SUMIF(F14:G22,"&gt;3",X14:X22)</f>
        <v>355540.03254518524</v>
      </c>
      <c r="Y23" s="416">
        <v>9</v>
      </c>
      <c r="Z23" s="416" t="s">
        <v>606</v>
      </c>
      <c r="AB23" s="583"/>
      <c r="AC23" s="416">
        <v>8</v>
      </c>
      <c r="AD23" s="583">
        <v>37104</v>
      </c>
      <c r="AE23" s="1444">
        <v>9</v>
      </c>
      <c r="AF23" s="1444" t="s">
        <v>976</v>
      </c>
    </row>
    <row r="24" spans="2:63" s="416" customFormat="1" ht="15" customHeight="1" x14ac:dyDescent="0.2">
      <c r="C24" s="596">
        <v>2</v>
      </c>
      <c r="D24" s="596">
        <v>3</v>
      </c>
      <c r="E24" s="596">
        <v>4</v>
      </c>
      <c r="F24" s="596">
        <v>5</v>
      </c>
      <c r="G24" s="596">
        <v>6</v>
      </c>
      <c r="H24" s="596">
        <v>7</v>
      </c>
      <c r="I24" s="596">
        <v>8</v>
      </c>
      <c r="J24" s="596">
        <v>9</v>
      </c>
      <c r="K24" s="596">
        <v>10</v>
      </c>
      <c r="L24" s="596">
        <v>11</v>
      </c>
      <c r="M24" s="596">
        <v>12</v>
      </c>
      <c r="N24" s="596">
        <v>13</v>
      </c>
      <c r="O24" s="573"/>
      <c r="P24" s="589"/>
      <c r="Q24" s="592"/>
      <c r="R24" s="586"/>
      <c r="S24" s="586"/>
      <c r="T24" s="418"/>
      <c r="U24" s="417"/>
      <c r="V24" s="417"/>
      <c r="X24" s="507"/>
      <c r="AB24" s="583"/>
      <c r="AC24" s="416">
        <v>9</v>
      </c>
      <c r="AD24" s="583">
        <v>37135</v>
      </c>
      <c r="AE24" s="1444">
        <v>10</v>
      </c>
      <c r="AF24" s="1444" t="s">
        <v>1306</v>
      </c>
    </row>
    <row r="25" spans="2:63" s="416" customFormat="1" ht="15" customHeight="1" x14ac:dyDescent="0.2">
      <c r="B25" s="595"/>
      <c r="C25" s="597">
        <v>14</v>
      </c>
      <c r="D25" s="596">
        <v>15</v>
      </c>
      <c r="E25" s="597">
        <v>16</v>
      </c>
      <c r="F25" s="596">
        <v>17</v>
      </c>
      <c r="G25" s="597">
        <v>18</v>
      </c>
      <c r="H25" s="596">
        <v>19</v>
      </c>
      <c r="I25" s="597">
        <v>20</v>
      </c>
      <c r="J25" s="596">
        <v>21</v>
      </c>
      <c r="K25" s="597">
        <v>22</v>
      </c>
      <c r="L25" s="596">
        <v>23</v>
      </c>
      <c r="M25" s="597">
        <v>24</v>
      </c>
      <c r="N25" s="596">
        <v>25</v>
      </c>
      <c r="P25" s="519"/>
      <c r="Q25" s="519"/>
      <c r="R25" s="589"/>
      <c r="S25" s="589"/>
      <c r="T25" s="592"/>
      <c r="U25" s="586"/>
      <c r="V25" s="418"/>
      <c r="W25" s="417"/>
      <c r="X25" s="417"/>
      <c r="Z25" s="507"/>
      <c r="AB25" s="583"/>
      <c r="AC25" s="416">
        <v>10</v>
      </c>
      <c r="AD25" s="583">
        <v>37165</v>
      </c>
      <c r="AE25" s="1444">
        <v>11</v>
      </c>
      <c r="AF25" s="1398" t="s">
        <v>1308</v>
      </c>
      <c r="AG25" s="417"/>
      <c r="AH25" s="417"/>
      <c r="AI25" s="417"/>
      <c r="AJ25" s="417"/>
      <c r="AK25" s="417"/>
      <c r="AL25" s="417"/>
      <c r="AM25" s="417"/>
      <c r="AN25" s="417"/>
      <c r="AO25" s="417"/>
      <c r="AP25" s="417"/>
      <c r="AQ25" s="417"/>
      <c r="AR25" s="417"/>
      <c r="AS25" s="417"/>
      <c r="AT25" s="417"/>
      <c r="AU25" s="417"/>
      <c r="AV25" s="417"/>
      <c r="AW25" s="417"/>
      <c r="AX25" s="417"/>
      <c r="AY25" s="417"/>
      <c r="AZ25" s="417"/>
      <c r="BA25" s="417"/>
      <c r="BB25" s="417"/>
      <c r="BC25" s="417"/>
      <c r="BD25" s="417"/>
      <c r="BE25" s="417"/>
      <c r="BF25" s="417"/>
    </row>
    <row r="26" spans="2:63" s="416" customFormat="1" ht="15" customHeight="1" thickBot="1" x14ac:dyDescent="0.25">
      <c r="C26" s="571" t="s">
        <v>929</v>
      </c>
      <c r="D26" s="571" t="s">
        <v>930</v>
      </c>
      <c r="E26" s="571" t="s">
        <v>931</v>
      </c>
      <c r="F26" s="571" t="s">
        <v>932</v>
      </c>
      <c r="G26" s="571" t="s">
        <v>933</v>
      </c>
      <c r="H26" s="571" t="s">
        <v>934</v>
      </c>
      <c r="I26" s="571" t="s">
        <v>935</v>
      </c>
      <c r="J26" s="571" t="s">
        <v>936</v>
      </c>
      <c r="K26" s="571" t="s">
        <v>937</v>
      </c>
      <c r="L26" s="571" t="s">
        <v>938</v>
      </c>
      <c r="M26" s="571" t="s">
        <v>939</v>
      </c>
      <c r="N26" s="571" t="s">
        <v>940</v>
      </c>
      <c r="P26" s="574"/>
      <c r="Q26" s="574"/>
      <c r="R26" s="589"/>
      <c r="S26" s="589"/>
      <c r="T26" s="592"/>
      <c r="U26" s="586"/>
      <c r="V26" s="418"/>
      <c r="W26" s="417"/>
      <c r="X26" s="417"/>
      <c r="Z26" s="507"/>
      <c r="AB26" s="583"/>
      <c r="AC26" s="416">
        <v>11</v>
      </c>
      <c r="AD26" s="583">
        <v>37196</v>
      </c>
      <c r="AE26" s="1444">
        <v>12</v>
      </c>
      <c r="AF26" s="1398" t="s">
        <v>1309</v>
      </c>
      <c r="AG26" s="417"/>
      <c r="AH26" s="417"/>
      <c r="AI26" s="417"/>
      <c r="AJ26" s="417"/>
      <c r="AK26" s="417"/>
      <c r="AL26" s="417"/>
      <c r="AM26" s="417"/>
      <c r="AN26" s="417"/>
      <c r="AO26" s="417"/>
      <c r="AP26" s="417"/>
      <c r="AQ26" s="417"/>
      <c r="AR26" s="417"/>
      <c r="AS26" s="417"/>
      <c r="AT26" s="417"/>
      <c r="AU26" s="417"/>
      <c r="AV26" s="417"/>
      <c r="AW26" s="417"/>
      <c r="AX26" s="417"/>
      <c r="AY26" s="417"/>
      <c r="AZ26" s="417"/>
      <c r="BA26" s="417"/>
      <c r="BB26" s="417"/>
      <c r="BC26" s="417"/>
      <c r="BD26" s="417"/>
      <c r="BE26" s="417"/>
      <c r="BF26" s="417"/>
      <c r="BG26" s="417"/>
      <c r="BH26" s="417"/>
      <c r="BI26" s="417"/>
      <c r="BJ26" s="417"/>
      <c r="BK26" s="417"/>
    </row>
    <row r="27" spans="2:63" s="416" customFormat="1" ht="15" customHeight="1" x14ac:dyDescent="0.2">
      <c r="B27" s="412">
        <f>F14</f>
        <v>2</v>
      </c>
      <c r="C27" s="606">
        <f>IF(AND(C24&lt;=$I$14,C24&gt;=$H$14),$J$14,0)</f>
        <v>26</v>
      </c>
      <c r="D27" s="607">
        <f t="shared" ref="D27:N27" si="7">IF(AND(D24&lt;=$I$14,D24&gt;=$H$14),$J$14,0)</f>
        <v>26</v>
      </c>
      <c r="E27" s="607">
        <f t="shared" si="7"/>
        <v>26</v>
      </c>
      <c r="F27" s="607">
        <f t="shared" si="7"/>
        <v>26</v>
      </c>
      <c r="G27" s="607">
        <f t="shared" si="7"/>
        <v>26</v>
      </c>
      <c r="H27" s="607">
        <f t="shared" si="7"/>
        <v>26</v>
      </c>
      <c r="I27" s="607">
        <f t="shared" si="7"/>
        <v>26</v>
      </c>
      <c r="J27" s="607">
        <f t="shared" si="7"/>
        <v>26</v>
      </c>
      <c r="K27" s="607">
        <f t="shared" si="7"/>
        <v>26</v>
      </c>
      <c r="L27" s="607">
        <f t="shared" si="7"/>
        <v>26</v>
      </c>
      <c r="M27" s="607">
        <f t="shared" si="7"/>
        <v>26</v>
      </c>
      <c r="N27" s="608">
        <f t="shared" si="7"/>
        <v>26</v>
      </c>
      <c r="P27" s="519"/>
      <c r="Q27" s="519"/>
      <c r="R27" s="589"/>
      <c r="S27" s="589"/>
      <c r="T27" s="720"/>
      <c r="U27" s="586"/>
      <c r="V27" s="418"/>
      <c r="X27" s="417"/>
      <c r="Z27" s="507"/>
      <c r="AB27" s="583"/>
      <c r="AC27" s="416">
        <v>12</v>
      </c>
      <c r="AD27" s="583">
        <v>37226</v>
      </c>
      <c r="AE27" s="1444">
        <v>13</v>
      </c>
      <c r="AF27" s="1398" t="s">
        <v>1342</v>
      </c>
      <c r="AG27" s="417"/>
      <c r="AH27" s="417"/>
      <c r="AI27" s="417"/>
      <c r="AJ27" s="417"/>
      <c r="AK27" s="417"/>
      <c r="AL27" s="417"/>
      <c r="AM27" s="417"/>
      <c r="AN27" s="417"/>
      <c r="AO27" s="417"/>
      <c r="AP27" s="417"/>
      <c r="AQ27" s="417"/>
      <c r="AR27" s="417"/>
      <c r="AS27" s="417"/>
      <c r="AT27" s="417"/>
      <c r="AU27" s="417"/>
      <c r="AV27" s="417"/>
      <c r="AW27" s="417"/>
      <c r="AX27" s="417"/>
      <c r="AY27" s="417"/>
      <c r="AZ27" s="417"/>
      <c r="BA27" s="417"/>
      <c r="BB27" s="417"/>
      <c r="BC27" s="417"/>
      <c r="BD27" s="417"/>
      <c r="BE27" s="417"/>
      <c r="BF27" s="417"/>
      <c r="BG27" s="417"/>
      <c r="BH27" s="417"/>
      <c r="BI27" s="417"/>
      <c r="BJ27" s="417"/>
      <c r="BK27" s="417"/>
    </row>
    <row r="28" spans="2:63" s="416" customFormat="1" ht="15" customHeight="1" x14ac:dyDescent="0.2">
      <c r="B28" s="412">
        <f t="shared" ref="B28:B35" si="8">F15</f>
        <v>3</v>
      </c>
      <c r="C28" s="609">
        <f>IF(AND(C24&lt;=$I$15,C24&gt;=$H$15),$J$15,0)</f>
        <v>200</v>
      </c>
      <c r="D28" s="587">
        <f t="shared" ref="D28:N28" si="9">IF(AND(D24&lt;=$I$15,D24&gt;=$H$15),$J$15,0)</f>
        <v>200</v>
      </c>
      <c r="E28" s="587">
        <f t="shared" si="9"/>
        <v>200</v>
      </c>
      <c r="F28" s="587">
        <f t="shared" si="9"/>
        <v>200</v>
      </c>
      <c r="G28" s="587">
        <f t="shared" si="9"/>
        <v>200</v>
      </c>
      <c r="H28" s="587">
        <f t="shared" si="9"/>
        <v>200</v>
      </c>
      <c r="I28" s="587">
        <f t="shared" si="9"/>
        <v>200</v>
      </c>
      <c r="J28" s="587">
        <f t="shared" si="9"/>
        <v>200</v>
      </c>
      <c r="K28" s="587">
        <f t="shared" si="9"/>
        <v>200</v>
      </c>
      <c r="L28" s="587">
        <f t="shared" si="9"/>
        <v>200</v>
      </c>
      <c r="M28" s="587">
        <f t="shared" si="9"/>
        <v>200</v>
      </c>
      <c r="N28" s="610">
        <f t="shared" si="9"/>
        <v>200</v>
      </c>
      <c r="P28" s="519"/>
      <c r="Q28" s="519"/>
      <c r="U28" s="586"/>
      <c r="V28" s="418"/>
      <c r="X28" s="417"/>
      <c r="Z28" s="507"/>
      <c r="AB28" s="583"/>
      <c r="AC28" s="416">
        <v>13</v>
      </c>
      <c r="AD28" s="583">
        <v>37257</v>
      </c>
      <c r="AE28" s="1444">
        <v>14</v>
      </c>
      <c r="AF28" s="1398"/>
      <c r="AG28" s="417"/>
      <c r="AH28" s="417"/>
      <c r="AI28" s="417"/>
      <c r="AJ28" s="417"/>
      <c r="AK28" s="417"/>
      <c r="AL28" s="417"/>
      <c r="AM28" s="417"/>
      <c r="AN28" s="417"/>
      <c r="AO28" s="417"/>
      <c r="AP28" s="417"/>
      <c r="AQ28" s="417"/>
      <c r="AR28" s="417"/>
      <c r="AS28" s="417"/>
      <c r="AT28" s="417"/>
      <c r="AU28" s="417"/>
      <c r="AV28" s="417"/>
      <c r="AW28" s="417"/>
      <c r="AX28" s="417"/>
      <c r="AY28" s="417"/>
      <c r="AZ28" s="417"/>
      <c r="BA28" s="417"/>
      <c r="BB28" s="417"/>
      <c r="BC28" s="417"/>
      <c r="BD28" s="417"/>
      <c r="BE28" s="417"/>
      <c r="BF28" s="417"/>
      <c r="BG28" s="417"/>
      <c r="BH28" s="417"/>
      <c r="BI28" s="417"/>
      <c r="BJ28" s="417"/>
      <c r="BK28" s="417"/>
    </row>
    <row r="29" spans="2:63" s="416" customFormat="1" ht="15" customHeight="1" x14ac:dyDescent="0.2">
      <c r="B29" s="412">
        <f t="shared" si="8"/>
        <v>4</v>
      </c>
      <c r="C29" s="609">
        <f>IF(AND(C24&lt;=$I$16,C24&gt;=$H$16),$J$16,0)</f>
        <v>774</v>
      </c>
      <c r="D29" s="587">
        <f t="shared" ref="D29:N29" si="10">IF(AND(D24&lt;=$I$16,D24&gt;=$H$16),$J$16,0)</f>
        <v>774</v>
      </c>
      <c r="E29" s="587">
        <f t="shared" si="10"/>
        <v>774</v>
      </c>
      <c r="F29" s="587">
        <f t="shared" si="10"/>
        <v>774</v>
      </c>
      <c r="G29" s="587">
        <f t="shared" si="10"/>
        <v>774</v>
      </c>
      <c r="H29" s="587">
        <f t="shared" si="10"/>
        <v>774</v>
      </c>
      <c r="I29" s="587">
        <f>IF(AND(I24&lt;=$I$16,I24&gt;=$H$16),$J$16,0)</f>
        <v>774</v>
      </c>
      <c r="J29" s="587">
        <f t="shared" si="10"/>
        <v>774</v>
      </c>
      <c r="K29" s="587">
        <f t="shared" si="10"/>
        <v>774</v>
      </c>
      <c r="L29" s="587">
        <f t="shared" si="10"/>
        <v>774</v>
      </c>
      <c r="M29" s="587">
        <f t="shared" si="10"/>
        <v>774</v>
      </c>
      <c r="N29" s="610">
        <f t="shared" si="10"/>
        <v>774</v>
      </c>
      <c r="P29" s="519"/>
      <c r="Q29" s="519"/>
      <c r="U29" s="586"/>
      <c r="V29" s="418"/>
      <c r="X29" s="417"/>
      <c r="Z29" s="507"/>
      <c r="AB29" s="583"/>
      <c r="AC29" s="416">
        <v>14</v>
      </c>
      <c r="AD29" s="583">
        <v>37288</v>
      </c>
      <c r="AE29" s="1444">
        <v>15</v>
      </c>
      <c r="AF29" s="417"/>
      <c r="AG29" s="417"/>
      <c r="AH29" s="417"/>
      <c r="AI29" s="417"/>
      <c r="AJ29" s="417"/>
      <c r="AK29" s="417"/>
      <c r="AL29" s="417"/>
      <c r="AM29" s="417"/>
      <c r="AN29" s="417"/>
      <c r="AO29" s="417"/>
      <c r="AP29" s="417"/>
      <c r="AQ29" s="417"/>
      <c r="AR29" s="417"/>
      <c r="AS29" s="417"/>
      <c r="AT29" s="417"/>
      <c r="AU29" s="417"/>
      <c r="AV29" s="417"/>
      <c r="AW29" s="417"/>
      <c r="AX29" s="417"/>
      <c r="AY29" s="417"/>
      <c r="AZ29" s="417"/>
      <c r="BA29" s="417"/>
      <c r="BB29" s="417"/>
      <c r="BC29" s="417"/>
      <c r="BD29" s="417"/>
      <c r="BE29" s="417"/>
      <c r="BF29" s="417"/>
      <c r="BG29" s="417"/>
      <c r="BH29" s="417"/>
      <c r="BI29" s="417"/>
      <c r="BJ29" s="417"/>
      <c r="BK29" s="417"/>
    </row>
    <row r="30" spans="2:63" s="416" customFormat="1" ht="15" customHeight="1" x14ac:dyDescent="0.2">
      <c r="B30" s="412">
        <f t="shared" si="8"/>
        <v>1</v>
      </c>
      <c r="C30" s="609">
        <f>IF(AND(C24&lt;=$I$17,C24&gt;=$H$17),$J$17,0)</f>
        <v>0</v>
      </c>
      <c r="D30" s="587">
        <f t="shared" ref="D30:N30" si="11">IF(AND(D24&lt;=$I$17,D24&gt;=$H$17),$J$17,0)</f>
        <v>0</v>
      </c>
      <c r="E30" s="587">
        <f t="shared" si="11"/>
        <v>0</v>
      </c>
      <c r="F30" s="587">
        <f t="shared" si="11"/>
        <v>0</v>
      </c>
      <c r="G30" s="587">
        <f t="shared" si="11"/>
        <v>0</v>
      </c>
      <c r="H30" s="587">
        <f t="shared" si="11"/>
        <v>0</v>
      </c>
      <c r="I30" s="587">
        <f t="shared" si="11"/>
        <v>0</v>
      </c>
      <c r="J30" s="587">
        <f t="shared" si="11"/>
        <v>0</v>
      </c>
      <c r="K30" s="587">
        <f t="shared" si="11"/>
        <v>0</v>
      </c>
      <c r="L30" s="587">
        <f t="shared" si="11"/>
        <v>0</v>
      </c>
      <c r="M30" s="587">
        <f t="shared" si="11"/>
        <v>0</v>
      </c>
      <c r="N30" s="610">
        <f t="shared" si="11"/>
        <v>0</v>
      </c>
      <c r="P30" s="519"/>
      <c r="Q30" s="519"/>
      <c r="U30" s="586"/>
      <c r="V30" s="418"/>
      <c r="X30" s="417"/>
      <c r="Z30" s="507"/>
      <c r="AB30" s="583"/>
      <c r="AC30" s="416">
        <v>15</v>
      </c>
      <c r="AD30" s="583">
        <v>37316</v>
      </c>
      <c r="AE30" s="1444">
        <v>16</v>
      </c>
      <c r="AF30" s="417"/>
      <c r="AG30" s="417"/>
      <c r="AH30" s="417"/>
      <c r="AI30" s="417"/>
      <c r="AJ30" s="417"/>
      <c r="AK30" s="417"/>
      <c r="AL30" s="417"/>
      <c r="AM30" s="417"/>
      <c r="AN30" s="417"/>
      <c r="AO30" s="417"/>
      <c r="AP30" s="417"/>
      <c r="AQ30" s="417"/>
      <c r="AR30" s="417"/>
      <c r="AS30" s="417"/>
      <c r="AT30" s="417"/>
      <c r="AU30" s="417"/>
      <c r="AV30" s="417"/>
      <c r="AW30" s="417"/>
      <c r="AX30" s="417"/>
      <c r="AY30" s="417"/>
      <c r="AZ30" s="417"/>
      <c r="BA30" s="417"/>
      <c r="BB30" s="417"/>
      <c r="BC30" s="417"/>
      <c r="BD30" s="417"/>
      <c r="BE30" s="417"/>
      <c r="BF30" s="417"/>
      <c r="BG30" s="417"/>
      <c r="BH30" s="417"/>
      <c r="BI30" s="417"/>
      <c r="BJ30" s="417"/>
      <c r="BK30" s="417"/>
    </row>
    <row r="31" spans="2:63" s="416" customFormat="1" ht="15" customHeight="1" x14ac:dyDescent="0.2">
      <c r="B31" s="412">
        <f t="shared" si="8"/>
        <v>1</v>
      </c>
      <c r="C31" s="609">
        <f>IF(AND(C24&lt;=$I$18,C24&gt;=$H$18),$J$18,0)</f>
        <v>0</v>
      </c>
      <c r="D31" s="587">
        <f t="shared" ref="D31:N31" si="12">IF(AND(D24&lt;=$I$18,D24&gt;=$H$18),$J$18,0)</f>
        <v>0</v>
      </c>
      <c r="E31" s="587">
        <f t="shared" si="12"/>
        <v>0</v>
      </c>
      <c r="F31" s="587">
        <f t="shared" si="12"/>
        <v>0</v>
      </c>
      <c r="G31" s="587">
        <f t="shared" si="12"/>
        <v>0</v>
      </c>
      <c r="H31" s="587">
        <f t="shared" si="12"/>
        <v>0</v>
      </c>
      <c r="I31" s="587">
        <f t="shared" si="12"/>
        <v>0</v>
      </c>
      <c r="J31" s="587">
        <f t="shared" si="12"/>
        <v>0</v>
      </c>
      <c r="K31" s="587">
        <f t="shared" si="12"/>
        <v>0</v>
      </c>
      <c r="L31" s="587">
        <f t="shared" si="12"/>
        <v>0</v>
      </c>
      <c r="M31" s="587">
        <f t="shared" si="12"/>
        <v>0</v>
      </c>
      <c r="N31" s="610">
        <f t="shared" si="12"/>
        <v>0</v>
      </c>
      <c r="P31" s="519"/>
      <c r="Q31" s="519"/>
      <c r="U31" s="586"/>
      <c r="V31" s="418"/>
      <c r="X31" s="417"/>
      <c r="Z31" s="507"/>
      <c r="AB31" s="583"/>
      <c r="AC31" s="416">
        <v>16</v>
      </c>
      <c r="AD31" s="583">
        <v>37347</v>
      </c>
      <c r="AE31" s="1444">
        <v>17</v>
      </c>
      <c r="AF31" s="417"/>
      <c r="AG31" s="417"/>
      <c r="AH31" s="417"/>
      <c r="AI31" s="417"/>
      <c r="AJ31" s="417"/>
      <c r="AK31" s="417"/>
      <c r="AL31" s="417"/>
      <c r="AM31" s="417"/>
      <c r="AN31" s="417"/>
      <c r="AO31" s="417"/>
      <c r="AP31" s="417"/>
      <c r="AQ31" s="417"/>
      <c r="AR31" s="417"/>
      <c r="AS31" s="417"/>
      <c r="AT31" s="417"/>
      <c r="AU31" s="417"/>
      <c r="AV31" s="417"/>
      <c r="AW31" s="417"/>
      <c r="AX31" s="417"/>
      <c r="AY31" s="417"/>
      <c r="AZ31" s="417"/>
      <c r="BA31" s="417"/>
      <c r="BB31" s="417"/>
      <c r="BC31" s="417"/>
      <c r="BD31" s="417"/>
      <c r="BE31" s="417"/>
      <c r="BF31" s="417"/>
      <c r="BG31" s="417"/>
      <c r="BH31" s="417"/>
      <c r="BI31" s="417"/>
      <c r="BJ31" s="417"/>
      <c r="BK31" s="417"/>
    </row>
    <row r="32" spans="2:63" s="416" customFormat="1" ht="15" customHeight="1" x14ac:dyDescent="0.2">
      <c r="B32" s="412">
        <f t="shared" si="8"/>
        <v>1</v>
      </c>
      <c r="C32" s="609">
        <f>IF(AND(C24&lt;=$I$19,C24&gt;=$H$19),$J$19,0)</f>
        <v>0</v>
      </c>
      <c r="D32" s="587">
        <f t="shared" ref="D32:N32" si="13">IF(AND(D24&lt;=$I$19,D24&gt;=$H$19),$J$19,0)</f>
        <v>0</v>
      </c>
      <c r="E32" s="587">
        <f t="shared" si="13"/>
        <v>0</v>
      </c>
      <c r="F32" s="587">
        <f t="shared" si="13"/>
        <v>0</v>
      </c>
      <c r="G32" s="587">
        <f t="shared" si="13"/>
        <v>0</v>
      </c>
      <c r="H32" s="587">
        <f t="shared" si="13"/>
        <v>0</v>
      </c>
      <c r="I32" s="587">
        <f t="shared" si="13"/>
        <v>0</v>
      </c>
      <c r="J32" s="587">
        <f t="shared" si="13"/>
        <v>0</v>
      </c>
      <c r="K32" s="587">
        <f t="shared" si="13"/>
        <v>0</v>
      </c>
      <c r="L32" s="587">
        <f t="shared" si="13"/>
        <v>0</v>
      </c>
      <c r="M32" s="587">
        <f t="shared" si="13"/>
        <v>0</v>
      </c>
      <c r="N32" s="610">
        <f t="shared" si="13"/>
        <v>0</v>
      </c>
      <c r="P32" s="417"/>
      <c r="R32" s="507"/>
      <c r="S32" s="507"/>
      <c r="T32" s="507"/>
      <c r="U32" s="417"/>
      <c r="V32" s="417"/>
      <c r="W32" s="417"/>
      <c r="X32" s="507"/>
      <c r="Y32" s="417"/>
      <c r="AB32" s="583"/>
      <c r="AC32" s="416">
        <v>17</v>
      </c>
      <c r="AD32" s="583">
        <v>37377</v>
      </c>
      <c r="AE32" s="1444">
        <v>18</v>
      </c>
      <c r="AF32" s="417"/>
      <c r="AG32" s="417"/>
      <c r="AH32" s="417"/>
      <c r="AI32" s="417"/>
      <c r="AJ32" s="417"/>
      <c r="AK32" s="417"/>
      <c r="AL32" s="417"/>
      <c r="AM32" s="417"/>
      <c r="AN32" s="417"/>
      <c r="AO32" s="417"/>
      <c r="AP32" s="417"/>
      <c r="AQ32" s="417"/>
      <c r="AR32" s="417"/>
      <c r="AS32" s="417"/>
      <c r="AT32" s="417"/>
      <c r="AU32" s="417"/>
      <c r="AV32" s="417"/>
      <c r="AW32" s="417"/>
      <c r="AX32" s="417"/>
      <c r="AY32" s="417"/>
      <c r="AZ32" s="417"/>
      <c r="BA32" s="417"/>
      <c r="BB32" s="417"/>
      <c r="BC32" s="417"/>
      <c r="BD32" s="417"/>
      <c r="BE32" s="417"/>
      <c r="BF32" s="417"/>
      <c r="BG32" s="417"/>
      <c r="BH32" s="417"/>
      <c r="BI32" s="417"/>
      <c r="BJ32" s="417"/>
      <c r="BK32" s="417"/>
    </row>
    <row r="33" spans="2:65" s="416" customFormat="1" ht="15" customHeight="1" x14ac:dyDescent="0.2">
      <c r="B33" s="412">
        <f t="shared" si="8"/>
        <v>1</v>
      </c>
      <c r="C33" s="609">
        <f>IF(AND(C24&lt;=$I$20,C24&gt;=$H$20),$J$20,0)</f>
        <v>0</v>
      </c>
      <c r="D33" s="587">
        <f t="shared" ref="D33:N33" si="14">IF(AND(D24&lt;=$I$20,D24&gt;=$H$20),$J$20,0)</f>
        <v>0</v>
      </c>
      <c r="E33" s="587">
        <f t="shared" si="14"/>
        <v>0</v>
      </c>
      <c r="F33" s="587">
        <f t="shared" si="14"/>
        <v>0</v>
      </c>
      <c r="G33" s="587">
        <f t="shared" si="14"/>
        <v>0</v>
      </c>
      <c r="H33" s="587">
        <f t="shared" si="14"/>
        <v>0</v>
      </c>
      <c r="I33" s="587">
        <f t="shared" si="14"/>
        <v>0</v>
      </c>
      <c r="J33" s="587">
        <f t="shared" si="14"/>
        <v>0</v>
      </c>
      <c r="K33" s="587">
        <f t="shared" si="14"/>
        <v>0</v>
      </c>
      <c r="L33" s="587">
        <f t="shared" si="14"/>
        <v>0</v>
      </c>
      <c r="M33" s="587">
        <f t="shared" si="14"/>
        <v>0</v>
      </c>
      <c r="N33" s="610">
        <f t="shared" si="14"/>
        <v>0</v>
      </c>
      <c r="O33" s="417"/>
      <c r="P33" s="417"/>
      <c r="R33" s="507"/>
      <c r="S33" s="507"/>
      <c r="T33" s="507"/>
      <c r="U33" s="417"/>
      <c r="V33" s="417"/>
      <c r="W33" s="417"/>
      <c r="X33" s="507"/>
      <c r="Y33" s="417"/>
      <c r="AB33" s="583"/>
      <c r="AC33" s="416">
        <v>18</v>
      </c>
      <c r="AD33" s="583">
        <v>37408</v>
      </c>
      <c r="AE33" s="1444">
        <v>19</v>
      </c>
    </row>
    <row r="34" spans="2:65" s="416" customFormat="1" ht="15" customHeight="1" x14ac:dyDescent="0.2">
      <c r="B34" s="412">
        <f t="shared" si="8"/>
        <v>1</v>
      </c>
      <c r="C34" s="609">
        <f>IF(AND(C24&lt;=$I$21,C24&gt;=$H$21),$J$21,0)</f>
        <v>0</v>
      </c>
      <c r="D34" s="587">
        <f t="shared" ref="D34:N34" si="15">IF(AND(D24&lt;=$I$21,D24&gt;=$H$21),$J$21,0)</f>
        <v>0</v>
      </c>
      <c r="E34" s="587">
        <f t="shared" si="15"/>
        <v>0</v>
      </c>
      <c r="F34" s="587">
        <f t="shared" si="15"/>
        <v>0</v>
      </c>
      <c r="G34" s="587">
        <f t="shared" si="15"/>
        <v>0</v>
      </c>
      <c r="H34" s="587">
        <f t="shared" si="15"/>
        <v>0</v>
      </c>
      <c r="I34" s="587">
        <f t="shared" si="15"/>
        <v>0</v>
      </c>
      <c r="J34" s="587">
        <f t="shared" si="15"/>
        <v>0</v>
      </c>
      <c r="K34" s="587">
        <f t="shared" si="15"/>
        <v>0</v>
      </c>
      <c r="L34" s="587">
        <f t="shared" si="15"/>
        <v>0</v>
      </c>
      <c r="M34" s="587">
        <f t="shared" si="15"/>
        <v>0</v>
      </c>
      <c r="N34" s="610">
        <f t="shared" si="15"/>
        <v>0</v>
      </c>
      <c r="O34" s="417"/>
      <c r="P34" s="417"/>
      <c r="R34" s="507"/>
      <c r="S34" s="507"/>
      <c r="T34" s="507"/>
      <c r="U34" s="417"/>
      <c r="V34" s="417"/>
      <c r="W34" s="417"/>
      <c r="X34" s="507"/>
      <c r="Y34" s="417"/>
      <c r="AB34" s="583"/>
      <c r="AC34" s="416">
        <v>19</v>
      </c>
      <c r="AD34" s="583">
        <v>37438</v>
      </c>
      <c r="AE34" s="1444">
        <v>20</v>
      </c>
    </row>
    <row r="35" spans="2:65" s="416" customFormat="1" ht="15" customHeight="1" thickBot="1" x14ac:dyDescent="0.25">
      <c r="B35" s="412">
        <f t="shared" si="8"/>
        <v>1</v>
      </c>
      <c r="C35" s="611">
        <f>IF(AND(C24&lt;=$I$22,C24&gt;=$H$17),$J$22,0)</f>
        <v>0</v>
      </c>
      <c r="D35" s="612">
        <f t="shared" ref="D35:N35" si="16">IF(AND(D24&lt;=$I$22,D24&gt;=$H$17),$J$22,0)</f>
        <v>0</v>
      </c>
      <c r="E35" s="612">
        <f t="shared" si="16"/>
        <v>0</v>
      </c>
      <c r="F35" s="612">
        <f t="shared" si="16"/>
        <v>0</v>
      </c>
      <c r="G35" s="612">
        <f t="shared" si="16"/>
        <v>0</v>
      </c>
      <c r="H35" s="612">
        <f t="shared" si="16"/>
        <v>0</v>
      </c>
      <c r="I35" s="612">
        <f t="shared" si="16"/>
        <v>0</v>
      </c>
      <c r="J35" s="612">
        <f t="shared" si="16"/>
        <v>0</v>
      </c>
      <c r="K35" s="612">
        <f t="shared" si="16"/>
        <v>0</v>
      </c>
      <c r="L35" s="612">
        <f t="shared" si="16"/>
        <v>0</v>
      </c>
      <c r="M35" s="612">
        <f t="shared" si="16"/>
        <v>0</v>
      </c>
      <c r="N35" s="613">
        <f t="shared" si="16"/>
        <v>0</v>
      </c>
      <c r="O35" s="417"/>
      <c r="P35" s="417"/>
      <c r="R35" s="507"/>
      <c r="S35" s="507"/>
      <c r="T35" s="507"/>
      <c r="U35" s="417"/>
      <c r="V35" s="417"/>
      <c r="W35" s="417"/>
      <c r="X35" s="507"/>
      <c r="Y35" s="417"/>
      <c r="AB35" s="583"/>
      <c r="AC35" s="416">
        <v>20</v>
      </c>
      <c r="AD35" s="583">
        <v>37469</v>
      </c>
      <c r="AE35" s="1444">
        <v>21</v>
      </c>
    </row>
    <row r="36" spans="2:65" s="416" customFormat="1" ht="15" customHeight="1" x14ac:dyDescent="0.2">
      <c r="B36" s="412">
        <f>F14</f>
        <v>2</v>
      </c>
      <c r="C36" s="616">
        <f>IF(AND(C25&lt;=$I$14,C25&gt;=$H$14),$J$14,0)</f>
        <v>0</v>
      </c>
      <c r="D36" s="617">
        <f t="shared" ref="D36:N36" si="17">IF(AND(D25&lt;=$I$14,D25&gt;=$H$14),$J$14,0)</f>
        <v>0</v>
      </c>
      <c r="E36" s="617">
        <f t="shared" si="17"/>
        <v>0</v>
      </c>
      <c r="F36" s="617">
        <f t="shared" si="17"/>
        <v>0</v>
      </c>
      <c r="G36" s="617">
        <f t="shared" si="17"/>
        <v>0</v>
      </c>
      <c r="H36" s="617">
        <f t="shared" si="17"/>
        <v>0</v>
      </c>
      <c r="I36" s="617">
        <f t="shared" si="17"/>
        <v>0</v>
      </c>
      <c r="J36" s="617">
        <f t="shared" si="17"/>
        <v>0</v>
      </c>
      <c r="K36" s="617">
        <f t="shared" si="17"/>
        <v>0</v>
      </c>
      <c r="L36" s="617">
        <f t="shared" si="17"/>
        <v>0</v>
      </c>
      <c r="M36" s="617">
        <f t="shared" si="17"/>
        <v>0</v>
      </c>
      <c r="N36" s="618">
        <f t="shared" si="17"/>
        <v>0</v>
      </c>
      <c r="O36" s="417"/>
      <c r="P36" s="417"/>
      <c r="R36" s="507"/>
      <c r="S36" s="507"/>
      <c r="T36" s="507"/>
      <c r="U36" s="417"/>
      <c r="V36" s="417"/>
      <c r="W36" s="417"/>
      <c r="X36" s="507"/>
      <c r="Y36" s="417"/>
      <c r="AB36" s="583"/>
      <c r="AC36" s="416">
        <v>21</v>
      </c>
      <c r="AD36" s="583">
        <v>37500</v>
      </c>
      <c r="AE36" s="1444">
        <v>22</v>
      </c>
      <c r="AF36" s="417"/>
      <c r="AG36" s="417"/>
      <c r="AH36" s="417"/>
      <c r="AI36" s="417"/>
      <c r="AJ36" s="417"/>
      <c r="AK36" s="417"/>
      <c r="AL36" s="417"/>
      <c r="AM36" s="417"/>
      <c r="AN36" s="417"/>
      <c r="AO36" s="417"/>
      <c r="AP36" s="417"/>
      <c r="AQ36" s="417"/>
      <c r="AR36" s="417"/>
      <c r="AS36" s="417"/>
      <c r="AT36" s="417"/>
      <c r="AU36" s="417"/>
      <c r="AV36" s="417"/>
      <c r="AW36" s="417"/>
      <c r="AX36" s="417"/>
      <c r="AY36" s="417"/>
      <c r="AZ36" s="417"/>
      <c r="BA36" s="417"/>
      <c r="BB36" s="417"/>
      <c r="BC36" s="417"/>
      <c r="BD36" s="417"/>
      <c r="BE36" s="417"/>
      <c r="BF36" s="417"/>
      <c r="BG36" s="417"/>
      <c r="BH36" s="417"/>
      <c r="BI36" s="417"/>
      <c r="BJ36" s="417"/>
      <c r="BK36" s="417"/>
    </row>
    <row r="37" spans="2:65" s="416" customFormat="1" ht="15" customHeight="1" x14ac:dyDescent="0.2">
      <c r="B37" s="412">
        <f t="shared" ref="B37:B44" si="18">F15</f>
        <v>3</v>
      </c>
      <c r="C37" s="609">
        <f>IF(AND(C25&lt;=$I$15,C25&gt;=$H$15),$J$15,0)</f>
        <v>0</v>
      </c>
      <c r="D37" s="587">
        <f t="shared" ref="D37:N37" si="19">IF(AND(D25&lt;=$I$15,D25&gt;=$H$15),$J$15,0)</f>
        <v>0</v>
      </c>
      <c r="E37" s="587">
        <f t="shared" si="19"/>
        <v>0</v>
      </c>
      <c r="F37" s="587">
        <f t="shared" si="19"/>
        <v>0</v>
      </c>
      <c r="G37" s="587">
        <f t="shared" si="19"/>
        <v>0</v>
      </c>
      <c r="H37" s="587">
        <f t="shared" si="19"/>
        <v>0</v>
      </c>
      <c r="I37" s="587">
        <f t="shared" si="19"/>
        <v>0</v>
      </c>
      <c r="J37" s="587">
        <f t="shared" si="19"/>
        <v>0</v>
      </c>
      <c r="K37" s="587">
        <f t="shared" si="19"/>
        <v>0</v>
      </c>
      <c r="L37" s="587">
        <f t="shared" si="19"/>
        <v>0</v>
      </c>
      <c r="M37" s="587">
        <f t="shared" si="19"/>
        <v>0</v>
      </c>
      <c r="N37" s="610">
        <f t="shared" si="19"/>
        <v>0</v>
      </c>
      <c r="O37" s="417"/>
      <c r="P37" s="417"/>
      <c r="R37" s="507"/>
      <c r="S37" s="507"/>
      <c r="T37" s="507"/>
      <c r="U37" s="417"/>
      <c r="V37" s="417"/>
      <c r="W37" s="417"/>
      <c r="X37" s="507"/>
      <c r="Y37" s="417"/>
      <c r="AB37" s="583"/>
      <c r="AC37" s="416">
        <v>22</v>
      </c>
      <c r="AD37" s="583">
        <v>37530</v>
      </c>
      <c r="AE37" s="1444">
        <v>23</v>
      </c>
      <c r="AF37" s="417"/>
      <c r="AG37" s="417"/>
      <c r="AH37" s="417"/>
      <c r="AI37" s="417"/>
      <c r="AJ37" s="417"/>
      <c r="AK37" s="417"/>
      <c r="AL37" s="417"/>
      <c r="AM37" s="417"/>
      <c r="AN37" s="417"/>
      <c r="AO37" s="417"/>
      <c r="AP37" s="417"/>
      <c r="AQ37" s="417"/>
      <c r="AR37" s="417"/>
      <c r="AS37" s="417"/>
      <c r="AT37" s="417"/>
      <c r="AU37" s="417"/>
      <c r="AV37" s="417"/>
      <c r="AW37" s="417"/>
      <c r="AX37" s="417"/>
      <c r="AY37" s="417"/>
      <c r="AZ37" s="417"/>
      <c r="BA37" s="417"/>
      <c r="BB37" s="417"/>
      <c r="BC37" s="417"/>
      <c r="BD37" s="417"/>
      <c r="BE37" s="417"/>
      <c r="BF37" s="417"/>
      <c r="BG37" s="417"/>
      <c r="BH37" s="417"/>
      <c r="BI37" s="417"/>
      <c r="BJ37" s="417"/>
      <c r="BK37" s="417"/>
    </row>
    <row r="38" spans="2:65" s="416" customFormat="1" ht="15" customHeight="1" x14ac:dyDescent="0.2">
      <c r="B38" s="412">
        <f t="shared" si="18"/>
        <v>4</v>
      </c>
      <c r="C38" s="609">
        <f>IF(AND(C25&lt;=$I$16,C25&gt;=$H$16),$J$16,0)</f>
        <v>0</v>
      </c>
      <c r="D38" s="587">
        <f t="shared" ref="D38:N38" si="20">IF(AND(D25&lt;=$I$16,D25&gt;=$H$16),$J$16,0)</f>
        <v>0</v>
      </c>
      <c r="E38" s="587">
        <f t="shared" si="20"/>
        <v>0</v>
      </c>
      <c r="F38" s="587">
        <f t="shared" si="20"/>
        <v>0</v>
      </c>
      <c r="G38" s="587">
        <f t="shared" si="20"/>
        <v>0</v>
      </c>
      <c r="H38" s="587">
        <f t="shared" si="20"/>
        <v>0</v>
      </c>
      <c r="I38" s="587">
        <f t="shared" si="20"/>
        <v>0</v>
      </c>
      <c r="J38" s="587">
        <f t="shared" si="20"/>
        <v>0</v>
      </c>
      <c r="K38" s="587">
        <f t="shared" si="20"/>
        <v>0</v>
      </c>
      <c r="L38" s="587">
        <f t="shared" si="20"/>
        <v>0</v>
      </c>
      <c r="M38" s="587">
        <f t="shared" si="20"/>
        <v>0</v>
      </c>
      <c r="N38" s="610">
        <f t="shared" si="20"/>
        <v>0</v>
      </c>
      <c r="P38" s="417"/>
      <c r="R38" s="507"/>
      <c r="S38" s="507"/>
      <c r="T38" s="507"/>
      <c r="U38" s="417"/>
      <c r="V38" s="417"/>
      <c r="W38" s="417"/>
      <c r="X38" s="507"/>
      <c r="Y38" s="417"/>
      <c r="AB38" s="583"/>
      <c r="AC38" s="416">
        <v>23</v>
      </c>
      <c r="AD38" s="583">
        <v>37561</v>
      </c>
      <c r="AE38" s="1444">
        <v>24</v>
      </c>
      <c r="AF38" s="417"/>
      <c r="AG38" s="417"/>
      <c r="AH38" s="417"/>
      <c r="AI38" s="417"/>
      <c r="AJ38" s="417"/>
      <c r="AK38" s="417"/>
      <c r="AL38" s="417"/>
      <c r="AM38" s="417"/>
      <c r="AN38" s="417"/>
      <c r="AO38" s="417"/>
      <c r="AP38" s="417"/>
      <c r="AQ38" s="417"/>
      <c r="AR38" s="417"/>
      <c r="AS38" s="417"/>
      <c r="AT38" s="417"/>
      <c r="AU38" s="417"/>
      <c r="AV38" s="417"/>
      <c r="AW38" s="417"/>
      <c r="AX38" s="417"/>
      <c r="AY38" s="417"/>
      <c r="AZ38" s="417"/>
      <c r="BA38" s="417"/>
      <c r="BB38" s="417"/>
      <c r="BC38" s="417"/>
      <c r="BD38" s="417"/>
      <c r="BE38" s="417"/>
      <c r="BF38" s="417"/>
      <c r="BG38" s="417"/>
      <c r="BH38" s="417"/>
      <c r="BI38" s="417"/>
      <c r="BJ38" s="417"/>
      <c r="BK38" s="417"/>
    </row>
    <row r="39" spans="2:65" s="416" customFormat="1" ht="15" customHeight="1" x14ac:dyDescent="0.2">
      <c r="B39" s="412">
        <f t="shared" si="18"/>
        <v>1</v>
      </c>
      <c r="C39" s="609">
        <f>IF(AND(C25&lt;=$I$17,C25&gt;=$H$17),$J$17,0)</f>
        <v>0</v>
      </c>
      <c r="D39" s="587">
        <f t="shared" ref="D39:N39" si="21">IF(AND(D25&lt;=$I$17,D25&gt;=$H$17),$J$17,0)</f>
        <v>0</v>
      </c>
      <c r="E39" s="587">
        <f t="shared" si="21"/>
        <v>0</v>
      </c>
      <c r="F39" s="587">
        <f t="shared" si="21"/>
        <v>0</v>
      </c>
      <c r="G39" s="587">
        <f t="shared" si="21"/>
        <v>0</v>
      </c>
      <c r="H39" s="587">
        <f t="shared" si="21"/>
        <v>0</v>
      </c>
      <c r="I39" s="587">
        <f t="shared" si="21"/>
        <v>0</v>
      </c>
      <c r="J39" s="587">
        <f t="shared" si="21"/>
        <v>0</v>
      </c>
      <c r="K39" s="587">
        <f t="shared" si="21"/>
        <v>0</v>
      </c>
      <c r="L39" s="587">
        <f t="shared" si="21"/>
        <v>0</v>
      </c>
      <c r="M39" s="587">
        <f t="shared" si="21"/>
        <v>0</v>
      </c>
      <c r="N39" s="610">
        <f t="shared" si="21"/>
        <v>0</v>
      </c>
      <c r="P39" s="417"/>
      <c r="R39" s="507"/>
      <c r="S39" s="507"/>
      <c r="T39" s="507"/>
      <c r="U39" s="417"/>
      <c r="V39" s="417"/>
      <c r="W39" s="417"/>
      <c r="X39" s="507"/>
      <c r="Y39" s="417"/>
      <c r="AB39" s="583"/>
      <c r="AC39" s="416">
        <v>24</v>
      </c>
      <c r="AD39" s="583">
        <v>37591</v>
      </c>
      <c r="AE39" s="1444">
        <v>25</v>
      </c>
      <c r="AF39" s="417"/>
      <c r="AG39" s="417"/>
      <c r="AH39" s="417"/>
      <c r="AI39" s="417"/>
      <c r="AJ39" s="417"/>
      <c r="AK39" s="417"/>
      <c r="AL39" s="417"/>
      <c r="AM39" s="417"/>
      <c r="AN39" s="417"/>
      <c r="AO39" s="417"/>
      <c r="AP39" s="417"/>
      <c r="AQ39" s="417"/>
      <c r="AR39" s="417"/>
      <c r="AS39" s="417"/>
      <c r="AT39" s="417"/>
      <c r="AU39" s="417"/>
      <c r="AV39" s="417"/>
      <c r="AW39" s="417"/>
      <c r="AX39" s="417"/>
      <c r="AY39" s="417"/>
      <c r="AZ39" s="417"/>
      <c r="BA39" s="417"/>
      <c r="BB39" s="417"/>
      <c r="BC39" s="417"/>
      <c r="BD39" s="417"/>
      <c r="BE39" s="417"/>
      <c r="BF39" s="417"/>
      <c r="BG39" s="417"/>
      <c r="BH39" s="417"/>
      <c r="BI39" s="417"/>
      <c r="BJ39" s="417"/>
      <c r="BK39" s="417"/>
    </row>
    <row r="40" spans="2:65" s="416" customFormat="1" ht="15" customHeight="1" x14ac:dyDescent="0.2">
      <c r="B40" s="412">
        <f t="shared" si="18"/>
        <v>1</v>
      </c>
      <c r="C40" s="609">
        <f>IF(AND(C25&lt;=$I$18,C25&gt;=$H$18),$J$18,0)</f>
        <v>0</v>
      </c>
      <c r="D40" s="587">
        <f t="shared" ref="D40:N40" si="22">IF(AND(D25&lt;=$I$18,D25&gt;=$H$18),$J$18,0)</f>
        <v>0</v>
      </c>
      <c r="E40" s="587">
        <f t="shared" si="22"/>
        <v>0</v>
      </c>
      <c r="F40" s="587">
        <f t="shared" si="22"/>
        <v>0</v>
      </c>
      <c r="G40" s="587">
        <f t="shared" si="22"/>
        <v>0</v>
      </c>
      <c r="H40" s="587">
        <f t="shared" si="22"/>
        <v>0</v>
      </c>
      <c r="I40" s="587">
        <f t="shared" si="22"/>
        <v>0</v>
      </c>
      <c r="J40" s="587">
        <f t="shared" si="22"/>
        <v>0</v>
      </c>
      <c r="K40" s="587">
        <f t="shared" si="22"/>
        <v>0</v>
      </c>
      <c r="L40" s="587">
        <f t="shared" si="22"/>
        <v>0</v>
      </c>
      <c r="M40" s="587">
        <f t="shared" si="22"/>
        <v>0</v>
      </c>
      <c r="N40" s="610">
        <f t="shared" si="22"/>
        <v>0</v>
      </c>
      <c r="P40" s="417"/>
      <c r="R40" s="507"/>
      <c r="S40" s="507"/>
      <c r="T40" s="507"/>
      <c r="U40" s="417"/>
      <c r="V40" s="417"/>
      <c r="W40" s="417"/>
      <c r="X40" s="507"/>
      <c r="Y40" s="417"/>
      <c r="AB40" s="583"/>
      <c r="AC40" s="417"/>
      <c r="AD40" s="417"/>
      <c r="AE40" s="1444">
        <v>26</v>
      </c>
      <c r="AF40" s="417"/>
      <c r="AG40" s="417"/>
      <c r="AH40" s="417"/>
      <c r="AI40" s="417"/>
      <c r="AJ40" s="417"/>
      <c r="AK40" s="417"/>
      <c r="AL40" s="417"/>
      <c r="AM40" s="417"/>
      <c r="AN40" s="417"/>
      <c r="AO40" s="417"/>
      <c r="AP40" s="417"/>
      <c r="AQ40" s="417"/>
      <c r="AR40" s="417"/>
      <c r="AS40" s="417"/>
      <c r="AT40" s="417"/>
      <c r="AU40" s="417"/>
      <c r="AV40" s="417"/>
      <c r="AW40" s="417"/>
      <c r="AX40" s="417"/>
      <c r="AY40" s="417"/>
      <c r="AZ40" s="417"/>
      <c r="BA40" s="417"/>
      <c r="BB40" s="417"/>
      <c r="BC40" s="417"/>
      <c r="BD40" s="417"/>
      <c r="BE40" s="417"/>
      <c r="BF40" s="417"/>
      <c r="BG40" s="417"/>
      <c r="BH40" s="417"/>
      <c r="BI40" s="417"/>
      <c r="BJ40" s="417"/>
      <c r="BK40" s="417"/>
    </row>
    <row r="41" spans="2:65" s="416" customFormat="1" ht="15" customHeight="1" x14ac:dyDescent="0.2">
      <c r="B41" s="412">
        <f t="shared" si="18"/>
        <v>1</v>
      </c>
      <c r="C41" s="609">
        <f>IF(AND(C25&lt;=$I$19,C25&gt;=$H$19),$J$19,0)</f>
        <v>0</v>
      </c>
      <c r="D41" s="587">
        <f t="shared" ref="D41:N41" si="23">IF(AND(D25&lt;=$I$19,D25&gt;=$H$19),$J$19,0)</f>
        <v>0</v>
      </c>
      <c r="E41" s="587">
        <f t="shared" si="23"/>
        <v>0</v>
      </c>
      <c r="F41" s="587">
        <f t="shared" si="23"/>
        <v>0</v>
      </c>
      <c r="G41" s="587">
        <f t="shared" si="23"/>
        <v>0</v>
      </c>
      <c r="H41" s="587">
        <f t="shared" si="23"/>
        <v>0</v>
      </c>
      <c r="I41" s="587">
        <f t="shared" si="23"/>
        <v>0</v>
      </c>
      <c r="J41" s="587">
        <f t="shared" si="23"/>
        <v>0</v>
      </c>
      <c r="K41" s="587">
        <f t="shared" si="23"/>
        <v>0</v>
      </c>
      <c r="L41" s="587">
        <f t="shared" si="23"/>
        <v>0</v>
      </c>
      <c r="M41" s="587">
        <f t="shared" si="23"/>
        <v>0</v>
      </c>
      <c r="N41" s="610">
        <f t="shared" si="23"/>
        <v>0</v>
      </c>
      <c r="P41" s="417"/>
      <c r="R41" s="507"/>
      <c r="S41" s="507"/>
      <c r="T41" s="507"/>
      <c r="U41" s="417"/>
      <c r="V41" s="417"/>
      <c r="W41" s="417"/>
      <c r="X41" s="507"/>
      <c r="Y41" s="417"/>
      <c r="AB41" s="583"/>
      <c r="AC41" s="417"/>
      <c r="AD41" s="417"/>
      <c r="AE41" s="1444">
        <v>27</v>
      </c>
      <c r="AF41" s="417"/>
      <c r="AG41" s="417"/>
      <c r="AH41" s="417"/>
      <c r="AI41" s="417"/>
      <c r="AJ41" s="417"/>
      <c r="AK41" s="417"/>
      <c r="AL41" s="417"/>
      <c r="AM41" s="417"/>
      <c r="AN41" s="417"/>
      <c r="AO41" s="417"/>
      <c r="AP41" s="417"/>
      <c r="AQ41" s="417"/>
      <c r="AR41" s="417"/>
      <c r="AS41" s="417"/>
      <c r="AT41" s="417"/>
      <c r="AU41" s="417"/>
      <c r="AV41" s="417"/>
      <c r="AW41" s="417"/>
      <c r="AX41" s="417"/>
      <c r="AY41" s="417"/>
      <c r="AZ41" s="417"/>
      <c r="BA41" s="417"/>
      <c r="BB41" s="417"/>
      <c r="BC41" s="417"/>
      <c r="BD41" s="417"/>
      <c r="BE41" s="417"/>
      <c r="BF41" s="417"/>
      <c r="BG41" s="417"/>
      <c r="BH41" s="417"/>
      <c r="BI41" s="417"/>
      <c r="BJ41" s="417"/>
      <c r="BK41" s="417"/>
    </row>
    <row r="42" spans="2:65" s="416" customFormat="1" ht="15" customHeight="1" x14ac:dyDescent="0.2">
      <c r="B42" s="412">
        <f t="shared" si="18"/>
        <v>1</v>
      </c>
      <c r="C42" s="609">
        <f>IF(AND(C25&lt;=$I$20,C25&gt;=$H$20),$J$20,0)</f>
        <v>0</v>
      </c>
      <c r="D42" s="587">
        <f t="shared" ref="D42:N42" si="24">IF(AND(D25&lt;=$I$20,D25&gt;=$H$20),$J$20,0)</f>
        <v>0</v>
      </c>
      <c r="E42" s="587">
        <f t="shared" si="24"/>
        <v>0</v>
      </c>
      <c r="F42" s="587">
        <f t="shared" si="24"/>
        <v>0</v>
      </c>
      <c r="G42" s="587">
        <f t="shared" si="24"/>
        <v>0</v>
      </c>
      <c r="H42" s="587">
        <f t="shared" si="24"/>
        <v>0</v>
      </c>
      <c r="I42" s="587">
        <f t="shared" si="24"/>
        <v>0</v>
      </c>
      <c r="J42" s="587">
        <f t="shared" si="24"/>
        <v>0</v>
      </c>
      <c r="K42" s="587">
        <f t="shared" si="24"/>
        <v>0</v>
      </c>
      <c r="L42" s="587">
        <f t="shared" si="24"/>
        <v>0</v>
      </c>
      <c r="M42" s="587">
        <f t="shared" si="24"/>
        <v>0</v>
      </c>
      <c r="N42" s="610">
        <f t="shared" si="24"/>
        <v>0</v>
      </c>
      <c r="P42" s="417"/>
      <c r="R42" s="507"/>
      <c r="S42" s="507"/>
      <c r="T42" s="507"/>
      <c r="U42" s="417"/>
      <c r="V42" s="417"/>
      <c r="W42" s="417"/>
      <c r="X42" s="507"/>
      <c r="Y42" s="417"/>
      <c r="AA42" s="417"/>
      <c r="AB42" s="417"/>
      <c r="AC42" s="417"/>
      <c r="AD42" s="417"/>
      <c r="AE42" s="1444">
        <v>28</v>
      </c>
      <c r="AF42" s="417"/>
      <c r="AG42" s="417"/>
      <c r="AH42" s="417"/>
      <c r="AI42" s="417"/>
      <c r="AJ42" s="417"/>
      <c r="AK42" s="417"/>
      <c r="AL42" s="417"/>
      <c r="AM42" s="417"/>
      <c r="AN42" s="417"/>
      <c r="AO42" s="417"/>
      <c r="AP42" s="417"/>
      <c r="AQ42" s="417"/>
      <c r="AR42" s="417"/>
      <c r="AS42" s="417"/>
      <c r="AT42" s="417"/>
      <c r="AU42" s="417"/>
      <c r="AV42" s="417"/>
      <c r="AW42" s="417"/>
      <c r="AX42" s="417"/>
      <c r="AY42" s="417"/>
      <c r="AZ42" s="417"/>
      <c r="BA42" s="417"/>
      <c r="BB42" s="417"/>
      <c r="BC42" s="417"/>
      <c r="BD42" s="417"/>
      <c r="BE42" s="417"/>
      <c r="BF42" s="417"/>
      <c r="BG42" s="417"/>
      <c r="BH42" s="417"/>
      <c r="BI42" s="417"/>
      <c r="BJ42" s="417"/>
      <c r="BK42" s="417"/>
      <c r="BL42" s="417"/>
      <c r="BM42" s="417"/>
    </row>
    <row r="43" spans="2:65" s="417" customFormat="1" ht="15" customHeight="1" x14ac:dyDescent="0.2">
      <c r="B43" s="412">
        <f t="shared" si="18"/>
        <v>1</v>
      </c>
      <c r="C43" s="609">
        <f>IF(AND(C25&lt;=$I$21,C25&gt;=$H$21),$J$21,0)</f>
        <v>0</v>
      </c>
      <c r="D43" s="587">
        <f t="shared" ref="D43:N43" si="25">IF(AND(D25&lt;=$I$21,D25&gt;=$H$21),$J$21,0)</f>
        <v>0</v>
      </c>
      <c r="E43" s="587">
        <f t="shared" si="25"/>
        <v>0</v>
      </c>
      <c r="F43" s="587">
        <f t="shared" si="25"/>
        <v>0</v>
      </c>
      <c r="G43" s="587">
        <f t="shared" si="25"/>
        <v>0</v>
      </c>
      <c r="H43" s="587">
        <f t="shared" si="25"/>
        <v>0</v>
      </c>
      <c r="I43" s="587">
        <f t="shared" si="25"/>
        <v>0</v>
      </c>
      <c r="J43" s="587">
        <f t="shared" si="25"/>
        <v>0</v>
      </c>
      <c r="K43" s="587">
        <f t="shared" si="25"/>
        <v>0</v>
      </c>
      <c r="L43" s="587">
        <f t="shared" si="25"/>
        <v>0</v>
      </c>
      <c r="M43" s="587">
        <f t="shared" si="25"/>
        <v>0</v>
      </c>
      <c r="N43" s="610">
        <f t="shared" si="25"/>
        <v>0</v>
      </c>
      <c r="R43" s="507"/>
      <c r="S43" s="507"/>
      <c r="T43" s="507"/>
      <c r="X43" s="507"/>
      <c r="AE43" s="1444">
        <v>29</v>
      </c>
    </row>
    <row r="44" spans="2:65" s="417" customFormat="1" ht="15" customHeight="1" thickBot="1" x14ac:dyDescent="0.25">
      <c r="B44" s="412">
        <f t="shared" si="18"/>
        <v>1</v>
      </c>
      <c r="C44" s="611">
        <f>IF(AND(C25&lt;=$I$22,C25&gt;=$H$17),$J$22,0)</f>
        <v>0</v>
      </c>
      <c r="D44" s="612">
        <f t="shared" ref="D44:N44" si="26">IF(AND(D25&lt;=$I$22,D25&gt;=$H$17),$J$22,0)</f>
        <v>0</v>
      </c>
      <c r="E44" s="612">
        <f t="shared" si="26"/>
        <v>0</v>
      </c>
      <c r="F44" s="612">
        <f t="shared" si="26"/>
        <v>0</v>
      </c>
      <c r="G44" s="612">
        <f t="shared" si="26"/>
        <v>0</v>
      </c>
      <c r="H44" s="612">
        <f t="shared" si="26"/>
        <v>0</v>
      </c>
      <c r="I44" s="612">
        <f t="shared" si="26"/>
        <v>0</v>
      </c>
      <c r="J44" s="612">
        <f t="shared" si="26"/>
        <v>0</v>
      </c>
      <c r="K44" s="612">
        <f t="shared" si="26"/>
        <v>0</v>
      </c>
      <c r="L44" s="612">
        <f t="shared" si="26"/>
        <v>0</v>
      </c>
      <c r="M44" s="612">
        <f t="shared" si="26"/>
        <v>0</v>
      </c>
      <c r="N44" s="613">
        <f t="shared" si="26"/>
        <v>0</v>
      </c>
      <c r="R44" s="507"/>
      <c r="S44" s="507"/>
      <c r="T44" s="507"/>
      <c r="X44" s="507"/>
      <c r="AE44" s="1444">
        <v>30</v>
      </c>
    </row>
    <row r="45" spans="2:65" s="417" customFormat="1" ht="15" customHeight="1" thickBot="1" x14ac:dyDescent="0.25">
      <c r="B45" s="614"/>
      <c r="C45" s="519"/>
      <c r="D45" s="519"/>
      <c r="E45" s="519"/>
      <c r="F45" s="519"/>
      <c r="G45" s="519"/>
      <c r="H45" s="519"/>
      <c r="I45" s="519"/>
      <c r="J45" s="519"/>
      <c r="K45" s="519"/>
      <c r="L45" s="519"/>
      <c r="M45" s="519"/>
      <c r="N45" s="519"/>
      <c r="R45" s="507"/>
      <c r="S45" s="507"/>
      <c r="T45" s="507"/>
      <c r="X45" s="507"/>
      <c r="AE45" s="1444">
        <v>31</v>
      </c>
    </row>
    <row r="46" spans="2:65" s="417" customFormat="1" ht="15" customHeight="1" thickBot="1" x14ac:dyDescent="0.25">
      <c r="B46" s="614"/>
      <c r="C46" s="693" t="s">
        <v>929</v>
      </c>
      <c r="D46" s="694" t="s">
        <v>930</v>
      </c>
      <c r="E46" s="694" t="s">
        <v>931</v>
      </c>
      <c r="F46" s="694" t="s">
        <v>932</v>
      </c>
      <c r="G46" s="694" t="s">
        <v>933</v>
      </c>
      <c r="H46" s="694" t="s">
        <v>934</v>
      </c>
      <c r="I46" s="694" t="s">
        <v>935</v>
      </c>
      <c r="J46" s="694" t="s">
        <v>936</v>
      </c>
      <c r="K46" s="694" t="s">
        <v>937</v>
      </c>
      <c r="L46" s="694" t="s">
        <v>938</v>
      </c>
      <c r="M46" s="694" t="s">
        <v>939</v>
      </c>
      <c r="N46" s="695" t="s">
        <v>940</v>
      </c>
      <c r="P46" s="423"/>
      <c r="R46" s="507"/>
      <c r="S46" s="507"/>
      <c r="T46" s="507"/>
      <c r="X46" s="507"/>
      <c r="Z46" s="1398"/>
      <c r="AA46" s="1398"/>
      <c r="AB46" s="1398"/>
      <c r="AC46" s="1398"/>
      <c r="AD46" s="1398"/>
      <c r="AE46" s="1444"/>
      <c r="AF46" s="1398"/>
      <c r="AG46" s="1398"/>
      <c r="AH46" s="1398"/>
      <c r="AI46" s="1398"/>
      <c r="AJ46" s="1398"/>
    </row>
    <row r="47" spans="2:65" s="417" customFormat="1" ht="15" customHeight="1" x14ac:dyDescent="0.2">
      <c r="B47" s="614" t="str">
        <f>VLOOKUP(F14,$AE$15:$AG$52,2)</f>
        <v>Área de benfeitorias</v>
      </c>
      <c r="C47" s="606">
        <f>C27+C36</f>
        <v>26</v>
      </c>
      <c r="D47" s="607">
        <f t="shared" ref="D47:N47" si="27">D27+D36</f>
        <v>26</v>
      </c>
      <c r="E47" s="607">
        <f t="shared" si="27"/>
        <v>26</v>
      </c>
      <c r="F47" s="607">
        <f t="shared" si="27"/>
        <v>26</v>
      </c>
      <c r="G47" s="607">
        <f t="shared" si="27"/>
        <v>26</v>
      </c>
      <c r="H47" s="607">
        <f t="shared" si="27"/>
        <v>26</v>
      </c>
      <c r="I47" s="607">
        <f t="shared" si="27"/>
        <v>26</v>
      </c>
      <c r="J47" s="607">
        <f t="shared" si="27"/>
        <v>26</v>
      </c>
      <c r="K47" s="607">
        <f t="shared" si="27"/>
        <v>26</v>
      </c>
      <c r="L47" s="607">
        <f t="shared" si="27"/>
        <v>26</v>
      </c>
      <c r="M47" s="607">
        <f t="shared" si="27"/>
        <v>26</v>
      </c>
      <c r="N47" s="608">
        <f t="shared" si="27"/>
        <v>26</v>
      </c>
      <c r="R47" s="507"/>
      <c r="S47" s="507"/>
      <c r="T47" s="507"/>
      <c r="X47" s="507"/>
      <c r="Z47" s="1398"/>
      <c r="AA47" s="1398"/>
      <c r="AB47" s="1398"/>
      <c r="AC47" s="1398"/>
      <c r="AD47" s="1398"/>
      <c r="AE47" s="1444"/>
      <c r="AF47" s="1398"/>
      <c r="AG47" s="1398"/>
      <c r="AH47" s="1398"/>
      <c r="AI47" s="1398"/>
      <c r="AJ47" s="1398"/>
    </row>
    <row r="48" spans="2:65" s="417" customFormat="1" ht="15" customHeight="1" x14ac:dyDescent="0.2">
      <c r="B48" s="614" t="str">
        <f t="shared" ref="B48:B55" si="28">VLOOKUP(F15,$AE$15:$AG$52,2)</f>
        <v>Área reserva</v>
      </c>
      <c r="C48" s="609">
        <f t="shared" ref="C48:N55" si="29">C28+C37</f>
        <v>200</v>
      </c>
      <c r="D48" s="587">
        <f t="shared" si="29"/>
        <v>200</v>
      </c>
      <c r="E48" s="587">
        <f t="shared" si="29"/>
        <v>200</v>
      </c>
      <c r="F48" s="587">
        <f t="shared" si="29"/>
        <v>200</v>
      </c>
      <c r="G48" s="587">
        <f t="shared" si="29"/>
        <v>200</v>
      </c>
      <c r="H48" s="587">
        <f t="shared" si="29"/>
        <v>200</v>
      </c>
      <c r="I48" s="587">
        <f t="shared" si="29"/>
        <v>200</v>
      </c>
      <c r="J48" s="587">
        <f t="shared" si="29"/>
        <v>200</v>
      </c>
      <c r="K48" s="587">
        <f t="shared" si="29"/>
        <v>200</v>
      </c>
      <c r="L48" s="587">
        <f t="shared" si="29"/>
        <v>200</v>
      </c>
      <c r="M48" s="587">
        <f t="shared" si="29"/>
        <v>200</v>
      </c>
      <c r="N48" s="610">
        <f t="shared" si="29"/>
        <v>200</v>
      </c>
      <c r="Q48" s="575"/>
      <c r="R48" s="414"/>
      <c r="S48" s="414"/>
      <c r="T48" s="507"/>
      <c r="X48" s="507"/>
      <c r="Z48" s="1398"/>
      <c r="AA48" s="1398"/>
      <c r="AB48" s="1398"/>
      <c r="AC48" s="499"/>
      <c r="AD48" s="499"/>
      <c r="AE48" s="1444"/>
      <c r="AF48" s="1398"/>
      <c r="AG48" s="1398"/>
      <c r="AH48" s="1398"/>
      <c r="AI48" s="1398"/>
      <c r="AJ48" s="1398"/>
    </row>
    <row r="49" spans="1:36" s="417" customFormat="1" ht="15" customHeight="1" x14ac:dyDescent="0.2">
      <c r="B49" s="614" t="str">
        <f t="shared" si="28"/>
        <v>Área pastagem cultivada</v>
      </c>
      <c r="C49" s="609">
        <f t="shared" si="29"/>
        <v>774</v>
      </c>
      <c r="D49" s="587">
        <f t="shared" si="29"/>
        <v>774</v>
      </c>
      <c r="E49" s="587">
        <f t="shared" si="29"/>
        <v>774</v>
      </c>
      <c r="F49" s="587">
        <f t="shared" si="29"/>
        <v>774</v>
      </c>
      <c r="G49" s="587">
        <f t="shared" si="29"/>
        <v>774</v>
      </c>
      <c r="H49" s="587">
        <f t="shared" si="29"/>
        <v>774</v>
      </c>
      <c r="I49" s="587">
        <f t="shared" si="29"/>
        <v>774</v>
      </c>
      <c r="J49" s="587">
        <f t="shared" si="29"/>
        <v>774</v>
      </c>
      <c r="K49" s="587">
        <f t="shared" si="29"/>
        <v>774</v>
      </c>
      <c r="L49" s="587">
        <f t="shared" si="29"/>
        <v>774</v>
      </c>
      <c r="M49" s="587">
        <f t="shared" si="29"/>
        <v>774</v>
      </c>
      <c r="N49" s="610">
        <f t="shared" si="29"/>
        <v>774</v>
      </c>
      <c r="X49" s="507"/>
      <c r="Z49" s="1398"/>
      <c r="AA49" s="1398"/>
      <c r="AB49" s="1398"/>
      <c r="AC49" s="420"/>
      <c r="AD49" s="420"/>
      <c r="AE49" s="1444"/>
      <c r="AF49" s="1398"/>
      <c r="AG49" s="1398"/>
      <c r="AH49" s="1398"/>
      <c r="AI49" s="1398"/>
      <c r="AJ49" s="1398"/>
    </row>
    <row r="50" spans="1:36" s="432" customFormat="1" ht="15" customHeight="1" x14ac:dyDescent="0.2">
      <c r="B50" s="614">
        <f>VLOOKUP(F17,$AE$15:$AG$52,2)</f>
        <v>0</v>
      </c>
      <c r="C50" s="609">
        <f t="shared" si="29"/>
        <v>0</v>
      </c>
      <c r="D50" s="587">
        <f t="shared" si="29"/>
        <v>0</v>
      </c>
      <c r="E50" s="587">
        <f t="shared" si="29"/>
        <v>0</v>
      </c>
      <c r="F50" s="587">
        <f t="shared" si="29"/>
        <v>0</v>
      </c>
      <c r="G50" s="587">
        <f t="shared" si="29"/>
        <v>0</v>
      </c>
      <c r="H50" s="587">
        <f t="shared" si="29"/>
        <v>0</v>
      </c>
      <c r="I50" s="587">
        <f t="shared" si="29"/>
        <v>0</v>
      </c>
      <c r="J50" s="587">
        <f t="shared" si="29"/>
        <v>0</v>
      </c>
      <c r="K50" s="587">
        <f t="shared" si="29"/>
        <v>0</v>
      </c>
      <c r="L50" s="587">
        <f t="shared" si="29"/>
        <v>0</v>
      </c>
      <c r="M50" s="587">
        <f t="shared" si="29"/>
        <v>0</v>
      </c>
      <c r="N50" s="610">
        <f t="shared" si="29"/>
        <v>0</v>
      </c>
      <c r="O50" s="569"/>
      <c r="Z50" s="499"/>
      <c r="AA50" s="499"/>
      <c r="AB50" s="499"/>
      <c r="AC50" s="420"/>
      <c r="AD50" s="420"/>
      <c r="AE50" s="1444"/>
      <c r="AF50" s="499"/>
      <c r="AG50" s="499"/>
      <c r="AH50" s="499"/>
      <c r="AI50" s="499"/>
      <c r="AJ50" s="499"/>
    </row>
    <row r="51" spans="1:36" s="420" customFormat="1" ht="15" customHeight="1" x14ac:dyDescent="0.25">
      <c r="A51" s="604"/>
      <c r="B51" s="614">
        <f t="shared" si="28"/>
        <v>0</v>
      </c>
      <c r="C51" s="609">
        <f t="shared" si="29"/>
        <v>0</v>
      </c>
      <c r="D51" s="587">
        <f t="shared" si="29"/>
        <v>0</v>
      </c>
      <c r="E51" s="587">
        <f t="shared" si="29"/>
        <v>0</v>
      </c>
      <c r="F51" s="587">
        <f t="shared" si="29"/>
        <v>0</v>
      </c>
      <c r="G51" s="587">
        <f t="shared" si="29"/>
        <v>0</v>
      </c>
      <c r="H51" s="587">
        <f t="shared" si="29"/>
        <v>0</v>
      </c>
      <c r="I51" s="587">
        <f t="shared" si="29"/>
        <v>0</v>
      </c>
      <c r="J51" s="587">
        <f t="shared" si="29"/>
        <v>0</v>
      </c>
      <c r="K51" s="587">
        <f t="shared" si="29"/>
        <v>0</v>
      </c>
      <c r="L51" s="587">
        <f t="shared" si="29"/>
        <v>0</v>
      </c>
      <c r="M51" s="587">
        <f t="shared" si="29"/>
        <v>0</v>
      </c>
      <c r="N51" s="610">
        <f t="shared" si="29"/>
        <v>0</v>
      </c>
      <c r="AE51" s="1444"/>
    </row>
    <row r="52" spans="1:36" s="420" customFormat="1" ht="15" customHeight="1" x14ac:dyDescent="0.25">
      <c r="A52" s="604"/>
      <c r="B52" s="614">
        <f t="shared" si="28"/>
        <v>0</v>
      </c>
      <c r="C52" s="609">
        <f t="shared" si="29"/>
        <v>0</v>
      </c>
      <c r="D52" s="587">
        <f t="shared" si="29"/>
        <v>0</v>
      </c>
      <c r="E52" s="587">
        <f t="shared" si="29"/>
        <v>0</v>
      </c>
      <c r="F52" s="587">
        <f t="shared" si="29"/>
        <v>0</v>
      </c>
      <c r="G52" s="587">
        <f t="shared" si="29"/>
        <v>0</v>
      </c>
      <c r="H52" s="587">
        <f t="shared" si="29"/>
        <v>0</v>
      </c>
      <c r="I52" s="587">
        <f t="shared" si="29"/>
        <v>0</v>
      </c>
      <c r="J52" s="587">
        <f t="shared" si="29"/>
        <v>0</v>
      </c>
      <c r="K52" s="587">
        <f t="shared" si="29"/>
        <v>0</v>
      </c>
      <c r="L52" s="587">
        <f t="shared" si="29"/>
        <v>0</v>
      </c>
      <c r="M52" s="587">
        <f t="shared" si="29"/>
        <v>0</v>
      </c>
      <c r="N52" s="610">
        <f t="shared" si="29"/>
        <v>0</v>
      </c>
      <c r="AE52" s="1444"/>
    </row>
    <row r="53" spans="1:36" s="420" customFormat="1" ht="15" customHeight="1" x14ac:dyDescent="0.25">
      <c r="A53" s="604"/>
      <c r="B53" s="614">
        <f t="shared" si="28"/>
        <v>0</v>
      </c>
      <c r="C53" s="609">
        <f t="shared" si="29"/>
        <v>0</v>
      </c>
      <c r="D53" s="587">
        <f t="shared" si="29"/>
        <v>0</v>
      </c>
      <c r="E53" s="587">
        <f t="shared" si="29"/>
        <v>0</v>
      </c>
      <c r="F53" s="587">
        <f t="shared" si="29"/>
        <v>0</v>
      </c>
      <c r="G53" s="587">
        <f t="shared" si="29"/>
        <v>0</v>
      </c>
      <c r="H53" s="587">
        <f t="shared" si="29"/>
        <v>0</v>
      </c>
      <c r="I53" s="587">
        <f t="shared" si="29"/>
        <v>0</v>
      </c>
      <c r="J53" s="587">
        <f t="shared" si="29"/>
        <v>0</v>
      </c>
      <c r="K53" s="587">
        <f t="shared" si="29"/>
        <v>0</v>
      </c>
      <c r="L53" s="587">
        <f t="shared" si="29"/>
        <v>0</v>
      </c>
      <c r="M53" s="587">
        <f t="shared" si="29"/>
        <v>0</v>
      </c>
      <c r="N53" s="610">
        <f t="shared" si="29"/>
        <v>0</v>
      </c>
      <c r="AC53" s="1398"/>
      <c r="AD53" s="1398"/>
    </row>
    <row r="54" spans="1:36" s="420" customFormat="1" ht="15" customHeight="1" x14ac:dyDescent="0.2">
      <c r="A54" s="605"/>
      <c r="B54" s="614">
        <f t="shared" si="28"/>
        <v>0</v>
      </c>
      <c r="C54" s="609">
        <f t="shared" si="29"/>
        <v>0</v>
      </c>
      <c r="D54" s="587">
        <f t="shared" si="29"/>
        <v>0</v>
      </c>
      <c r="E54" s="587">
        <f t="shared" si="29"/>
        <v>0</v>
      </c>
      <c r="F54" s="587">
        <f t="shared" si="29"/>
        <v>0</v>
      </c>
      <c r="G54" s="587">
        <f t="shared" si="29"/>
        <v>0</v>
      </c>
      <c r="H54" s="587">
        <f t="shared" si="29"/>
        <v>0</v>
      </c>
      <c r="I54" s="587">
        <f t="shared" si="29"/>
        <v>0</v>
      </c>
      <c r="J54" s="587">
        <f t="shared" si="29"/>
        <v>0</v>
      </c>
      <c r="K54" s="587">
        <f t="shared" si="29"/>
        <v>0</v>
      </c>
      <c r="L54" s="587">
        <f t="shared" si="29"/>
        <v>0</v>
      </c>
      <c r="M54" s="587">
        <f t="shared" si="29"/>
        <v>0</v>
      </c>
      <c r="N54" s="610">
        <f t="shared" si="29"/>
        <v>0</v>
      </c>
      <c r="AC54" s="1398"/>
      <c r="AD54" s="1398"/>
    </row>
    <row r="55" spans="1:36" s="570" customFormat="1" ht="13.5" thickBot="1" x14ac:dyDescent="0.25">
      <c r="B55" s="614">
        <f t="shared" si="28"/>
        <v>0</v>
      </c>
      <c r="C55" s="615">
        <f t="shared" si="29"/>
        <v>0</v>
      </c>
      <c r="D55" s="620">
        <f t="shared" si="29"/>
        <v>0</v>
      </c>
      <c r="E55" s="620">
        <f t="shared" si="29"/>
        <v>0</v>
      </c>
      <c r="F55" s="620">
        <f t="shared" si="29"/>
        <v>0</v>
      </c>
      <c r="G55" s="620">
        <f t="shared" si="29"/>
        <v>0</v>
      </c>
      <c r="H55" s="620">
        <f t="shared" si="29"/>
        <v>0</v>
      </c>
      <c r="I55" s="620">
        <f t="shared" si="29"/>
        <v>0</v>
      </c>
      <c r="J55" s="620">
        <f t="shared" si="29"/>
        <v>0</v>
      </c>
      <c r="K55" s="620">
        <f t="shared" si="29"/>
        <v>0</v>
      </c>
      <c r="L55" s="620">
        <f t="shared" si="29"/>
        <v>0</v>
      </c>
      <c r="M55" s="620">
        <f t="shared" si="29"/>
        <v>0</v>
      </c>
      <c r="N55" s="621">
        <f t="shared" si="29"/>
        <v>0</v>
      </c>
      <c r="S55" s="704"/>
      <c r="Z55" s="1398"/>
      <c r="AA55" s="1398"/>
      <c r="AB55" s="1398"/>
      <c r="AC55" s="1398"/>
      <c r="AD55" s="1398"/>
      <c r="AE55" s="1398"/>
      <c r="AF55" s="1398"/>
      <c r="AG55" s="1398"/>
      <c r="AH55" s="1398"/>
      <c r="AI55" s="1398"/>
      <c r="AJ55" s="1398"/>
    </row>
    <row r="56" spans="1:36" s="570" customFormat="1" ht="13.5" thickBot="1" x14ac:dyDescent="0.25">
      <c r="B56" s="619" t="s">
        <v>2</v>
      </c>
      <c r="C56" s="622">
        <f>SUM(C47:C55)</f>
        <v>1000</v>
      </c>
      <c r="D56" s="623">
        <f t="shared" ref="D56:N56" si="30">SUM(D47:D55)</f>
        <v>1000</v>
      </c>
      <c r="E56" s="623">
        <f t="shared" si="30"/>
        <v>1000</v>
      </c>
      <c r="F56" s="623">
        <f t="shared" si="30"/>
        <v>1000</v>
      </c>
      <c r="G56" s="623">
        <f t="shared" si="30"/>
        <v>1000</v>
      </c>
      <c r="H56" s="623">
        <f t="shared" si="30"/>
        <v>1000</v>
      </c>
      <c r="I56" s="623">
        <f t="shared" si="30"/>
        <v>1000</v>
      </c>
      <c r="J56" s="623">
        <f t="shared" si="30"/>
        <v>1000</v>
      </c>
      <c r="K56" s="623">
        <f t="shared" si="30"/>
        <v>1000</v>
      </c>
      <c r="L56" s="623">
        <f t="shared" si="30"/>
        <v>1000</v>
      </c>
      <c r="M56" s="623">
        <f t="shared" si="30"/>
        <v>1000</v>
      </c>
      <c r="N56" s="624">
        <f t="shared" si="30"/>
        <v>1000</v>
      </c>
      <c r="S56" s="704"/>
      <c r="Z56" s="1398"/>
      <c r="AA56" s="1398"/>
      <c r="AB56" s="1398"/>
      <c r="AC56" s="1398"/>
      <c r="AD56" s="1398"/>
      <c r="AE56" s="1398"/>
      <c r="AF56" s="1398"/>
      <c r="AG56" s="1398"/>
      <c r="AH56" s="1398"/>
      <c r="AI56" s="1398"/>
      <c r="AJ56" s="1398"/>
    </row>
    <row r="57" spans="1:36" s="570" customFormat="1" ht="13.5" thickBot="1" x14ac:dyDescent="0.25">
      <c r="S57" s="704"/>
      <c r="Z57" s="1398"/>
      <c r="AA57" s="1398"/>
      <c r="AB57" s="1398"/>
      <c r="AC57" s="1398"/>
      <c r="AD57" s="1398"/>
      <c r="AE57" s="1398"/>
      <c r="AF57" s="1398"/>
      <c r="AG57" s="1398"/>
      <c r="AH57" s="1398"/>
      <c r="AI57" s="1398"/>
      <c r="AJ57" s="1398"/>
    </row>
    <row r="58" spans="1:36" s="570" customFormat="1" ht="13.5" thickBot="1" x14ac:dyDescent="0.25">
      <c r="B58" s="614"/>
      <c r="C58" s="693" t="s">
        <v>929</v>
      </c>
      <c r="D58" s="694" t="s">
        <v>930</v>
      </c>
      <c r="E58" s="694" t="s">
        <v>931</v>
      </c>
      <c r="F58" s="694" t="s">
        <v>932</v>
      </c>
      <c r="G58" s="694" t="s">
        <v>933</v>
      </c>
      <c r="H58" s="694" t="s">
        <v>934</v>
      </c>
      <c r="I58" s="694" t="s">
        <v>935</v>
      </c>
      <c r="J58" s="694" t="s">
        <v>936</v>
      </c>
      <c r="K58" s="694" t="s">
        <v>937</v>
      </c>
      <c r="L58" s="694" t="s">
        <v>938</v>
      </c>
      <c r="M58" s="694" t="s">
        <v>939</v>
      </c>
      <c r="N58" s="695" t="s">
        <v>940</v>
      </c>
      <c r="Q58" s="702"/>
      <c r="R58" s="573"/>
      <c r="S58" s="573"/>
      <c r="Z58" s="1398"/>
      <c r="AA58" s="1398"/>
      <c r="AB58" s="1398"/>
      <c r="AC58" s="1398"/>
      <c r="AD58" s="1398"/>
      <c r="AE58" s="1398"/>
      <c r="AF58" s="1398"/>
      <c r="AG58" s="1398"/>
      <c r="AH58" s="1398"/>
      <c r="AI58" s="1398"/>
      <c r="AJ58" s="1398"/>
    </row>
    <row r="59" spans="1:36" s="570" customFormat="1" x14ac:dyDescent="0.2">
      <c r="B59" s="614" t="str">
        <f>VLOOKUP(F14,$AE$15:$AG$52,2)</f>
        <v>Área de benfeitorias</v>
      </c>
      <c r="C59" s="684">
        <f>IF(C47=0,0,Rebanho!$H$66/Descrição!C47)</f>
        <v>47.133513681460379</v>
      </c>
      <c r="D59" s="685">
        <f>IF(D47=0,0,Rebanho!$H$66/Descrição!D47)</f>
        <v>47.133513681460379</v>
      </c>
      <c r="E59" s="685">
        <f>IF(E47=0,0,Rebanho!$H$66/Descrição!E47)</f>
        <v>47.133513681460379</v>
      </c>
      <c r="F59" s="685">
        <f>IF(F47=0,0,Rebanho!$H$66/Descrição!F47)</f>
        <v>47.133513681460379</v>
      </c>
      <c r="G59" s="685">
        <f>IF(G47=0,0,Rebanho!$H$66/Descrição!G47)</f>
        <v>47.133513681460379</v>
      </c>
      <c r="H59" s="685">
        <f>IF(H47=0,0,Rebanho!$H$66/Descrição!H47)</f>
        <v>47.133513681460379</v>
      </c>
      <c r="I59" s="685">
        <f>IF(I47=0,0,Rebanho!$H$66/Descrição!I47)</f>
        <v>47.133513681460379</v>
      </c>
      <c r="J59" s="685">
        <f>IF(J47=0,0,Rebanho!$H$66/Descrição!J47)</f>
        <v>47.133513681460379</v>
      </c>
      <c r="K59" s="685">
        <f>IF(K47=0,0,Rebanho!$H$66/Descrição!K47)</f>
        <v>47.133513681460379</v>
      </c>
      <c r="L59" s="685">
        <f>IF(L47=0,0,Rebanho!$H$66/Descrição!L47)</f>
        <v>47.133513681460379</v>
      </c>
      <c r="M59" s="685">
        <f>IF(M47=0,0,Rebanho!$H$66/Descrição!M47)</f>
        <v>47.133513681460379</v>
      </c>
      <c r="N59" s="686">
        <f>IF(N47=0,0,Rebanho!$H$66/Descrição!N47)</f>
        <v>47.133513681460379</v>
      </c>
      <c r="Q59" s="703"/>
      <c r="R59" s="573"/>
      <c r="S59" s="573"/>
      <c r="Z59" s="1398"/>
      <c r="AA59" s="1398"/>
      <c r="AB59" s="1398"/>
      <c r="AC59" s="1398"/>
      <c r="AD59" s="1398"/>
      <c r="AE59" s="1398"/>
      <c r="AF59" s="1398"/>
      <c r="AG59" s="1398"/>
      <c r="AH59" s="1398"/>
      <c r="AI59" s="1398"/>
      <c r="AJ59" s="1398"/>
    </row>
    <row r="60" spans="1:36" s="570" customFormat="1" x14ac:dyDescent="0.2">
      <c r="B60" s="614" t="str">
        <f t="shared" ref="B60:B67" si="31">VLOOKUP(F15,$AE$15:$AG$52,2)</f>
        <v>Área reserva</v>
      </c>
      <c r="C60" s="687">
        <f>IF(C48=0,0,Rebanho!$H$66/Descrição!C48)</f>
        <v>6.1273567785898493</v>
      </c>
      <c r="D60" s="688">
        <f>IF(D48=0,0,Rebanho!$H$66/Descrição!D48)</f>
        <v>6.1273567785898493</v>
      </c>
      <c r="E60" s="688">
        <f>IF(E48=0,0,Rebanho!$H$66/Descrição!E48)</f>
        <v>6.1273567785898493</v>
      </c>
      <c r="F60" s="688">
        <f>IF(F48=0,0,Rebanho!$H$66/Descrição!F48)</f>
        <v>6.1273567785898493</v>
      </c>
      <c r="G60" s="688">
        <f>IF(G48=0,0,Rebanho!$H$66/Descrição!G48)</f>
        <v>6.1273567785898493</v>
      </c>
      <c r="H60" s="688">
        <f>IF(H48=0,0,Rebanho!$H$66/Descrição!H48)</f>
        <v>6.1273567785898493</v>
      </c>
      <c r="I60" s="688">
        <f>IF(I48=0,0,Rebanho!$H$66/Descrição!I48)</f>
        <v>6.1273567785898493</v>
      </c>
      <c r="J60" s="688">
        <f>IF(J48=0,0,Rebanho!$H$66/Descrição!J48)</f>
        <v>6.1273567785898493</v>
      </c>
      <c r="K60" s="688">
        <f>IF(K48=0,0,Rebanho!$H$66/Descrição!K48)</f>
        <v>6.1273567785898493</v>
      </c>
      <c r="L60" s="688">
        <f>IF(L48=0,0,Rebanho!$H$66/Descrição!L48)</f>
        <v>6.1273567785898493</v>
      </c>
      <c r="M60" s="688">
        <f>IF(M48=0,0,Rebanho!$H$66/Descrição!M48)</f>
        <v>6.1273567785898493</v>
      </c>
      <c r="N60" s="689">
        <f>IF(N48=0,0,Rebanho!$H$66/Descrição!N48)</f>
        <v>6.1273567785898493</v>
      </c>
      <c r="S60" s="704"/>
      <c r="Z60" s="1398"/>
      <c r="AA60" s="1398"/>
      <c r="AB60" s="1398"/>
      <c r="AC60" s="1398"/>
      <c r="AD60" s="1398"/>
      <c r="AE60" s="1398"/>
      <c r="AF60" s="1398"/>
      <c r="AG60" s="1398"/>
      <c r="AH60" s="1398"/>
      <c r="AI60" s="1398"/>
      <c r="AJ60" s="1398"/>
    </row>
    <row r="61" spans="1:36" s="570" customFormat="1" x14ac:dyDescent="0.2">
      <c r="B61" s="614" t="str">
        <f t="shared" si="31"/>
        <v>Área pastagem cultivada</v>
      </c>
      <c r="C61" s="687">
        <f>IF(C49=0,0,Rebanho!$H$66/Descrição!C49)</f>
        <v>1.5832963252170154</v>
      </c>
      <c r="D61" s="688">
        <f>IF(D49=0,0,Rebanho!$H$66/Descrição!D49)</f>
        <v>1.5832963252170154</v>
      </c>
      <c r="E61" s="688">
        <f>IF(E49=0,0,Rebanho!$H$66/Descrição!E49)</f>
        <v>1.5832963252170154</v>
      </c>
      <c r="F61" s="688">
        <f>IF(F49=0,0,Rebanho!$H$66/Descrição!F49)</f>
        <v>1.5832963252170154</v>
      </c>
      <c r="G61" s="688">
        <f>IF(G49=0,0,Rebanho!$H$66/Descrição!G49)</f>
        <v>1.5832963252170154</v>
      </c>
      <c r="H61" s="688">
        <f>IF(H49=0,0,Rebanho!$H$66/Descrição!H49)</f>
        <v>1.5832963252170154</v>
      </c>
      <c r="I61" s="688">
        <f>IF(I49=0,0,Rebanho!$H$66/Descrição!I49)</f>
        <v>1.5832963252170154</v>
      </c>
      <c r="J61" s="688">
        <f>IF(J49=0,0,Rebanho!$H$66/Descrição!J49)</f>
        <v>1.5832963252170154</v>
      </c>
      <c r="K61" s="688">
        <f>IF(K49=0,0,Rebanho!$H$66/Descrição!K49)</f>
        <v>1.5832963252170154</v>
      </c>
      <c r="L61" s="688">
        <f>IF(L49=0,0,Rebanho!$H$66/Descrição!L49)</f>
        <v>1.5832963252170154</v>
      </c>
      <c r="M61" s="688">
        <f>IF(M49=0,0,Rebanho!$H$66/Descrição!M49)</f>
        <v>1.5832963252170154</v>
      </c>
      <c r="N61" s="689">
        <f>IF(N49=0,0,Rebanho!$H$66/Descrição!N49)</f>
        <v>1.5832963252170154</v>
      </c>
      <c r="S61" s="704"/>
      <c r="Z61" s="1398"/>
      <c r="AA61" s="1398"/>
      <c r="AB61" s="1398"/>
      <c r="AC61" s="1398"/>
      <c r="AD61" s="1398"/>
      <c r="AE61" s="1398"/>
      <c r="AF61" s="1398"/>
      <c r="AG61" s="1398"/>
      <c r="AH61" s="1398"/>
      <c r="AI61" s="1398"/>
      <c r="AJ61" s="1398"/>
    </row>
    <row r="62" spans="1:36" s="570" customFormat="1" x14ac:dyDescent="0.2">
      <c r="B62" s="614">
        <f t="shared" si="31"/>
        <v>0</v>
      </c>
      <c r="C62" s="687">
        <f>IF(C50=0,0,Rebanho!$H$66/Descrição!C50)</f>
        <v>0</v>
      </c>
      <c r="D62" s="688">
        <f>IF(D50=0,0,Rebanho!$H$66/Descrição!D50)</f>
        <v>0</v>
      </c>
      <c r="E62" s="688">
        <f>IF(E50=0,0,Rebanho!$H$66/Descrição!E50)</f>
        <v>0</v>
      </c>
      <c r="F62" s="688">
        <f>IF(F50=0,0,Rebanho!$H$66/Descrição!F50)</f>
        <v>0</v>
      </c>
      <c r="G62" s="688">
        <f>IF(G50=0,0,Rebanho!$H$66/Descrição!G50)</f>
        <v>0</v>
      </c>
      <c r="H62" s="688">
        <f>IF(H50=0,0,Rebanho!$H$66/Descrição!H50)</f>
        <v>0</v>
      </c>
      <c r="I62" s="688">
        <f>IF(I50=0,0,Rebanho!$H$66/Descrição!I50)</f>
        <v>0</v>
      </c>
      <c r="J62" s="688">
        <f>IF(J50=0,0,Rebanho!$H$66/Descrição!J50)</f>
        <v>0</v>
      </c>
      <c r="K62" s="688">
        <f>IF(K50=0,0,Rebanho!$H$66/Descrição!K50)</f>
        <v>0</v>
      </c>
      <c r="L62" s="688">
        <f>IF(L50=0,0,Rebanho!$H$66/Descrição!L50)</f>
        <v>0</v>
      </c>
      <c r="M62" s="688">
        <f>IF(M50=0,0,Rebanho!$H$66/Descrição!M50)</f>
        <v>0</v>
      </c>
      <c r="N62" s="689">
        <f>IF(N50=0,0,Rebanho!$H$66/Descrição!N50)</f>
        <v>0</v>
      </c>
      <c r="S62" s="704"/>
      <c r="Z62" s="1398"/>
      <c r="AA62" s="1398"/>
      <c r="AB62" s="1398"/>
      <c r="AC62" s="1398"/>
      <c r="AD62" s="1398"/>
      <c r="AE62" s="1398"/>
      <c r="AF62" s="1398"/>
      <c r="AG62" s="1398"/>
      <c r="AH62" s="1398"/>
      <c r="AI62" s="1398"/>
      <c r="AJ62" s="1398"/>
    </row>
    <row r="63" spans="1:36" s="570" customFormat="1" x14ac:dyDescent="0.2">
      <c r="B63" s="614">
        <f t="shared" si="31"/>
        <v>0</v>
      </c>
      <c r="C63" s="687">
        <f>IF(C51=0,0,Rebanho!$H$66/Descrição!C51)</f>
        <v>0</v>
      </c>
      <c r="D63" s="688">
        <f>IF(D51=0,0,Rebanho!$H$66/Descrição!D51)</f>
        <v>0</v>
      </c>
      <c r="E63" s="688">
        <f>IF(E51=0,0,Rebanho!$H$66/Descrição!E51)</f>
        <v>0</v>
      </c>
      <c r="F63" s="688">
        <f>IF(F51=0,0,Rebanho!$H$66/Descrição!F51)</f>
        <v>0</v>
      </c>
      <c r="G63" s="688">
        <f>IF(G51=0,0,Rebanho!$H$66/Descrição!G51)</f>
        <v>0</v>
      </c>
      <c r="H63" s="688">
        <f>IF(H51=0,0,Rebanho!$H$66/Descrição!H51)</f>
        <v>0</v>
      </c>
      <c r="I63" s="688">
        <f>IF(I51=0,0,Rebanho!$H$66/Descrição!I51)</f>
        <v>0</v>
      </c>
      <c r="J63" s="688">
        <f>IF(J51=0,0,Rebanho!$H$66/Descrição!J51)</f>
        <v>0</v>
      </c>
      <c r="K63" s="688">
        <f>IF(K51=0,0,Rebanho!$H$66/Descrição!K51)</f>
        <v>0</v>
      </c>
      <c r="L63" s="688">
        <f>IF(L51=0,0,Rebanho!$H$66/Descrição!L51)</f>
        <v>0</v>
      </c>
      <c r="M63" s="688">
        <f>IF(M51=0,0,Rebanho!$H$66/Descrição!M51)</f>
        <v>0</v>
      </c>
      <c r="N63" s="689">
        <f>IF(N51=0,0,Rebanho!$H$66/Descrição!N51)</f>
        <v>0</v>
      </c>
      <c r="S63" s="704"/>
      <c r="Z63" s="1398"/>
      <c r="AA63" s="1398"/>
      <c r="AB63" s="1398"/>
      <c r="AC63" s="1398"/>
      <c r="AD63" s="1398"/>
      <c r="AE63" s="1398"/>
      <c r="AF63" s="1398"/>
      <c r="AG63" s="1398"/>
      <c r="AH63" s="1398"/>
      <c r="AI63" s="1398"/>
      <c r="AJ63" s="1398"/>
    </row>
    <row r="64" spans="1:36" s="570" customFormat="1" x14ac:dyDescent="0.2">
      <c r="B64" s="614">
        <f t="shared" si="31"/>
        <v>0</v>
      </c>
      <c r="C64" s="687">
        <f>IF(C52=0,0,Rebanho!$H$66/Descrição!C52)</f>
        <v>0</v>
      </c>
      <c r="D64" s="688">
        <f>IF(D52=0,0,Rebanho!$H$66/Descrição!D52)</f>
        <v>0</v>
      </c>
      <c r="E64" s="688">
        <f>IF(E52=0,0,Rebanho!$H$66/Descrição!E52)</f>
        <v>0</v>
      </c>
      <c r="F64" s="688">
        <f>IF(F52=0,0,Rebanho!$H$66/Descrição!F52)</f>
        <v>0</v>
      </c>
      <c r="G64" s="688">
        <f>IF(G52=0,0,Rebanho!$H$66/Descrição!G52)</f>
        <v>0</v>
      </c>
      <c r="H64" s="688">
        <f>IF(H52=0,0,Rebanho!$H$66/Descrição!H52)</f>
        <v>0</v>
      </c>
      <c r="I64" s="688">
        <f>IF(I52=0,0,Rebanho!$H$66/Descrição!I52)</f>
        <v>0</v>
      </c>
      <c r="J64" s="688">
        <f>IF(J52=0,0,Rebanho!$H$66/Descrição!J52)</f>
        <v>0</v>
      </c>
      <c r="K64" s="688">
        <f>IF(K52=0,0,Rebanho!$H$66/Descrição!K52)</f>
        <v>0</v>
      </c>
      <c r="L64" s="688">
        <f>IF(L52=0,0,Rebanho!$H$66/Descrição!L52)</f>
        <v>0</v>
      </c>
      <c r="M64" s="688">
        <f>IF(M52=0,0,Rebanho!$H$66/Descrição!M52)</f>
        <v>0</v>
      </c>
      <c r="N64" s="689">
        <f>IF(N52=0,0,Rebanho!$H$66/Descrição!N52)</f>
        <v>0</v>
      </c>
      <c r="S64" s="704"/>
      <c r="Z64" s="1398"/>
      <c r="AA64" s="1398"/>
      <c r="AB64" s="1398"/>
      <c r="AC64" s="1398"/>
      <c r="AD64" s="1398"/>
      <c r="AE64" s="1398"/>
      <c r="AF64" s="1398"/>
      <c r="AG64" s="1398"/>
      <c r="AH64" s="1398"/>
      <c r="AI64" s="1398"/>
      <c r="AJ64" s="1398"/>
    </row>
    <row r="65" spans="2:36" s="570" customFormat="1" x14ac:dyDescent="0.2">
      <c r="B65" s="614">
        <f t="shared" si="31"/>
        <v>0</v>
      </c>
      <c r="C65" s="687">
        <f>IF(C53=0,0,Rebanho!$H$66/Descrição!C53)</f>
        <v>0</v>
      </c>
      <c r="D65" s="688">
        <f>IF(D53=0,0,Rebanho!$H$66/Descrição!D53)</f>
        <v>0</v>
      </c>
      <c r="E65" s="688">
        <f>IF(E53=0,0,Rebanho!$H$66/Descrição!E53)</f>
        <v>0</v>
      </c>
      <c r="F65" s="688">
        <f>IF(F53=0,0,Rebanho!$H$66/Descrição!F53)</f>
        <v>0</v>
      </c>
      <c r="G65" s="688">
        <f>IF(G53=0,0,Rebanho!$H$66/Descrição!G53)</f>
        <v>0</v>
      </c>
      <c r="H65" s="688">
        <f>IF(H53=0,0,Rebanho!$H$66/Descrição!H53)</f>
        <v>0</v>
      </c>
      <c r="I65" s="688">
        <f>IF(I53=0,0,Rebanho!$H$66/Descrição!I53)</f>
        <v>0</v>
      </c>
      <c r="J65" s="688">
        <f>IF(J53=0,0,Rebanho!$H$66/Descrição!J53)</f>
        <v>0</v>
      </c>
      <c r="K65" s="688">
        <f>IF(K53=0,0,Rebanho!$H$66/Descrição!K53)</f>
        <v>0</v>
      </c>
      <c r="L65" s="688">
        <f>IF(L53=0,0,Rebanho!$H$66/Descrição!L53)</f>
        <v>0</v>
      </c>
      <c r="M65" s="688">
        <f>IF(M53=0,0,Rebanho!$H$66/Descrição!M53)</f>
        <v>0</v>
      </c>
      <c r="N65" s="689">
        <f>IF(N53=0,0,Rebanho!$H$66/Descrição!N53)</f>
        <v>0</v>
      </c>
      <c r="S65" s="704"/>
      <c r="Z65" s="1398"/>
      <c r="AA65" s="1398"/>
      <c r="AB65" s="1398"/>
      <c r="AC65" s="1398"/>
      <c r="AD65" s="1398"/>
      <c r="AE65" s="1398"/>
      <c r="AF65" s="1398"/>
      <c r="AG65" s="1398"/>
      <c r="AH65" s="1398"/>
      <c r="AI65" s="1398"/>
      <c r="AJ65" s="1398"/>
    </row>
    <row r="66" spans="2:36" s="570" customFormat="1" x14ac:dyDescent="0.2">
      <c r="B66" s="614">
        <f t="shared" si="31"/>
        <v>0</v>
      </c>
      <c r="C66" s="687">
        <f>IF(C54=0,0,Rebanho!$H$66/Descrição!C54)</f>
        <v>0</v>
      </c>
      <c r="D66" s="688">
        <f>IF(D54=0,0,Rebanho!$H$66/Descrição!D54)</f>
        <v>0</v>
      </c>
      <c r="E66" s="688">
        <f>IF(E54=0,0,Rebanho!$H$66/Descrição!E54)</f>
        <v>0</v>
      </c>
      <c r="F66" s="688">
        <f>IF(F54=0,0,Rebanho!$H$66/Descrição!F54)</f>
        <v>0</v>
      </c>
      <c r="G66" s="688">
        <f>IF(G54=0,0,Rebanho!$H$66/Descrição!G54)</f>
        <v>0</v>
      </c>
      <c r="H66" s="688">
        <f>IF(H54=0,0,Rebanho!$H$66/Descrição!H54)</f>
        <v>0</v>
      </c>
      <c r="I66" s="688">
        <f>IF(I54=0,0,Rebanho!$H$66/Descrição!I54)</f>
        <v>0</v>
      </c>
      <c r="J66" s="688">
        <f>IF(J54=0,0,Rebanho!$H$66/Descrição!J54)</f>
        <v>0</v>
      </c>
      <c r="K66" s="688">
        <f>IF(K54=0,0,Rebanho!$H$66/Descrição!K54)</f>
        <v>0</v>
      </c>
      <c r="L66" s="688">
        <f>IF(L54=0,0,Rebanho!$H$66/Descrição!L54)</f>
        <v>0</v>
      </c>
      <c r="M66" s="688">
        <f>IF(M54=0,0,Rebanho!$H$66/Descrição!M54)</f>
        <v>0</v>
      </c>
      <c r="N66" s="689">
        <f>IF(N54=0,0,Rebanho!$H$66/Descrição!N54)</f>
        <v>0</v>
      </c>
      <c r="S66" s="704"/>
      <c r="Z66" s="1398"/>
      <c r="AA66" s="1398"/>
      <c r="AB66" s="1398"/>
      <c r="AC66" s="1398"/>
      <c r="AD66" s="1398"/>
      <c r="AE66" s="1398"/>
      <c r="AF66" s="1398"/>
      <c r="AG66" s="1398"/>
      <c r="AH66" s="1398"/>
      <c r="AI66" s="1398"/>
      <c r="AJ66" s="1398"/>
    </row>
    <row r="67" spans="2:36" s="570" customFormat="1" ht="13.5" thickBot="1" x14ac:dyDescent="0.25">
      <c r="B67" s="614">
        <f t="shared" si="31"/>
        <v>0</v>
      </c>
      <c r="C67" s="690">
        <f>IF(C55=0,0,Rebanho!$H$66/Descrição!C55)</f>
        <v>0</v>
      </c>
      <c r="D67" s="691">
        <f>IF(D55=0,0,Rebanho!$H$66/Descrição!D55)</f>
        <v>0</v>
      </c>
      <c r="E67" s="691">
        <f>IF(E55=0,0,Rebanho!$H$66/Descrição!E55)</f>
        <v>0</v>
      </c>
      <c r="F67" s="691">
        <f>IF(F55=0,0,Rebanho!$H$66/Descrição!F55)</f>
        <v>0</v>
      </c>
      <c r="G67" s="691">
        <f>IF(G55=0,0,Rebanho!$H$66/Descrição!G55)</f>
        <v>0</v>
      </c>
      <c r="H67" s="691">
        <f>IF(H55=0,0,Rebanho!$H$66/Descrição!H55)</f>
        <v>0</v>
      </c>
      <c r="I67" s="691">
        <f>IF(I55=0,0,Rebanho!$H$66/Descrição!I55)</f>
        <v>0</v>
      </c>
      <c r="J67" s="691">
        <f>IF(J55=0,0,Rebanho!$H$66/Descrição!J55)</f>
        <v>0</v>
      </c>
      <c r="K67" s="691">
        <f>IF(K55=0,0,Rebanho!$H$66/Descrição!K55)</f>
        <v>0</v>
      </c>
      <c r="L67" s="691">
        <f>IF(L55=0,0,Rebanho!$H$66/Descrição!L55)</f>
        <v>0</v>
      </c>
      <c r="M67" s="691">
        <f>IF(M55=0,0,Rebanho!$H$66/Descrição!M55)</f>
        <v>0</v>
      </c>
      <c r="N67" s="692">
        <f>IF(N55=0,0,Rebanho!$H$66/Descrição!N55)</f>
        <v>0</v>
      </c>
      <c r="S67" s="704"/>
    </row>
    <row r="68" spans="2:36" s="570" customFormat="1" ht="13.5" thickBot="1" x14ac:dyDescent="0.25">
      <c r="B68" s="619" t="s">
        <v>2</v>
      </c>
      <c r="C68" s="696">
        <f>IF(C56=0,0,Rebanho!$H$66/Descrição!C56)</f>
        <v>1.2254713557179697</v>
      </c>
      <c r="D68" s="697">
        <f>IF(D56=0,0,Rebanho!$H$66/Descrição!D56)</f>
        <v>1.2254713557179697</v>
      </c>
      <c r="E68" s="697">
        <f>IF(E56=0,0,Rebanho!$H$66/Descrição!E56)</f>
        <v>1.2254713557179697</v>
      </c>
      <c r="F68" s="697">
        <f>IF(F56=0,0,Rebanho!$H$66/Descrição!F56)</f>
        <v>1.2254713557179697</v>
      </c>
      <c r="G68" s="697">
        <f>IF(G56=0,0,Rebanho!$H$66/Descrição!G56)</f>
        <v>1.2254713557179697</v>
      </c>
      <c r="H68" s="697">
        <f>IF(H56=0,0,Rebanho!$H$66/Descrição!H56)</f>
        <v>1.2254713557179697</v>
      </c>
      <c r="I68" s="697">
        <f>IF(I56=0,0,Rebanho!$H$66/Descrição!I56)</f>
        <v>1.2254713557179697</v>
      </c>
      <c r="J68" s="697">
        <f>IF(J56=0,0,Rebanho!$H$66/Descrição!J56)</f>
        <v>1.2254713557179697</v>
      </c>
      <c r="K68" s="697">
        <f>IF(K56=0,0,Rebanho!$H$66/Descrição!K56)</f>
        <v>1.2254713557179697</v>
      </c>
      <c r="L68" s="697">
        <f>IF(L56=0,0,Rebanho!$H$66/Descrição!L56)</f>
        <v>1.2254713557179697</v>
      </c>
      <c r="M68" s="697">
        <f>IF(M56=0,0,Rebanho!$H$66/Descrição!M56)</f>
        <v>1.2254713557179697</v>
      </c>
      <c r="N68" s="698">
        <f>IF(N56=0,0,Rebanho!$H$66/Descrição!N56)</f>
        <v>1.2254713557179697</v>
      </c>
      <c r="S68" s="704"/>
    </row>
    <row r="69" spans="2:36" s="570" customFormat="1" x14ac:dyDescent="0.2">
      <c r="S69" s="704"/>
    </row>
    <row r="70" spans="2:36" s="570" customFormat="1" x14ac:dyDescent="0.2">
      <c r="S70" s="704"/>
    </row>
    <row r="71" spans="2:36" s="570" customFormat="1" x14ac:dyDescent="0.2">
      <c r="S71" s="704"/>
    </row>
    <row r="72" spans="2:36" s="570" customFormat="1" x14ac:dyDescent="0.2">
      <c r="S72" s="704"/>
    </row>
    <row r="73" spans="2:36" s="570" customFormat="1" x14ac:dyDescent="0.2">
      <c r="S73" s="704"/>
    </row>
    <row r="74" spans="2:36" s="570" customFormat="1" x14ac:dyDescent="0.2">
      <c r="S74" s="704"/>
    </row>
    <row r="75" spans="2:36" s="570" customFormat="1" x14ac:dyDescent="0.2">
      <c r="S75" s="704"/>
    </row>
    <row r="76" spans="2:36" s="570" customFormat="1" x14ac:dyDescent="0.2">
      <c r="S76" s="704"/>
    </row>
    <row r="77" spans="2:36" s="570" customFormat="1" x14ac:dyDescent="0.2">
      <c r="S77" s="704"/>
    </row>
    <row r="78" spans="2:36" s="570" customFormat="1" x14ac:dyDescent="0.2">
      <c r="S78" s="704"/>
    </row>
    <row r="79" spans="2:36" s="570" customFormat="1" x14ac:dyDescent="0.2">
      <c r="S79" s="704"/>
    </row>
    <row r="80" spans="2:36" s="570" customFormat="1" x14ac:dyDescent="0.2">
      <c r="S80" s="704"/>
    </row>
    <row r="81" spans="19:19" s="570" customFormat="1" x14ac:dyDescent="0.2">
      <c r="S81" s="704"/>
    </row>
    <row r="82" spans="19:19" s="570" customFormat="1" x14ac:dyDescent="0.2">
      <c r="S82" s="704"/>
    </row>
    <row r="83" spans="19:19" s="570" customFormat="1" x14ac:dyDescent="0.2">
      <c r="S83" s="704"/>
    </row>
    <row r="84" spans="19:19" s="570" customFormat="1" x14ac:dyDescent="0.2">
      <c r="S84" s="704"/>
    </row>
    <row r="85" spans="19:19" s="570" customFormat="1" x14ac:dyDescent="0.2">
      <c r="S85" s="704"/>
    </row>
    <row r="86" spans="19:19" s="570" customFormat="1" x14ac:dyDescent="0.2">
      <c r="S86" s="704"/>
    </row>
    <row r="87" spans="19:19" s="570" customFormat="1" x14ac:dyDescent="0.2">
      <c r="S87" s="704"/>
    </row>
    <row r="88" spans="19:19" s="570" customFormat="1" x14ac:dyDescent="0.2">
      <c r="S88" s="704"/>
    </row>
    <row r="89" spans="19:19" s="570" customFormat="1" x14ac:dyDescent="0.2">
      <c r="S89" s="704"/>
    </row>
    <row r="90" spans="19:19" s="570" customFormat="1" x14ac:dyDescent="0.2">
      <c r="S90" s="704"/>
    </row>
    <row r="91" spans="19:19" s="570" customFormat="1" x14ac:dyDescent="0.2">
      <c r="S91" s="704"/>
    </row>
    <row r="92" spans="19:19" s="570" customFormat="1" x14ac:dyDescent="0.2">
      <c r="S92" s="704"/>
    </row>
    <row r="93" spans="19:19" s="570" customFormat="1" x14ac:dyDescent="0.2">
      <c r="S93" s="704"/>
    </row>
    <row r="94" spans="19:19" s="570" customFormat="1" x14ac:dyDescent="0.2">
      <c r="S94" s="704"/>
    </row>
    <row r="95" spans="19:19" s="570" customFormat="1" x14ac:dyDescent="0.2">
      <c r="S95" s="704"/>
    </row>
    <row r="96" spans="19:19" s="570" customFormat="1" x14ac:dyDescent="0.2">
      <c r="S96" s="704"/>
    </row>
    <row r="97" spans="19:19" s="570" customFormat="1" x14ac:dyDescent="0.2">
      <c r="S97" s="704"/>
    </row>
    <row r="98" spans="19:19" s="570" customFormat="1" x14ac:dyDescent="0.2">
      <c r="S98" s="704"/>
    </row>
    <row r="99" spans="19:19" s="570" customFormat="1" x14ac:dyDescent="0.2">
      <c r="S99" s="704"/>
    </row>
    <row r="100" spans="19:19" s="570" customFormat="1" x14ac:dyDescent="0.2">
      <c r="S100" s="704"/>
    </row>
    <row r="101" spans="19:19" s="570" customFormat="1" x14ac:dyDescent="0.2">
      <c r="S101" s="704"/>
    </row>
    <row r="102" spans="19:19" s="570" customFormat="1" x14ac:dyDescent="0.2">
      <c r="S102" s="704"/>
    </row>
    <row r="103" spans="19:19" s="570" customFormat="1" x14ac:dyDescent="0.2">
      <c r="S103" s="704"/>
    </row>
    <row r="104" spans="19:19" s="570" customFormat="1" x14ac:dyDescent="0.2">
      <c r="S104" s="704"/>
    </row>
    <row r="105" spans="19:19" s="570" customFormat="1" x14ac:dyDescent="0.2">
      <c r="S105" s="704"/>
    </row>
    <row r="106" spans="19:19" s="570" customFormat="1" x14ac:dyDescent="0.2">
      <c r="S106" s="704"/>
    </row>
    <row r="107" spans="19:19" s="570" customFormat="1" x14ac:dyDescent="0.2">
      <c r="S107" s="704"/>
    </row>
    <row r="108" spans="19:19" s="570" customFormat="1" x14ac:dyDescent="0.2">
      <c r="S108" s="704"/>
    </row>
    <row r="109" spans="19:19" s="570" customFormat="1" x14ac:dyDescent="0.2">
      <c r="S109" s="704"/>
    </row>
    <row r="110" spans="19:19" s="570" customFormat="1" x14ac:dyDescent="0.2">
      <c r="S110" s="704"/>
    </row>
    <row r="111" spans="19:19" s="570" customFormat="1" x14ac:dyDescent="0.2">
      <c r="S111" s="704"/>
    </row>
    <row r="112" spans="19:19" s="570" customFormat="1" x14ac:dyDescent="0.2">
      <c r="S112" s="704"/>
    </row>
    <row r="113" spans="19:19" s="570" customFormat="1" x14ac:dyDescent="0.2">
      <c r="S113" s="704"/>
    </row>
    <row r="114" spans="19:19" s="570" customFormat="1" x14ac:dyDescent="0.2">
      <c r="S114" s="704"/>
    </row>
    <row r="115" spans="19:19" s="570" customFormat="1" x14ac:dyDescent="0.2">
      <c r="S115" s="704"/>
    </row>
    <row r="116" spans="19:19" s="570" customFormat="1" x14ac:dyDescent="0.2">
      <c r="S116" s="704"/>
    </row>
    <row r="117" spans="19:19" s="570" customFormat="1" x14ac:dyDescent="0.2">
      <c r="S117" s="704"/>
    </row>
    <row r="118" spans="19:19" s="570" customFormat="1" x14ac:dyDescent="0.2">
      <c r="S118" s="704"/>
    </row>
    <row r="119" spans="19:19" s="570" customFormat="1" x14ac:dyDescent="0.2">
      <c r="S119" s="704"/>
    </row>
    <row r="120" spans="19:19" s="570" customFormat="1" x14ac:dyDescent="0.2">
      <c r="S120" s="704"/>
    </row>
    <row r="121" spans="19:19" s="570" customFormat="1" x14ac:dyDescent="0.2">
      <c r="S121" s="704"/>
    </row>
    <row r="122" spans="19:19" s="570" customFormat="1" x14ac:dyDescent="0.2">
      <c r="S122" s="704"/>
    </row>
    <row r="123" spans="19:19" s="570" customFormat="1" x14ac:dyDescent="0.2">
      <c r="S123" s="704"/>
    </row>
    <row r="124" spans="19:19" s="570" customFormat="1" x14ac:dyDescent="0.2">
      <c r="S124" s="704"/>
    </row>
    <row r="125" spans="19:19" s="570" customFormat="1" x14ac:dyDescent="0.2">
      <c r="S125" s="704"/>
    </row>
    <row r="126" spans="19:19" s="570" customFormat="1" x14ac:dyDescent="0.2">
      <c r="S126" s="704"/>
    </row>
    <row r="127" spans="19:19" s="570" customFormat="1" x14ac:dyDescent="0.2">
      <c r="S127" s="704"/>
    </row>
    <row r="128" spans="19:19" s="570" customFormat="1" x14ac:dyDescent="0.2">
      <c r="S128" s="704"/>
    </row>
    <row r="129" spans="19:19" s="570" customFormat="1" x14ac:dyDescent="0.2">
      <c r="S129" s="704"/>
    </row>
    <row r="130" spans="19:19" s="570" customFormat="1" x14ac:dyDescent="0.2">
      <c r="S130" s="704"/>
    </row>
    <row r="131" spans="19:19" s="570" customFormat="1" x14ac:dyDescent="0.2">
      <c r="S131" s="704"/>
    </row>
    <row r="132" spans="19:19" s="570" customFormat="1" x14ac:dyDescent="0.2">
      <c r="S132" s="704"/>
    </row>
    <row r="133" spans="19:19" s="570" customFormat="1" x14ac:dyDescent="0.2">
      <c r="S133" s="704"/>
    </row>
    <row r="134" spans="19:19" s="570" customFormat="1" x14ac:dyDescent="0.2">
      <c r="S134" s="704"/>
    </row>
    <row r="135" spans="19:19" s="570" customFormat="1" x14ac:dyDescent="0.2">
      <c r="S135" s="704"/>
    </row>
    <row r="136" spans="19:19" s="570" customFormat="1" x14ac:dyDescent="0.2">
      <c r="S136" s="704"/>
    </row>
    <row r="137" spans="19:19" s="570" customFormat="1" x14ac:dyDescent="0.2">
      <c r="S137" s="704"/>
    </row>
    <row r="138" spans="19:19" s="570" customFormat="1" x14ac:dyDescent="0.2">
      <c r="S138" s="704"/>
    </row>
    <row r="139" spans="19:19" s="570" customFormat="1" x14ac:dyDescent="0.2">
      <c r="S139" s="704"/>
    </row>
    <row r="140" spans="19:19" s="570" customFormat="1" x14ac:dyDescent="0.2">
      <c r="S140" s="704"/>
    </row>
    <row r="141" spans="19:19" s="570" customFormat="1" x14ac:dyDescent="0.2">
      <c r="S141" s="704"/>
    </row>
    <row r="142" spans="19:19" s="570" customFormat="1" x14ac:dyDescent="0.2">
      <c r="S142" s="704"/>
    </row>
    <row r="143" spans="19:19" s="570" customFormat="1" x14ac:dyDescent="0.2">
      <c r="S143" s="704"/>
    </row>
    <row r="144" spans="19:19" s="570" customFormat="1" x14ac:dyDescent="0.2">
      <c r="S144" s="704"/>
    </row>
    <row r="145" spans="19:19" s="570" customFormat="1" x14ac:dyDescent="0.2">
      <c r="S145" s="704"/>
    </row>
    <row r="146" spans="19:19" s="570" customFormat="1" x14ac:dyDescent="0.2">
      <c r="S146" s="704"/>
    </row>
    <row r="147" spans="19:19" s="570" customFormat="1" x14ac:dyDescent="0.2">
      <c r="S147" s="704"/>
    </row>
    <row r="148" spans="19:19" s="570" customFormat="1" x14ac:dyDescent="0.2">
      <c r="S148" s="704"/>
    </row>
    <row r="149" spans="19:19" s="570" customFormat="1" x14ac:dyDescent="0.2">
      <c r="S149" s="704"/>
    </row>
    <row r="150" spans="19:19" s="570" customFormat="1" x14ac:dyDescent="0.2">
      <c r="S150" s="704"/>
    </row>
    <row r="151" spans="19:19" s="570" customFormat="1" x14ac:dyDescent="0.2">
      <c r="S151" s="704"/>
    </row>
    <row r="152" spans="19:19" s="570" customFormat="1" x14ac:dyDescent="0.2">
      <c r="S152" s="704"/>
    </row>
    <row r="153" spans="19:19" s="570" customFormat="1" x14ac:dyDescent="0.2">
      <c r="S153" s="704"/>
    </row>
    <row r="154" spans="19:19" s="570" customFormat="1" x14ac:dyDescent="0.2">
      <c r="S154" s="704"/>
    </row>
    <row r="155" spans="19:19" s="570" customFormat="1" x14ac:dyDescent="0.2">
      <c r="S155" s="704"/>
    </row>
    <row r="156" spans="19:19" s="570" customFormat="1" x14ac:dyDescent="0.2">
      <c r="S156" s="704"/>
    </row>
    <row r="157" spans="19:19" s="570" customFormat="1" x14ac:dyDescent="0.2">
      <c r="S157" s="704"/>
    </row>
    <row r="158" spans="19:19" s="570" customFormat="1" x14ac:dyDescent="0.2">
      <c r="S158" s="704"/>
    </row>
    <row r="159" spans="19:19" s="570" customFormat="1" x14ac:dyDescent="0.2">
      <c r="S159" s="704"/>
    </row>
    <row r="160" spans="19:19" s="570" customFormat="1" x14ac:dyDescent="0.2">
      <c r="S160" s="704"/>
    </row>
    <row r="161" spans="2:19" s="570" customFormat="1" x14ac:dyDescent="0.2">
      <c r="S161" s="704"/>
    </row>
    <row r="162" spans="2:19" s="570" customFormat="1" x14ac:dyDescent="0.2">
      <c r="S162" s="704"/>
    </row>
    <row r="163" spans="2:19" s="570" customFormat="1" x14ac:dyDescent="0.2">
      <c r="S163" s="704"/>
    </row>
    <row r="164" spans="2:19" s="570" customFormat="1" x14ac:dyDescent="0.2">
      <c r="S164" s="704"/>
    </row>
    <row r="165" spans="2:19" s="570" customFormat="1" x14ac:dyDescent="0.2">
      <c r="S165" s="704"/>
    </row>
    <row r="166" spans="2:19" s="570" customFormat="1" x14ac:dyDescent="0.2">
      <c r="S166" s="704"/>
    </row>
    <row r="167" spans="2:19" x14ac:dyDescent="0.2">
      <c r="B167" s="570"/>
      <c r="C167" s="570"/>
      <c r="D167" s="570"/>
      <c r="E167" s="570"/>
      <c r="F167" s="570"/>
      <c r="G167" s="570"/>
      <c r="H167" s="570"/>
      <c r="I167" s="570"/>
      <c r="J167" s="570"/>
      <c r="K167" s="570"/>
      <c r="L167" s="570"/>
      <c r="M167" s="570"/>
      <c r="N167" s="570"/>
    </row>
    <row r="168" spans="2:19" x14ac:dyDescent="0.2">
      <c r="B168" s="570"/>
      <c r="C168" s="570"/>
      <c r="D168" s="570"/>
      <c r="E168" s="570"/>
      <c r="F168" s="570"/>
      <c r="G168" s="570"/>
      <c r="H168" s="570"/>
      <c r="I168" s="570"/>
      <c r="J168" s="570"/>
      <c r="K168" s="570"/>
      <c r="L168" s="570"/>
      <c r="M168" s="570"/>
      <c r="N168" s="570"/>
    </row>
    <row r="169" spans="2:19" x14ac:dyDescent="0.2">
      <c r="B169" s="570"/>
      <c r="C169" s="570"/>
      <c r="D169" s="570"/>
      <c r="E169" s="570"/>
      <c r="F169" s="570"/>
      <c r="G169" s="570"/>
      <c r="H169" s="570"/>
      <c r="I169" s="570"/>
      <c r="J169" s="570"/>
      <c r="K169" s="570"/>
      <c r="L169" s="570"/>
      <c r="M169" s="570"/>
      <c r="N169" s="570"/>
    </row>
    <row r="170" spans="2:19" x14ac:dyDescent="0.2">
      <c r="B170" s="570"/>
      <c r="C170" s="570"/>
      <c r="D170" s="570"/>
      <c r="E170" s="570"/>
      <c r="F170" s="570"/>
      <c r="G170" s="570"/>
      <c r="H170" s="570"/>
      <c r="I170" s="570"/>
      <c r="J170" s="570"/>
      <c r="K170" s="570"/>
      <c r="L170" s="570"/>
      <c r="M170" s="570"/>
      <c r="N170" s="570"/>
    </row>
  </sheetData>
  <mergeCells count="19">
    <mergeCell ref="P6:Q6"/>
    <mergeCell ref="M6:N6"/>
    <mergeCell ref="AF15:AG15"/>
    <mergeCell ref="F22:G22"/>
    <mergeCell ref="F18:G18"/>
    <mergeCell ref="F19:G19"/>
    <mergeCell ref="T15:U15"/>
    <mergeCell ref="P14:U14"/>
    <mergeCell ref="C21:D21"/>
    <mergeCell ref="F20:G20"/>
    <mergeCell ref="F21:G21"/>
    <mergeCell ref="C13:D13"/>
    <mergeCell ref="C15:D15"/>
    <mergeCell ref="C17:D17"/>
    <mergeCell ref="F14:G14"/>
    <mergeCell ref="F15:G15"/>
    <mergeCell ref="F16:G16"/>
    <mergeCell ref="F17:G17"/>
    <mergeCell ref="C19:D19"/>
  </mergeCells>
  <conditionalFormatting sqref="M9:N9">
    <cfRule type="expression" dxfId="661" priority="23" stopIfTrue="1">
      <formula>$N$7=2</formula>
    </cfRule>
  </conditionalFormatting>
  <conditionalFormatting sqref="M8:N11">
    <cfRule type="expression" dxfId="660" priority="22" stopIfTrue="1">
      <formula>$N$7=1</formula>
    </cfRule>
  </conditionalFormatting>
  <conditionalFormatting sqref="M11:N11">
    <cfRule type="expression" dxfId="659" priority="21" stopIfTrue="1">
      <formula>$N$7&gt;2</formula>
    </cfRule>
  </conditionalFormatting>
  <conditionalFormatting sqref="K14:K22">
    <cfRule type="expression" dxfId="658" priority="20" stopIfTrue="1">
      <formula>F14&gt;1</formula>
    </cfRule>
  </conditionalFormatting>
  <conditionalFormatting sqref="K15:K22">
    <cfRule type="expression" dxfId="657" priority="19" stopIfTrue="1">
      <formula>J15&gt;0</formula>
    </cfRule>
  </conditionalFormatting>
  <conditionalFormatting sqref="K12">
    <cfRule type="cellIs" dxfId="656" priority="18" stopIfTrue="1" operator="lessThan">
      <formula>0</formula>
    </cfRule>
  </conditionalFormatting>
  <conditionalFormatting sqref="L14:L22">
    <cfRule type="expression" dxfId="655" priority="17" stopIfTrue="1">
      <formula>F14&gt;1</formula>
    </cfRule>
  </conditionalFormatting>
  <conditionalFormatting sqref="L15:L22">
    <cfRule type="expression" dxfId="654" priority="16">
      <formula>J15&gt;0</formula>
    </cfRule>
  </conditionalFormatting>
  <conditionalFormatting sqref="L15:L22">
    <cfRule type="expression" dxfId="653" priority="15" stopIfTrue="1">
      <formula>F15&gt;1</formula>
    </cfRule>
  </conditionalFormatting>
  <conditionalFormatting sqref="M14">
    <cfRule type="expression" dxfId="652" priority="14" stopIfTrue="1">
      <formula>F14&gt;1</formula>
    </cfRule>
  </conditionalFormatting>
  <conditionalFormatting sqref="M15:M22">
    <cfRule type="expression" dxfId="651" priority="13" stopIfTrue="1">
      <formula>F15&gt;1</formula>
    </cfRule>
  </conditionalFormatting>
  <conditionalFormatting sqref="N14">
    <cfRule type="expression" dxfId="650" priority="12">
      <formula>F14&gt;1</formula>
    </cfRule>
  </conditionalFormatting>
  <conditionalFormatting sqref="N15:N22">
    <cfRule type="expression" dxfId="649" priority="11">
      <formula>F15&gt;1</formula>
    </cfRule>
  </conditionalFormatting>
  <conditionalFormatting sqref="M9:N9">
    <cfRule type="expression" dxfId="648" priority="9">
      <formula>$N$7=5</formula>
    </cfRule>
    <cfRule type="expression" dxfId="647" priority="10" stopIfTrue="1">
      <formula>$N$7=2</formula>
    </cfRule>
  </conditionalFormatting>
  <conditionalFormatting sqref="M8:N11">
    <cfRule type="expression" dxfId="646" priority="8" stopIfTrue="1">
      <formula>$N$7=1</formula>
    </cfRule>
  </conditionalFormatting>
  <conditionalFormatting sqref="M11:N11">
    <cfRule type="expression" dxfId="645" priority="7" stopIfTrue="1">
      <formula>$N$7&gt;2</formula>
    </cfRule>
  </conditionalFormatting>
  <conditionalFormatting sqref="M9:N10">
    <cfRule type="expression" dxfId="644" priority="6" stopIfTrue="1">
      <formula>$N$7=6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ignoredErrors>
    <ignoredError sqref="N22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46913" r:id="rId4" name="Drop Down 1">
              <controlPr defaultSize="0" autoLine="0" autoPict="0">
                <anchor moveWithCells="1">
                  <from>
                    <xdr:col>2</xdr:col>
                    <xdr:colOff>9525</xdr:colOff>
                    <xdr:row>17</xdr:row>
                    <xdr:rowOff>180975</xdr:rowOff>
                  </from>
                  <to>
                    <xdr:col>4</xdr:col>
                    <xdr:colOff>0</xdr:colOff>
                    <xdr:row>19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914" r:id="rId5" name="Drop Down 2">
              <controlPr defaultSize="0" autoLine="0" autoPict="0">
                <anchor moveWithCells="1">
                  <from>
                    <xdr:col>7</xdr:col>
                    <xdr:colOff>0</xdr:colOff>
                    <xdr:row>13</xdr:row>
                    <xdr:rowOff>0</xdr:rowOff>
                  </from>
                  <to>
                    <xdr:col>8</xdr:col>
                    <xdr:colOff>28575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916" r:id="rId6" name="Drop Down 4">
              <controlPr defaultSize="0" autoLine="0" autoPict="0">
                <anchor moveWithCells="1">
                  <from>
                    <xdr:col>8</xdr:col>
                    <xdr:colOff>28575</xdr:colOff>
                    <xdr:row>13</xdr:row>
                    <xdr:rowOff>0</xdr:rowOff>
                  </from>
                  <to>
                    <xdr:col>9</xdr:col>
                    <xdr:colOff>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917" r:id="rId7" name="Drop Down 5">
              <controlPr defaultSize="0" autoLine="0" autoPict="0">
                <anchor moveWithCells="1">
                  <from>
                    <xdr:col>8</xdr:col>
                    <xdr:colOff>28575</xdr:colOff>
                    <xdr:row>17</xdr:row>
                    <xdr:rowOff>9525</xdr:rowOff>
                  </from>
                  <to>
                    <xdr:col>9</xdr:col>
                    <xdr:colOff>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918" r:id="rId8" name="Drop Down 6">
              <controlPr defaultSize="0" autoLine="0" autoPict="0">
                <anchor moveWithCells="1">
                  <from>
                    <xdr:col>7</xdr:col>
                    <xdr:colOff>0</xdr:colOff>
                    <xdr:row>19</xdr:row>
                    <xdr:rowOff>9525</xdr:rowOff>
                  </from>
                  <to>
                    <xdr:col>8</xdr:col>
                    <xdr:colOff>28575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919" r:id="rId9" name="Drop Down 7">
              <controlPr defaultSize="0" autoLine="0" autoPict="0">
                <anchor moveWithCells="1">
                  <from>
                    <xdr:col>7</xdr:col>
                    <xdr:colOff>0</xdr:colOff>
                    <xdr:row>20</xdr:row>
                    <xdr:rowOff>9525</xdr:rowOff>
                  </from>
                  <to>
                    <xdr:col>8</xdr:col>
                    <xdr:colOff>28575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920" r:id="rId10" name="Drop Down 8">
              <controlPr defaultSize="0" autoLine="0" autoPict="0">
                <anchor moveWithCells="1">
                  <from>
                    <xdr:col>8</xdr:col>
                    <xdr:colOff>28575</xdr:colOff>
                    <xdr:row>20</xdr:row>
                    <xdr:rowOff>9525</xdr:rowOff>
                  </from>
                  <to>
                    <xdr:col>9</xdr:col>
                    <xdr:colOff>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921" r:id="rId11" name="Drop Down 9">
              <controlPr defaultSize="0" autoLine="0" autoPict="0">
                <anchor moveWithCells="1">
                  <from>
                    <xdr:col>7</xdr:col>
                    <xdr:colOff>0</xdr:colOff>
                    <xdr:row>21</xdr:row>
                    <xdr:rowOff>9525</xdr:rowOff>
                  </from>
                  <to>
                    <xdr:col>8</xdr:col>
                    <xdr:colOff>28575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922" r:id="rId12" name="Drop Down 10">
              <controlPr defaultSize="0" autoLine="0" autoPict="0">
                <anchor moveWithCells="1">
                  <from>
                    <xdr:col>8</xdr:col>
                    <xdr:colOff>28575</xdr:colOff>
                    <xdr:row>21</xdr:row>
                    <xdr:rowOff>9525</xdr:rowOff>
                  </from>
                  <to>
                    <xdr:col>9</xdr:col>
                    <xdr:colOff>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923" r:id="rId13" name="Drop Down 11">
              <controlPr defaultSize="0" autoLine="0" autoPict="0">
                <anchor moveWithCells="1">
                  <from>
                    <xdr:col>7</xdr:col>
                    <xdr:colOff>0</xdr:colOff>
                    <xdr:row>17</xdr:row>
                    <xdr:rowOff>9525</xdr:rowOff>
                  </from>
                  <to>
                    <xdr:col>8</xdr:col>
                    <xdr:colOff>28575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924" r:id="rId14" name="Drop Down 12">
              <controlPr defaultSize="0" autoLine="0" autoPict="0">
                <anchor moveWithCells="1">
                  <from>
                    <xdr:col>7</xdr:col>
                    <xdr:colOff>0</xdr:colOff>
                    <xdr:row>18</xdr:row>
                    <xdr:rowOff>9525</xdr:rowOff>
                  </from>
                  <to>
                    <xdr:col>8</xdr:col>
                    <xdr:colOff>28575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925" r:id="rId15" name="Drop Down 13">
              <controlPr defaultSize="0" autoLine="0" autoPict="0">
                <anchor moveWithCells="1">
                  <from>
                    <xdr:col>8</xdr:col>
                    <xdr:colOff>28575</xdr:colOff>
                    <xdr:row>18</xdr:row>
                    <xdr:rowOff>9525</xdr:rowOff>
                  </from>
                  <to>
                    <xdr:col>9</xdr:col>
                    <xdr:colOff>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926" r:id="rId16" name="Drop Down 14">
              <controlPr defaultSize="0" autoLine="0" autoPict="0">
                <anchor moveWithCells="1">
                  <from>
                    <xdr:col>8</xdr:col>
                    <xdr:colOff>28575</xdr:colOff>
                    <xdr:row>19</xdr:row>
                    <xdr:rowOff>19050</xdr:rowOff>
                  </from>
                  <to>
                    <xdr:col>9</xdr:col>
                    <xdr:colOff>0</xdr:colOff>
                    <xdr:row>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927" r:id="rId17" name="Drop Down 15">
              <controlPr defaultSize="0" autoLine="0" autoPict="0">
                <anchor moveWithCells="1">
                  <from>
                    <xdr:col>8</xdr:col>
                    <xdr:colOff>28575</xdr:colOff>
                    <xdr:row>16</xdr:row>
                    <xdr:rowOff>9525</xdr:rowOff>
                  </from>
                  <to>
                    <xdr:col>9</xdr:col>
                    <xdr:colOff>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928" r:id="rId18" name="Drop Down 16">
              <controlPr defaultSize="0" autoLine="0" autoPict="0">
                <anchor moveWithCells="1">
                  <from>
                    <xdr:col>7</xdr:col>
                    <xdr:colOff>0</xdr:colOff>
                    <xdr:row>16</xdr:row>
                    <xdr:rowOff>9525</xdr:rowOff>
                  </from>
                  <to>
                    <xdr:col>8</xdr:col>
                    <xdr:colOff>28575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929" r:id="rId19" name="Drop Down 17">
              <controlPr defaultSize="0" autoLine="0" autoPict="0">
                <anchor moveWithCells="1">
                  <from>
                    <xdr:col>7</xdr:col>
                    <xdr:colOff>0</xdr:colOff>
                    <xdr:row>15</xdr:row>
                    <xdr:rowOff>9525</xdr:rowOff>
                  </from>
                  <to>
                    <xdr:col>8</xdr:col>
                    <xdr:colOff>28575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930" r:id="rId20" name="Drop Down 18">
              <controlPr defaultSize="0" autoLine="0" autoPict="0">
                <anchor moveWithCells="1">
                  <from>
                    <xdr:col>8</xdr:col>
                    <xdr:colOff>28575</xdr:colOff>
                    <xdr:row>15</xdr:row>
                    <xdr:rowOff>9525</xdr:rowOff>
                  </from>
                  <to>
                    <xdr:col>9</xdr:col>
                    <xdr:colOff>0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931" r:id="rId21" name="Drop Down 19">
              <controlPr defaultSize="0" autoLine="0" autoPict="0">
                <anchor moveWithCells="1">
                  <from>
                    <xdr:col>8</xdr:col>
                    <xdr:colOff>28575</xdr:colOff>
                    <xdr:row>14</xdr:row>
                    <xdr:rowOff>0</xdr:rowOff>
                  </from>
                  <to>
                    <xdr:col>9</xdr:col>
                    <xdr:colOff>0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932" r:id="rId22" name="Drop Down 20">
              <controlPr defaultSize="0" autoLine="0" autoPict="0">
                <anchor moveWithCells="1">
                  <from>
                    <xdr:col>7</xdr:col>
                    <xdr:colOff>0</xdr:colOff>
                    <xdr:row>14</xdr:row>
                    <xdr:rowOff>9525</xdr:rowOff>
                  </from>
                  <to>
                    <xdr:col>8</xdr:col>
                    <xdr:colOff>28575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410" r:id="rId23" name="Drop Down 498">
              <controlPr defaultSize="0" autoLine="0" autoPict="0">
                <anchor moveWithCells="1">
                  <from>
                    <xdr:col>5</xdr:col>
                    <xdr:colOff>0</xdr:colOff>
                    <xdr:row>13</xdr:row>
                    <xdr:rowOff>0</xdr:rowOff>
                  </from>
                  <to>
                    <xdr:col>7</xdr:col>
                    <xdr:colOff>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412" r:id="rId24" name="Drop Down 500">
              <controlPr defaultSize="0" autoLine="0" autoPict="0">
                <anchor moveWithCells="1">
                  <from>
                    <xdr:col>5</xdr:col>
                    <xdr:colOff>0</xdr:colOff>
                    <xdr:row>14</xdr:row>
                    <xdr:rowOff>19050</xdr:rowOff>
                  </from>
                  <to>
                    <xdr:col>7</xdr:col>
                    <xdr:colOff>0</xdr:colOff>
                    <xdr:row>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413" r:id="rId25" name="Drop Down 501">
              <controlPr defaultSize="0" autoLine="0" autoPict="0">
                <anchor moveWithCells="1">
                  <from>
                    <xdr:col>5</xdr:col>
                    <xdr:colOff>0</xdr:colOff>
                    <xdr:row>18</xdr:row>
                    <xdr:rowOff>9525</xdr:rowOff>
                  </from>
                  <to>
                    <xdr:col>7</xdr:col>
                    <xdr:colOff>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414" r:id="rId26" name="Drop Down 502">
              <controlPr defaultSize="0" autoLine="0" autoPict="0">
                <anchor moveWithCells="1">
                  <from>
                    <xdr:col>5</xdr:col>
                    <xdr:colOff>0</xdr:colOff>
                    <xdr:row>19</xdr:row>
                    <xdr:rowOff>19050</xdr:rowOff>
                  </from>
                  <to>
                    <xdr:col>7</xdr:col>
                    <xdr:colOff>0</xdr:colOff>
                    <xdr:row>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415" r:id="rId27" name="Drop Down 503">
              <controlPr defaultSize="0" autoLine="0" autoPict="0">
                <anchor moveWithCells="1">
                  <from>
                    <xdr:col>5</xdr:col>
                    <xdr:colOff>0</xdr:colOff>
                    <xdr:row>20</xdr:row>
                    <xdr:rowOff>19050</xdr:rowOff>
                  </from>
                  <to>
                    <xdr:col>7</xdr:col>
                    <xdr:colOff>0</xdr:colOff>
                    <xdr:row>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416" r:id="rId28" name="Drop Down 504">
              <controlPr defaultSize="0" autoLine="0" autoPict="0">
                <anchor moveWithCells="1">
                  <from>
                    <xdr:col>5</xdr:col>
                    <xdr:colOff>0</xdr:colOff>
                    <xdr:row>21</xdr:row>
                    <xdr:rowOff>19050</xdr:rowOff>
                  </from>
                  <to>
                    <xdr:col>7</xdr:col>
                    <xdr:colOff>0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417" r:id="rId29" name="Drop Down 505">
              <controlPr defaultSize="0" autoLine="0" autoPict="0">
                <anchor moveWithCells="1">
                  <from>
                    <xdr:col>5</xdr:col>
                    <xdr:colOff>0</xdr:colOff>
                    <xdr:row>16</xdr:row>
                    <xdr:rowOff>9525</xdr:rowOff>
                  </from>
                  <to>
                    <xdr:col>7</xdr:col>
                    <xdr:colOff>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418" r:id="rId30" name="Drop Down 506">
              <controlPr defaultSize="0" autoLine="0" autoPict="0">
                <anchor moveWithCells="1">
                  <from>
                    <xdr:col>5</xdr:col>
                    <xdr:colOff>0</xdr:colOff>
                    <xdr:row>17</xdr:row>
                    <xdr:rowOff>0</xdr:rowOff>
                  </from>
                  <to>
                    <xdr:col>7</xdr:col>
                    <xdr:colOff>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419" r:id="rId31" name="Drop Down 507">
              <controlPr defaultSize="0" autoLine="0" autoPict="0">
                <anchor moveWithCells="1">
                  <from>
                    <xdr:col>5</xdr:col>
                    <xdr:colOff>0</xdr:colOff>
                    <xdr:row>15</xdr:row>
                    <xdr:rowOff>9525</xdr:rowOff>
                  </from>
                  <to>
                    <xdr:col>7</xdr:col>
                    <xdr:colOff>0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769" r:id="rId32" name="Drop Down 857">
              <controlPr defaultSize="0" autoLine="0" autoPict="0">
                <anchor moveWithCells="1">
                  <from>
                    <xdr:col>13</xdr:col>
                    <xdr:colOff>9525</xdr:colOff>
                    <xdr:row>5</xdr:row>
                    <xdr:rowOff>314325</xdr:rowOff>
                  </from>
                  <to>
                    <xdr:col>14</xdr:col>
                    <xdr:colOff>19050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774" r:id="rId33" name="Drop Down 862">
              <controlPr defaultSize="0" autoLine="0" autoPict="0">
                <anchor moveWithCells="1">
                  <from>
                    <xdr:col>13</xdr:col>
                    <xdr:colOff>9525</xdr:colOff>
                    <xdr:row>5</xdr:row>
                    <xdr:rowOff>314325</xdr:rowOff>
                  </from>
                  <to>
                    <xdr:col>14</xdr:col>
                    <xdr:colOff>28575</xdr:colOff>
                    <xdr:row>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tabColor rgb="FF00B050"/>
  </sheetPr>
  <dimension ref="A1:BN117"/>
  <sheetViews>
    <sheetView zoomScaleNormal="100" workbookViewId="0">
      <selection activeCell="F11" sqref="F11"/>
    </sheetView>
  </sheetViews>
  <sheetFormatPr defaultColWidth="9.140625" defaultRowHeight="12.75" x14ac:dyDescent="0.2"/>
  <cols>
    <col min="1" max="1" width="2" style="39" customWidth="1"/>
    <col min="2" max="2" width="23" style="39" customWidth="1"/>
    <col min="3" max="3" width="28" style="37" customWidth="1"/>
    <col min="4" max="4" width="20.5703125" style="37" customWidth="1"/>
    <col min="5" max="5" width="14.5703125" style="37" customWidth="1"/>
    <col min="6" max="6" width="18.42578125" style="37" customWidth="1"/>
    <col min="7" max="7" width="20.42578125" style="37" customWidth="1"/>
    <col min="8" max="9" width="16.28515625" style="37" customWidth="1"/>
    <col min="10" max="10" width="16.28515625" style="413" customWidth="1"/>
    <col min="11" max="11" width="16.28515625" style="414" customWidth="1"/>
    <col min="12" max="12" width="12.7109375" style="38" customWidth="1"/>
    <col min="13" max="13" width="20.7109375" style="39" bestFit="1" customWidth="1"/>
    <col min="14" max="14" width="8" style="338" bestFit="1" customWidth="1"/>
    <col min="15" max="15" width="13" style="338" bestFit="1" customWidth="1"/>
    <col min="16" max="16" width="13" style="38" customWidth="1"/>
    <col min="17" max="17" width="14.140625" style="39" bestFit="1" customWidth="1"/>
    <col min="18" max="18" width="14.28515625" style="39" bestFit="1" customWidth="1"/>
    <col min="19" max="19" width="14.42578125" style="318" bestFit="1" customWidth="1"/>
    <col min="20" max="20" width="15.140625" style="39" bestFit="1" customWidth="1"/>
    <col min="21" max="21" width="9.140625" style="437"/>
    <col min="22" max="22" width="16.28515625" style="509" customWidth="1"/>
    <col min="23" max="23" width="10.140625" style="509" customWidth="1"/>
    <col min="24" max="24" width="7.85546875" style="509" customWidth="1"/>
    <col min="25" max="25" width="12.7109375" style="509" bestFit="1" customWidth="1"/>
    <col min="26" max="26" width="18.140625" style="509" bestFit="1" customWidth="1"/>
    <col min="27" max="27" width="3.28515625" style="509" bestFit="1" customWidth="1"/>
    <col min="28" max="28" width="9.140625" style="509"/>
    <col min="29" max="29" width="18.140625" style="509" bestFit="1" customWidth="1"/>
    <col min="30" max="30" width="19.140625" style="509" bestFit="1" customWidth="1"/>
    <col min="31" max="31" width="9.140625" style="509"/>
    <col min="32" max="78" width="9.140625" style="39"/>
    <col min="79" max="79" width="20.28515625" style="39" bestFit="1" customWidth="1"/>
    <col min="80" max="80" width="12.5703125" style="39" bestFit="1" customWidth="1"/>
    <col min="81" max="81" width="9.140625" style="39"/>
    <col min="82" max="82" width="17.85546875" style="39" bestFit="1" customWidth="1"/>
    <col min="83" max="83" width="13.7109375" style="39" bestFit="1" customWidth="1"/>
    <col min="84" max="84" width="17.7109375" style="39" bestFit="1" customWidth="1"/>
    <col min="85" max="85" width="18.85546875" style="39" bestFit="1" customWidth="1"/>
    <col min="86" max="16384" width="9.140625" style="39"/>
  </cols>
  <sheetData>
    <row r="1" spans="1:64" s="416" customFormat="1" ht="15" customHeight="1" x14ac:dyDescent="0.2">
      <c r="B1" s="413"/>
      <c r="C1" s="413"/>
      <c r="D1" s="413"/>
      <c r="E1" s="413"/>
      <c r="F1" s="413"/>
      <c r="G1" s="413"/>
      <c r="H1" s="413"/>
      <c r="I1" s="413"/>
      <c r="J1" s="414"/>
      <c r="K1" s="414"/>
      <c r="L1" s="509"/>
      <c r="M1" s="575"/>
      <c r="N1" s="575"/>
      <c r="O1" s="417"/>
      <c r="P1" s="417"/>
      <c r="R1" s="507"/>
      <c r="S1" s="507"/>
      <c r="T1" s="417"/>
      <c r="U1" s="417"/>
      <c r="V1" s="417"/>
      <c r="W1" s="507"/>
      <c r="X1" s="417"/>
      <c r="Z1" s="417"/>
      <c r="AA1" s="417"/>
      <c r="AB1" s="417"/>
      <c r="AC1" s="417"/>
      <c r="AD1" s="417"/>
      <c r="AE1" s="417"/>
      <c r="AF1" s="417"/>
      <c r="AG1" s="417"/>
      <c r="AH1" s="417"/>
      <c r="AI1" s="417"/>
      <c r="AJ1" s="417"/>
      <c r="AK1" s="417"/>
      <c r="AL1" s="417"/>
      <c r="AM1" s="417"/>
      <c r="AN1" s="417"/>
      <c r="AO1" s="417"/>
      <c r="AP1" s="417"/>
      <c r="AQ1" s="417"/>
      <c r="AR1" s="417"/>
      <c r="AS1" s="417"/>
      <c r="AT1" s="417"/>
      <c r="AU1" s="417"/>
      <c r="AV1" s="417"/>
      <c r="AW1" s="417"/>
      <c r="AX1" s="417"/>
      <c r="AY1" s="417"/>
      <c r="AZ1" s="417"/>
      <c r="BA1" s="417"/>
      <c r="BB1" s="417"/>
      <c r="BC1" s="417"/>
      <c r="BD1" s="417"/>
      <c r="BE1" s="417"/>
      <c r="BF1" s="417"/>
      <c r="BG1" s="417"/>
      <c r="BH1" s="417"/>
      <c r="BI1" s="417"/>
      <c r="BJ1" s="417"/>
      <c r="BK1" s="417"/>
      <c r="BL1" s="417"/>
    </row>
    <row r="2" spans="1:64" s="416" customFormat="1" ht="15" customHeight="1" thickBot="1" x14ac:dyDescent="0.3">
      <c r="A2" s="419"/>
      <c r="B2" s="598" t="s">
        <v>359</v>
      </c>
      <c r="C2" s="599"/>
      <c r="D2" s="599"/>
      <c r="E2" s="600"/>
      <c r="F2" s="600"/>
      <c r="G2" s="601"/>
      <c r="H2" s="601"/>
      <c r="I2" s="599"/>
      <c r="J2" s="599"/>
      <c r="K2" s="599"/>
      <c r="L2" s="599"/>
      <c r="M2" s="602"/>
      <c r="N2" s="602"/>
      <c r="O2" s="419"/>
      <c r="P2" s="419"/>
      <c r="Q2" s="419"/>
      <c r="R2" s="591"/>
      <c r="S2" s="591"/>
      <c r="T2" s="419"/>
      <c r="U2" s="417"/>
      <c r="V2" s="417"/>
      <c r="W2" s="507"/>
      <c r="X2" s="417"/>
      <c r="Z2" s="417"/>
      <c r="AA2" s="417"/>
      <c r="AB2" s="417"/>
      <c r="AC2" s="417"/>
      <c r="AD2" s="417"/>
      <c r="AE2" s="417"/>
      <c r="AF2" s="417"/>
      <c r="AG2" s="417"/>
      <c r="AH2" s="417"/>
      <c r="AI2" s="417"/>
      <c r="AJ2" s="417"/>
      <c r="AK2" s="417"/>
      <c r="AL2" s="417"/>
      <c r="AM2" s="417"/>
      <c r="AN2" s="417"/>
      <c r="AO2" s="417"/>
      <c r="AP2" s="417"/>
      <c r="AQ2" s="417"/>
      <c r="AR2" s="417"/>
      <c r="AS2" s="417"/>
      <c r="AT2" s="417"/>
      <c r="AU2" s="417"/>
      <c r="AV2" s="417"/>
      <c r="AW2" s="417"/>
      <c r="AX2" s="417"/>
      <c r="AY2" s="417"/>
      <c r="AZ2" s="417"/>
      <c r="BA2" s="417"/>
      <c r="BB2" s="417"/>
      <c r="BC2" s="417"/>
      <c r="BD2" s="417"/>
      <c r="BE2" s="417"/>
      <c r="BF2" s="417"/>
      <c r="BG2" s="417"/>
      <c r="BH2" s="417"/>
      <c r="BI2" s="417"/>
      <c r="BJ2" s="417"/>
      <c r="BK2" s="417"/>
      <c r="BL2" s="417"/>
    </row>
    <row r="3" spans="1:64" s="42" customFormat="1" ht="18" x14ac:dyDescent="0.25">
      <c r="A3" s="41"/>
      <c r="C3" s="572" t="s">
        <v>14</v>
      </c>
      <c r="D3" s="603"/>
      <c r="E3" s="354"/>
      <c r="F3" s="354"/>
      <c r="G3" s="44"/>
      <c r="H3" s="45"/>
      <c r="I3" s="45"/>
      <c r="J3" s="420"/>
      <c r="K3" s="420"/>
      <c r="L3" s="43"/>
      <c r="N3" s="320"/>
      <c r="O3" s="320"/>
      <c r="P3" s="43"/>
      <c r="Q3" s="43"/>
      <c r="R3" s="43"/>
      <c r="S3" s="320"/>
      <c r="T3" s="43"/>
      <c r="U3" s="425"/>
      <c r="V3" s="420"/>
      <c r="W3" s="420"/>
      <c r="X3" s="420"/>
      <c r="Y3" s="420"/>
      <c r="Z3" s="420"/>
      <c r="AA3" s="420"/>
      <c r="AB3" s="420"/>
      <c r="AC3" s="420"/>
      <c r="AD3" s="420"/>
      <c r="AE3" s="420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</row>
    <row r="4" spans="1:64" s="42" customFormat="1" ht="14.1" customHeight="1" x14ac:dyDescent="0.2">
      <c r="A4" s="41"/>
      <c r="C4" s="36"/>
      <c r="D4" s="36"/>
      <c r="E4" s="33"/>
      <c r="F4" s="45"/>
      <c r="G4" s="45"/>
      <c r="H4" s="46"/>
      <c r="I4" s="46"/>
      <c r="J4" s="420"/>
      <c r="K4" s="420"/>
      <c r="L4" s="43"/>
      <c r="N4" s="320"/>
      <c r="O4" s="320"/>
      <c r="P4" s="43"/>
      <c r="Q4" s="43"/>
      <c r="R4" s="425"/>
      <c r="S4" s="514"/>
      <c r="T4" s="511"/>
      <c r="U4" s="511"/>
      <c r="V4" s="511"/>
      <c r="W4" s="511"/>
      <c r="X4" s="2537"/>
      <c r="Y4" s="2537"/>
      <c r="Z4" s="2537"/>
      <c r="AA4" s="2537"/>
      <c r="AB4" s="420"/>
      <c r="AC4" s="420"/>
      <c r="AD4" s="420"/>
      <c r="AE4" s="420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</row>
    <row r="5" spans="1:64" s="33" customFormat="1" ht="14.1" customHeight="1" x14ac:dyDescent="0.2">
      <c r="A5" s="41"/>
      <c r="C5" s="99" t="s">
        <v>335</v>
      </c>
      <c r="D5" s="99" t="s">
        <v>23</v>
      </c>
      <c r="E5" s="99" t="s">
        <v>0</v>
      </c>
      <c r="F5" s="99" t="s">
        <v>336</v>
      </c>
      <c r="G5" s="99" t="s">
        <v>1</v>
      </c>
      <c r="H5" s="116" t="s">
        <v>341</v>
      </c>
      <c r="I5" s="99" t="s">
        <v>823</v>
      </c>
      <c r="J5" s="99" t="s">
        <v>607</v>
      </c>
      <c r="K5" s="99" t="s">
        <v>337</v>
      </c>
      <c r="L5" s="266"/>
      <c r="O5" s="166" t="s">
        <v>338</v>
      </c>
      <c r="P5" s="166"/>
      <c r="Q5" s="166" t="s">
        <v>536</v>
      </c>
      <c r="R5" s="166"/>
      <c r="S5" s="166" t="s">
        <v>587</v>
      </c>
      <c r="T5" s="166" t="s">
        <v>798</v>
      </c>
      <c r="U5" s="439"/>
      <c r="V5" s="439"/>
      <c r="W5" s="439"/>
      <c r="X5" s="439"/>
      <c r="Y5" s="439"/>
      <c r="Z5" s="439"/>
      <c r="AA5" s="439"/>
      <c r="AB5" s="417"/>
      <c r="AC5" s="417"/>
      <c r="AD5" s="417"/>
      <c r="AE5" s="417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</row>
    <row r="6" spans="1:64" s="33" customFormat="1" ht="15.75" customHeight="1" x14ac:dyDescent="0.2">
      <c r="A6" s="47"/>
      <c r="B6" s="2290"/>
      <c r="C6" s="48">
        <v>6</v>
      </c>
      <c r="D6" s="1657" t="s">
        <v>1400</v>
      </c>
      <c r="E6" s="893">
        <v>1</v>
      </c>
      <c r="F6" s="1109">
        <f>100*1000</f>
        <v>100000</v>
      </c>
      <c r="G6" s="895">
        <v>35</v>
      </c>
      <c r="H6" s="327">
        <v>1</v>
      </c>
      <c r="I6" s="69">
        <v>1</v>
      </c>
      <c r="J6" s="421">
        <v>0.2</v>
      </c>
      <c r="K6" s="422">
        <v>0.02</v>
      </c>
      <c r="L6" s="267"/>
      <c r="O6" s="77">
        <f>IF(C6=1,0,((F6*K6)/G6)*E6*I6)</f>
        <v>57.142857142857146</v>
      </c>
      <c r="P6" s="340"/>
      <c r="Q6" s="72">
        <f>IF(C6=1,0,O6*I6)</f>
        <v>57.142857142857146</v>
      </c>
      <c r="R6" s="340"/>
      <c r="S6" s="77">
        <f>IF(C6=1,0,((F6*(1-J6)/G6))*E6*I6)</f>
        <v>2285.7142857142858</v>
      </c>
      <c r="T6" s="342">
        <f>IF(C6=1,0,F6*E6*I6)</f>
        <v>100000</v>
      </c>
      <c r="U6" s="512"/>
      <c r="V6" s="512"/>
      <c r="W6" s="512"/>
      <c r="X6" s="562"/>
      <c r="Y6" s="563"/>
      <c r="Z6" s="423"/>
      <c r="AA6" s="423"/>
      <c r="AB6" s="417"/>
      <c r="AC6" s="417"/>
      <c r="AD6" s="417"/>
      <c r="AE6" s="417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</row>
    <row r="7" spans="1:64" s="33" customFormat="1" ht="15.75" customHeight="1" x14ac:dyDescent="0.2">
      <c r="A7" s="47"/>
      <c r="C7" s="48">
        <v>5</v>
      </c>
      <c r="D7" s="1657" t="s">
        <v>1401</v>
      </c>
      <c r="E7" s="893">
        <v>2</v>
      </c>
      <c r="F7" s="1109">
        <f>800*80</f>
        <v>64000</v>
      </c>
      <c r="G7" s="895">
        <v>35</v>
      </c>
      <c r="H7" s="328">
        <v>1</v>
      </c>
      <c r="I7" s="69">
        <v>1</v>
      </c>
      <c r="J7" s="421">
        <v>0.2</v>
      </c>
      <c r="K7" s="422">
        <v>0.02</v>
      </c>
      <c r="L7" s="267"/>
      <c r="O7" s="77">
        <f t="shared" ref="O7:O25" si="0">IF(C7=1,0,((F7*K7)/G7)*E7*I7)</f>
        <v>73.142857142857139</v>
      </c>
      <c r="P7" s="340"/>
      <c r="Q7" s="72">
        <f t="shared" ref="Q7:Q25" si="1">IF(C7=1,0,O7*I7)</f>
        <v>73.142857142857139</v>
      </c>
      <c r="R7" s="340"/>
      <c r="S7" s="77">
        <f t="shared" ref="S7:S25" si="2">IF(C7=1,0,((F7*(1-J7)/G7))*E7*I7)</f>
        <v>2925.7142857142858</v>
      </c>
      <c r="T7" s="342">
        <f t="shared" ref="T7:T25" si="3">IF(C7=1,0,F7*E7*I7)</f>
        <v>128000</v>
      </c>
      <c r="U7" s="512"/>
      <c r="V7" s="512"/>
      <c r="W7" s="512"/>
      <c r="X7" s="562"/>
      <c r="Y7" s="563"/>
      <c r="Z7" s="423"/>
      <c r="AA7" s="423"/>
      <c r="AB7" s="417"/>
      <c r="AC7" s="417"/>
      <c r="AD7" s="417"/>
      <c r="AE7" s="417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</row>
    <row r="8" spans="1:64" s="33" customFormat="1" ht="15.75" customHeight="1" x14ac:dyDescent="0.2">
      <c r="A8" s="47"/>
      <c r="C8" s="48">
        <v>7</v>
      </c>
      <c r="D8" s="1657" t="s">
        <v>1403</v>
      </c>
      <c r="E8" s="1110">
        <f ca="1">Descrição!U23</f>
        <v>6.324555320336759</v>
      </c>
      <c r="F8" s="1109">
        <v>10000</v>
      </c>
      <c r="G8" s="895">
        <v>12</v>
      </c>
      <c r="H8" s="328">
        <v>1</v>
      </c>
      <c r="I8" s="69">
        <v>1</v>
      </c>
      <c r="J8" s="421">
        <v>0.2</v>
      </c>
      <c r="K8" s="422">
        <v>0.02</v>
      </c>
      <c r="L8" s="267"/>
      <c r="O8" s="77">
        <f t="shared" ca="1" si="0"/>
        <v>105.409255338946</v>
      </c>
      <c r="P8" s="340"/>
      <c r="Q8" s="72">
        <f t="shared" ca="1" si="1"/>
        <v>105.409255338946</v>
      </c>
      <c r="R8" s="340"/>
      <c r="S8" s="77">
        <f t="shared" ca="1" si="2"/>
        <v>4216.3702135578387</v>
      </c>
      <c r="T8" s="342">
        <f t="shared" ca="1" si="3"/>
        <v>63245.553203367592</v>
      </c>
      <c r="U8" s="512"/>
      <c r="V8" s="512"/>
      <c r="W8" s="512"/>
      <c r="X8" s="562"/>
      <c r="Y8" s="563"/>
      <c r="Z8" s="423"/>
      <c r="AA8" s="33">
        <v>1</v>
      </c>
    </row>
    <row r="9" spans="1:64" s="33" customFormat="1" ht="15.75" customHeight="1" x14ac:dyDescent="0.2">
      <c r="A9" s="47"/>
      <c r="C9" s="48">
        <v>9</v>
      </c>
      <c r="D9" s="1657" t="s">
        <v>1402</v>
      </c>
      <c r="E9" s="1110">
        <f ca="1">Descrição!T23</f>
        <v>57.565826486706598</v>
      </c>
      <c r="F9" s="1109">
        <v>8000</v>
      </c>
      <c r="G9" s="895">
        <v>12</v>
      </c>
      <c r="H9" s="328">
        <v>1</v>
      </c>
      <c r="I9" s="69">
        <v>1</v>
      </c>
      <c r="J9" s="421">
        <v>0.2</v>
      </c>
      <c r="K9" s="422">
        <v>0.02</v>
      </c>
      <c r="L9" s="267"/>
      <c r="O9" s="77">
        <f t="shared" ca="1" si="0"/>
        <v>767.54435315608805</v>
      </c>
      <c r="P9" s="340"/>
      <c r="Q9" s="72">
        <f t="shared" ca="1" si="1"/>
        <v>767.54435315608805</v>
      </c>
      <c r="R9" s="340"/>
      <c r="S9" s="77">
        <f t="shared" ca="1" si="2"/>
        <v>30701.774126243523</v>
      </c>
      <c r="T9" s="342">
        <f t="shared" ca="1" si="3"/>
        <v>460526.61189365276</v>
      </c>
      <c r="U9" s="512"/>
      <c r="V9" s="512"/>
      <c r="W9" s="512"/>
      <c r="X9" s="562"/>
      <c r="Y9" s="563"/>
      <c r="Z9" s="423"/>
      <c r="AA9" s="33">
        <v>2</v>
      </c>
      <c r="AB9" s="33" t="s">
        <v>339</v>
      </c>
    </row>
    <row r="10" spans="1:64" s="33" customFormat="1" ht="15.75" customHeight="1" x14ac:dyDescent="0.2">
      <c r="A10" s="47"/>
      <c r="C10" s="48">
        <v>12</v>
      </c>
      <c r="D10" s="1657" t="s">
        <v>1404</v>
      </c>
      <c r="E10" s="893">
        <v>1</v>
      </c>
      <c r="F10" s="1109">
        <v>150000</v>
      </c>
      <c r="G10" s="895">
        <v>25</v>
      </c>
      <c r="H10" s="328">
        <v>1</v>
      </c>
      <c r="I10" s="69">
        <v>1</v>
      </c>
      <c r="J10" s="421">
        <v>0.2</v>
      </c>
      <c r="K10" s="422">
        <v>0.02</v>
      </c>
      <c r="L10" s="267"/>
      <c r="O10" s="77">
        <f t="shared" si="0"/>
        <v>120</v>
      </c>
      <c r="P10" s="340"/>
      <c r="Q10" s="72">
        <f t="shared" si="1"/>
        <v>120</v>
      </c>
      <c r="R10" s="340"/>
      <c r="S10" s="77">
        <f t="shared" si="2"/>
        <v>4800</v>
      </c>
      <c r="T10" s="342">
        <f t="shared" si="3"/>
        <v>150000</v>
      </c>
      <c r="U10" s="512"/>
      <c r="V10" s="512"/>
      <c r="W10" s="512"/>
      <c r="X10" s="562"/>
      <c r="Y10" s="563"/>
      <c r="Z10" s="423"/>
      <c r="AA10" s="33">
        <v>3</v>
      </c>
      <c r="AB10" s="33" t="s">
        <v>351</v>
      </c>
    </row>
    <row r="11" spans="1:64" s="33" customFormat="1" ht="15.75" customHeight="1" x14ac:dyDescent="0.2">
      <c r="A11" s="47"/>
      <c r="C11" s="48">
        <v>16</v>
      </c>
      <c r="D11" s="1657" t="s">
        <v>1405</v>
      </c>
      <c r="E11" s="893">
        <v>1</v>
      </c>
      <c r="F11" s="1109">
        <f>10*15*550</f>
        <v>82500</v>
      </c>
      <c r="G11" s="895">
        <v>25</v>
      </c>
      <c r="H11" s="328">
        <v>1</v>
      </c>
      <c r="I11" s="69">
        <v>1</v>
      </c>
      <c r="J11" s="421">
        <v>0.2</v>
      </c>
      <c r="K11" s="422">
        <v>0.02</v>
      </c>
      <c r="L11" s="267"/>
      <c r="O11" s="77">
        <f t="shared" si="0"/>
        <v>66</v>
      </c>
      <c r="P11" s="340"/>
      <c r="Q11" s="72">
        <f t="shared" si="1"/>
        <v>66</v>
      </c>
      <c r="R11" s="340"/>
      <c r="S11" s="77">
        <f t="shared" si="2"/>
        <v>2640</v>
      </c>
      <c r="T11" s="342">
        <f t="shared" si="3"/>
        <v>82500</v>
      </c>
      <c r="U11" s="512"/>
      <c r="V11" s="512"/>
      <c r="W11" s="512"/>
      <c r="X11" s="562"/>
      <c r="Y11" s="563"/>
      <c r="Z11" s="423"/>
      <c r="AA11" s="33">
        <v>4</v>
      </c>
      <c r="AB11" s="33" t="s">
        <v>249</v>
      </c>
    </row>
    <row r="12" spans="1:64" s="33" customFormat="1" ht="15.75" customHeight="1" x14ac:dyDescent="0.2">
      <c r="A12" s="47"/>
      <c r="B12" s="1058" t="s">
        <v>1393</v>
      </c>
      <c r="C12" s="48">
        <v>21</v>
      </c>
      <c r="D12" s="1657"/>
      <c r="E12" s="893">
        <f>Descrição!M16/2</f>
        <v>20</v>
      </c>
      <c r="F12" s="1109">
        <f>30*250</f>
        <v>7500</v>
      </c>
      <c r="G12" s="895">
        <v>15</v>
      </c>
      <c r="H12" s="328">
        <v>1</v>
      </c>
      <c r="I12" s="69">
        <v>1</v>
      </c>
      <c r="J12" s="421">
        <v>0.2</v>
      </c>
      <c r="K12" s="422">
        <v>0.02</v>
      </c>
      <c r="L12" s="267"/>
      <c r="O12" s="77">
        <f t="shared" si="0"/>
        <v>200</v>
      </c>
      <c r="P12" s="340"/>
      <c r="Q12" s="72">
        <f t="shared" si="1"/>
        <v>200</v>
      </c>
      <c r="R12" s="340"/>
      <c r="S12" s="77">
        <f t="shared" si="2"/>
        <v>8000</v>
      </c>
      <c r="T12" s="342">
        <f t="shared" si="3"/>
        <v>150000</v>
      </c>
      <c r="U12" s="512"/>
      <c r="V12" s="512"/>
      <c r="W12" s="512"/>
      <c r="X12" s="562"/>
      <c r="Y12" s="563"/>
      <c r="Z12" s="423"/>
      <c r="AA12" s="33">
        <v>5</v>
      </c>
      <c r="AB12" s="33" t="s">
        <v>340</v>
      </c>
    </row>
    <row r="13" spans="1:64" s="33" customFormat="1" ht="15.75" customHeight="1" x14ac:dyDescent="0.2">
      <c r="A13" s="47"/>
      <c r="B13" s="1058"/>
      <c r="C13" s="48">
        <v>20</v>
      </c>
      <c r="D13" s="1657" t="s">
        <v>1406</v>
      </c>
      <c r="E13" s="893">
        <v>20</v>
      </c>
      <c r="F13" s="1109">
        <f>500</f>
        <v>500</v>
      </c>
      <c r="G13" s="895">
        <v>12</v>
      </c>
      <c r="H13" s="328">
        <v>1</v>
      </c>
      <c r="I13" s="69">
        <v>1</v>
      </c>
      <c r="J13" s="421">
        <v>0.2</v>
      </c>
      <c r="K13" s="422">
        <v>0.02</v>
      </c>
      <c r="L13" s="267"/>
      <c r="O13" s="77">
        <f t="shared" si="0"/>
        <v>16.666666666666668</v>
      </c>
      <c r="P13" s="340"/>
      <c r="Q13" s="72">
        <f t="shared" si="1"/>
        <v>16.666666666666668</v>
      </c>
      <c r="R13" s="340"/>
      <c r="S13" s="77">
        <f t="shared" si="2"/>
        <v>666.66666666666674</v>
      </c>
      <c r="T13" s="342">
        <f t="shared" si="3"/>
        <v>10000</v>
      </c>
      <c r="U13" s="512"/>
      <c r="V13" s="512"/>
      <c r="W13" s="512"/>
      <c r="X13" s="562"/>
      <c r="Y13" s="563"/>
      <c r="Z13" s="423"/>
      <c r="AA13" s="423"/>
      <c r="AB13" s="417"/>
      <c r="AC13" s="417"/>
      <c r="AD13" s="417"/>
      <c r="AE13" s="417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</row>
    <row r="14" spans="1:64" s="33" customFormat="1" ht="15.75" customHeight="1" x14ac:dyDescent="0.2">
      <c r="A14" s="47"/>
      <c r="C14" s="48">
        <v>25</v>
      </c>
      <c r="D14" s="1657" t="s">
        <v>1407</v>
      </c>
      <c r="E14" s="893">
        <f>Descrição!M16</f>
        <v>40</v>
      </c>
      <c r="F14" s="1109">
        <v>2000</v>
      </c>
      <c r="G14" s="895">
        <v>12</v>
      </c>
      <c r="H14" s="328">
        <v>1</v>
      </c>
      <c r="I14" s="69">
        <v>1</v>
      </c>
      <c r="J14" s="421">
        <v>0.2</v>
      </c>
      <c r="K14" s="422">
        <v>0.02</v>
      </c>
      <c r="L14" s="267"/>
      <c r="O14" s="77">
        <f t="shared" si="0"/>
        <v>133.33333333333334</v>
      </c>
      <c r="P14" s="340"/>
      <c r="Q14" s="72">
        <f t="shared" si="1"/>
        <v>133.33333333333334</v>
      </c>
      <c r="R14" s="340"/>
      <c r="S14" s="77">
        <f t="shared" si="2"/>
        <v>5333.3333333333339</v>
      </c>
      <c r="T14" s="342">
        <f t="shared" si="3"/>
        <v>80000</v>
      </c>
      <c r="U14" s="512"/>
      <c r="V14" s="512"/>
      <c r="W14" s="512"/>
      <c r="X14" s="562"/>
      <c r="Y14" s="563"/>
      <c r="Z14" s="423"/>
      <c r="AA14" s="423"/>
      <c r="AB14" s="417"/>
      <c r="AC14" s="417"/>
      <c r="AD14" s="417"/>
      <c r="AE14" s="417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</row>
    <row r="15" spans="1:64" s="33" customFormat="1" ht="15.75" customHeight="1" x14ac:dyDescent="0.2">
      <c r="A15" s="47"/>
      <c r="C15" s="48">
        <v>18</v>
      </c>
      <c r="D15" s="893"/>
      <c r="E15" s="893">
        <v>1</v>
      </c>
      <c r="F15" s="1109">
        <v>5000</v>
      </c>
      <c r="G15" s="895">
        <v>25</v>
      </c>
      <c r="H15" s="328">
        <v>1</v>
      </c>
      <c r="I15" s="69">
        <v>1</v>
      </c>
      <c r="J15" s="421">
        <v>0.2</v>
      </c>
      <c r="K15" s="422">
        <v>0.02</v>
      </c>
      <c r="L15" s="267"/>
      <c r="O15" s="77">
        <f t="shared" si="0"/>
        <v>4</v>
      </c>
      <c r="P15" s="340"/>
      <c r="Q15" s="72">
        <f t="shared" si="1"/>
        <v>4</v>
      </c>
      <c r="R15" s="340"/>
      <c r="S15" s="77">
        <f t="shared" si="2"/>
        <v>160</v>
      </c>
      <c r="T15" s="342">
        <f t="shared" si="3"/>
        <v>5000</v>
      </c>
      <c r="U15" s="512"/>
      <c r="V15" s="512"/>
      <c r="W15" s="512"/>
      <c r="X15" s="562"/>
      <c r="Y15" s="563"/>
      <c r="Z15" s="423"/>
      <c r="AA15" s="423"/>
      <c r="AB15" s="417"/>
      <c r="AC15" s="417"/>
      <c r="AD15" s="417"/>
      <c r="AE15" s="417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</row>
    <row r="16" spans="1:64" s="33" customFormat="1" ht="15.75" customHeight="1" x14ac:dyDescent="0.2">
      <c r="A16" s="47"/>
      <c r="C16" s="48">
        <v>14</v>
      </c>
      <c r="D16" s="1657"/>
      <c r="E16" s="893">
        <v>1</v>
      </c>
      <c r="F16" s="1109">
        <f>24*250</f>
        <v>6000</v>
      </c>
      <c r="G16" s="895">
        <v>1</v>
      </c>
      <c r="H16" s="328">
        <v>1</v>
      </c>
      <c r="I16" s="69">
        <v>1</v>
      </c>
      <c r="J16" s="421">
        <v>0.2</v>
      </c>
      <c r="K16" s="422">
        <v>0.02</v>
      </c>
      <c r="L16" s="267"/>
      <c r="O16" s="77">
        <f t="shared" si="0"/>
        <v>120</v>
      </c>
      <c r="P16" s="340"/>
      <c r="Q16" s="72">
        <f t="shared" si="1"/>
        <v>120</v>
      </c>
      <c r="R16" s="340"/>
      <c r="S16" s="77">
        <f t="shared" si="2"/>
        <v>4800</v>
      </c>
      <c r="T16" s="342">
        <f t="shared" si="3"/>
        <v>6000</v>
      </c>
      <c r="U16" s="512"/>
      <c r="V16" s="512"/>
      <c r="W16" s="512"/>
      <c r="X16" s="562"/>
      <c r="Y16" s="563"/>
      <c r="Z16" s="423"/>
      <c r="AA16" s="423"/>
      <c r="AB16" s="417"/>
      <c r="AC16" s="417"/>
      <c r="AD16" s="417"/>
      <c r="AE16" s="417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</row>
    <row r="17" spans="1:62" s="33" customFormat="1" ht="15.75" customHeight="1" x14ac:dyDescent="0.2">
      <c r="A17" s="47"/>
      <c r="C17" s="48">
        <v>1</v>
      </c>
      <c r="D17" s="1657"/>
      <c r="E17" s="908"/>
      <c r="F17" s="1109"/>
      <c r="G17" s="895"/>
      <c r="H17" s="328">
        <v>1</v>
      </c>
      <c r="I17" s="69">
        <v>1</v>
      </c>
      <c r="J17" s="421">
        <v>0.2</v>
      </c>
      <c r="K17" s="422">
        <v>0.02</v>
      </c>
      <c r="L17" s="267"/>
      <c r="O17" s="77">
        <f t="shared" si="0"/>
        <v>0</v>
      </c>
      <c r="P17" s="340"/>
      <c r="Q17" s="72">
        <f t="shared" si="1"/>
        <v>0</v>
      </c>
      <c r="R17" s="340"/>
      <c r="S17" s="77">
        <f t="shared" si="2"/>
        <v>0</v>
      </c>
      <c r="T17" s="342">
        <f t="shared" si="3"/>
        <v>0</v>
      </c>
      <c r="U17" s="512"/>
      <c r="V17" s="512"/>
      <c r="W17" s="512"/>
      <c r="X17" s="562"/>
      <c r="Y17" s="563"/>
      <c r="Z17" s="423"/>
      <c r="AA17" s="423"/>
      <c r="AB17" s="417"/>
      <c r="AC17" s="417"/>
      <c r="AD17" s="417"/>
      <c r="AE17" s="417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</row>
    <row r="18" spans="1:62" s="33" customFormat="1" ht="15.75" customHeight="1" x14ac:dyDescent="0.2">
      <c r="A18" s="47"/>
      <c r="C18" s="48">
        <v>12</v>
      </c>
      <c r="D18" s="2324" t="s">
        <v>1432</v>
      </c>
      <c r="E18" s="1111">
        <v>3</v>
      </c>
      <c r="F18" s="152">
        <f>2*F8</f>
        <v>20000</v>
      </c>
      <c r="G18" s="894">
        <v>5</v>
      </c>
      <c r="H18" s="328">
        <v>1</v>
      </c>
      <c r="I18" s="69">
        <v>1</v>
      </c>
      <c r="J18" s="421">
        <v>0.2</v>
      </c>
      <c r="K18" s="422">
        <v>0.02</v>
      </c>
      <c r="L18" s="267"/>
      <c r="O18" s="77">
        <f t="shared" si="0"/>
        <v>240</v>
      </c>
      <c r="P18" s="340"/>
      <c r="Q18" s="72">
        <f t="shared" si="1"/>
        <v>240</v>
      </c>
      <c r="R18" s="340"/>
      <c r="S18" s="77">
        <f t="shared" si="2"/>
        <v>9600</v>
      </c>
      <c r="T18" s="342">
        <f t="shared" si="3"/>
        <v>60000</v>
      </c>
      <c r="U18" s="512"/>
      <c r="V18" s="512"/>
      <c r="W18" s="512"/>
      <c r="X18" s="562"/>
      <c r="Y18" s="563"/>
      <c r="Z18" s="423"/>
      <c r="AA18" s="423"/>
      <c r="AB18" s="417"/>
      <c r="AC18" s="417"/>
      <c r="AD18" s="417"/>
      <c r="AE18" s="417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</row>
    <row r="19" spans="1:62" s="33" customFormat="1" ht="15.75" customHeight="1" x14ac:dyDescent="0.2">
      <c r="A19" s="47"/>
      <c r="C19" s="48">
        <v>1</v>
      </c>
      <c r="D19" s="892"/>
      <c r="E19" s="892"/>
      <c r="F19" s="152"/>
      <c r="G19" s="894"/>
      <c r="H19" s="328">
        <v>1</v>
      </c>
      <c r="I19" s="69">
        <v>1</v>
      </c>
      <c r="J19" s="421">
        <v>0.2</v>
      </c>
      <c r="K19" s="422">
        <v>0.02</v>
      </c>
      <c r="L19" s="267"/>
      <c r="O19" s="77">
        <f t="shared" si="0"/>
        <v>0</v>
      </c>
      <c r="P19" s="340"/>
      <c r="Q19" s="72">
        <f t="shared" si="1"/>
        <v>0</v>
      </c>
      <c r="R19" s="340"/>
      <c r="S19" s="77">
        <f t="shared" si="2"/>
        <v>0</v>
      </c>
      <c r="T19" s="342">
        <f t="shared" si="3"/>
        <v>0</v>
      </c>
      <c r="U19" s="512"/>
      <c r="V19" s="512"/>
      <c r="W19" s="512"/>
      <c r="X19" s="562"/>
      <c r="Y19" s="563"/>
      <c r="Z19" s="423"/>
      <c r="AA19" s="423"/>
      <c r="AB19" s="417"/>
      <c r="AC19" s="417"/>
      <c r="AD19" s="417"/>
      <c r="AE19" s="417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</row>
    <row r="20" spans="1:62" s="33" customFormat="1" ht="15.75" customHeight="1" x14ac:dyDescent="0.2">
      <c r="A20" s="47"/>
      <c r="C20" s="48">
        <v>1</v>
      </c>
      <c r="D20" s="892"/>
      <c r="E20" s="892"/>
      <c r="F20" s="152"/>
      <c r="G20" s="894"/>
      <c r="H20" s="328">
        <v>1</v>
      </c>
      <c r="I20" s="69">
        <v>1</v>
      </c>
      <c r="J20" s="421">
        <v>0.2</v>
      </c>
      <c r="K20" s="422">
        <v>0.02</v>
      </c>
      <c r="L20" s="267"/>
      <c r="O20" s="77">
        <f t="shared" si="0"/>
        <v>0</v>
      </c>
      <c r="P20" s="340"/>
      <c r="Q20" s="72">
        <f t="shared" si="1"/>
        <v>0</v>
      </c>
      <c r="R20" s="340"/>
      <c r="S20" s="77">
        <f t="shared" si="2"/>
        <v>0</v>
      </c>
      <c r="T20" s="342">
        <f t="shared" si="3"/>
        <v>0</v>
      </c>
      <c r="U20" s="512"/>
      <c r="V20" s="512"/>
      <c r="W20" s="512"/>
      <c r="X20" s="562"/>
      <c r="Y20" s="563"/>
      <c r="Z20" s="423"/>
      <c r="AA20" s="423"/>
      <c r="AB20" s="417"/>
      <c r="AC20" s="417"/>
      <c r="AD20" s="417"/>
      <c r="AE20" s="417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</row>
    <row r="21" spans="1:62" s="33" customFormat="1" ht="15.75" customHeight="1" x14ac:dyDescent="0.2">
      <c r="A21" s="47"/>
      <c r="C21" s="48">
        <v>1</v>
      </c>
      <c r="D21" s="892"/>
      <c r="E21" s="892"/>
      <c r="F21" s="152"/>
      <c r="G21" s="894"/>
      <c r="H21" s="328">
        <v>1</v>
      </c>
      <c r="I21" s="69">
        <v>1</v>
      </c>
      <c r="J21" s="421">
        <v>0.2</v>
      </c>
      <c r="K21" s="422">
        <v>0.02</v>
      </c>
      <c r="L21" s="267"/>
      <c r="O21" s="77">
        <f t="shared" si="0"/>
        <v>0</v>
      </c>
      <c r="P21" s="340"/>
      <c r="Q21" s="72">
        <f t="shared" si="1"/>
        <v>0</v>
      </c>
      <c r="R21" s="340"/>
      <c r="S21" s="77">
        <f t="shared" si="2"/>
        <v>0</v>
      </c>
      <c r="T21" s="342">
        <f t="shared" si="3"/>
        <v>0</v>
      </c>
      <c r="U21" s="512"/>
      <c r="V21" s="512"/>
      <c r="W21" s="512"/>
      <c r="X21" s="562"/>
      <c r="Y21" s="563"/>
      <c r="Z21" s="423"/>
      <c r="AA21" s="423"/>
      <c r="AB21" s="417"/>
      <c r="AC21" s="417"/>
      <c r="AD21" s="417"/>
      <c r="AE21" s="417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</row>
    <row r="22" spans="1:62" s="33" customFormat="1" ht="15.75" customHeight="1" x14ac:dyDescent="0.2">
      <c r="A22" s="47"/>
      <c r="C22" s="48">
        <v>1</v>
      </c>
      <c r="D22" s="150"/>
      <c r="E22" s="150"/>
      <c r="F22" s="152"/>
      <c r="G22" s="151"/>
      <c r="H22" s="328">
        <v>1</v>
      </c>
      <c r="I22" s="69">
        <v>1</v>
      </c>
      <c r="J22" s="421">
        <v>0.2</v>
      </c>
      <c r="K22" s="422">
        <v>0.02</v>
      </c>
      <c r="L22" s="267"/>
      <c r="O22" s="77">
        <f t="shared" si="0"/>
        <v>0</v>
      </c>
      <c r="P22" s="340"/>
      <c r="Q22" s="72">
        <f t="shared" si="1"/>
        <v>0</v>
      </c>
      <c r="R22" s="340"/>
      <c r="S22" s="77">
        <f t="shared" si="2"/>
        <v>0</v>
      </c>
      <c r="T22" s="342">
        <f t="shared" si="3"/>
        <v>0</v>
      </c>
      <c r="U22" s="512"/>
      <c r="V22" s="512"/>
      <c r="W22" s="512"/>
      <c r="X22" s="562"/>
      <c r="Y22" s="563"/>
      <c r="Z22" s="423"/>
      <c r="AA22" s="423"/>
      <c r="AB22" s="417"/>
      <c r="AC22" s="417"/>
      <c r="AD22" s="417"/>
      <c r="AE22" s="417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</row>
    <row r="23" spans="1:62" s="33" customFormat="1" ht="15.75" customHeight="1" x14ac:dyDescent="0.2">
      <c r="A23" s="47"/>
      <c r="C23" s="48">
        <v>1</v>
      </c>
      <c r="D23" s="150"/>
      <c r="E23" s="150"/>
      <c r="F23" s="152"/>
      <c r="G23" s="151"/>
      <c r="H23" s="328">
        <v>1</v>
      </c>
      <c r="I23" s="69">
        <v>1</v>
      </c>
      <c r="J23" s="421">
        <v>0.2</v>
      </c>
      <c r="K23" s="422">
        <v>0.02</v>
      </c>
      <c r="L23" s="267"/>
      <c r="O23" s="77">
        <f t="shared" si="0"/>
        <v>0</v>
      </c>
      <c r="P23" s="340"/>
      <c r="Q23" s="72">
        <f t="shared" si="1"/>
        <v>0</v>
      </c>
      <c r="R23" s="340"/>
      <c r="S23" s="77">
        <f t="shared" si="2"/>
        <v>0</v>
      </c>
      <c r="T23" s="342">
        <f t="shared" si="3"/>
        <v>0</v>
      </c>
      <c r="U23" s="512"/>
      <c r="V23" s="512"/>
      <c r="W23" s="512"/>
      <c r="X23" s="562"/>
      <c r="Y23" s="563"/>
      <c r="Z23" s="423"/>
      <c r="AA23" s="423"/>
      <c r="AB23" s="417"/>
      <c r="AC23" s="417"/>
      <c r="AD23" s="417"/>
      <c r="AE23" s="417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</row>
    <row r="24" spans="1:62" s="33" customFormat="1" ht="15.75" customHeight="1" x14ac:dyDescent="0.2">
      <c r="A24" s="47"/>
      <c r="C24" s="48">
        <v>1</v>
      </c>
      <c r="D24" s="150"/>
      <c r="E24" s="150"/>
      <c r="F24" s="152"/>
      <c r="G24" s="151"/>
      <c r="H24" s="328">
        <v>1</v>
      </c>
      <c r="I24" s="69">
        <v>1</v>
      </c>
      <c r="J24" s="421">
        <v>0.2</v>
      </c>
      <c r="K24" s="422">
        <v>0.02</v>
      </c>
      <c r="L24" s="267"/>
      <c r="O24" s="77">
        <f t="shared" si="0"/>
        <v>0</v>
      </c>
      <c r="P24" s="340"/>
      <c r="Q24" s="72">
        <f t="shared" si="1"/>
        <v>0</v>
      </c>
      <c r="R24" s="340"/>
      <c r="S24" s="77">
        <f t="shared" si="2"/>
        <v>0</v>
      </c>
      <c r="T24" s="342">
        <f t="shared" si="3"/>
        <v>0</v>
      </c>
      <c r="U24" s="512"/>
      <c r="V24" s="512"/>
      <c r="W24" s="512"/>
      <c r="X24" s="562"/>
      <c r="Y24" s="563"/>
      <c r="Z24" s="423"/>
      <c r="AA24" s="423"/>
      <c r="AB24" s="417"/>
      <c r="AC24" s="417"/>
      <c r="AD24" s="417"/>
      <c r="AE24" s="417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</row>
    <row r="25" spans="1:62" s="33" customFormat="1" ht="15.75" customHeight="1" x14ac:dyDescent="0.2">
      <c r="A25" s="47"/>
      <c r="C25" s="310">
        <v>1</v>
      </c>
      <c r="D25" s="311"/>
      <c r="E25" s="311"/>
      <c r="F25" s="55"/>
      <c r="G25" s="312"/>
      <c r="H25" s="328">
        <v>1</v>
      </c>
      <c r="I25" s="69">
        <v>1</v>
      </c>
      <c r="J25" s="421">
        <v>0.2</v>
      </c>
      <c r="K25" s="422">
        <v>0.02</v>
      </c>
      <c r="L25" s="267"/>
      <c r="O25" s="77">
        <f t="shared" si="0"/>
        <v>0</v>
      </c>
      <c r="P25" s="340"/>
      <c r="Q25" s="72">
        <f t="shared" si="1"/>
        <v>0</v>
      </c>
      <c r="R25" s="340"/>
      <c r="S25" s="77">
        <f t="shared" si="2"/>
        <v>0</v>
      </c>
      <c r="T25" s="342">
        <f t="shared" si="3"/>
        <v>0</v>
      </c>
      <c r="U25" s="512"/>
      <c r="V25" s="512"/>
      <c r="W25" s="512"/>
      <c r="X25" s="562"/>
      <c r="Y25" s="563"/>
      <c r="Z25" s="423"/>
      <c r="AA25" s="423"/>
      <c r="AB25" s="417"/>
      <c r="AC25" s="417"/>
      <c r="AD25" s="417"/>
      <c r="AE25" s="417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</row>
    <row r="26" spans="1:62" s="34" customFormat="1" ht="14.1" customHeight="1" x14ac:dyDescent="0.2">
      <c r="A26" s="50"/>
      <c r="J26" s="417"/>
      <c r="K26" s="417"/>
      <c r="N26" s="319"/>
      <c r="O26" s="319"/>
      <c r="Q26" s="103">
        <f ca="1">SUM(Q6:Q25)</f>
        <v>1903.2393227807484</v>
      </c>
      <c r="S26" s="321">
        <f ca="1">SUM(S6:S25)</f>
        <v>76129.57291122993</v>
      </c>
      <c r="T26" s="321">
        <f ca="1">SUM(T6:T25)</f>
        <v>1295272.1650970203</v>
      </c>
      <c r="U26" s="417"/>
      <c r="V26" s="417"/>
      <c r="W26" s="417"/>
      <c r="X26" s="417"/>
      <c r="Y26" s="417"/>
      <c r="Z26" s="417"/>
      <c r="AA26" s="417"/>
      <c r="AB26" s="417"/>
      <c r="AC26" s="417"/>
      <c r="AD26" s="417"/>
      <c r="AE26" s="417"/>
    </row>
    <row r="27" spans="1:62" s="34" customFormat="1" ht="14.1" customHeight="1" x14ac:dyDescent="0.2">
      <c r="A27" s="50"/>
      <c r="J27" s="417"/>
      <c r="K27" s="417"/>
      <c r="N27" s="319"/>
      <c r="O27" s="319"/>
      <c r="S27" s="319"/>
      <c r="U27" s="417"/>
      <c r="V27" s="417"/>
      <c r="W27" s="417"/>
      <c r="X27" s="417"/>
      <c r="Y27" s="417"/>
      <c r="Z27" s="417"/>
      <c r="AA27" s="417"/>
      <c r="AB27" s="417"/>
      <c r="AC27" s="417"/>
      <c r="AD27" s="417"/>
      <c r="AE27" s="417"/>
    </row>
    <row r="28" spans="1:62" s="33" customFormat="1" ht="14.1" customHeight="1" x14ac:dyDescent="0.2">
      <c r="A28" s="41"/>
      <c r="C28" s="34"/>
      <c r="D28" s="34"/>
      <c r="E28" s="34"/>
      <c r="F28" s="34"/>
      <c r="G28" s="34"/>
      <c r="H28" s="34"/>
      <c r="I28" s="34"/>
      <c r="J28" s="416"/>
      <c r="K28" s="423"/>
      <c r="L28" s="57"/>
      <c r="N28" s="319"/>
      <c r="O28" s="319"/>
      <c r="P28" s="34"/>
      <c r="R28" s="34"/>
      <c r="S28" s="322"/>
      <c r="T28" s="34"/>
      <c r="U28" s="416"/>
      <c r="V28" s="417"/>
      <c r="W28" s="417"/>
      <c r="X28" s="417"/>
      <c r="Y28" s="417"/>
      <c r="Z28" s="417"/>
      <c r="AA28" s="417"/>
      <c r="AB28" s="417"/>
      <c r="AC28" s="417"/>
      <c r="AD28" s="417"/>
      <c r="AE28" s="417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</row>
    <row r="29" spans="1:62" s="35" customFormat="1" ht="14.1" customHeight="1" x14ac:dyDescent="0.2">
      <c r="A29" s="61"/>
      <c r="J29" s="424"/>
      <c r="K29" s="424"/>
      <c r="N29" s="323"/>
      <c r="O29" s="323"/>
      <c r="S29" s="323"/>
      <c r="U29" s="424"/>
      <c r="V29" s="424"/>
      <c r="W29" s="424"/>
      <c r="X29" s="424"/>
      <c r="Y29" s="424"/>
      <c r="Z29" s="424"/>
      <c r="AA29" s="424"/>
      <c r="AB29" s="424"/>
      <c r="AC29" s="424"/>
      <c r="AD29" s="424"/>
      <c r="AE29" s="424"/>
    </row>
    <row r="30" spans="1:62" s="42" customFormat="1" ht="14.1" customHeight="1" x14ac:dyDescent="0.2">
      <c r="A30" s="41"/>
      <c r="C30" s="353" t="s">
        <v>22</v>
      </c>
      <c r="D30" s="353"/>
      <c r="E30" s="353"/>
      <c r="F30" s="353"/>
      <c r="G30" s="322"/>
      <c r="H30" s="43"/>
      <c r="I30" s="43"/>
      <c r="J30" s="425"/>
      <c r="K30" s="420"/>
      <c r="L30" s="43"/>
      <c r="N30" s="320"/>
      <c r="O30" s="320"/>
      <c r="P30" s="43"/>
      <c r="R30" s="43"/>
      <c r="S30" s="320"/>
      <c r="U30" s="420"/>
      <c r="V30" s="420"/>
      <c r="W30" s="420"/>
    </row>
    <row r="31" spans="1:62" s="42" customFormat="1" ht="14.1" customHeight="1" x14ac:dyDescent="0.2">
      <c r="A31" s="41"/>
      <c r="C31" s="36"/>
      <c r="D31" s="36"/>
      <c r="E31" s="33"/>
      <c r="F31" s="45"/>
      <c r="G31" s="45"/>
      <c r="H31" s="43"/>
      <c r="I31" s="43"/>
      <c r="J31" s="425"/>
      <c r="K31" s="420"/>
      <c r="L31" s="43"/>
      <c r="N31" s="320"/>
      <c r="O31" s="320"/>
      <c r="P31" s="43"/>
      <c r="S31" s="320"/>
      <c r="T31" s="320"/>
      <c r="U31" s="511"/>
      <c r="V31" s="511"/>
      <c r="W31" s="511"/>
      <c r="X31" s="511"/>
      <c r="Y31" s="511"/>
      <c r="Z31" s="511"/>
      <c r="AB31" s="108" t="s">
        <v>22</v>
      </c>
      <c r="AC31" s="108" t="s">
        <v>913</v>
      </c>
      <c r="AD31" s="108" t="s">
        <v>914</v>
      </c>
    </row>
    <row r="32" spans="1:62" s="33" customFormat="1" ht="14.1" customHeight="1" x14ac:dyDescent="0.2">
      <c r="A32" s="53"/>
      <c r="B32" s="44"/>
      <c r="C32" s="99" t="s">
        <v>335</v>
      </c>
      <c r="D32" s="99" t="s">
        <v>23</v>
      </c>
      <c r="E32" s="99" t="s">
        <v>0</v>
      </c>
      <c r="F32" s="99" t="s">
        <v>336</v>
      </c>
      <c r="G32" s="99" t="s">
        <v>529</v>
      </c>
      <c r="H32" s="99" t="s">
        <v>341</v>
      </c>
      <c r="I32" s="99" t="s">
        <v>823</v>
      </c>
      <c r="J32" s="99" t="s">
        <v>607</v>
      </c>
      <c r="K32" s="99" t="s">
        <v>337</v>
      </c>
      <c r="N32" s="166" t="s">
        <v>352</v>
      </c>
      <c r="O32" s="166" t="s">
        <v>338</v>
      </c>
      <c r="P32" s="166" t="s">
        <v>350</v>
      </c>
      <c r="Q32" s="166" t="s">
        <v>531</v>
      </c>
      <c r="R32" s="166" t="s">
        <v>1</v>
      </c>
      <c r="S32" s="166" t="s">
        <v>587</v>
      </c>
      <c r="T32" s="166" t="s">
        <v>798</v>
      </c>
      <c r="U32" s="513"/>
      <c r="V32" s="513"/>
      <c r="W32" s="513"/>
      <c r="X32" s="513"/>
      <c r="Y32" s="513"/>
      <c r="Z32" s="513"/>
      <c r="AA32" s="33">
        <v>1</v>
      </c>
      <c r="AB32" s="4"/>
      <c r="AC32" s="4"/>
      <c r="AD32" s="4"/>
    </row>
    <row r="33" spans="1:30" s="33" customFormat="1" ht="15.75" customHeight="1" x14ac:dyDescent="0.2">
      <c r="A33" s="47"/>
      <c r="C33" s="1360">
        <v>8</v>
      </c>
      <c r="D33" s="892"/>
      <c r="E33" s="892">
        <v>1</v>
      </c>
      <c r="F33" s="896">
        <f>100*1200</f>
        <v>120000</v>
      </c>
      <c r="G33" s="914">
        <v>15</v>
      </c>
      <c r="H33" s="4">
        <v>1</v>
      </c>
      <c r="I33" s="69">
        <v>1</v>
      </c>
      <c r="J33" s="426">
        <v>0.2</v>
      </c>
      <c r="K33" s="426">
        <v>0.5</v>
      </c>
      <c r="N33" s="73">
        <f>IF(C33=1,0,VLOOKUP(C33,Dados!$A$86:$D$129,4))</f>
        <v>105</v>
      </c>
      <c r="O33" s="339">
        <f>IF(R33=0,0,(I33*F33*K33)/R33)</f>
        <v>25</v>
      </c>
      <c r="P33" s="72">
        <f>N33*0.12*$D$45</f>
        <v>38.43</v>
      </c>
      <c r="Q33" s="78">
        <f>IF(C33=1,0,(O33+P33))</f>
        <v>63.43</v>
      </c>
      <c r="R33" s="74">
        <f>IF(E33=0,0,VLOOKUP($C33,Dados!$A$86:$E$129,5))</f>
        <v>2400</v>
      </c>
      <c r="S33" s="77">
        <f>IF(C33=1,0,(F33*(1-J33)/G33)*E33*I33)</f>
        <v>6400</v>
      </c>
      <c r="T33" s="342">
        <f>F33*E33*I33</f>
        <v>120000</v>
      </c>
      <c r="U33" s="512"/>
      <c r="V33" s="512"/>
      <c r="W33" s="512"/>
      <c r="X33" s="512"/>
      <c r="Y33" s="512"/>
      <c r="Z33" s="512"/>
      <c r="AA33" s="33">
        <v>2</v>
      </c>
      <c r="AB33" s="4" t="str">
        <f>VLOOKUP(C33,Dados!$A$86:$C$129,3)</f>
        <v>Trator (105 cv)</v>
      </c>
      <c r="AC33" s="78">
        <f>O33</f>
        <v>25</v>
      </c>
      <c r="AD33" s="78">
        <f>P33</f>
        <v>38.43</v>
      </c>
    </row>
    <row r="34" spans="1:30" s="33" customFormat="1" ht="15.75" customHeight="1" x14ac:dyDescent="0.2">
      <c r="A34" s="47"/>
      <c r="C34" s="48">
        <v>4</v>
      </c>
      <c r="D34" s="150"/>
      <c r="E34" s="920">
        <v>1</v>
      </c>
      <c r="F34" s="921">
        <f>65*1300</f>
        <v>84500</v>
      </c>
      <c r="G34" s="202">
        <v>15</v>
      </c>
      <c r="H34" s="4"/>
      <c r="I34" s="69">
        <v>1</v>
      </c>
      <c r="J34" s="426">
        <v>0.2</v>
      </c>
      <c r="K34" s="426">
        <v>0.5</v>
      </c>
      <c r="N34" s="73">
        <f>IF(C34=1,0,VLOOKUP(C34,Dados!$A$86:$D$129,4))</f>
        <v>65</v>
      </c>
      <c r="O34" s="339">
        <f t="shared" ref="O34:O42" si="4">IF(R34=0,0,(I34*F34*K34)/R34)</f>
        <v>17.604166666666668</v>
      </c>
      <c r="P34" s="72">
        <f>N34*0.12*$D$45</f>
        <v>23.79</v>
      </c>
      <c r="Q34" s="78">
        <f t="shared" ref="Q34:Q42" si="5">IF(C34=1,0,(O34+P34))</f>
        <v>41.394166666666663</v>
      </c>
      <c r="R34" s="74">
        <f>IF(E34=0,0,VLOOKUP($C34,Dados!$A$86:$E$129,5))</f>
        <v>2400</v>
      </c>
      <c r="S34" s="77">
        <f t="shared" ref="S34:S42" si="6">IF(C34=1,0,(F34*(1-J34)/G34)*E34*I34)</f>
        <v>4506.666666666667</v>
      </c>
      <c r="T34" s="342">
        <f t="shared" ref="T34:T42" si="7">F34*E34*I34</f>
        <v>84500</v>
      </c>
      <c r="U34" s="512"/>
      <c r="V34" s="512"/>
      <c r="W34" s="512"/>
      <c r="X34" s="512"/>
      <c r="Y34" s="512"/>
      <c r="Z34" s="512"/>
      <c r="AA34" s="33">
        <v>3</v>
      </c>
      <c r="AB34" s="4" t="str">
        <f>VLOOKUP(C34,Dados!$A$86:$C$129,3)</f>
        <v>Trator (65 cv)</v>
      </c>
      <c r="AC34" s="78">
        <f t="shared" ref="AC34:AD42" si="8">O34</f>
        <v>17.604166666666668</v>
      </c>
      <c r="AD34" s="78">
        <f t="shared" si="8"/>
        <v>23.79</v>
      </c>
    </row>
    <row r="35" spans="1:30" s="33" customFormat="1" ht="15.75" customHeight="1" x14ac:dyDescent="0.2">
      <c r="A35" s="47"/>
      <c r="C35" s="48">
        <v>1</v>
      </c>
      <c r="D35" s="150"/>
      <c r="E35" s="892"/>
      <c r="F35" s="896"/>
      <c r="G35" s="914"/>
      <c r="H35" s="4"/>
      <c r="I35" s="69">
        <v>1</v>
      </c>
      <c r="J35" s="426">
        <v>0.2</v>
      </c>
      <c r="K35" s="426">
        <v>0.5</v>
      </c>
      <c r="N35" s="73">
        <f>IF(C35=1,0,VLOOKUP(C35,Dados!$A$86:$D$129,4))</f>
        <v>0</v>
      </c>
      <c r="O35" s="339">
        <f t="shared" si="4"/>
        <v>0</v>
      </c>
      <c r="P35" s="72">
        <f t="shared" ref="P35:P42" si="9">N35*0.12*$D$45</f>
        <v>0</v>
      </c>
      <c r="Q35" s="78">
        <f t="shared" si="5"/>
        <v>0</v>
      </c>
      <c r="R35" s="74">
        <f>IF(E35=0,0,VLOOKUP($C35,Dados!$A$86:$E$129,5))</f>
        <v>0</v>
      </c>
      <c r="S35" s="77">
        <f t="shared" si="6"/>
        <v>0</v>
      </c>
      <c r="T35" s="342">
        <f t="shared" si="7"/>
        <v>0</v>
      </c>
      <c r="U35" s="512"/>
      <c r="V35" s="512"/>
      <c r="W35" s="512"/>
      <c r="X35" s="512"/>
      <c r="Y35" s="512"/>
      <c r="Z35" s="512"/>
      <c r="AA35" s="33">
        <v>4</v>
      </c>
      <c r="AB35" s="4">
        <f>VLOOKUP(C35,Dados!$A$86:$C$129,3)</f>
        <v>0</v>
      </c>
      <c r="AC35" s="78">
        <f t="shared" si="8"/>
        <v>0</v>
      </c>
      <c r="AD35" s="78">
        <f t="shared" si="8"/>
        <v>0</v>
      </c>
    </row>
    <row r="36" spans="1:30" s="33" customFormat="1" ht="15.75" customHeight="1" x14ac:dyDescent="0.2">
      <c r="A36" s="47"/>
      <c r="C36" s="48">
        <v>1</v>
      </c>
      <c r="D36" s="150"/>
      <c r="E36" s="150"/>
      <c r="F36" s="154"/>
      <c r="G36" s="202"/>
      <c r="H36" s="4"/>
      <c r="I36" s="69">
        <v>1</v>
      </c>
      <c r="J36" s="426">
        <v>0.2</v>
      </c>
      <c r="K36" s="426">
        <v>0.5</v>
      </c>
      <c r="N36" s="73">
        <f>IF(C36=1,0,VLOOKUP(C36,Dados!$A$86:$D$129,4))</f>
        <v>0</v>
      </c>
      <c r="O36" s="339">
        <f t="shared" si="4"/>
        <v>0</v>
      </c>
      <c r="P36" s="72">
        <f t="shared" si="9"/>
        <v>0</v>
      </c>
      <c r="Q36" s="78">
        <f t="shared" si="5"/>
        <v>0</v>
      </c>
      <c r="R36" s="74">
        <f>IF(E36=0,0,VLOOKUP($C36,Dados!$A$86:$E$129,5))</f>
        <v>0</v>
      </c>
      <c r="S36" s="77">
        <f t="shared" si="6"/>
        <v>0</v>
      </c>
      <c r="T36" s="342">
        <f t="shared" si="7"/>
        <v>0</v>
      </c>
      <c r="U36" s="512"/>
      <c r="V36" s="512"/>
      <c r="W36" s="512"/>
      <c r="X36" s="512"/>
      <c r="Y36" s="512"/>
      <c r="Z36" s="512"/>
      <c r="AA36" s="33">
        <v>5</v>
      </c>
      <c r="AB36" s="4">
        <f>VLOOKUP(C36,Dados!$A$86:$C$129,3)</f>
        <v>0</v>
      </c>
      <c r="AC36" s="78">
        <f t="shared" si="8"/>
        <v>0</v>
      </c>
      <c r="AD36" s="78">
        <f t="shared" si="8"/>
        <v>0</v>
      </c>
    </row>
    <row r="37" spans="1:30" s="33" customFormat="1" ht="15.75" customHeight="1" x14ac:dyDescent="0.2">
      <c r="A37" s="47"/>
      <c r="C37" s="48">
        <v>1</v>
      </c>
      <c r="D37" s="150"/>
      <c r="E37" s="150"/>
      <c r="F37" s="154"/>
      <c r="G37" s="202"/>
      <c r="H37" s="4"/>
      <c r="I37" s="69">
        <v>1</v>
      </c>
      <c r="J37" s="426">
        <v>0.2</v>
      </c>
      <c r="K37" s="426">
        <v>0.5</v>
      </c>
      <c r="N37" s="73">
        <f>IF(C37=1,0,VLOOKUP(C37,Dados!$A$86:$D$129,4))</f>
        <v>0</v>
      </c>
      <c r="O37" s="339">
        <f t="shared" si="4"/>
        <v>0</v>
      </c>
      <c r="P37" s="72">
        <f t="shared" si="9"/>
        <v>0</v>
      </c>
      <c r="Q37" s="78">
        <f t="shared" si="5"/>
        <v>0</v>
      </c>
      <c r="R37" s="74">
        <f>IF(E37=0,0,VLOOKUP($C37,Dados!$A$86:$E$129,5))</f>
        <v>0</v>
      </c>
      <c r="S37" s="77">
        <f t="shared" si="6"/>
        <v>0</v>
      </c>
      <c r="T37" s="342">
        <f t="shared" si="7"/>
        <v>0</v>
      </c>
      <c r="U37" s="512"/>
      <c r="V37" s="512"/>
      <c r="W37" s="512"/>
      <c r="X37" s="512"/>
      <c r="Y37" s="512"/>
      <c r="Z37" s="512"/>
      <c r="AA37" s="33">
        <v>6</v>
      </c>
      <c r="AB37" s="4">
        <f>VLOOKUP(C37,Dados!$A$86:$C$129,3)</f>
        <v>0</v>
      </c>
      <c r="AC37" s="78">
        <f t="shared" si="8"/>
        <v>0</v>
      </c>
      <c r="AD37" s="78">
        <f t="shared" si="8"/>
        <v>0</v>
      </c>
    </row>
    <row r="38" spans="1:30" s="33" customFormat="1" ht="15.75" customHeight="1" x14ac:dyDescent="0.2">
      <c r="A38" s="47"/>
      <c r="C38" s="48">
        <v>1</v>
      </c>
      <c r="D38" s="150"/>
      <c r="E38" s="150"/>
      <c r="F38" s="154"/>
      <c r="G38" s="202"/>
      <c r="H38" s="4"/>
      <c r="I38" s="69">
        <v>1</v>
      </c>
      <c r="J38" s="426">
        <v>0.2</v>
      </c>
      <c r="K38" s="426">
        <v>0.5</v>
      </c>
      <c r="N38" s="73">
        <f>IF(C38=1,0,VLOOKUP(C38,Dados!$A$86:$D$129,4))</f>
        <v>0</v>
      </c>
      <c r="O38" s="339">
        <f t="shared" si="4"/>
        <v>0</v>
      </c>
      <c r="P38" s="72">
        <f t="shared" si="9"/>
        <v>0</v>
      </c>
      <c r="Q38" s="78">
        <f t="shared" si="5"/>
        <v>0</v>
      </c>
      <c r="R38" s="74">
        <f>IF(E38=0,0,VLOOKUP($C38,Dados!$A$86:$E$129,5))</f>
        <v>0</v>
      </c>
      <c r="S38" s="77">
        <f t="shared" si="6"/>
        <v>0</v>
      </c>
      <c r="T38" s="342">
        <f t="shared" si="7"/>
        <v>0</v>
      </c>
      <c r="U38" s="512"/>
      <c r="V38" s="512"/>
      <c r="W38" s="512"/>
      <c r="X38" s="512"/>
      <c r="Y38" s="512"/>
      <c r="Z38" s="512"/>
      <c r="AA38" s="33">
        <v>7</v>
      </c>
      <c r="AB38" s="4">
        <f>VLOOKUP(C38,Dados!$A$86:$C$129,3)</f>
        <v>0</v>
      </c>
      <c r="AC38" s="78">
        <f t="shared" si="8"/>
        <v>0</v>
      </c>
      <c r="AD38" s="78">
        <f t="shared" si="8"/>
        <v>0</v>
      </c>
    </row>
    <row r="39" spans="1:30" s="33" customFormat="1" ht="15.75" customHeight="1" x14ac:dyDescent="0.2">
      <c r="A39" s="47"/>
      <c r="C39" s="48">
        <v>1</v>
      </c>
      <c r="D39" s="150"/>
      <c r="E39" s="150"/>
      <c r="F39" s="154"/>
      <c r="G39" s="202"/>
      <c r="H39" s="4">
        <v>1</v>
      </c>
      <c r="I39" s="69">
        <v>1</v>
      </c>
      <c r="J39" s="426">
        <v>0.2</v>
      </c>
      <c r="K39" s="426">
        <v>0.5</v>
      </c>
      <c r="N39" s="73">
        <f>IF(C39=1,0,VLOOKUP(C39,Dados!$A$86:$D$129,4))</f>
        <v>0</v>
      </c>
      <c r="O39" s="339">
        <f t="shared" si="4"/>
        <v>0</v>
      </c>
      <c r="P39" s="72">
        <f t="shared" si="9"/>
        <v>0</v>
      </c>
      <c r="Q39" s="78">
        <f t="shared" si="5"/>
        <v>0</v>
      </c>
      <c r="R39" s="74">
        <f>IF(E39=0,0,VLOOKUP($C39,Dados!$A$86:$E$129,5))</f>
        <v>0</v>
      </c>
      <c r="S39" s="77">
        <f t="shared" si="6"/>
        <v>0</v>
      </c>
      <c r="T39" s="342">
        <f t="shared" si="7"/>
        <v>0</v>
      </c>
      <c r="U39" s="512"/>
      <c r="V39" s="512"/>
      <c r="W39" s="512"/>
      <c r="X39" s="512"/>
      <c r="Y39" s="512"/>
      <c r="Z39" s="512"/>
      <c r="AA39" s="33">
        <v>8</v>
      </c>
      <c r="AB39" s="4">
        <f>VLOOKUP(C39,Dados!$A$86:$C$129,3)</f>
        <v>0</v>
      </c>
      <c r="AC39" s="78">
        <f t="shared" si="8"/>
        <v>0</v>
      </c>
      <c r="AD39" s="78">
        <f t="shared" si="8"/>
        <v>0</v>
      </c>
    </row>
    <row r="40" spans="1:30" s="33" customFormat="1" ht="15.75" customHeight="1" x14ac:dyDescent="0.2">
      <c r="A40" s="47"/>
      <c r="C40" s="48">
        <v>1</v>
      </c>
      <c r="D40" s="150"/>
      <c r="E40" s="150"/>
      <c r="F40" s="154"/>
      <c r="G40" s="202"/>
      <c r="H40" s="4">
        <v>1</v>
      </c>
      <c r="I40" s="69">
        <v>1</v>
      </c>
      <c r="J40" s="426">
        <v>0.2</v>
      </c>
      <c r="K40" s="426">
        <v>0.5</v>
      </c>
      <c r="N40" s="73">
        <f>IF(C40=1,0,VLOOKUP(C40,Dados!$A$86:$D$129,4))</f>
        <v>0</v>
      </c>
      <c r="O40" s="339">
        <f t="shared" si="4"/>
        <v>0</v>
      </c>
      <c r="P40" s="72">
        <f t="shared" si="9"/>
        <v>0</v>
      </c>
      <c r="Q40" s="78">
        <f t="shared" si="5"/>
        <v>0</v>
      </c>
      <c r="R40" s="74">
        <f>IF(E40=0,0,VLOOKUP($C40,Dados!$A$86:$E$129,5))</f>
        <v>0</v>
      </c>
      <c r="S40" s="77">
        <f t="shared" si="6"/>
        <v>0</v>
      </c>
      <c r="T40" s="342">
        <f t="shared" si="7"/>
        <v>0</v>
      </c>
      <c r="U40" s="512"/>
      <c r="V40" s="512"/>
      <c r="W40" s="512"/>
      <c r="X40" s="512"/>
      <c r="Y40" s="512"/>
      <c r="Z40" s="512"/>
      <c r="AA40" s="33">
        <v>9</v>
      </c>
      <c r="AB40" s="4">
        <f>VLOOKUP(C40,Dados!$A$86:$C$129,3)</f>
        <v>0</v>
      </c>
      <c r="AC40" s="78">
        <f t="shared" si="8"/>
        <v>0</v>
      </c>
      <c r="AD40" s="78">
        <f t="shared" si="8"/>
        <v>0</v>
      </c>
    </row>
    <row r="41" spans="1:30" s="33" customFormat="1" ht="15.75" customHeight="1" x14ac:dyDescent="0.2">
      <c r="A41" s="47"/>
      <c r="C41" s="48">
        <v>1</v>
      </c>
      <c r="D41" s="150"/>
      <c r="E41" s="150"/>
      <c r="F41" s="154"/>
      <c r="G41" s="202"/>
      <c r="H41" s="4">
        <v>1</v>
      </c>
      <c r="I41" s="69">
        <v>1</v>
      </c>
      <c r="J41" s="426">
        <v>0.2</v>
      </c>
      <c r="K41" s="426">
        <v>0.5</v>
      </c>
      <c r="N41" s="73">
        <f>IF(C41=1,0,VLOOKUP(C41,Dados!$A$86:$D$129,4))</f>
        <v>0</v>
      </c>
      <c r="O41" s="339">
        <f t="shared" si="4"/>
        <v>0</v>
      </c>
      <c r="P41" s="72">
        <f t="shared" si="9"/>
        <v>0</v>
      </c>
      <c r="Q41" s="78">
        <f t="shared" si="5"/>
        <v>0</v>
      </c>
      <c r="R41" s="74">
        <f>IF(E41=0,0,VLOOKUP($C41,Dados!$A$86:$E$129,5))</f>
        <v>0</v>
      </c>
      <c r="S41" s="77">
        <f t="shared" si="6"/>
        <v>0</v>
      </c>
      <c r="T41" s="342">
        <f t="shared" si="7"/>
        <v>0</v>
      </c>
      <c r="U41" s="512"/>
      <c r="V41" s="512"/>
      <c r="W41" s="512"/>
      <c r="X41" s="512"/>
      <c r="Y41" s="512"/>
      <c r="Z41" s="512"/>
      <c r="AA41" s="33">
        <v>10</v>
      </c>
      <c r="AB41" s="4">
        <f>VLOOKUP(C41,Dados!$A$86:$C$129,3)</f>
        <v>0</v>
      </c>
      <c r="AC41" s="78">
        <f t="shared" si="8"/>
        <v>0</v>
      </c>
      <c r="AD41" s="78">
        <f t="shared" si="8"/>
        <v>0</v>
      </c>
    </row>
    <row r="42" spans="1:30" s="33" customFormat="1" ht="15.75" customHeight="1" x14ac:dyDescent="0.2">
      <c r="A42" s="47"/>
      <c r="C42" s="48">
        <v>1</v>
      </c>
      <c r="D42" s="150"/>
      <c r="E42" s="150"/>
      <c r="F42" s="154"/>
      <c r="G42" s="202"/>
      <c r="H42" s="4">
        <v>1</v>
      </c>
      <c r="I42" s="69">
        <v>1</v>
      </c>
      <c r="J42" s="426">
        <v>0.2</v>
      </c>
      <c r="K42" s="426">
        <v>0.5</v>
      </c>
      <c r="N42" s="73">
        <f>IF(C42=1,0,VLOOKUP(C42,Dados!$A$86:$D$129,4))</f>
        <v>0</v>
      </c>
      <c r="O42" s="339">
        <f t="shared" si="4"/>
        <v>0</v>
      </c>
      <c r="P42" s="72">
        <f t="shared" si="9"/>
        <v>0</v>
      </c>
      <c r="Q42" s="78">
        <f t="shared" si="5"/>
        <v>0</v>
      </c>
      <c r="R42" s="74">
        <f>IF(E42=0,0,VLOOKUP($C42,Dados!$A$86:$E$129,5))</f>
        <v>0</v>
      </c>
      <c r="S42" s="77">
        <f t="shared" si="6"/>
        <v>0</v>
      </c>
      <c r="T42" s="342">
        <f t="shared" si="7"/>
        <v>0</v>
      </c>
      <c r="U42" s="512"/>
      <c r="V42" s="512"/>
      <c r="W42" s="512"/>
      <c r="X42" s="512"/>
      <c r="Y42" s="512"/>
      <c r="Z42" s="512"/>
      <c r="AA42" s="33">
        <v>11</v>
      </c>
      <c r="AB42" s="4">
        <f>VLOOKUP(C42,Dados!$A$86:$C$129,3)</f>
        <v>0</v>
      </c>
      <c r="AC42" s="78">
        <f t="shared" si="8"/>
        <v>0</v>
      </c>
      <c r="AD42" s="78">
        <f t="shared" si="8"/>
        <v>0</v>
      </c>
    </row>
    <row r="43" spans="1:30" s="33" customFormat="1" ht="14.1" customHeight="1" x14ac:dyDescent="0.2">
      <c r="A43" s="41"/>
      <c r="C43" s="34"/>
      <c r="D43" s="51"/>
      <c r="E43" s="51"/>
      <c r="F43" s="51"/>
      <c r="G43" s="51"/>
      <c r="H43" s="34"/>
      <c r="I43" s="34"/>
      <c r="J43" s="416"/>
      <c r="K43" s="427"/>
      <c r="L43" s="56"/>
      <c r="N43" s="319"/>
      <c r="O43" s="319"/>
      <c r="P43" s="34"/>
      <c r="Q43" s="306">
        <f>SUM(Q33:Q42)</f>
        <v>104.82416666666666</v>
      </c>
      <c r="R43" s="34"/>
      <c r="S43" s="321">
        <f>SUM(S33:S42)</f>
        <v>10906.666666666668</v>
      </c>
      <c r="T43" s="321">
        <f>SUM(T33:T42)</f>
        <v>204500</v>
      </c>
      <c r="U43" s="417"/>
      <c r="V43" s="417"/>
      <c r="W43" s="417"/>
    </row>
    <row r="44" spans="1:30" s="33" customFormat="1" ht="14.1" customHeight="1" thickBot="1" x14ac:dyDescent="0.25">
      <c r="A44" s="41"/>
      <c r="C44" s="52"/>
      <c r="D44" s="203"/>
      <c r="E44" s="51"/>
      <c r="F44" s="51"/>
      <c r="G44" s="51"/>
      <c r="H44" s="34"/>
      <c r="I44" s="34"/>
      <c r="J44" s="416"/>
      <c r="K44" s="417"/>
      <c r="L44" s="34"/>
      <c r="N44" s="319"/>
      <c r="O44" s="319"/>
      <c r="P44" s="34"/>
      <c r="R44" s="34"/>
      <c r="S44" s="319"/>
      <c r="U44" s="417"/>
      <c r="V44" s="417"/>
      <c r="W44" s="417"/>
    </row>
    <row r="45" spans="1:30" s="33" customFormat="1" ht="14.1" customHeight="1" thickBot="1" x14ac:dyDescent="0.25">
      <c r="A45" s="41"/>
      <c r="C45" s="52" t="s">
        <v>353</v>
      </c>
      <c r="D45" s="71">
        <v>3.05</v>
      </c>
      <c r="E45" s="51"/>
      <c r="F45" s="51"/>
      <c r="G45" s="51"/>
      <c r="H45" s="34"/>
      <c r="I45" s="34"/>
      <c r="J45" s="416"/>
      <c r="K45" s="417"/>
      <c r="L45" s="34"/>
      <c r="N45" s="319"/>
      <c r="O45" s="319"/>
      <c r="P45" s="34"/>
      <c r="R45" s="34"/>
      <c r="S45" s="319"/>
      <c r="U45" s="417"/>
      <c r="V45" s="417"/>
      <c r="W45" s="417"/>
    </row>
    <row r="46" spans="1:30" s="33" customFormat="1" ht="14.1" customHeight="1" x14ac:dyDescent="0.2">
      <c r="A46" s="41"/>
      <c r="E46" s="51"/>
      <c r="F46" s="51"/>
      <c r="G46" s="51"/>
      <c r="H46" s="34"/>
      <c r="I46" s="34"/>
      <c r="J46" s="416"/>
      <c r="K46" s="417"/>
      <c r="L46" s="34"/>
      <c r="N46" s="319"/>
      <c r="O46" s="319"/>
      <c r="P46" s="34"/>
      <c r="R46" s="34"/>
      <c r="S46" s="319"/>
      <c r="U46" s="417"/>
      <c r="V46" s="417"/>
      <c r="W46" s="417"/>
    </row>
    <row r="47" spans="1:30" s="33" customFormat="1" ht="14.1" customHeight="1" x14ac:dyDescent="0.2">
      <c r="A47" s="41"/>
      <c r="C47" s="52"/>
      <c r="D47" s="70"/>
      <c r="E47" s="51"/>
      <c r="F47" s="51"/>
      <c r="G47" s="51"/>
      <c r="H47" s="34"/>
      <c r="I47" s="34"/>
      <c r="J47" s="416"/>
      <c r="K47" s="417"/>
      <c r="L47" s="34"/>
      <c r="N47" s="319"/>
      <c r="O47" s="319"/>
      <c r="P47" s="34"/>
      <c r="R47" s="34"/>
      <c r="S47" s="319"/>
      <c r="U47" s="417"/>
      <c r="V47" s="417"/>
      <c r="W47" s="417"/>
    </row>
    <row r="48" spans="1:30" s="35" customFormat="1" ht="14.1" customHeight="1" x14ac:dyDescent="0.2">
      <c r="A48" s="61"/>
      <c r="J48" s="424"/>
      <c r="K48" s="424"/>
      <c r="N48" s="323"/>
      <c r="O48" s="323"/>
      <c r="S48" s="323"/>
      <c r="U48" s="424"/>
      <c r="V48" s="424"/>
      <c r="W48" s="424"/>
    </row>
    <row r="49" spans="1:29" s="42" customFormat="1" ht="14.1" customHeight="1" x14ac:dyDescent="0.2">
      <c r="A49" s="41"/>
      <c r="B49" s="36"/>
      <c r="C49" s="353" t="s">
        <v>24</v>
      </c>
      <c r="D49" s="353"/>
      <c r="E49" s="353"/>
      <c r="F49" s="353"/>
      <c r="G49" s="44"/>
      <c r="H49" s="43"/>
      <c r="I49" s="43"/>
      <c r="J49" s="425"/>
      <c r="K49" s="420"/>
      <c r="L49" s="43"/>
      <c r="O49" s="320"/>
      <c r="P49" s="320"/>
      <c r="Q49" s="43"/>
      <c r="S49" s="43"/>
      <c r="T49" s="43"/>
      <c r="U49" s="514"/>
      <c r="V49" s="420"/>
      <c r="W49" s="425"/>
    </row>
    <row r="50" spans="1:29" s="42" customFormat="1" ht="14.1" customHeight="1" x14ac:dyDescent="0.2">
      <c r="A50" s="41"/>
      <c r="B50" s="36"/>
      <c r="C50" s="36"/>
      <c r="D50" s="36"/>
      <c r="E50" s="33"/>
      <c r="F50" s="45"/>
      <c r="G50" s="45"/>
      <c r="H50" s="43"/>
      <c r="I50" s="43"/>
      <c r="J50" s="425"/>
      <c r="K50" s="420"/>
      <c r="L50" s="43"/>
      <c r="O50" s="320"/>
      <c r="P50" s="320"/>
      <c r="Q50" s="43"/>
      <c r="S50" s="320"/>
      <c r="T50" s="324"/>
      <c r="U50" s="511"/>
      <c r="V50" s="511"/>
      <c r="W50" s="511"/>
      <c r="X50" s="511"/>
      <c r="AB50" s="108" t="s">
        <v>24</v>
      </c>
      <c r="AC50" s="108" t="s">
        <v>403</v>
      </c>
    </row>
    <row r="51" spans="1:29" s="33" customFormat="1" ht="14.1" customHeight="1" x14ac:dyDescent="0.2">
      <c r="A51" s="41"/>
      <c r="C51" s="99" t="s">
        <v>357</v>
      </c>
      <c r="D51" s="99" t="s">
        <v>23</v>
      </c>
      <c r="E51" s="99" t="s">
        <v>0</v>
      </c>
      <c r="F51" s="99" t="s">
        <v>336</v>
      </c>
      <c r="G51" s="99" t="s">
        <v>529</v>
      </c>
      <c r="H51" s="99" t="s">
        <v>341</v>
      </c>
      <c r="I51" s="99" t="s">
        <v>823</v>
      </c>
      <c r="J51" s="99" t="s">
        <v>607</v>
      </c>
      <c r="K51" s="99" t="s">
        <v>337</v>
      </c>
      <c r="O51" s="166" t="s">
        <v>534</v>
      </c>
      <c r="P51" s="166"/>
      <c r="Q51" s="166" t="s">
        <v>531</v>
      </c>
      <c r="R51" s="166" t="s">
        <v>1</v>
      </c>
      <c r="S51" s="166" t="s">
        <v>587</v>
      </c>
      <c r="T51" s="166" t="s">
        <v>798</v>
      </c>
      <c r="U51" s="439"/>
      <c r="V51" s="439"/>
      <c r="W51" s="439"/>
      <c r="X51" s="439"/>
      <c r="Y51" s="439"/>
      <c r="Z51" s="439"/>
      <c r="AA51" s="33">
        <v>1</v>
      </c>
      <c r="AB51" s="4"/>
      <c r="AC51" s="4"/>
    </row>
    <row r="52" spans="1:29" s="33" customFormat="1" ht="15.75" customHeight="1" x14ac:dyDescent="0.2">
      <c r="A52" s="47"/>
      <c r="C52" s="204">
        <v>12</v>
      </c>
      <c r="D52" s="2291" t="s">
        <v>1409</v>
      </c>
      <c r="E52" s="1112">
        <v>1</v>
      </c>
      <c r="F52" s="1113">
        <v>25000</v>
      </c>
      <c r="G52" s="1114">
        <v>20</v>
      </c>
      <c r="H52" s="34">
        <v>1</v>
      </c>
      <c r="I52" s="69">
        <v>1</v>
      </c>
      <c r="J52" s="426">
        <v>0.2</v>
      </c>
      <c r="K52" s="426">
        <v>0.5</v>
      </c>
      <c r="O52" s="339">
        <f>IF(R52=0,0,(F52*K52*I52)/R52)</f>
        <v>6.25</v>
      </c>
      <c r="P52" s="340"/>
      <c r="Q52" s="78">
        <f>IF(C52=1,0,O52)</f>
        <v>6.25</v>
      </c>
      <c r="R52" s="74">
        <f>IF(C52=0,0,VLOOKUP(Inventário!C52,Dados!$A$86:$G$129,7))</f>
        <v>2000</v>
      </c>
      <c r="S52" s="77">
        <f>IF(C52=1,0,(F52*(1-J52)/G52)*E52*I52)</f>
        <v>1000</v>
      </c>
      <c r="T52" s="342">
        <f>F52*E52*I52</f>
        <v>25000</v>
      </c>
      <c r="U52" s="512"/>
      <c r="V52" s="512"/>
      <c r="W52" s="512"/>
      <c r="X52" s="512"/>
      <c r="Y52" s="512"/>
      <c r="Z52" s="512"/>
      <c r="AA52" s="33">
        <v>2</v>
      </c>
      <c r="AB52" s="4" t="str">
        <f>VLOOKUP(C52,Dados!$A$86:$F$129,6)</f>
        <v>Grade Pesada</v>
      </c>
      <c r="AC52" s="78">
        <f>Q52</f>
        <v>6.25</v>
      </c>
    </row>
    <row r="53" spans="1:29" s="33" customFormat="1" ht="15.75" customHeight="1" x14ac:dyDescent="0.2">
      <c r="A53" s="47"/>
      <c r="C53" s="48">
        <v>11</v>
      </c>
      <c r="D53" s="1658" t="s">
        <v>1408</v>
      </c>
      <c r="E53" s="892">
        <v>1</v>
      </c>
      <c r="F53" s="896">
        <v>20000</v>
      </c>
      <c r="G53" s="914">
        <v>20</v>
      </c>
      <c r="H53" s="34">
        <v>1</v>
      </c>
      <c r="I53" s="69">
        <v>1</v>
      </c>
      <c r="J53" s="426">
        <v>0.2</v>
      </c>
      <c r="K53" s="426">
        <v>0.5</v>
      </c>
      <c r="O53" s="339">
        <f t="shared" ref="O53:O71" si="10">IF(R53=0,0,(F53*K53*I53)/R53)</f>
        <v>5</v>
      </c>
      <c r="P53" s="340"/>
      <c r="Q53" s="78">
        <f t="shared" ref="Q53:Q71" si="11">IF(C53=1,0,O53)</f>
        <v>5</v>
      </c>
      <c r="R53" s="74">
        <f>IF(C53=0,0,VLOOKUP(Inventário!C53,Dados!$A$86:$G$129,7))</f>
        <v>2000</v>
      </c>
      <c r="S53" s="77">
        <f t="shared" ref="S53:S71" si="12">IF(C53=1,0,(F53*(1-J53)/G53)*E53*I53)</f>
        <v>800</v>
      </c>
      <c r="T53" s="342">
        <f t="shared" ref="T53:T71" si="13">F53*E53*I53</f>
        <v>20000</v>
      </c>
      <c r="U53" s="512"/>
      <c r="V53" s="512"/>
      <c r="W53" s="512"/>
      <c r="X53" s="512"/>
      <c r="Y53" s="512"/>
      <c r="Z53" s="512"/>
      <c r="AA53" s="33">
        <v>3</v>
      </c>
      <c r="AB53" s="4" t="str">
        <f>VLOOKUP(C53,Dados!$A$86:$F$129,6)</f>
        <v>Grade niveladora</v>
      </c>
      <c r="AC53" s="78">
        <f t="shared" ref="AC53:AC71" si="14">Q53</f>
        <v>5</v>
      </c>
    </row>
    <row r="54" spans="1:29" s="33" customFormat="1" ht="15.75" customHeight="1" x14ac:dyDescent="0.2">
      <c r="A54" s="47"/>
      <c r="C54" s="48">
        <v>4</v>
      </c>
      <c r="D54" s="1658" t="s">
        <v>1410</v>
      </c>
      <c r="E54" s="892">
        <v>1</v>
      </c>
      <c r="F54" s="896">
        <v>12000</v>
      </c>
      <c r="G54" s="914">
        <v>8</v>
      </c>
      <c r="H54" s="34">
        <v>1</v>
      </c>
      <c r="I54" s="69">
        <v>1</v>
      </c>
      <c r="J54" s="426">
        <v>0.2</v>
      </c>
      <c r="K54" s="426">
        <v>0.5</v>
      </c>
      <c r="O54" s="339">
        <f t="shared" si="10"/>
        <v>2</v>
      </c>
      <c r="P54" s="340"/>
      <c r="Q54" s="78">
        <f t="shared" si="11"/>
        <v>2</v>
      </c>
      <c r="R54" s="74">
        <f>IF(C54=0,0,VLOOKUP(Inventário!C54,Dados!$A$86:$G$129,7))</f>
        <v>3000</v>
      </c>
      <c r="S54" s="77">
        <f t="shared" si="12"/>
        <v>1200</v>
      </c>
      <c r="T54" s="342">
        <f t="shared" si="13"/>
        <v>12000</v>
      </c>
      <c r="U54" s="512"/>
      <c r="V54" s="512"/>
      <c r="W54" s="512"/>
      <c r="X54" s="512"/>
      <c r="Y54" s="512"/>
      <c r="Z54" s="512"/>
      <c r="AA54" s="33">
        <v>4</v>
      </c>
      <c r="AB54" s="4" t="str">
        <f>VLOOKUP(C54,Dados!$A$86:$F$129,6)</f>
        <v>Carreta</v>
      </c>
      <c r="AC54" s="78">
        <f t="shared" si="14"/>
        <v>2</v>
      </c>
    </row>
    <row r="55" spans="1:29" s="33" customFormat="1" ht="15.75" customHeight="1" x14ac:dyDescent="0.2">
      <c r="A55" s="47"/>
      <c r="C55" s="48">
        <v>24</v>
      </c>
      <c r="D55" s="1658" t="s">
        <v>1411</v>
      </c>
      <c r="E55" s="892">
        <v>1</v>
      </c>
      <c r="F55" s="896">
        <v>4000</v>
      </c>
      <c r="G55" s="914">
        <v>8</v>
      </c>
      <c r="H55" s="34">
        <v>1</v>
      </c>
      <c r="I55" s="69">
        <v>1</v>
      </c>
      <c r="J55" s="426">
        <v>0.2</v>
      </c>
      <c r="K55" s="426">
        <v>0.5</v>
      </c>
      <c r="O55" s="339">
        <f t="shared" si="10"/>
        <v>1.6666666666666667</v>
      </c>
      <c r="P55" s="340"/>
      <c r="Q55" s="78">
        <f t="shared" si="11"/>
        <v>1.6666666666666667</v>
      </c>
      <c r="R55" s="74">
        <f>IF(C55=0,0,VLOOKUP(Inventário!C55,Dados!$A$86:$G$129,7))</f>
        <v>1200</v>
      </c>
      <c r="S55" s="77">
        <f t="shared" si="12"/>
        <v>400</v>
      </c>
      <c r="T55" s="342">
        <f t="shared" si="13"/>
        <v>4000</v>
      </c>
      <c r="U55" s="512"/>
      <c r="V55" s="512"/>
      <c r="W55" s="512"/>
      <c r="X55" s="512"/>
      <c r="Y55" s="512"/>
      <c r="Z55" s="512"/>
      <c r="AA55" s="33">
        <v>5</v>
      </c>
      <c r="AB55" s="4" t="str">
        <f>VLOOKUP(C55,Dados!$A$86:$F$129,6)</f>
        <v>Vicon</v>
      </c>
      <c r="AC55" s="78">
        <f t="shared" si="14"/>
        <v>1.6666666666666667</v>
      </c>
    </row>
    <row r="56" spans="1:29" s="33" customFormat="1" ht="15.75" customHeight="1" x14ac:dyDescent="0.2">
      <c r="A56" s="47"/>
      <c r="C56" s="48">
        <v>18</v>
      </c>
      <c r="D56" s="1658" t="s">
        <v>1412</v>
      </c>
      <c r="E56" s="892">
        <v>1</v>
      </c>
      <c r="F56" s="896">
        <v>10000</v>
      </c>
      <c r="G56" s="914">
        <v>12</v>
      </c>
      <c r="H56" s="34">
        <v>1</v>
      </c>
      <c r="I56" s="69">
        <v>1</v>
      </c>
      <c r="J56" s="426">
        <v>0.2</v>
      </c>
      <c r="K56" s="426">
        <v>0.5</v>
      </c>
      <c r="O56" s="339">
        <f t="shared" si="10"/>
        <v>2.5</v>
      </c>
      <c r="P56" s="340"/>
      <c r="Q56" s="78">
        <f t="shared" si="11"/>
        <v>2.5</v>
      </c>
      <c r="R56" s="74">
        <f>IF(C56=0,0,VLOOKUP(Inventário!C56,Dados!$A$86:$G$129,7))</f>
        <v>2000</v>
      </c>
      <c r="S56" s="77">
        <f t="shared" si="12"/>
        <v>666.66666666666663</v>
      </c>
      <c r="T56" s="342">
        <f t="shared" si="13"/>
        <v>10000</v>
      </c>
      <c r="U56" s="512"/>
      <c r="V56" s="512"/>
      <c r="W56" s="512"/>
      <c r="X56" s="512"/>
      <c r="Y56" s="512"/>
      <c r="Z56" s="512"/>
      <c r="AA56" s="33">
        <v>6</v>
      </c>
      <c r="AB56" s="4" t="str">
        <f>VLOOKUP(C56,Dados!$A$86:$F$129,6)</f>
        <v>Roçadeira</v>
      </c>
      <c r="AC56" s="78">
        <f t="shared" si="14"/>
        <v>2.5</v>
      </c>
    </row>
    <row r="57" spans="1:29" s="33" customFormat="1" ht="15.75" customHeight="1" x14ac:dyDescent="0.2">
      <c r="A57" s="47"/>
      <c r="C57" s="48">
        <v>17</v>
      </c>
      <c r="D57" s="2292" t="s">
        <v>1413</v>
      </c>
      <c r="E57" s="920">
        <v>1</v>
      </c>
      <c r="F57" s="921">
        <v>13000</v>
      </c>
      <c r="G57" s="202">
        <v>15</v>
      </c>
      <c r="H57" s="34">
        <v>1</v>
      </c>
      <c r="I57" s="69">
        <v>1</v>
      </c>
      <c r="J57" s="426">
        <v>0.2</v>
      </c>
      <c r="K57" s="426">
        <v>0.5</v>
      </c>
      <c r="O57" s="339">
        <f t="shared" si="10"/>
        <v>4.333333333333333</v>
      </c>
      <c r="P57" s="340"/>
      <c r="Q57" s="78">
        <f t="shared" si="11"/>
        <v>4.333333333333333</v>
      </c>
      <c r="R57" s="74">
        <f>IF(C57=0,0,VLOOKUP(Inventário!C57,Dados!$A$86:$G$129,7))</f>
        <v>1500</v>
      </c>
      <c r="S57" s="77">
        <f t="shared" si="12"/>
        <v>693.33333333333337</v>
      </c>
      <c r="T57" s="342">
        <f t="shared" si="13"/>
        <v>13000</v>
      </c>
      <c r="U57" s="512"/>
      <c r="V57" s="512"/>
      <c r="W57" s="512"/>
      <c r="X57" s="512"/>
      <c r="Y57" s="512"/>
      <c r="Z57" s="512"/>
      <c r="AA57" s="33">
        <v>7</v>
      </c>
      <c r="AB57" s="4" t="str">
        <f>VLOOKUP(C57,Dados!$A$86:$F$129,6)</f>
        <v>Pulverizador (montado no trator)</v>
      </c>
      <c r="AC57" s="78">
        <f t="shared" si="14"/>
        <v>4.333333333333333</v>
      </c>
    </row>
    <row r="58" spans="1:29" s="33" customFormat="1" ht="15.75" customHeight="1" x14ac:dyDescent="0.2">
      <c r="A58" s="47"/>
      <c r="C58" s="48">
        <v>3</v>
      </c>
      <c r="D58" s="897"/>
      <c r="E58" s="920">
        <v>1</v>
      </c>
      <c r="F58" s="921">
        <v>5000</v>
      </c>
      <c r="G58" s="202">
        <v>20</v>
      </c>
      <c r="H58" s="34">
        <v>1</v>
      </c>
      <c r="I58" s="69">
        <v>1</v>
      </c>
      <c r="J58" s="426">
        <v>0.2</v>
      </c>
      <c r="K58" s="426">
        <v>0.5</v>
      </c>
      <c r="O58" s="339">
        <f t="shared" si="10"/>
        <v>2.0833333333333335</v>
      </c>
      <c r="P58" s="340"/>
      <c r="Q58" s="78">
        <f t="shared" si="11"/>
        <v>2.0833333333333335</v>
      </c>
      <c r="R58" s="74">
        <f>IF(C58=0,0,VLOOKUP(Inventário!C58,Dados!$A$86:$G$129,7))</f>
        <v>1200</v>
      </c>
      <c r="S58" s="77">
        <f t="shared" si="12"/>
        <v>200</v>
      </c>
      <c r="T58" s="342">
        <f t="shared" si="13"/>
        <v>5000</v>
      </c>
      <c r="U58" s="512"/>
      <c r="V58" s="512"/>
      <c r="W58" s="512"/>
      <c r="X58" s="512"/>
      <c r="Y58" s="512"/>
      <c r="Z58" s="512"/>
      <c r="AA58" s="33">
        <v>8</v>
      </c>
      <c r="AB58" s="4" t="str">
        <f>VLOOKUP(C58,Dados!$A$86:$F$129,6)</f>
        <v>Broca</v>
      </c>
      <c r="AC58" s="78">
        <f t="shared" si="14"/>
        <v>2.0833333333333335</v>
      </c>
    </row>
    <row r="59" spans="1:29" s="33" customFormat="1" ht="15.75" customHeight="1" x14ac:dyDescent="0.2">
      <c r="A59" s="47"/>
      <c r="C59" s="48">
        <v>4</v>
      </c>
      <c r="D59" s="2292" t="s">
        <v>1433</v>
      </c>
      <c r="E59" s="920">
        <v>1</v>
      </c>
      <c r="F59" s="921">
        <v>8000</v>
      </c>
      <c r="G59" s="202">
        <v>8</v>
      </c>
      <c r="H59" s="34">
        <v>1</v>
      </c>
      <c r="I59" s="69">
        <v>1</v>
      </c>
      <c r="J59" s="426">
        <v>0.2</v>
      </c>
      <c r="K59" s="426">
        <v>0.5</v>
      </c>
      <c r="O59" s="339">
        <f t="shared" si="10"/>
        <v>1.3333333333333333</v>
      </c>
      <c r="P59" s="340"/>
      <c r="Q59" s="78">
        <f t="shared" si="11"/>
        <v>1.3333333333333333</v>
      </c>
      <c r="R59" s="74">
        <f>IF(C59=0,0,VLOOKUP(Inventário!C59,Dados!$A$86:$G$129,7))</f>
        <v>3000</v>
      </c>
      <c r="S59" s="77">
        <f t="shared" si="12"/>
        <v>800</v>
      </c>
      <c r="T59" s="342">
        <f t="shared" si="13"/>
        <v>8000</v>
      </c>
      <c r="U59" s="512"/>
      <c r="V59" s="512"/>
      <c r="W59" s="512"/>
      <c r="X59" s="512"/>
      <c r="Y59" s="512"/>
      <c r="Z59" s="512"/>
      <c r="AA59" s="33">
        <v>9</v>
      </c>
      <c r="AB59" s="4" t="str">
        <f>VLOOKUP(C59,Dados!$A$86:$F$129,6)</f>
        <v>Carreta</v>
      </c>
      <c r="AC59" s="78">
        <f t="shared" si="14"/>
        <v>1.3333333333333333</v>
      </c>
    </row>
    <row r="60" spans="1:29" s="33" customFormat="1" ht="15.75" customHeight="1" x14ac:dyDescent="0.2">
      <c r="A60" s="47"/>
      <c r="C60" s="48">
        <v>1</v>
      </c>
      <c r="D60" s="897"/>
      <c r="E60" s="920"/>
      <c r="F60" s="921"/>
      <c r="G60" s="202"/>
      <c r="H60" s="34">
        <v>1</v>
      </c>
      <c r="I60" s="69">
        <v>1</v>
      </c>
      <c r="J60" s="426">
        <v>0.2</v>
      </c>
      <c r="K60" s="426">
        <v>0.5</v>
      </c>
      <c r="O60" s="339">
        <f t="shared" si="10"/>
        <v>0</v>
      </c>
      <c r="P60" s="340"/>
      <c r="Q60" s="78">
        <f t="shared" si="11"/>
        <v>0</v>
      </c>
      <c r="R60" s="74">
        <f>IF(C60=0,0,VLOOKUP(Inventário!C60,Dados!$A$86:$G$129,7))</f>
        <v>0</v>
      </c>
      <c r="S60" s="77">
        <f t="shared" si="12"/>
        <v>0</v>
      </c>
      <c r="T60" s="342">
        <f t="shared" si="13"/>
        <v>0</v>
      </c>
      <c r="U60" s="512"/>
      <c r="V60" s="512"/>
      <c r="W60" s="512"/>
      <c r="X60" s="512"/>
      <c r="Y60" s="512"/>
      <c r="Z60" s="512"/>
      <c r="AA60" s="33">
        <v>10</v>
      </c>
      <c r="AB60" s="4">
        <f>VLOOKUP(C60,Dados!$A$86:$F$129,6)</f>
        <v>0</v>
      </c>
      <c r="AC60" s="78">
        <f t="shared" si="14"/>
        <v>0</v>
      </c>
    </row>
    <row r="61" spans="1:29" s="33" customFormat="1" ht="15.75" customHeight="1" x14ac:dyDescent="0.2">
      <c r="A61" s="47"/>
      <c r="C61" s="48">
        <v>1</v>
      </c>
      <c r="D61" s="897"/>
      <c r="E61" s="920"/>
      <c r="F61" s="921"/>
      <c r="G61" s="202"/>
      <c r="H61" s="34">
        <v>1</v>
      </c>
      <c r="I61" s="69">
        <v>1</v>
      </c>
      <c r="J61" s="426">
        <v>0.2</v>
      </c>
      <c r="K61" s="426">
        <v>0.5</v>
      </c>
      <c r="O61" s="339">
        <f t="shared" si="10"/>
        <v>0</v>
      </c>
      <c r="P61" s="340"/>
      <c r="Q61" s="78">
        <f t="shared" si="11"/>
        <v>0</v>
      </c>
      <c r="R61" s="74">
        <f>IF(C61=0,0,VLOOKUP(Inventário!C61,Dados!$A$86:$G$129,7))</f>
        <v>0</v>
      </c>
      <c r="S61" s="77">
        <f t="shared" si="12"/>
        <v>0</v>
      </c>
      <c r="T61" s="342">
        <f t="shared" si="13"/>
        <v>0</v>
      </c>
      <c r="U61" s="512"/>
      <c r="V61" s="512"/>
      <c r="W61" s="512"/>
      <c r="X61" s="512"/>
      <c r="Y61" s="512"/>
      <c r="Z61" s="512"/>
      <c r="AA61" s="33">
        <v>11</v>
      </c>
      <c r="AB61" s="4">
        <f>VLOOKUP(C61,Dados!$A$86:$F$129,6)</f>
        <v>0</v>
      </c>
      <c r="AC61" s="78">
        <f t="shared" si="14"/>
        <v>0</v>
      </c>
    </row>
    <row r="62" spans="1:29" s="33" customFormat="1" ht="15.75" customHeight="1" x14ac:dyDescent="0.2">
      <c r="A62" s="47"/>
      <c r="C62" s="48">
        <v>1</v>
      </c>
      <c r="D62" s="49"/>
      <c r="E62" s="150"/>
      <c r="F62" s="154"/>
      <c r="G62" s="202"/>
      <c r="H62" s="34">
        <v>1</v>
      </c>
      <c r="I62" s="69">
        <v>1</v>
      </c>
      <c r="J62" s="426">
        <v>0.2</v>
      </c>
      <c r="K62" s="426">
        <v>0.5</v>
      </c>
      <c r="O62" s="339">
        <f t="shared" si="10"/>
        <v>0</v>
      </c>
      <c r="P62" s="340"/>
      <c r="Q62" s="78">
        <f t="shared" si="11"/>
        <v>0</v>
      </c>
      <c r="R62" s="74">
        <f>IF(C62=0,0,VLOOKUP(Inventário!C62,Dados!$A$86:$G$129,7))</f>
        <v>0</v>
      </c>
      <c r="S62" s="77">
        <f t="shared" si="12"/>
        <v>0</v>
      </c>
      <c r="T62" s="342">
        <f t="shared" si="13"/>
        <v>0</v>
      </c>
      <c r="U62" s="512"/>
      <c r="V62" s="512"/>
      <c r="W62" s="512"/>
      <c r="X62" s="512"/>
      <c r="Y62" s="512"/>
      <c r="Z62" s="512"/>
      <c r="AA62" s="33">
        <v>12</v>
      </c>
      <c r="AB62" s="4">
        <f>VLOOKUP(C62,Dados!$A$86:$F$129,6)</f>
        <v>0</v>
      </c>
      <c r="AC62" s="78">
        <f t="shared" si="14"/>
        <v>0</v>
      </c>
    </row>
    <row r="63" spans="1:29" s="33" customFormat="1" ht="15.75" customHeight="1" x14ac:dyDescent="0.2">
      <c r="A63" s="47"/>
      <c r="C63" s="5">
        <v>1</v>
      </c>
      <c r="D63" s="49"/>
      <c r="E63" s="150"/>
      <c r="F63" s="154"/>
      <c r="G63" s="202"/>
      <c r="H63" s="34">
        <v>1</v>
      </c>
      <c r="I63" s="69">
        <v>1</v>
      </c>
      <c r="J63" s="426">
        <v>0.2</v>
      </c>
      <c r="K63" s="426">
        <v>0.5</v>
      </c>
      <c r="O63" s="339">
        <f t="shared" si="10"/>
        <v>0</v>
      </c>
      <c r="P63" s="340"/>
      <c r="Q63" s="78">
        <f t="shared" si="11"/>
        <v>0</v>
      </c>
      <c r="R63" s="74">
        <f>IF(C63=0,0,VLOOKUP(Inventário!C63,Dados!$A$86:$G$129,7))</f>
        <v>0</v>
      </c>
      <c r="S63" s="77">
        <f t="shared" si="12"/>
        <v>0</v>
      </c>
      <c r="T63" s="342">
        <f t="shared" si="13"/>
        <v>0</v>
      </c>
      <c r="U63" s="512"/>
      <c r="V63" s="512"/>
      <c r="W63" s="512"/>
      <c r="X63" s="512"/>
      <c r="Y63" s="512"/>
      <c r="Z63" s="512"/>
      <c r="AA63" s="33">
        <v>13</v>
      </c>
      <c r="AB63" s="4">
        <f>VLOOKUP(C63,Dados!$A$86:$F$129,6)</f>
        <v>0</v>
      </c>
      <c r="AC63" s="78">
        <f t="shared" si="14"/>
        <v>0</v>
      </c>
    </row>
    <row r="64" spans="1:29" s="33" customFormat="1" ht="15.75" customHeight="1" x14ac:dyDescent="0.2">
      <c r="A64" s="47"/>
      <c r="C64" s="5">
        <v>1</v>
      </c>
      <c r="D64" s="49"/>
      <c r="E64" s="150"/>
      <c r="F64" s="154"/>
      <c r="G64" s="202"/>
      <c r="H64" s="34">
        <v>1</v>
      </c>
      <c r="I64" s="69">
        <v>1</v>
      </c>
      <c r="J64" s="426">
        <v>0.2</v>
      </c>
      <c r="K64" s="426">
        <v>0.5</v>
      </c>
      <c r="O64" s="339">
        <f t="shared" si="10"/>
        <v>0</v>
      </c>
      <c r="P64" s="340"/>
      <c r="Q64" s="78">
        <f t="shared" si="11"/>
        <v>0</v>
      </c>
      <c r="R64" s="74">
        <f>IF(C64=0,0,VLOOKUP(Inventário!C64,Dados!$A$86:$G$129,7))</f>
        <v>0</v>
      </c>
      <c r="S64" s="77">
        <f t="shared" si="12"/>
        <v>0</v>
      </c>
      <c r="T64" s="342">
        <f t="shared" si="13"/>
        <v>0</v>
      </c>
      <c r="U64" s="512"/>
      <c r="V64" s="512"/>
      <c r="W64" s="512"/>
      <c r="X64" s="512"/>
      <c r="Y64" s="512"/>
      <c r="Z64" s="512"/>
      <c r="AA64" s="33">
        <v>14</v>
      </c>
      <c r="AB64" s="4">
        <f>VLOOKUP(C64,Dados!$A$86:$F$129,6)</f>
        <v>0</v>
      </c>
      <c r="AC64" s="78">
        <f t="shared" si="14"/>
        <v>0</v>
      </c>
    </row>
    <row r="65" spans="1:66" s="33" customFormat="1" ht="15.75" customHeight="1" x14ac:dyDescent="0.2">
      <c r="A65" s="47"/>
      <c r="C65" s="5">
        <v>1</v>
      </c>
      <c r="D65" s="49"/>
      <c r="E65" s="150"/>
      <c r="F65" s="154"/>
      <c r="G65" s="202"/>
      <c r="H65" s="34">
        <v>1</v>
      </c>
      <c r="I65" s="69">
        <v>1</v>
      </c>
      <c r="J65" s="426">
        <v>0.2</v>
      </c>
      <c r="K65" s="426">
        <v>0.5</v>
      </c>
      <c r="O65" s="339">
        <f t="shared" si="10"/>
        <v>0</v>
      </c>
      <c r="P65" s="340"/>
      <c r="Q65" s="78">
        <f t="shared" si="11"/>
        <v>0</v>
      </c>
      <c r="R65" s="74">
        <f>IF(C65=0,0,VLOOKUP(Inventário!C65,Dados!$A$86:$G$129,7))</f>
        <v>0</v>
      </c>
      <c r="S65" s="77">
        <f t="shared" si="12"/>
        <v>0</v>
      </c>
      <c r="T65" s="342">
        <f t="shared" si="13"/>
        <v>0</v>
      </c>
      <c r="U65" s="512"/>
      <c r="V65" s="512"/>
      <c r="W65" s="512"/>
      <c r="X65" s="512"/>
      <c r="Y65" s="512"/>
      <c r="Z65" s="512"/>
      <c r="AA65" s="33">
        <v>15</v>
      </c>
      <c r="AB65" s="4">
        <f>VLOOKUP(C65,Dados!$A$86:$F$129,6)</f>
        <v>0</v>
      </c>
      <c r="AC65" s="78">
        <f t="shared" si="14"/>
        <v>0</v>
      </c>
    </row>
    <row r="66" spans="1:66" s="33" customFormat="1" ht="15.75" customHeight="1" x14ac:dyDescent="0.2">
      <c r="A66" s="47"/>
      <c r="C66" s="54">
        <v>1</v>
      </c>
      <c r="D66" s="49"/>
      <c r="E66" s="150"/>
      <c r="F66" s="154"/>
      <c r="G66" s="202"/>
      <c r="H66" s="34">
        <v>1</v>
      </c>
      <c r="I66" s="69">
        <v>1</v>
      </c>
      <c r="J66" s="426">
        <v>0.2</v>
      </c>
      <c r="K66" s="426">
        <v>0.5</v>
      </c>
      <c r="O66" s="339">
        <f t="shared" si="10"/>
        <v>0</v>
      </c>
      <c r="P66" s="340"/>
      <c r="Q66" s="78">
        <f t="shared" si="11"/>
        <v>0</v>
      </c>
      <c r="R66" s="74">
        <f>IF(C66=0,0,VLOOKUP(Inventário!C66,Dados!$A$86:$G$129,7))</f>
        <v>0</v>
      </c>
      <c r="S66" s="77">
        <f t="shared" si="12"/>
        <v>0</v>
      </c>
      <c r="T66" s="342">
        <f t="shared" si="13"/>
        <v>0</v>
      </c>
      <c r="U66" s="512"/>
      <c r="V66" s="512"/>
      <c r="W66" s="512"/>
      <c r="X66" s="512"/>
      <c r="Y66" s="512"/>
      <c r="Z66" s="512"/>
      <c r="AA66" s="33">
        <v>16</v>
      </c>
      <c r="AB66" s="4">
        <f>VLOOKUP(C66,Dados!$A$86:$F$129,6)</f>
        <v>0</v>
      </c>
      <c r="AC66" s="78">
        <f t="shared" si="14"/>
        <v>0</v>
      </c>
    </row>
    <row r="67" spans="1:66" s="33" customFormat="1" ht="15.75" customHeight="1" x14ac:dyDescent="0.2">
      <c r="A67" s="47"/>
      <c r="C67" s="5">
        <v>1</v>
      </c>
      <c r="D67" s="49"/>
      <c r="E67" s="150"/>
      <c r="F67" s="154"/>
      <c r="G67" s="202"/>
      <c r="H67" s="34">
        <v>1</v>
      </c>
      <c r="I67" s="69">
        <v>1</v>
      </c>
      <c r="J67" s="426">
        <v>0.2</v>
      </c>
      <c r="K67" s="426">
        <v>0.5</v>
      </c>
      <c r="O67" s="339">
        <f t="shared" si="10"/>
        <v>0</v>
      </c>
      <c r="P67" s="340"/>
      <c r="Q67" s="78">
        <f t="shared" si="11"/>
        <v>0</v>
      </c>
      <c r="R67" s="74">
        <f>IF(C67=0,0,VLOOKUP(Inventário!C67,Dados!$A$86:$G$129,7))</f>
        <v>0</v>
      </c>
      <c r="S67" s="77">
        <f t="shared" si="12"/>
        <v>0</v>
      </c>
      <c r="T67" s="342">
        <f t="shared" si="13"/>
        <v>0</v>
      </c>
      <c r="U67" s="512"/>
      <c r="V67" s="512"/>
      <c r="W67" s="512"/>
      <c r="X67" s="512"/>
      <c r="Y67" s="512"/>
      <c r="Z67" s="512"/>
      <c r="AA67" s="33">
        <v>17</v>
      </c>
      <c r="AB67" s="4">
        <f>VLOOKUP(C67,Dados!$A$86:$F$129,6)</f>
        <v>0</v>
      </c>
      <c r="AC67" s="78">
        <f t="shared" si="14"/>
        <v>0</v>
      </c>
    </row>
    <row r="68" spans="1:66" s="33" customFormat="1" ht="15.75" customHeight="1" x14ac:dyDescent="0.2">
      <c r="A68" s="47"/>
      <c r="C68" s="5">
        <v>1</v>
      </c>
      <c r="D68" s="49"/>
      <c r="E68" s="150"/>
      <c r="F68" s="154"/>
      <c r="G68" s="202"/>
      <c r="H68" s="34">
        <v>1</v>
      </c>
      <c r="I68" s="69">
        <v>1</v>
      </c>
      <c r="J68" s="426">
        <v>0.2</v>
      </c>
      <c r="K68" s="426">
        <v>0.5</v>
      </c>
      <c r="O68" s="339">
        <f t="shared" si="10"/>
        <v>0</v>
      </c>
      <c r="P68" s="340"/>
      <c r="Q68" s="78">
        <f t="shared" si="11"/>
        <v>0</v>
      </c>
      <c r="R68" s="74">
        <f>IF(C68=0,0,VLOOKUP(Inventário!C68,Dados!$A$86:$G$129,7))</f>
        <v>0</v>
      </c>
      <c r="S68" s="77">
        <f t="shared" si="12"/>
        <v>0</v>
      </c>
      <c r="T68" s="342">
        <f t="shared" si="13"/>
        <v>0</v>
      </c>
      <c r="U68" s="512"/>
      <c r="V68" s="512"/>
      <c r="W68" s="512"/>
      <c r="X68" s="512"/>
      <c r="Y68" s="512"/>
      <c r="Z68" s="512"/>
      <c r="AA68" s="33">
        <v>18</v>
      </c>
      <c r="AB68" s="4">
        <f>VLOOKUP(C68,Dados!$A$86:$F$129,6)</f>
        <v>0</v>
      </c>
      <c r="AC68" s="78">
        <f t="shared" si="14"/>
        <v>0</v>
      </c>
    </row>
    <row r="69" spans="1:66" s="33" customFormat="1" ht="15.75" customHeight="1" x14ac:dyDescent="0.2">
      <c r="A69" s="47"/>
      <c r="C69" s="5">
        <v>1</v>
      </c>
      <c r="D69" s="49"/>
      <c r="E69" s="150"/>
      <c r="F69" s="154"/>
      <c r="G69" s="202"/>
      <c r="H69" s="34">
        <v>1</v>
      </c>
      <c r="I69" s="69">
        <v>1</v>
      </c>
      <c r="J69" s="426">
        <v>0.2</v>
      </c>
      <c r="K69" s="426">
        <v>0.5</v>
      </c>
      <c r="O69" s="339">
        <f t="shared" si="10"/>
        <v>0</v>
      </c>
      <c r="P69" s="340"/>
      <c r="Q69" s="78">
        <f t="shared" si="11"/>
        <v>0</v>
      </c>
      <c r="R69" s="74">
        <f>IF(C69=0,0,VLOOKUP(Inventário!C69,Dados!$A$86:$G$129,7))</f>
        <v>0</v>
      </c>
      <c r="S69" s="77">
        <f t="shared" si="12"/>
        <v>0</v>
      </c>
      <c r="T69" s="342">
        <f t="shared" si="13"/>
        <v>0</v>
      </c>
      <c r="U69" s="512"/>
      <c r="V69" s="512"/>
      <c r="W69" s="512"/>
      <c r="X69" s="512"/>
      <c r="Y69" s="512"/>
      <c r="Z69" s="512"/>
      <c r="AA69" s="33">
        <v>19</v>
      </c>
      <c r="AB69" s="4">
        <f>VLOOKUP(C69,Dados!$A$86:$F$129,6)</f>
        <v>0</v>
      </c>
      <c r="AC69" s="78">
        <f t="shared" si="14"/>
        <v>0</v>
      </c>
    </row>
    <row r="70" spans="1:66" s="33" customFormat="1" ht="15.75" customHeight="1" x14ac:dyDescent="0.2">
      <c r="A70" s="47"/>
      <c r="C70" s="5">
        <v>1</v>
      </c>
      <c r="D70" s="49"/>
      <c r="E70" s="150"/>
      <c r="F70" s="154"/>
      <c r="G70" s="202"/>
      <c r="H70" s="34">
        <v>1</v>
      </c>
      <c r="I70" s="69">
        <v>1</v>
      </c>
      <c r="J70" s="426">
        <v>0.2</v>
      </c>
      <c r="K70" s="426">
        <v>0.5</v>
      </c>
      <c r="O70" s="339">
        <f t="shared" si="10"/>
        <v>0</v>
      </c>
      <c r="P70" s="340"/>
      <c r="Q70" s="78">
        <f t="shared" si="11"/>
        <v>0</v>
      </c>
      <c r="R70" s="74">
        <f>IF(C70=0,0,VLOOKUP(Inventário!C70,Dados!$A$86:$G$129,7))</f>
        <v>0</v>
      </c>
      <c r="S70" s="77">
        <f t="shared" si="12"/>
        <v>0</v>
      </c>
      <c r="T70" s="342">
        <f t="shared" si="13"/>
        <v>0</v>
      </c>
      <c r="U70" s="512"/>
      <c r="V70" s="512"/>
      <c r="W70" s="512"/>
      <c r="X70" s="512"/>
      <c r="Y70" s="512"/>
      <c r="Z70" s="512"/>
      <c r="AA70" s="33">
        <v>20</v>
      </c>
      <c r="AB70" s="4">
        <f>VLOOKUP(C70,Dados!$A$86:$F$129,6)</f>
        <v>0</v>
      </c>
      <c r="AC70" s="78">
        <f t="shared" si="14"/>
        <v>0</v>
      </c>
    </row>
    <row r="71" spans="1:66" s="33" customFormat="1" ht="15.75" customHeight="1" x14ac:dyDescent="0.2">
      <c r="A71" s="47"/>
      <c r="C71" s="5">
        <v>1</v>
      </c>
      <c r="D71" s="49"/>
      <c r="E71" s="150"/>
      <c r="F71" s="154"/>
      <c r="G71" s="202"/>
      <c r="H71" s="34">
        <v>1</v>
      </c>
      <c r="I71" s="69">
        <v>1</v>
      </c>
      <c r="J71" s="426">
        <v>0.2</v>
      </c>
      <c r="K71" s="426">
        <v>0.5</v>
      </c>
      <c r="O71" s="339">
        <f t="shared" si="10"/>
        <v>0</v>
      </c>
      <c r="P71" s="340"/>
      <c r="Q71" s="78">
        <f t="shared" si="11"/>
        <v>0</v>
      </c>
      <c r="R71" s="74">
        <f>IF(C71=0,0,VLOOKUP(Inventário!C71,Dados!$A$86:$G$129,7))</f>
        <v>0</v>
      </c>
      <c r="S71" s="77">
        <f t="shared" si="12"/>
        <v>0</v>
      </c>
      <c r="T71" s="342">
        <f t="shared" si="13"/>
        <v>0</v>
      </c>
      <c r="U71" s="512"/>
      <c r="V71" s="512"/>
      <c r="W71" s="512"/>
      <c r="X71" s="512"/>
      <c r="Y71" s="512"/>
      <c r="Z71" s="512"/>
      <c r="AA71" s="33">
        <v>21</v>
      </c>
      <c r="AB71" s="4">
        <f>VLOOKUP(C71,Dados!$A$86:$F$129,6)</f>
        <v>0</v>
      </c>
      <c r="AC71" s="78">
        <f t="shared" si="14"/>
        <v>0</v>
      </c>
    </row>
    <row r="72" spans="1:66" s="33" customFormat="1" ht="14.1" customHeight="1" x14ac:dyDescent="0.2">
      <c r="A72" s="41"/>
      <c r="C72" s="34"/>
      <c r="D72" s="51"/>
      <c r="E72" s="51"/>
      <c r="F72" s="51"/>
      <c r="G72" s="51"/>
      <c r="H72" s="34"/>
      <c r="I72" s="34"/>
      <c r="J72" s="428"/>
      <c r="K72" s="417"/>
      <c r="L72" s="34"/>
      <c r="O72" s="319"/>
      <c r="P72" s="319"/>
      <c r="Q72" s="306">
        <f>SUM(Q52:Q71)</f>
        <v>25.166666666666661</v>
      </c>
      <c r="S72" s="321">
        <f>SUM(S52:S71)</f>
        <v>5760</v>
      </c>
      <c r="T72" s="321">
        <f>SUM(T52:T71)</f>
        <v>97000</v>
      </c>
      <c r="U72" s="416"/>
      <c r="V72" s="417"/>
      <c r="W72" s="417"/>
      <c r="X72" s="417"/>
      <c r="Y72" s="417"/>
      <c r="Z72" s="417"/>
      <c r="AA72" s="417"/>
      <c r="AB72" s="417"/>
      <c r="AC72" s="417"/>
      <c r="AD72" s="417"/>
      <c r="AE72" s="417"/>
      <c r="AF72" s="417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1:66" s="33" customFormat="1" ht="14.1" customHeight="1" x14ac:dyDescent="0.2">
      <c r="A73" s="41"/>
      <c r="C73" s="52"/>
      <c r="D73" s="203"/>
      <c r="E73" s="51"/>
      <c r="F73" s="51"/>
      <c r="G73" s="51"/>
      <c r="H73" s="34"/>
      <c r="I73" s="34"/>
      <c r="J73" s="429"/>
      <c r="K73" s="417"/>
      <c r="L73" s="34"/>
      <c r="O73" s="319"/>
      <c r="P73" s="319"/>
      <c r="Q73" s="34"/>
      <c r="U73" s="507"/>
      <c r="V73" s="417"/>
      <c r="W73" s="417"/>
      <c r="X73" s="417"/>
      <c r="Y73" s="417"/>
      <c r="Z73" s="417"/>
      <c r="AA73" s="417"/>
      <c r="AB73" s="417"/>
      <c r="AC73" s="417"/>
      <c r="AD73" s="417"/>
      <c r="AE73" s="417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</row>
    <row r="74" spans="1:66" s="33" customFormat="1" ht="14.1" customHeight="1" x14ac:dyDescent="0.2">
      <c r="A74" s="41"/>
      <c r="C74" s="52"/>
      <c r="D74" s="70"/>
      <c r="E74" s="51"/>
      <c r="F74" s="51"/>
      <c r="G74" s="51"/>
      <c r="H74" s="34"/>
      <c r="I74" s="34"/>
      <c r="J74" s="416"/>
      <c r="K74" s="417"/>
      <c r="L74" s="34"/>
      <c r="O74" s="319"/>
      <c r="P74" s="319"/>
      <c r="Q74" s="34"/>
      <c r="S74" s="34"/>
      <c r="T74" s="34"/>
      <c r="U74" s="507"/>
      <c r="V74" s="417"/>
      <c r="W74" s="416"/>
      <c r="X74" s="417"/>
      <c r="Y74" s="417"/>
      <c r="Z74" s="417"/>
      <c r="AA74" s="417"/>
      <c r="AB74" s="417"/>
      <c r="AC74" s="417"/>
      <c r="AD74" s="417"/>
      <c r="AE74" s="417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</row>
    <row r="75" spans="1:66" s="33" customFormat="1" ht="14.1" customHeight="1" x14ac:dyDescent="0.2">
      <c r="A75" s="41"/>
      <c r="C75" s="34"/>
      <c r="D75" s="51"/>
      <c r="E75" s="51"/>
      <c r="F75" s="51"/>
      <c r="G75" s="51"/>
      <c r="H75" s="34"/>
      <c r="I75" s="34"/>
      <c r="J75" s="416"/>
      <c r="K75" s="417"/>
      <c r="L75" s="34"/>
      <c r="O75" s="319"/>
      <c r="P75" s="319"/>
      <c r="Q75" s="34"/>
      <c r="S75" s="34"/>
      <c r="T75" s="34"/>
      <c r="U75" s="507"/>
      <c r="V75" s="417"/>
      <c r="W75" s="416"/>
      <c r="X75" s="417"/>
      <c r="Y75" s="417"/>
      <c r="Z75" s="417"/>
      <c r="AA75" s="417"/>
      <c r="AB75" s="417"/>
      <c r="AC75" s="417"/>
      <c r="AD75" s="417"/>
      <c r="AE75" s="417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</row>
    <row r="76" spans="1:66" s="35" customFormat="1" ht="14.1" customHeight="1" x14ac:dyDescent="0.2">
      <c r="A76" s="61"/>
      <c r="J76" s="424"/>
      <c r="K76" s="424"/>
      <c r="O76" s="323"/>
      <c r="P76" s="323"/>
      <c r="U76" s="515"/>
      <c r="V76" s="424"/>
      <c r="W76" s="424"/>
      <c r="X76" s="424"/>
      <c r="Y76" s="424"/>
      <c r="Z76" s="424"/>
      <c r="AA76" s="424"/>
      <c r="AB76" s="424"/>
      <c r="AC76" s="424"/>
      <c r="AD76" s="424"/>
      <c r="AE76" s="424"/>
    </row>
    <row r="77" spans="1:66" s="42" customFormat="1" ht="14.1" customHeight="1" x14ac:dyDescent="0.2">
      <c r="A77" s="41"/>
      <c r="C77" s="353" t="s">
        <v>32</v>
      </c>
      <c r="D77" s="353"/>
      <c r="E77" s="353"/>
      <c r="F77" s="353"/>
      <c r="G77" s="44"/>
      <c r="H77" s="43"/>
      <c r="I77" s="43"/>
      <c r="J77" s="425"/>
      <c r="K77" s="420"/>
      <c r="L77" s="43"/>
      <c r="O77" s="320"/>
      <c r="P77" s="320"/>
      <c r="Q77" s="43"/>
      <c r="S77" s="43"/>
      <c r="T77" s="320"/>
      <c r="U77" s="511"/>
      <c r="V77" s="511"/>
      <c r="W77" s="511"/>
      <c r="X77" s="511"/>
      <c r="Y77" s="420"/>
      <c r="Z77" s="425"/>
      <c r="AA77" s="420"/>
      <c r="AB77" s="420"/>
      <c r="AC77" s="420"/>
      <c r="AD77" s="420"/>
      <c r="AE77" s="420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</row>
    <row r="78" spans="1:66" s="42" customFormat="1" ht="14.1" customHeight="1" x14ac:dyDescent="0.2">
      <c r="A78" s="41"/>
      <c r="C78" s="36"/>
      <c r="D78" s="33"/>
      <c r="E78" s="33"/>
      <c r="F78" s="45"/>
      <c r="G78" s="45"/>
      <c r="H78" s="43"/>
      <c r="I78" s="43"/>
      <c r="J78" s="425"/>
      <c r="K78" s="420"/>
      <c r="L78" s="43"/>
      <c r="O78" s="320"/>
      <c r="P78" s="320"/>
      <c r="Q78" s="43"/>
      <c r="T78" s="320"/>
      <c r="U78" s="511"/>
      <c r="V78" s="511"/>
      <c r="W78" s="511"/>
      <c r="X78" s="2537"/>
      <c r="Y78" s="2538"/>
      <c r="Z78" s="2538"/>
      <c r="AA78" s="2538"/>
      <c r="AB78" s="420"/>
      <c r="AC78" s="420"/>
      <c r="AD78" s="420"/>
      <c r="AE78" s="420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</row>
    <row r="79" spans="1:66" s="33" customFormat="1" ht="14.1" customHeight="1" x14ac:dyDescent="0.2">
      <c r="B79" s="164" t="s">
        <v>612</v>
      </c>
      <c r="C79" s="164" t="s">
        <v>357</v>
      </c>
      <c r="D79" s="99" t="s">
        <v>23</v>
      </c>
      <c r="E79" s="99" t="s">
        <v>0</v>
      </c>
      <c r="F79" s="99" t="s">
        <v>336</v>
      </c>
      <c r="G79" s="99" t="s">
        <v>1</v>
      </c>
      <c r="H79" s="99" t="s">
        <v>341</v>
      </c>
      <c r="I79" s="99" t="s">
        <v>823</v>
      </c>
      <c r="J79" s="99" t="s">
        <v>607</v>
      </c>
      <c r="K79" s="99" t="s">
        <v>337</v>
      </c>
      <c r="L79" s="266"/>
      <c r="O79" s="166" t="s">
        <v>534</v>
      </c>
      <c r="P79" s="166"/>
      <c r="Q79" s="166" t="s">
        <v>535</v>
      </c>
      <c r="R79" s="166" t="s">
        <v>532</v>
      </c>
      <c r="S79" s="166" t="s">
        <v>587</v>
      </c>
      <c r="T79" s="166" t="s">
        <v>798</v>
      </c>
      <c r="U79" s="507"/>
      <c r="V79" s="507"/>
      <c r="W79" s="507"/>
      <c r="X79" s="439"/>
      <c r="Y79" s="439"/>
      <c r="Z79" s="439"/>
      <c r="AA79" s="439"/>
      <c r="AB79" s="417"/>
      <c r="AC79" s="417"/>
      <c r="AD79" s="417"/>
      <c r="AE79" s="417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</row>
    <row r="80" spans="1:66" s="33" customFormat="1" ht="15.75" customHeight="1" x14ac:dyDescent="0.2">
      <c r="A80" s="47"/>
      <c r="B80" s="33">
        <v>4</v>
      </c>
      <c r="C80" s="204">
        <v>10</v>
      </c>
      <c r="D80" s="922"/>
      <c r="E80" s="1115">
        <v>1</v>
      </c>
      <c r="F80" s="1116">
        <v>5000</v>
      </c>
      <c r="G80" s="893">
        <v>10</v>
      </c>
      <c r="H80" s="34">
        <v>1</v>
      </c>
      <c r="I80" s="69">
        <v>1</v>
      </c>
      <c r="J80" s="426">
        <v>0.3</v>
      </c>
      <c r="K80" s="426">
        <v>0.5</v>
      </c>
      <c r="L80" s="34"/>
      <c r="O80" s="339">
        <f>IF(B80=1,0,IF(B80=2,0,IF(B80=3,(F80*K80*I80)/G80,IF(B80=4,(F80*K80*I80)/G80))))</f>
        <v>250</v>
      </c>
      <c r="P80" s="340"/>
      <c r="Q80" s="78">
        <f>IF(C80=1,0,O80*E80)</f>
        <v>250</v>
      </c>
      <c r="R80" s="78">
        <f>Q80*I80</f>
        <v>250</v>
      </c>
      <c r="S80" s="77">
        <f>IF(B80=1,0,IF(B80=2,(F80*(1-J80)/G80)*E80*I80,IF(B80=3,0,IF(B80=4,(F80*(1-J80)/G80)*E80*I80))))</f>
        <v>350</v>
      </c>
      <c r="T80" s="342">
        <f>F80*E80*I80</f>
        <v>5000</v>
      </c>
      <c r="U80" s="512"/>
      <c r="V80" s="512"/>
      <c r="W80" s="512"/>
      <c r="X80" s="562"/>
      <c r="Y80" s="417"/>
      <c r="Z80" s="423"/>
      <c r="AA80" s="423"/>
      <c r="AB80" s="417"/>
      <c r="AC80" s="417"/>
      <c r="AD80" s="417"/>
      <c r="AE80" s="417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</row>
    <row r="81" spans="1:62" s="33" customFormat="1" ht="15.75" customHeight="1" x14ac:dyDescent="0.2">
      <c r="A81" s="47"/>
      <c r="B81" s="33">
        <v>4</v>
      </c>
      <c r="C81" s="48">
        <v>23</v>
      </c>
      <c r="D81" s="897"/>
      <c r="E81" s="893">
        <v>6</v>
      </c>
      <c r="F81" s="1116">
        <v>280</v>
      </c>
      <c r="G81" s="893">
        <v>8</v>
      </c>
      <c r="H81" s="34">
        <v>1</v>
      </c>
      <c r="I81" s="69">
        <v>1</v>
      </c>
      <c r="J81" s="426">
        <v>0.3</v>
      </c>
      <c r="K81" s="426">
        <v>0.5</v>
      </c>
      <c r="L81" s="34"/>
      <c r="O81" s="339">
        <f t="shared" ref="O81:O99" si="15">IF(B81=1,0,IF(B81=2,0,IF(B81=3,(F81*K81*I81)/G81,IF(B81=4,(F81*K81*I81)/G81))))</f>
        <v>17.5</v>
      </c>
      <c r="P81" s="340"/>
      <c r="Q81" s="78">
        <f t="shared" ref="Q81:Q99" si="16">IF(C81=1,0,O81*E81)</f>
        <v>105</v>
      </c>
      <c r="R81" s="78">
        <f t="shared" ref="R81:R99" si="17">Q81*I81</f>
        <v>105</v>
      </c>
      <c r="S81" s="77">
        <f t="shared" ref="S81:S99" si="18">IF(B81=1,0,IF(B81=2,(F81*(1-J81)/G81)*E81*I81,IF(B81=3,0,IF(B81=4,(F81*(1-J81)/G81)*E81*I81))))</f>
        <v>147</v>
      </c>
      <c r="T81" s="342">
        <f t="shared" ref="T81:T99" si="19">F81*E81*I81</f>
        <v>1680</v>
      </c>
      <c r="U81" s="512"/>
      <c r="V81" s="512"/>
      <c r="W81" s="512"/>
      <c r="X81" s="562"/>
      <c r="Y81" s="417"/>
      <c r="Z81" s="423"/>
      <c r="AA81" s="423"/>
      <c r="AB81" s="417"/>
      <c r="AC81" s="417"/>
      <c r="AD81" s="417"/>
      <c r="AE81" s="417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</row>
    <row r="82" spans="1:62" s="33" customFormat="1" ht="15.75" customHeight="1" x14ac:dyDescent="0.2">
      <c r="A82" s="47"/>
      <c r="B82" s="33">
        <v>4</v>
      </c>
      <c r="C82" s="48">
        <v>24</v>
      </c>
      <c r="D82" s="920"/>
      <c r="E82" s="893">
        <v>6</v>
      </c>
      <c r="F82" s="1116">
        <v>280</v>
      </c>
      <c r="G82" s="893">
        <v>8</v>
      </c>
      <c r="H82" s="34">
        <v>1</v>
      </c>
      <c r="I82" s="69">
        <v>1</v>
      </c>
      <c r="J82" s="426">
        <v>0.3</v>
      </c>
      <c r="K82" s="426">
        <v>0.5</v>
      </c>
      <c r="L82" s="34"/>
      <c r="O82" s="339">
        <f t="shared" si="15"/>
        <v>17.5</v>
      </c>
      <c r="P82" s="340"/>
      <c r="Q82" s="78">
        <f t="shared" si="16"/>
        <v>105</v>
      </c>
      <c r="R82" s="78">
        <f t="shared" si="17"/>
        <v>105</v>
      </c>
      <c r="S82" s="77">
        <f t="shared" si="18"/>
        <v>147</v>
      </c>
      <c r="T82" s="342">
        <f t="shared" si="19"/>
        <v>1680</v>
      </c>
      <c r="U82" s="512"/>
      <c r="V82" s="512"/>
      <c r="W82" s="512"/>
      <c r="X82" s="562"/>
      <c r="Y82" s="417"/>
      <c r="Z82" s="423"/>
      <c r="AA82" s="423"/>
      <c r="AB82" s="417"/>
      <c r="AC82" s="417"/>
      <c r="AD82" s="417"/>
      <c r="AE82" s="417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</row>
    <row r="83" spans="1:62" s="33" customFormat="1" ht="15.75" customHeight="1" x14ac:dyDescent="0.2">
      <c r="A83" s="47"/>
      <c r="B83" s="33">
        <v>4</v>
      </c>
      <c r="C83" s="48">
        <v>18</v>
      </c>
      <c r="D83" s="920"/>
      <c r="E83" s="893">
        <v>2</v>
      </c>
      <c r="F83" s="1116">
        <v>2800</v>
      </c>
      <c r="G83" s="893">
        <v>10</v>
      </c>
      <c r="H83" s="34">
        <v>1</v>
      </c>
      <c r="I83" s="69">
        <v>1</v>
      </c>
      <c r="J83" s="426">
        <v>0.3</v>
      </c>
      <c r="K83" s="426">
        <v>0.5</v>
      </c>
      <c r="L83" s="34"/>
      <c r="O83" s="339">
        <f t="shared" si="15"/>
        <v>140</v>
      </c>
      <c r="P83" s="340"/>
      <c r="Q83" s="78">
        <f t="shared" si="16"/>
        <v>280</v>
      </c>
      <c r="R83" s="78">
        <f t="shared" si="17"/>
        <v>280</v>
      </c>
      <c r="S83" s="77">
        <f t="shared" si="18"/>
        <v>391.99999999999994</v>
      </c>
      <c r="T83" s="342">
        <f t="shared" si="19"/>
        <v>5600</v>
      </c>
      <c r="U83" s="512"/>
      <c r="V83" s="512"/>
      <c r="W83" s="512"/>
      <c r="X83" s="562"/>
      <c r="Y83" s="417"/>
      <c r="Z83" s="423"/>
      <c r="AA83" s="423"/>
      <c r="AB83" s="417"/>
      <c r="AC83" s="417"/>
      <c r="AD83" s="417"/>
      <c r="AE83" s="417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</row>
    <row r="84" spans="1:62" s="33" customFormat="1" ht="15.75" customHeight="1" x14ac:dyDescent="0.2">
      <c r="A84" s="47"/>
      <c r="B84" s="33">
        <v>4</v>
      </c>
      <c r="C84" s="5">
        <v>27</v>
      </c>
      <c r="D84" s="897"/>
      <c r="E84" s="893">
        <v>6</v>
      </c>
      <c r="F84" s="1116">
        <v>500</v>
      </c>
      <c r="G84" s="893">
        <v>2</v>
      </c>
      <c r="H84" s="34">
        <v>1</v>
      </c>
      <c r="I84" s="69">
        <v>1</v>
      </c>
      <c r="J84" s="426">
        <v>0.3</v>
      </c>
      <c r="K84" s="426">
        <v>0.5</v>
      </c>
      <c r="L84" s="34"/>
      <c r="O84" s="339">
        <f t="shared" si="15"/>
        <v>125</v>
      </c>
      <c r="P84" s="340"/>
      <c r="Q84" s="78">
        <f t="shared" si="16"/>
        <v>750</v>
      </c>
      <c r="R84" s="78">
        <f t="shared" si="17"/>
        <v>750</v>
      </c>
      <c r="S84" s="77">
        <f t="shared" si="18"/>
        <v>1050</v>
      </c>
      <c r="T84" s="342">
        <f t="shared" si="19"/>
        <v>3000</v>
      </c>
      <c r="U84" s="512"/>
      <c r="V84" s="512"/>
      <c r="W84" s="512"/>
      <c r="X84" s="562"/>
      <c r="Y84" s="417"/>
      <c r="Z84" s="423"/>
      <c r="AA84" s="423"/>
      <c r="AB84" s="417"/>
      <c r="AC84" s="417"/>
      <c r="AD84" s="417"/>
      <c r="AE84" s="417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</row>
    <row r="85" spans="1:62" s="33" customFormat="1" ht="15.75" customHeight="1" x14ac:dyDescent="0.2">
      <c r="A85" s="47"/>
      <c r="B85" s="33">
        <v>1</v>
      </c>
      <c r="C85" s="5">
        <v>1</v>
      </c>
      <c r="D85" s="897"/>
      <c r="E85" s="893"/>
      <c r="F85" s="896"/>
      <c r="G85" s="892"/>
      <c r="H85" s="34">
        <v>1</v>
      </c>
      <c r="I85" s="69">
        <v>1</v>
      </c>
      <c r="J85" s="426">
        <v>0.3</v>
      </c>
      <c r="K85" s="426">
        <v>0.5</v>
      </c>
      <c r="L85" s="34"/>
      <c r="O85" s="339">
        <f t="shared" si="15"/>
        <v>0</v>
      </c>
      <c r="P85" s="340"/>
      <c r="Q85" s="78">
        <f t="shared" si="16"/>
        <v>0</v>
      </c>
      <c r="R85" s="78">
        <f t="shared" si="17"/>
        <v>0</v>
      </c>
      <c r="S85" s="77">
        <f t="shared" si="18"/>
        <v>0</v>
      </c>
      <c r="T85" s="342">
        <f t="shared" si="19"/>
        <v>0</v>
      </c>
      <c r="U85" s="512"/>
      <c r="V85" s="512"/>
      <c r="W85" s="512"/>
      <c r="X85" s="562"/>
      <c r="Y85" s="417"/>
      <c r="Z85" s="423"/>
      <c r="AA85" s="423"/>
      <c r="AB85" s="417"/>
      <c r="AC85" s="417"/>
      <c r="AD85" s="417"/>
      <c r="AE85" s="417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</row>
    <row r="86" spans="1:62" s="33" customFormat="1" ht="15.75" customHeight="1" x14ac:dyDescent="0.2">
      <c r="A86" s="47"/>
      <c r="B86" s="33">
        <v>1</v>
      </c>
      <c r="C86" s="5">
        <v>1</v>
      </c>
      <c r="D86" s="49"/>
      <c r="E86" s="150"/>
      <c r="F86" s="896"/>
      <c r="G86" s="892"/>
      <c r="H86" s="34">
        <v>1</v>
      </c>
      <c r="I86" s="69">
        <v>1</v>
      </c>
      <c r="J86" s="426">
        <v>0.3</v>
      </c>
      <c r="K86" s="426">
        <v>0.5</v>
      </c>
      <c r="L86" s="34"/>
      <c r="O86" s="339">
        <f t="shared" si="15"/>
        <v>0</v>
      </c>
      <c r="P86" s="340"/>
      <c r="Q86" s="78">
        <f t="shared" si="16"/>
        <v>0</v>
      </c>
      <c r="R86" s="78">
        <f t="shared" si="17"/>
        <v>0</v>
      </c>
      <c r="S86" s="77">
        <f t="shared" si="18"/>
        <v>0</v>
      </c>
      <c r="T86" s="342">
        <f t="shared" si="19"/>
        <v>0</v>
      </c>
      <c r="U86" s="512"/>
      <c r="V86" s="512"/>
      <c r="W86" s="512"/>
      <c r="X86" s="562"/>
      <c r="Y86" s="417"/>
      <c r="Z86" s="423"/>
      <c r="AA86" s="423"/>
      <c r="AB86" s="417"/>
      <c r="AC86" s="417"/>
      <c r="AD86" s="417"/>
      <c r="AE86" s="417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</row>
    <row r="87" spans="1:62" s="33" customFormat="1" ht="15.75" customHeight="1" x14ac:dyDescent="0.2">
      <c r="A87" s="47"/>
      <c r="B87" s="33">
        <v>1</v>
      </c>
      <c r="C87" s="5">
        <v>1</v>
      </c>
      <c r="D87" s="49"/>
      <c r="E87" s="920"/>
      <c r="F87" s="921"/>
      <c r="G87" s="202"/>
      <c r="H87" s="34">
        <v>1</v>
      </c>
      <c r="I87" s="69">
        <v>1</v>
      </c>
      <c r="J87" s="426">
        <v>0.3</v>
      </c>
      <c r="K87" s="426">
        <v>0.5</v>
      </c>
      <c r="L87" s="34"/>
      <c r="O87" s="339">
        <f t="shared" si="15"/>
        <v>0</v>
      </c>
      <c r="P87" s="340"/>
      <c r="Q87" s="78">
        <f t="shared" si="16"/>
        <v>0</v>
      </c>
      <c r="R87" s="78">
        <f t="shared" si="17"/>
        <v>0</v>
      </c>
      <c r="S87" s="77">
        <f t="shared" si="18"/>
        <v>0</v>
      </c>
      <c r="T87" s="342">
        <f t="shared" si="19"/>
        <v>0</v>
      </c>
      <c r="U87" s="512"/>
      <c r="V87" s="512"/>
      <c r="W87" s="512"/>
      <c r="X87" s="562"/>
      <c r="Y87" s="417"/>
      <c r="Z87" s="423"/>
      <c r="AA87" s="423"/>
      <c r="AB87" s="417"/>
      <c r="AC87" s="417"/>
      <c r="AD87" s="417"/>
      <c r="AE87" s="417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</row>
    <row r="88" spans="1:62" s="33" customFormat="1" ht="15.75" customHeight="1" x14ac:dyDescent="0.2">
      <c r="A88" s="47"/>
      <c r="B88" s="33">
        <v>1</v>
      </c>
      <c r="C88" s="54">
        <v>1</v>
      </c>
      <c r="D88" s="49"/>
      <c r="E88" s="150"/>
      <c r="F88" s="154"/>
      <c r="G88" s="202"/>
      <c r="H88" s="34">
        <v>1</v>
      </c>
      <c r="I88" s="69">
        <v>1</v>
      </c>
      <c r="J88" s="426">
        <v>0.3</v>
      </c>
      <c r="K88" s="426">
        <v>0.5</v>
      </c>
      <c r="L88" s="34"/>
      <c r="O88" s="339">
        <f t="shared" si="15"/>
        <v>0</v>
      </c>
      <c r="P88" s="340"/>
      <c r="Q88" s="78">
        <f t="shared" si="16"/>
        <v>0</v>
      </c>
      <c r="R88" s="78">
        <f t="shared" si="17"/>
        <v>0</v>
      </c>
      <c r="S88" s="77">
        <f t="shared" si="18"/>
        <v>0</v>
      </c>
      <c r="T88" s="342">
        <f t="shared" si="19"/>
        <v>0</v>
      </c>
      <c r="U88" s="512"/>
      <c r="V88" s="512"/>
      <c r="W88" s="512"/>
      <c r="X88" s="562"/>
      <c r="Y88" s="417"/>
      <c r="Z88" s="423"/>
      <c r="AA88" s="423"/>
      <c r="AB88" s="417"/>
      <c r="AC88" s="417"/>
      <c r="AD88" s="417"/>
      <c r="AE88" s="417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</row>
    <row r="89" spans="1:62" s="33" customFormat="1" ht="15.75" customHeight="1" x14ac:dyDescent="0.2">
      <c r="A89" s="47"/>
      <c r="B89" s="33">
        <v>1</v>
      </c>
      <c r="C89" s="54">
        <v>1</v>
      </c>
      <c r="D89" s="49"/>
      <c r="E89" s="150"/>
      <c r="F89" s="154"/>
      <c r="G89" s="202"/>
      <c r="H89" s="34">
        <v>1</v>
      </c>
      <c r="I89" s="69">
        <v>1</v>
      </c>
      <c r="J89" s="426">
        <v>0.3</v>
      </c>
      <c r="K89" s="426">
        <v>0.5</v>
      </c>
      <c r="L89" s="34"/>
      <c r="O89" s="339">
        <f t="shared" si="15"/>
        <v>0</v>
      </c>
      <c r="P89" s="340"/>
      <c r="Q89" s="78">
        <f t="shared" si="16"/>
        <v>0</v>
      </c>
      <c r="R89" s="78">
        <f t="shared" si="17"/>
        <v>0</v>
      </c>
      <c r="S89" s="77">
        <f t="shared" si="18"/>
        <v>0</v>
      </c>
      <c r="T89" s="342">
        <f t="shared" si="19"/>
        <v>0</v>
      </c>
      <c r="U89" s="512"/>
      <c r="V89" s="512"/>
      <c r="W89" s="512"/>
      <c r="X89" s="562"/>
      <c r="Y89" s="417"/>
      <c r="Z89" s="423"/>
      <c r="AA89" s="423"/>
      <c r="AB89" s="417"/>
      <c r="AC89" s="417"/>
      <c r="AD89" s="417"/>
      <c r="AE89" s="417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</row>
    <row r="90" spans="1:62" s="33" customFormat="1" ht="15.75" customHeight="1" x14ac:dyDescent="0.2">
      <c r="A90" s="47"/>
      <c r="B90" s="33">
        <v>1</v>
      </c>
      <c r="C90" s="54">
        <v>1</v>
      </c>
      <c r="D90" s="49"/>
      <c r="E90" s="150"/>
      <c r="F90" s="154"/>
      <c r="G90" s="202"/>
      <c r="H90" s="34">
        <v>1</v>
      </c>
      <c r="I90" s="69">
        <v>1</v>
      </c>
      <c r="J90" s="426">
        <v>0.3</v>
      </c>
      <c r="K90" s="426">
        <v>0.5</v>
      </c>
      <c r="L90" s="34"/>
      <c r="O90" s="339">
        <f t="shared" si="15"/>
        <v>0</v>
      </c>
      <c r="P90" s="340"/>
      <c r="Q90" s="78">
        <f t="shared" si="16"/>
        <v>0</v>
      </c>
      <c r="R90" s="78">
        <f t="shared" si="17"/>
        <v>0</v>
      </c>
      <c r="S90" s="77">
        <f t="shared" si="18"/>
        <v>0</v>
      </c>
      <c r="T90" s="342">
        <f t="shared" si="19"/>
        <v>0</v>
      </c>
      <c r="U90" s="512"/>
      <c r="V90" s="512"/>
      <c r="W90" s="512"/>
      <c r="X90" s="562"/>
      <c r="Y90" s="417"/>
      <c r="Z90" s="423"/>
      <c r="AA90" s="423"/>
      <c r="AB90" s="417"/>
      <c r="AC90" s="417"/>
      <c r="AD90" s="417"/>
      <c r="AE90" s="417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</row>
    <row r="91" spans="1:62" s="33" customFormat="1" ht="15.75" customHeight="1" x14ac:dyDescent="0.2">
      <c r="A91" s="47"/>
      <c r="B91" s="33">
        <v>1</v>
      </c>
      <c r="C91" s="54">
        <v>1</v>
      </c>
      <c r="D91" s="49"/>
      <c r="E91" s="150"/>
      <c r="F91" s="154"/>
      <c r="G91" s="202"/>
      <c r="H91" s="34">
        <v>1</v>
      </c>
      <c r="I91" s="69">
        <v>1</v>
      </c>
      <c r="J91" s="426">
        <v>0.3</v>
      </c>
      <c r="K91" s="426">
        <v>0.5</v>
      </c>
      <c r="L91" s="34"/>
      <c r="O91" s="339">
        <f t="shared" si="15"/>
        <v>0</v>
      </c>
      <c r="P91" s="340"/>
      <c r="Q91" s="78">
        <f t="shared" si="16"/>
        <v>0</v>
      </c>
      <c r="R91" s="78">
        <f t="shared" si="17"/>
        <v>0</v>
      </c>
      <c r="S91" s="77">
        <f t="shared" si="18"/>
        <v>0</v>
      </c>
      <c r="T91" s="342">
        <f t="shared" si="19"/>
        <v>0</v>
      </c>
      <c r="U91" s="512"/>
      <c r="V91" s="512"/>
      <c r="W91" s="512"/>
      <c r="X91" s="562"/>
      <c r="Y91" s="417"/>
      <c r="Z91" s="423"/>
      <c r="AA91" s="423"/>
      <c r="AB91" s="417"/>
      <c r="AC91" s="417"/>
      <c r="AD91" s="417"/>
      <c r="AE91" s="417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</row>
    <row r="92" spans="1:62" s="33" customFormat="1" ht="15.75" customHeight="1" x14ac:dyDescent="0.2">
      <c r="A92" s="47"/>
      <c r="B92" s="33">
        <v>1</v>
      </c>
      <c r="C92" s="54">
        <v>1</v>
      </c>
      <c r="D92" s="49"/>
      <c r="E92" s="150"/>
      <c r="F92" s="154"/>
      <c r="G92" s="202"/>
      <c r="H92" s="34">
        <v>1</v>
      </c>
      <c r="I92" s="69">
        <v>1</v>
      </c>
      <c r="J92" s="426">
        <v>0.3</v>
      </c>
      <c r="K92" s="426">
        <v>0.5</v>
      </c>
      <c r="L92" s="34"/>
      <c r="O92" s="339">
        <f t="shared" si="15"/>
        <v>0</v>
      </c>
      <c r="P92" s="340"/>
      <c r="Q92" s="78">
        <f t="shared" si="16"/>
        <v>0</v>
      </c>
      <c r="R92" s="78">
        <f t="shared" si="17"/>
        <v>0</v>
      </c>
      <c r="S92" s="77">
        <f t="shared" si="18"/>
        <v>0</v>
      </c>
      <c r="T92" s="342">
        <f t="shared" si="19"/>
        <v>0</v>
      </c>
      <c r="U92" s="512"/>
      <c r="V92" s="512"/>
      <c r="W92" s="512"/>
      <c r="X92" s="562"/>
      <c r="Y92" s="417"/>
      <c r="Z92" s="423"/>
      <c r="AA92" s="423"/>
      <c r="AB92" s="417"/>
      <c r="AC92" s="417"/>
      <c r="AD92" s="417"/>
      <c r="AE92" s="417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</row>
    <row r="93" spans="1:62" s="33" customFormat="1" ht="15.75" customHeight="1" x14ac:dyDescent="0.2">
      <c r="A93" s="47"/>
      <c r="B93" s="33">
        <v>1</v>
      </c>
      <c r="C93" s="54">
        <v>1</v>
      </c>
      <c r="D93" s="49"/>
      <c r="E93" s="150"/>
      <c r="F93" s="154"/>
      <c r="G93" s="202"/>
      <c r="H93" s="34">
        <v>1</v>
      </c>
      <c r="I93" s="69">
        <v>1</v>
      </c>
      <c r="J93" s="426">
        <v>0.3</v>
      </c>
      <c r="K93" s="426">
        <v>0.5</v>
      </c>
      <c r="L93" s="34"/>
      <c r="O93" s="339">
        <f t="shared" si="15"/>
        <v>0</v>
      </c>
      <c r="P93" s="340"/>
      <c r="Q93" s="78">
        <f t="shared" si="16"/>
        <v>0</v>
      </c>
      <c r="R93" s="78">
        <f t="shared" si="17"/>
        <v>0</v>
      </c>
      <c r="S93" s="77">
        <f t="shared" si="18"/>
        <v>0</v>
      </c>
      <c r="T93" s="342">
        <f t="shared" si="19"/>
        <v>0</v>
      </c>
      <c r="U93" s="512"/>
      <c r="V93" s="512"/>
      <c r="W93" s="512"/>
      <c r="X93" s="562"/>
      <c r="Y93" s="417"/>
      <c r="Z93" s="423"/>
      <c r="AA93" s="423"/>
      <c r="AB93" s="417"/>
      <c r="AC93" s="417"/>
      <c r="AD93" s="417"/>
      <c r="AE93" s="417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</row>
    <row r="94" spans="1:62" s="33" customFormat="1" ht="15.75" customHeight="1" x14ac:dyDescent="0.2">
      <c r="A94" s="47"/>
      <c r="B94" s="33">
        <v>1</v>
      </c>
      <c r="C94" s="54">
        <v>1</v>
      </c>
      <c r="D94" s="49"/>
      <c r="E94" s="150"/>
      <c r="F94" s="154"/>
      <c r="G94" s="202"/>
      <c r="H94" s="34">
        <v>1</v>
      </c>
      <c r="I94" s="69">
        <v>1</v>
      </c>
      <c r="J94" s="426">
        <v>0.3</v>
      </c>
      <c r="K94" s="426">
        <v>0.5</v>
      </c>
      <c r="L94" s="34"/>
      <c r="O94" s="339">
        <f t="shared" si="15"/>
        <v>0</v>
      </c>
      <c r="P94" s="340"/>
      <c r="Q94" s="78">
        <f t="shared" si="16"/>
        <v>0</v>
      </c>
      <c r="R94" s="78">
        <f t="shared" si="17"/>
        <v>0</v>
      </c>
      <c r="S94" s="77">
        <f t="shared" si="18"/>
        <v>0</v>
      </c>
      <c r="T94" s="342">
        <f t="shared" si="19"/>
        <v>0</v>
      </c>
      <c r="U94" s="512"/>
      <c r="V94" s="512"/>
      <c r="W94" s="512"/>
      <c r="X94" s="562"/>
      <c r="Y94" s="417"/>
      <c r="Z94" s="423"/>
      <c r="AA94" s="423"/>
      <c r="AB94" s="417"/>
      <c r="AC94" s="417"/>
      <c r="AD94" s="417"/>
      <c r="AE94" s="417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</row>
    <row r="95" spans="1:62" s="33" customFormat="1" ht="15.75" customHeight="1" x14ac:dyDescent="0.2">
      <c r="A95" s="47"/>
      <c r="B95" s="33">
        <v>1</v>
      </c>
      <c r="C95" s="54">
        <v>1</v>
      </c>
      <c r="D95" s="49"/>
      <c r="E95" s="150"/>
      <c r="F95" s="154"/>
      <c r="G95" s="202"/>
      <c r="H95" s="34">
        <v>1</v>
      </c>
      <c r="I95" s="69">
        <v>1</v>
      </c>
      <c r="J95" s="426">
        <v>0.3</v>
      </c>
      <c r="K95" s="426">
        <v>0.5</v>
      </c>
      <c r="L95" s="34"/>
      <c r="O95" s="339">
        <f t="shared" si="15"/>
        <v>0</v>
      </c>
      <c r="P95" s="340"/>
      <c r="Q95" s="78">
        <f t="shared" si="16"/>
        <v>0</v>
      </c>
      <c r="R95" s="78">
        <f t="shared" si="17"/>
        <v>0</v>
      </c>
      <c r="S95" s="77">
        <f t="shared" si="18"/>
        <v>0</v>
      </c>
      <c r="T95" s="342">
        <f t="shared" si="19"/>
        <v>0</v>
      </c>
      <c r="U95" s="512"/>
      <c r="V95" s="512"/>
      <c r="W95" s="512"/>
      <c r="X95" s="562"/>
      <c r="Y95" s="417"/>
      <c r="Z95" s="423"/>
      <c r="AA95" s="423"/>
      <c r="AB95" s="417"/>
      <c r="AC95" s="417"/>
      <c r="AD95" s="417"/>
      <c r="AE95" s="417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</row>
    <row r="96" spans="1:62" s="33" customFormat="1" ht="15.75" customHeight="1" x14ac:dyDescent="0.2">
      <c r="A96" s="47"/>
      <c r="B96" s="33">
        <v>1</v>
      </c>
      <c r="C96" s="54">
        <v>1</v>
      </c>
      <c r="D96" s="49"/>
      <c r="E96" s="150"/>
      <c r="F96" s="154"/>
      <c r="G96" s="202"/>
      <c r="H96" s="34">
        <v>1</v>
      </c>
      <c r="I96" s="69">
        <v>1</v>
      </c>
      <c r="J96" s="426">
        <v>0.3</v>
      </c>
      <c r="K96" s="426">
        <v>0.5</v>
      </c>
      <c r="L96" s="34"/>
      <c r="O96" s="339">
        <f t="shared" si="15"/>
        <v>0</v>
      </c>
      <c r="P96" s="340"/>
      <c r="Q96" s="78">
        <f t="shared" si="16"/>
        <v>0</v>
      </c>
      <c r="R96" s="78">
        <f t="shared" si="17"/>
        <v>0</v>
      </c>
      <c r="S96" s="77">
        <f t="shared" si="18"/>
        <v>0</v>
      </c>
      <c r="T96" s="342">
        <f t="shared" si="19"/>
        <v>0</v>
      </c>
      <c r="U96" s="512"/>
      <c r="V96" s="512"/>
      <c r="W96" s="512"/>
      <c r="X96" s="562"/>
      <c r="Y96" s="417"/>
      <c r="Z96" s="423"/>
      <c r="AA96" s="423"/>
      <c r="AB96" s="417"/>
      <c r="AC96" s="417"/>
      <c r="AD96" s="417"/>
      <c r="AE96" s="417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</row>
    <row r="97" spans="1:62" s="33" customFormat="1" ht="15.75" customHeight="1" x14ac:dyDescent="0.2">
      <c r="A97" s="47"/>
      <c r="B97" s="33">
        <v>1</v>
      </c>
      <c r="C97" s="54">
        <v>1</v>
      </c>
      <c r="D97" s="49"/>
      <c r="E97" s="150"/>
      <c r="F97" s="154"/>
      <c r="G97" s="202"/>
      <c r="H97" s="34">
        <v>1</v>
      </c>
      <c r="I97" s="69">
        <v>1</v>
      </c>
      <c r="J97" s="426">
        <v>0.3</v>
      </c>
      <c r="K97" s="426">
        <v>0.5</v>
      </c>
      <c r="L97" s="34"/>
      <c r="O97" s="339">
        <f t="shared" si="15"/>
        <v>0</v>
      </c>
      <c r="P97" s="340"/>
      <c r="Q97" s="78">
        <f t="shared" si="16"/>
        <v>0</v>
      </c>
      <c r="R97" s="78">
        <f t="shared" si="17"/>
        <v>0</v>
      </c>
      <c r="S97" s="77">
        <f t="shared" si="18"/>
        <v>0</v>
      </c>
      <c r="T97" s="342">
        <f t="shared" si="19"/>
        <v>0</v>
      </c>
      <c r="U97" s="512"/>
      <c r="V97" s="512"/>
      <c r="W97" s="512"/>
      <c r="X97" s="562"/>
      <c r="Y97" s="417"/>
      <c r="Z97" s="423"/>
      <c r="AA97" s="423"/>
      <c r="AB97" s="417"/>
      <c r="AC97" s="417"/>
      <c r="AD97" s="417"/>
      <c r="AE97" s="417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</row>
    <row r="98" spans="1:62" s="33" customFormat="1" ht="15.75" customHeight="1" x14ac:dyDescent="0.2">
      <c r="A98" s="47"/>
      <c r="B98" s="33">
        <v>1</v>
      </c>
      <c r="C98" s="54">
        <v>1</v>
      </c>
      <c r="D98" s="49"/>
      <c r="E98" s="150"/>
      <c r="F98" s="154"/>
      <c r="G98" s="202"/>
      <c r="H98" s="34">
        <v>1</v>
      </c>
      <c r="I98" s="69">
        <v>1</v>
      </c>
      <c r="J98" s="426">
        <v>0.3</v>
      </c>
      <c r="K98" s="426">
        <v>0.5</v>
      </c>
      <c r="L98" s="34"/>
      <c r="O98" s="339">
        <f t="shared" si="15"/>
        <v>0</v>
      </c>
      <c r="P98" s="340"/>
      <c r="Q98" s="78">
        <f t="shared" si="16"/>
        <v>0</v>
      </c>
      <c r="R98" s="78">
        <f t="shared" si="17"/>
        <v>0</v>
      </c>
      <c r="S98" s="77">
        <f t="shared" si="18"/>
        <v>0</v>
      </c>
      <c r="T98" s="342">
        <f t="shared" si="19"/>
        <v>0</v>
      </c>
      <c r="U98" s="512"/>
      <c r="V98" s="512"/>
      <c r="W98" s="512"/>
      <c r="X98" s="562"/>
      <c r="Y98" s="417"/>
      <c r="Z98" s="423"/>
      <c r="AA98" s="423"/>
      <c r="AB98" s="417"/>
      <c r="AC98" s="417"/>
      <c r="AD98" s="417"/>
      <c r="AE98" s="417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</row>
    <row r="99" spans="1:62" s="33" customFormat="1" ht="15.75" customHeight="1" x14ac:dyDescent="0.2">
      <c r="A99" s="47"/>
      <c r="B99" s="33">
        <v>1</v>
      </c>
      <c r="C99" s="54">
        <v>1</v>
      </c>
      <c r="D99" s="49"/>
      <c r="E99" s="150"/>
      <c r="F99" s="154"/>
      <c r="G99" s="202"/>
      <c r="H99" s="34">
        <v>1</v>
      </c>
      <c r="I99" s="69">
        <v>1</v>
      </c>
      <c r="J99" s="426">
        <v>0.3</v>
      </c>
      <c r="K99" s="426">
        <v>0.5</v>
      </c>
      <c r="L99" s="34"/>
      <c r="O99" s="339">
        <f t="shared" si="15"/>
        <v>0</v>
      </c>
      <c r="P99" s="340"/>
      <c r="Q99" s="78">
        <f t="shared" si="16"/>
        <v>0</v>
      </c>
      <c r="R99" s="78">
        <f t="shared" si="17"/>
        <v>0</v>
      </c>
      <c r="S99" s="77">
        <f t="shared" si="18"/>
        <v>0</v>
      </c>
      <c r="T99" s="342">
        <f t="shared" si="19"/>
        <v>0</v>
      </c>
      <c r="U99" s="512"/>
      <c r="V99" s="512"/>
      <c r="W99" s="512"/>
      <c r="X99" s="562"/>
      <c r="Y99" s="417"/>
      <c r="Z99" s="423"/>
      <c r="AA99" s="423"/>
      <c r="AB99" s="417"/>
      <c r="AC99" s="417"/>
      <c r="AD99" s="417"/>
      <c r="AE99" s="417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</row>
    <row r="100" spans="1:62" x14ac:dyDescent="0.2">
      <c r="K100" s="413"/>
      <c r="L100" s="37"/>
      <c r="N100" s="39"/>
      <c r="P100" s="338"/>
      <c r="Q100" s="38"/>
      <c r="R100" s="307">
        <f>SUM(R80:R99)</f>
        <v>1490</v>
      </c>
      <c r="S100" s="325">
        <f>SUM(S80:S99)</f>
        <v>2086</v>
      </c>
      <c r="T100" s="325">
        <f>SUM(T80:T99)</f>
        <v>16960</v>
      </c>
      <c r="U100" s="516"/>
      <c r="V100" s="516"/>
      <c r="W100" s="516"/>
      <c r="X100" s="560"/>
      <c r="Y100" s="432"/>
      <c r="Z100" s="434"/>
      <c r="AA100" s="432"/>
      <c r="AB100" s="432"/>
    </row>
    <row r="101" spans="1:62" s="160" customFormat="1" x14ac:dyDescent="0.2">
      <c r="C101" s="161"/>
      <c r="D101" s="161"/>
      <c r="E101" s="161"/>
      <c r="F101" s="161"/>
      <c r="G101" s="161"/>
      <c r="H101" s="161"/>
      <c r="I101" s="161"/>
      <c r="J101" s="430"/>
      <c r="K101" s="430"/>
      <c r="L101" s="161"/>
      <c r="O101" s="341"/>
      <c r="P101" s="341"/>
      <c r="Q101" s="162"/>
      <c r="R101" s="162"/>
      <c r="S101" s="326"/>
      <c r="U101" s="517"/>
      <c r="V101" s="517"/>
      <c r="W101" s="517"/>
      <c r="X101" s="517"/>
      <c r="Y101" s="518"/>
      <c r="Z101" s="518"/>
      <c r="AA101" s="518"/>
      <c r="AB101" s="518"/>
      <c r="AC101" s="518"/>
      <c r="AD101" s="518"/>
      <c r="AE101" s="518"/>
    </row>
    <row r="102" spans="1:62" x14ac:dyDescent="0.2">
      <c r="C102" s="353" t="s">
        <v>475</v>
      </c>
      <c r="D102" s="353"/>
      <c r="E102" s="353"/>
      <c r="F102" s="353"/>
      <c r="K102" s="413"/>
      <c r="L102" s="37"/>
      <c r="Q102" s="38"/>
      <c r="X102" s="432"/>
      <c r="Y102" s="432"/>
      <c r="Z102" s="432"/>
      <c r="AA102" s="432"/>
      <c r="AB102" s="432"/>
    </row>
    <row r="103" spans="1:62" s="83" customFormat="1" ht="14.25" customHeight="1" x14ac:dyDescent="0.25">
      <c r="C103" s="121"/>
      <c r="D103" s="40"/>
      <c r="E103" s="40"/>
      <c r="F103" s="40"/>
      <c r="G103" s="40"/>
      <c r="H103" s="40"/>
      <c r="I103" s="40"/>
      <c r="J103" s="431"/>
      <c r="K103" s="431"/>
      <c r="L103" s="40"/>
      <c r="N103" s="87"/>
      <c r="O103" s="87"/>
      <c r="P103" s="85"/>
      <c r="Q103" s="85"/>
      <c r="S103" s="86"/>
      <c r="U103" s="432"/>
      <c r="V103" s="432"/>
      <c r="W103" s="432"/>
      <c r="X103" s="2537"/>
      <c r="Y103" s="2538"/>
      <c r="Z103" s="2538"/>
      <c r="AA103" s="2538"/>
      <c r="AB103" s="432"/>
      <c r="AC103" s="432"/>
      <c r="AD103" s="432"/>
      <c r="AE103" s="432"/>
    </row>
    <row r="104" spans="1:62" x14ac:dyDescent="0.2">
      <c r="C104" s="164" t="s">
        <v>357</v>
      </c>
      <c r="D104" s="99" t="s">
        <v>23</v>
      </c>
      <c r="E104" s="99" t="s">
        <v>0</v>
      </c>
      <c r="F104" s="99" t="s">
        <v>336</v>
      </c>
      <c r="G104" s="99" t="s">
        <v>1</v>
      </c>
      <c r="H104" s="116" t="s">
        <v>341</v>
      </c>
      <c r="I104" s="99" t="s">
        <v>476</v>
      </c>
      <c r="J104" s="99" t="s">
        <v>607</v>
      </c>
      <c r="K104" s="99" t="s">
        <v>337</v>
      </c>
      <c r="L104" s="99" t="s">
        <v>350</v>
      </c>
      <c r="M104" s="99" t="s">
        <v>479</v>
      </c>
      <c r="O104" s="167" t="s">
        <v>533</v>
      </c>
      <c r="P104" s="167" t="s">
        <v>480</v>
      </c>
      <c r="Q104" s="167" t="s">
        <v>530</v>
      </c>
      <c r="R104" s="99" t="s">
        <v>477</v>
      </c>
      <c r="S104" s="166" t="s">
        <v>587</v>
      </c>
      <c r="T104" s="166" t="s">
        <v>798</v>
      </c>
      <c r="W104" s="432"/>
      <c r="X104" s="439"/>
      <c r="Y104" s="439"/>
      <c r="Z104" s="439"/>
      <c r="AA104" s="439"/>
      <c r="AB104" s="432"/>
      <c r="AC104" s="432"/>
      <c r="AD104" s="432"/>
      <c r="AE104" s="432"/>
    </row>
    <row r="105" spans="1:62" ht="15.75" customHeight="1" x14ac:dyDescent="0.2">
      <c r="C105" s="163">
        <v>2</v>
      </c>
      <c r="D105" s="2293" t="s">
        <v>1434</v>
      </c>
      <c r="E105" s="842">
        <v>1</v>
      </c>
      <c r="F105" s="898">
        <v>130000</v>
      </c>
      <c r="G105" s="170">
        <v>15</v>
      </c>
      <c r="H105" s="37">
        <v>1</v>
      </c>
      <c r="I105" s="329">
        <v>0.7</v>
      </c>
      <c r="J105" s="426">
        <v>0.3</v>
      </c>
      <c r="K105" s="426">
        <v>0.5</v>
      </c>
      <c r="L105" s="265">
        <v>2</v>
      </c>
      <c r="M105" s="171">
        <f>4*100*12</f>
        <v>4800</v>
      </c>
      <c r="O105" s="77">
        <f>IF(G105=0,0,((F105*K105)/G105)*I105*E105)</f>
        <v>3033.333333333333</v>
      </c>
      <c r="P105" s="565">
        <f>IF(L105=2,M105*$D$114*E105,IF(L105=3,M105*$D$113*E105,IF(L105=4,M105*$D$115*E105,0)))</f>
        <v>14640</v>
      </c>
      <c r="Q105" s="165">
        <f>IF(C105=1,0,(O105+P105))</f>
        <v>17673.333333333332</v>
      </c>
      <c r="R105" s="168">
        <f t="shared" ref="R105:R111" si="20">(Q105)</f>
        <v>17673.333333333332</v>
      </c>
      <c r="S105" s="72">
        <f t="shared" ref="S105:S111" si="21">IF(C105=1,0,(F105*(1-J105)/G105)*E105*I105)</f>
        <v>4246.666666666667</v>
      </c>
      <c r="T105" s="77">
        <f t="shared" ref="T105:T111" si="22">F105*E105*I105</f>
        <v>91000</v>
      </c>
      <c r="W105" s="432"/>
      <c r="X105" s="432"/>
      <c r="Y105" s="432"/>
      <c r="Z105" s="561"/>
      <c r="AA105" s="561"/>
      <c r="AB105" s="432"/>
      <c r="AC105" s="432"/>
      <c r="AD105" s="432"/>
      <c r="AE105" s="432"/>
    </row>
    <row r="106" spans="1:62" ht="15.75" customHeight="1" x14ac:dyDescent="0.2">
      <c r="C106" s="163">
        <v>4</v>
      </c>
      <c r="D106" s="2293"/>
      <c r="E106" s="842">
        <v>1</v>
      </c>
      <c r="F106" s="898">
        <v>10000</v>
      </c>
      <c r="G106" s="170">
        <v>10</v>
      </c>
      <c r="H106" s="37">
        <v>1</v>
      </c>
      <c r="I106" s="329">
        <v>1</v>
      </c>
      <c r="J106" s="426">
        <v>0.3</v>
      </c>
      <c r="K106" s="426">
        <v>0.5</v>
      </c>
      <c r="L106" s="265">
        <v>4</v>
      </c>
      <c r="M106" s="171">
        <f>10*4*12</f>
        <v>480</v>
      </c>
      <c r="O106" s="77">
        <f t="shared" ref="O106:O111" si="23">IF(G106=0,0,((F106*K106)/G106)*I106*E106)</f>
        <v>500</v>
      </c>
      <c r="P106" s="565">
        <f t="shared" ref="P106:P111" si="24">IF(L106=2,M106*$D$114*E106,IF(L106=3,M106*$D$113*E106,IF(L106=4,M106*$D$115*E106,0)))</f>
        <v>1584</v>
      </c>
      <c r="Q106" s="165">
        <f t="shared" ref="Q106:Q111" si="25">IF(C106=1,0,(O106+P106))</f>
        <v>2084</v>
      </c>
      <c r="R106" s="168">
        <f t="shared" si="20"/>
        <v>2084</v>
      </c>
      <c r="S106" s="72">
        <f t="shared" si="21"/>
        <v>700</v>
      </c>
      <c r="T106" s="77">
        <f t="shared" si="22"/>
        <v>10000</v>
      </c>
      <c r="W106" s="432"/>
      <c r="X106" s="432"/>
      <c r="Y106" s="432"/>
      <c r="Z106" s="561"/>
      <c r="AA106" s="561"/>
      <c r="AB106" s="432"/>
      <c r="AC106" s="432"/>
      <c r="AD106" s="432"/>
      <c r="AE106" s="432"/>
    </row>
    <row r="107" spans="1:62" ht="15.75" customHeight="1" x14ac:dyDescent="0.2">
      <c r="C107" s="163">
        <v>1</v>
      </c>
      <c r="D107" s="101"/>
      <c r="E107" s="842"/>
      <c r="F107" s="169"/>
      <c r="G107" s="170"/>
      <c r="H107" s="37">
        <v>1</v>
      </c>
      <c r="I107" s="329">
        <v>1</v>
      </c>
      <c r="J107" s="426">
        <v>0.3</v>
      </c>
      <c r="K107" s="426">
        <v>0.5</v>
      </c>
      <c r="L107" s="265">
        <v>1</v>
      </c>
      <c r="M107" s="171"/>
      <c r="O107" s="77">
        <f t="shared" si="23"/>
        <v>0</v>
      </c>
      <c r="P107" s="565">
        <f t="shared" si="24"/>
        <v>0</v>
      </c>
      <c r="Q107" s="165">
        <f t="shared" si="25"/>
        <v>0</v>
      </c>
      <c r="R107" s="168">
        <f t="shared" si="20"/>
        <v>0</v>
      </c>
      <c r="S107" s="72">
        <f t="shared" si="21"/>
        <v>0</v>
      </c>
      <c r="T107" s="77">
        <f t="shared" si="22"/>
        <v>0</v>
      </c>
      <c r="W107" s="432"/>
      <c r="X107" s="432"/>
      <c r="Y107" s="432"/>
      <c r="Z107" s="561"/>
      <c r="AA107" s="561"/>
      <c r="AB107" s="432"/>
      <c r="AC107" s="432"/>
      <c r="AD107" s="432"/>
      <c r="AE107" s="432"/>
    </row>
    <row r="108" spans="1:62" ht="15.75" customHeight="1" x14ac:dyDescent="0.2">
      <c r="C108" s="163">
        <v>1</v>
      </c>
      <c r="D108" s="101"/>
      <c r="E108" s="842"/>
      <c r="F108" s="169"/>
      <c r="G108" s="170"/>
      <c r="H108" s="37">
        <v>1</v>
      </c>
      <c r="I108" s="329">
        <v>1</v>
      </c>
      <c r="J108" s="426">
        <v>0.3</v>
      </c>
      <c r="K108" s="426">
        <v>0.5</v>
      </c>
      <c r="L108" s="265">
        <v>1</v>
      </c>
      <c r="M108" s="171"/>
      <c r="O108" s="77">
        <f t="shared" si="23"/>
        <v>0</v>
      </c>
      <c r="P108" s="565">
        <f t="shared" si="24"/>
        <v>0</v>
      </c>
      <c r="Q108" s="165">
        <f t="shared" si="25"/>
        <v>0</v>
      </c>
      <c r="R108" s="168">
        <f t="shared" si="20"/>
        <v>0</v>
      </c>
      <c r="S108" s="72">
        <f t="shared" si="21"/>
        <v>0</v>
      </c>
      <c r="T108" s="77">
        <f t="shared" si="22"/>
        <v>0</v>
      </c>
      <c r="W108" s="432"/>
      <c r="X108" s="432"/>
      <c r="Y108" s="432"/>
      <c r="Z108" s="561"/>
      <c r="AA108" s="561"/>
      <c r="AB108" s="432"/>
      <c r="AC108" s="432"/>
      <c r="AD108" s="432"/>
      <c r="AE108" s="432"/>
    </row>
    <row r="109" spans="1:62" ht="15.75" customHeight="1" x14ac:dyDescent="0.2">
      <c r="C109" s="163">
        <v>1</v>
      </c>
      <c r="D109" s="101"/>
      <c r="E109" s="842"/>
      <c r="F109" s="169"/>
      <c r="G109" s="170"/>
      <c r="H109" s="37">
        <v>1</v>
      </c>
      <c r="I109" s="329">
        <v>1</v>
      </c>
      <c r="J109" s="426">
        <v>0.3</v>
      </c>
      <c r="K109" s="426">
        <v>0.5</v>
      </c>
      <c r="L109" s="265">
        <v>1</v>
      </c>
      <c r="M109" s="171"/>
      <c r="O109" s="77">
        <f t="shared" si="23"/>
        <v>0</v>
      </c>
      <c r="P109" s="565">
        <f t="shared" si="24"/>
        <v>0</v>
      </c>
      <c r="Q109" s="165">
        <f t="shared" si="25"/>
        <v>0</v>
      </c>
      <c r="R109" s="168">
        <f t="shared" si="20"/>
        <v>0</v>
      </c>
      <c r="S109" s="72">
        <f t="shared" si="21"/>
        <v>0</v>
      </c>
      <c r="T109" s="77">
        <f t="shared" si="22"/>
        <v>0</v>
      </c>
      <c r="W109" s="432"/>
      <c r="X109" s="432"/>
      <c r="Y109" s="432"/>
      <c r="Z109" s="561"/>
      <c r="AA109" s="561"/>
      <c r="AB109" s="432"/>
      <c r="AC109" s="432"/>
      <c r="AD109" s="432"/>
      <c r="AE109" s="432"/>
    </row>
    <row r="110" spans="1:62" ht="15.75" customHeight="1" x14ac:dyDescent="0.2">
      <c r="C110" s="163">
        <v>1</v>
      </c>
      <c r="D110" s="101"/>
      <c r="E110" s="842"/>
      <c r="F110" s="169"/>
      <c r="G110" s="170"/>
      <c r="H110" s="37">
        <v>1</v>
      </c>
      <c r="I110" s="329">
        <v>1</v>
      </c>
      <c r="J110" s="426">
        <v>0.3</v>
      </c>
      <c r="K110" s="426">
        <v>0.5</v>
      </c>
      <c r="L110" s="265">
        <v>1</v>
      </c>
      <c r="M110" s="171"/>
      <c r="O110" s="77">
        <f t="shared" si="23"/>
        <v>0</v>
      </c>
      <c r="P110" s="565">
        <f t="shared" si="24"/>
        <v>0</v>
      </c>
      <c r="Q110" s="165">
        <f t="shared" si="25"/>
        <v>0</v>
      </c>
      <c r="R110" s="168">
        <f t="shared" si="20"/>
        <v>0</v>
      </c>
      <c r="S110" s="72">
        <f t="shared" si="21"/>
        <v>0</v>
      </c>
      <c r="T110" s="77">
        <f t="shared" si="22"/>
        <v>0</v>
      </c>
      <c r="W110" s="432"/>
      <c r="X110" s="432"/>
      <c r="Y110" s="432"/>
      <c r="Z110" s="561"/>
      <c r="AA110" s="561"/>
      <c r="AB110" s="432"/>
      <c r="AC110" s="432"/>
      <c r="AD110" s="432"/>
      <c r="AE110" s="432"/>
    </row>
    <row r="111" spans="1:62" ht="15.75" customHeight="1" x14ac:dyDescent="0.2">
      <c r="C111" s="163">
        <v>1</v>
      </c>
      <c r="D111" s="101"/>
      <c r="E111" s="842"/>
      <c r="F111" s="169"/>
      <c r="G111" s="170"/>
      <c r="H111" s="37">
        <v>1</v>
      </c>
      <c r="I111" s="329">
        <v>1</v>
      </c>
      <c r="J111" s="426">
        <v>0.3</v>
      </c>
      <c r="K111" s="426">
        <v>0.5</v>
      </c>
      <c r="L111" s="265">
        <v>1</v>
      </c>
      <c r="M111" s="171"/>
      <c r="O111" s="77">
        <f t="shared" si="23"/>
        <v>0</v>
      </c>
      <c r="P111" s="565">
        <f t="shared" si="24"/>
        <v>0</v>
      </c>
      <c r="Q111" s="165">
        <f t="shared" si="25"/>
        <v>0</v>
      </c>
      <c r="R111" s="168">
        <f t="shared" si="20"/>
        <v>0</v>
      </c>
      <c r="S111" s="72">
        <f t="shared" si="21"/>
        <v>0</v>
      </c>
      <c r="T111" s="77">
        <f t="shared" si="22"/>
        <v>0</v>
      </c>
      <c r="W111" s="432"/>
      <c r="X111" s="432"/>
      <c r="Y111" s="432"/>
      <c r="Z111" s="561"/>
      <c r="AA111" s="561"/>
      <c r="AB111" s="432"/>
      <c r="AC111" s="432"/>
      <c r="AD111" s="432"/>
      <c r="AE111" s="432"/>
    </row>
    <row r="112" spans="1:62" ht="13.5" thickBot="1" x14ac:dyDescent="0.25">
      <c r="I112" s="1487"/>
      <c r="O112" s="307">
        <f t="shared" ref="O112:T112" si="26">SUM(O105:O111)</f>
        <v>3533.333333333333</v>
      </c>
      <c r="P112" s="307">
        <f t="shared" si="26"/>
        <v>16224</v>
      </c>
      <c r="Q112" s="307">
        <f t="shared" si="26"/>
        <v>19757.333333333332</v>
      </c>
      <c r="R112" s="307">
        <f t="shared" si="26"/>
        <v>19757.333333333332</v>
      </c>
      <c r="S112" s="307">
        <f t="shared" si="26"/>
        <v>4946.666666666667</v>
      </c>
      <c r="T112" s="307">
        <f t="shared" si="26"/>
        <v>101000</v>
      </c>
      <c r="U112" s="568" t="s">
        <v>2</v>
      </c>
      <c r="W112" s="432"/>
      <c r="X112" s="432"/>
      <c r="Y112" s="432"/>
      <c r="Z112" s="432"/>
      <c r="AA112" s="432"/>
      <c r="AB112" s="432"/>
      <c r="AC112" s="432"/>
      <c r="AD112" s="432"/>
      <c r="AE112" s="432"/>
    </row>
    <row r="113" spans="3:31" ht="13.5" thickBot="1" x14ac:dyDescent="0.25">
      <c r="C113" s="52" t="s">
        <v>596</v>
      </c>
      <c r="D113" s="71"/>
      <c r="I113" s="1487"/>
      <c r="W113" s="432"/>
      <c r="X113" s="432"/>
      <c r="Y113" s="432"/>
      <c r="Z113" s="432"/>
      <c r="AA113" s="432"/>
      <c r="AB113" s="432"/>
      <c r="AC113" s="432"/>
      <c r="AD113" s="432"/>
      <c r="AE113" s="432"/>
    </row>
    <row r="114" spans="3:31" ht="13.5" thickBot="1" x14ac:dyDescent="0.25">
      <c r="C114" s="52" t="s">
        <v>353</v>
      </c>
      <c r="D114" s="71">
        <f>D45</f>
        <v>3.05</v>
      </c>
      <c r="W114" s="432"/>
      <c r="X114" s="432"/>
      <c r="Y114" s="432"/>
      <c r="Z114" s="432"/>
      <c r="AA114" s="432"/>
      <c r="AB114" s="432"/>
      <c r="AC114" s="432"/>
      <c r="AD114" s="432"/>
      <c r="AE114" s="432"/>
    </row>
    <row r="115" spans="3:31" ht="13.5" thickBot="1" x14ac:dyDescent="0.25">
      <c r="C115" s="52" t="s">
        <v>595</v>
      </c>
      <c r="D115" s="71">
        <v>3.3</v>
      </c>
      <c r="F115" s="159"/>
      <c r="W115" s="432"/>
      <c r="X115" s="432"/>
      <c r="Y115" s="432"/>
      <c r="Z115" s="432"/>
      <c r="AA115" s="432"/>
      <c r="AB115" s="432"/>
      <c r="AC115" s="432"/>
      <c r="AD115" s="432"/>
      <c r="AE115" s="432"/>
    </row>
    <row r="116" spans="3:31" x14ac:dyDescent="0.2">
      <c r="W116" s="432"/>
      <c r="X116" s="432"/>
      <c r="Y116" s="432"/>
      <c r="Z116" s="432"/>
      <c r="AA116" s="432"/>
      <c r="AB116" s="432"/>
      <c r="AC116" s="432"/>
      <c r="AD116" s="432"/>
      <c r="AE116" s="432"/>
    </row>
    <row r="117" spans="3:31" x14ac:dyDescent="0.2">
      <c r="W117" s="432"/>
      <c r="X117" s="432"/>
      <c r="Y117" s="432"/>
      <c r="Z117" s="432"/>
      <c r="AA117" s="432"/>
      <c r="AB117" s="432"/>
      <c r="AC117" s="432"/>
      <c r="AD117" s="432"/>
      <c r="AE117" s="432"/>
    </row>
  </sheetData>
  <mergeCells count="3">
    <mergeCell ref="X103:AA103"/>
    <mergeCell ref="X4:AA4"/>
    <mergeCell ref="X78:AA78"/>
  </mergeCells>
  <phoneticPr fontId="0" type="noConversion"/>
  <conditionalFormatting sqref="D33:G42 D52:G71 I6:I25 I33:I42 I52:I71 I80:I99 D80:G99 D6:G25">
    <cfRule type="expression" dxfId="643" priority="46" stopIfTrue="1">
      <formula>$C6=1</formula>
    </cfRule>
  </conditionalFormatting>
  <conditionalFormatting sqref="E105:G110 I105:I110 M105:M110">
    <cfRule type="expression" dxfId="642" priority="47" stopIfTrue="1">
      <formula>$C105&gt;1</formula>
    </cfRule>
  </conditionalFormatting>
  <conditionalFormatting sqref="A33:A42 A6:A25 A52:A71 A80:A99">
    <cfRule type="cellIs" dxfId="641" priority="48" stopIfTrue="1" operator="greaterThan">
      <formula>0</formula>
    </cfRule>
  </conditionalFormatting>
  <conditionalFormatting sqref="D105:D110">
    <cfRule type="expression" dxfId="640" priority="27" stopIfTrue="1">
      <formula>$C105&gt;1</formula>
    </cfRule>
  </conditionalFormatting>
  <conditionalFormatting sqref="I6">
    <cfRule type="expression" dxfId="639" priority="23" stopIfTrue="1">
      <formula>$H6&gt;1</formula>
    </cfRule>
  </conditionalFormatting>
  <conditionalFormatting sqref="I7">
    <cfRule type="expression" dxfId="638" priority="22" stopIfTrue="1">
      <formula>$H7&gt;1</formula>
    </cfRule>
  </conditionalFormatting>
  <conditionalFormatting sqref="D33:G33">
    <cfRule type="expression" dxfId="637" priority="21" stopIfTrue="1">
      <formula>$C33=1</formula>
    </cfRule>
  </conditionalFormatting>
  <conditionalFormatting sqref="D33:G33">
    <cfRule type="expression" dxfId="636" priority="20" stopIfTrue="1">
      <formula>$C33=1</formula>
    </cfRule>
  </conditionalFormatting>
  <conditionalFormatting sqref="E111:G111 M111 I111">
    <cfRule type="expression" dxfId="635" priority="19" stopIfTrue="1">
      <formula>$C111&gt;1</formula>
    </cfRule>
  </conditionalFormatting>
  <conditionalFormatting sqref="D111">
    <cfRule type="expression" dxfId="634" priority="18" stopIfTrue="1">
      <formula>$C111&gt;1</formula>
    </cfRule>
  </conditionalFormatting>
  <conditionalFormatting sqref="D6:G16">
    <cfRule type="expression" dxfId="633" priority="17" stopIfTrue="1">
      <formula>$C6=1</formula>
    </cfRule>
  </conditionalFormatting>
  <conditionalFormatting sqref="E33:G34">
    <cfRule type="expression" dxfId="632" priority="16" stopIfTrue="1">
      <formula>$C33=1</formula>
    </cfRule>
  </conditionalFormatting>
  <conditionalFormatting sqref="E33:G33">
    <cfRule type="expression" dxfId="631" priority="15" stopIfTrue="1">
      <formula>$C33=1</formula>
    </cfRule>
  </conditionalFormatting>
  <conditionalFormatting sqref="E33:G33">
    <cfRule type="expression" dxfId="630" priority="14" stopIfTrue="1">
      <formula>$C33=1</formula>
    </cfRule>
  </conditionalFormatting>
  <conditionalFormatting sqref="D52:G60">
    <cfRule type="expression" dxfId="629" priority="13" stopIfTrue="1">
      <formula>$C52=1</formula>
    </cfRule>
  </conditionalFormatting>
  <conditionalFormatting sqref="D61:F61">
    <cfRule type="expression" dxfId="628" priority="12" stopIfTrue="1">
      <formula>$C61=1</formula>
    </cfRule>
  </conditionalFormatting>
  <conditionalFormatting sqref="E80:G87">
    <cfRule type="expression" dxfId="627" priority="11" stopIfTrue="1">
      <formula>$C80=1</formula>
    </cfRule>
  </conditionalFormatting>
  <conditionalFormatting sqref="G80:G99">
    <cfRule type="expression" dxfId="626" priority="10" stopIfTrue="1">
      <formula>$C80=1</formula>
    </cfRule>
  </conditionalFormatting>
  <conditionalFormatting sqref="D6:G18">
    <cfRule type="expression" dxfId="625" priority="9" stopIfTrue="1">
      <formula>$C6=1</formula>
    </cfRule>
  </conditionalFormatting>
  <conditionalFormatting sqref="D33:G33">
    <cfRule type="expression" dxfId="624" priority="8" stopIfTrue="1">
      <formula>$C33=1</formula>
    </cfRule>
  </conditionalFormatting>
  <conditionalFormatting sqref="D33:G33">
    <cfRule type="expression" dxfId="623" priority="7" stopIfTrue="1">
      <formula>$C33=1</formula>
    </cfRule>
  </conditionalFormatting>
  <conditionalFormatting sqref="D33:G33">
    <cfRule type="expression" dxfId="622" priority="6" stopIfTrue="1">
      <formula>$C33=1</formula>
    </cfRule>
  </conditionalFormatting>
  <conditionalFormatting sqref="D52:G56">
    <cfRule type="expression" dxfId="621" priority="5" stopIfTrue="1">
      <formula>$C52=1</formula>
    </cfRule>
  </conditionalFormatting>
  <conditionalFormatting sqref="D80:G86">
    <cfRule type="expression" dxfId="620" priority="4" stopIfTrue="1">
      <formula>$C80=1</formula>
    </cfRule>
  </conditionalFormatting>
  <conditionalFormatting sqref="E105:G105">
    <cfRule type="expression" dxfId="619" priority="3" stopIfTrue="1">
      <formula>$C105&gt;1</formula>
    </cfRule>
  </conditionalFormatting>
  <conditionalFormatting sqref="D105">
    <cfRule type="expression" dxfId="618" priority="2" stopIfTrue="1">
      <formula>$C105&gt;1</formula>
    </cfRule>
  </conditionalFormatting>
  <conditionalFormatting sqref="M105">
    <cfRule type="expression" dxfId="617" priority="1" stopIfTrue="1">
      <formula>$C105&gt;1</formula>
    </cfRule>
  </conditionalFormatting>
  <pageMargins left="0.78740157499999996" right="0.78740157499999996" top="0.984251969" bottom="0.984251969" header="0.5" footer="0.5"/>
  <pageSetup scale="7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8686" r:id="rId4" name="Drop Down 14">
              <controlPr defaultSize="0" autoLine="0" autoPict="0">
                <anchor moveWithCells="1">
                  <from>
                    <xdr:col>2</xdr:col>
                    <xdr:colOff>0</xdr:colOff>
                    <xdr:row>5</xdr:row>
                    <xdr:rowOff>0</xdr:rowOff>
                  </from>
                  <to>
                    <xdr:col>3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7" r:id="rId5" name="Drop Down 15">
              <controlPr defaultSize="0" autoLine="0" autoPict="0">
                <anchor moveWithCells="1">
                  <from>
                    <xdr:col>7</xdr:col>
                    <xdr:colOff>0</xdr:colOff>
                    <xdr:row>5</xdr:row>
                    <xdr:rowOff>0</xdr:rowOff>
                  </from>
                  <to>
                    <xdr:col>8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02" r:id="rId6" name="Drop Down 30">
              <controlPr defaultSize="0" autoLine="0" autoPict="0">
                <anchor moveWithCells="1">
                  <from>
                    <xdr:col>7</xdr:col>
                    <xdr:colOff>0</xdr:colOff>
                    <xdr:row>6</xdr:row>
                    <xdr:rowOff>0</xdr:rowOff>
                  </from>
                  <to>
                    <xdr:col>8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03" r:id="rId7" name="Drop Down 31">
              <controlPr defaultSize="0" autoLine="0" autoPict="0">
                <anchor moveWithCells="1">
                  <from>
                    <xdr:col>7</xdr:col>
                    <xdr:colOff>0</xdr:colOff>
                    <xdr:row>7</xdr:row>
                    <xdr:rowOff>0</xdr:rowOff>
                  </from>
                  <to>
                    <xdr:col>8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04" r:id="rId8" name="Drop Down 32">
              <controlPr defaultSize="0" autoLine="0" autoPict="0">
                <anchor moveWithCells="1">
                  <from>
                    <xdr:col>7</xdr:col>
                    <xdr:colOff>0</xdr:colOff>
                    <xdr:row>8</xdr:row>
                    <xdr:rowOff>0</xdr:rowOff>
                  </from>
                  <to>
                    <xdr:col>8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05" r:id="rId9" name="Drop Down 33">
              <controlPr defaultSize="0" autoLine="0" autoPict="0">
                <anchor moveWithCells="1">
                  <from>
                    <xdr:col>7</xdr:col>
                    <xdr:colOff>0</xdr:colOff>
                    <xdr:row>9</xdr:row>
                    <xdr:rowOff>0</xdr:rowOff>
                  </from>
                  <to>
                    <xdr:col>8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06" r:id="rId10" name="Drop Down 34">
              <controlPr defaultSize="0" autoLine="0" autoPict="0">
                <anchor moveWithCells="1">
                  <from>
                    <xdr:col>7</xdr:col>
                    <xdr:colOff>0</xdr:colOff>
                    <xdr:row>10</xdr:row>
                    <xdr:rowOff>0</xdr:rowOff>
                  </from>
                  <to>
                    <xdr:col>8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07" r:id="rId11" name="Drop Down 35">
              <controlPr defaultSize="0" autoLine="0" autoPict="0">
                <anchor moveWithCells="1">
                  <from>
                    <xdr:col>7</xdr:col>
                    <xdr:colOff>0</xdr:colOff>
                    <xdr:row>11</xdr:row>
                    <xdr:rowOff>0</xdr:rowOff>
                  </from>
                  <to>
                    <xdr:col>8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08" r:id="rId12" name="Drop Down 36">
              <controlPr defaultSize="0" autoLine="0" autoPict="0">
                <anchor moveWithCells="1">
                  <from>
                    <xdr:col>7</xdr:col>
                    <xdr:colOff>0</xdr:colOff>
                    <xdr:row>12</xdr:row>
                    <xdr:rowOff>0</xdr:rowOff>
                  </from>
                  <to>
                    <xdr:col>8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09" r:id="rId13" name="Drop Down 37">
              <controlPr defaultSize="0" autoLine="0" autoPict="0">
                <anchor moveWithCells="1">
                  <from>
                    <xdr:col>7</xdr:col>
                    <xdr:colOff>0</xdr:colOff>
                    <xdr:row>13</xdr:row>
                    <xdr:rowOff>0</xdr:rowOff>
                  </from>
                  <to>
                    <xdr:col>8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10" r:id="rId14" name="Drop Down 38">
              <controlPr defaultSize="0" autoLine="0" autoPict="0">
                <anchor moveWithCells="1">
                  <from>
                    <xdr:col>7</xdr:col>
                    <xdr:colOff>0</xdr:colOff>
                    <xdr:row>14</xdr:row>
                    <xdr:rowOff>0</xdr:rowOff>
                  </from>
                  <to>
                    <xdr:col>8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11" r:id="rId15" name="Drop Down 39">
              <controlPr defaultSize="0" autoLine="0" autoPict="0">
                <anchor moveWithCells="1">
                  <from>
                    <xdr:col>7</xdr:col>
                    <xdr:colOff>0</xdr:colOff>
                    <xdr:row>15</xdr:row>
                    <xdr:rowOff>0</xdr:rowOff>
                  </from>
                  <to>
                    <xdr:col>8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12" r:id="rId16" name="Drop Down 40">
              <controlPr defaultSize="0" autoLine="0" autoPict="0">
                <anchor moveWithCells="1">
                  <from>
                    <xdr:col>7</xdr:col>
                    <xdr:colOff>0</xdr:colOff>
                    <xdr:row>16</xdr:row>
                    <xdr:rowOff>0</xdr:rowOff>
                  </from>
                  <to>
                    <xdr:col>8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13" r:id="rId17" name="Drop Down 41">
              <controlPr defaultSize="0" autoLine="0" autoPict="0">
                <anchor moveWithCells="1">
                  <from>
                    <xdr:col>7</xdr:col>
                    <xdr:colOff>0</xdr:colOff>
                    <xdr:row>17</xdr:row>
                    <xdr:rowOff>0</xdr:rowOff>
                  </from>
                  <to>
                    <xdr:col>8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14" r:id="rId18" name="Drop Down 42">
              <controlPr defaultSize="0" autoLine="0" autoPict="0">
                <anchor moveWithCells="1">
                  <from>
                    <xdr:col>7</xdr:col>
                    <xdr:colOff>0</xdr:colOff>
                    <xdr:row>18</xdr:row>
                    <xdr:rowOff>0</xdr:rowOff>
                  </from>
                  <to>
                    <xdr:col>8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15" r:id="rId19" name="Drop Down 43">
              <controlPr defaultSize="0" autoLine="0" autoPict="0">
                <anchor moveWithCells="1">
                  <from>
                    <xdr:col>2</xdr:col>
                    <xdr:colOff>0</xdr:colOff>
                    <xdr:row>6</xdr:row>
                    <xdr:rowOff>0</xdr:rowOff>
                  </from>
                  <to>
                    <xdr:col>3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16" r:id="rId20" name="Drop Down 44">
              <controlPr defaultSize="0" autoLine="0" autoPict="0">
                <anchor moveWithCells="1">
                  <from>
                    <xdr:col>2</xdr:col>
                    <xdr:colOff>0</xdr:colOff>
                    <xdr:row>7</xdr:row>
                    <xdr:rowOff>0</xdr:rowOff>
                  </from>
                  <to>
                    <xdr:col>3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17" r:id="rId21" name="Drop Down 45">
              <controlPr defaultSize="0" autoLine="0" autoPict="0">
                <anchor moveWithCells="1">
                  <from>
                    <xdr:col>2</xdr:col>
                    <xdr:colOff>0</xdr:colOff>
                    <xdr:row>8</xdr:row>
                    <xdr:rowOff>0</xdr:rowOff>
                  </from>
                  <to>
                    <xdr:col>3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18" r:id="rId22" name="Drop Down 46">
              <controlPr defaultSize="0" autoLine="0" autoPict="0">
                <anchor moveWithCells="1">
                  <from>
                    <xdr:col>2</xdr:col>
                    <xdr:colOff>0</xdr:colOff>
                    <xdr:row>9</xdr:row>
                    <xdr:rowOff>0</xdr:rowOff>
                  </from>
                  <to>
                    <xdr:col>3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19" r:id="rId23" name="Drop Down 47">
              <controlPr defaultSize="0" autoLine="0" autoPict="0">
                <anchor moveWithCells="1">
                  <from>
                    <xdr:col>2</xdr:col>
                    <xdr:colOff>0</xdr:colOff>
                    <xdr:row>10</xdr:row>
                    <xdr:rowOff>0</xdr:rowOff>
                  </from>
                  <to>
                    <xdr:col>3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20" r:id="rId24" name="Drop Down 48">
              <controlPr defaultSize="0" autoLine="0" autoPict="0">
                <anchor moveWithCells="1">
                  <from>
                    <xdr:col>2</xdr:col>
                    <xdr:colOff>0</xdr:colOff>
                    <xdr:row>11</xdr:row>
                    <xdr:rowOff>0</xdr:rowOff>
                  </from>
                  <to>
                    <xdr:col>3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21" r:id="rId25" name="Drop Down 49">
              <controlPr defaultSize="0" autoLine="0" autoPict="0">
                <anchor moveWithCells="1">
                  <from>
                    <xdr:col>2</xdr:col>
                    <xdr:colOff>0</xdr:colOff>
                    <xdr:row>12</xdr:row>
                    <xdr:rowOff>0</xdr:rowOff>
                  </from>
                  <to>
                    <xdr:col>3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22" r:id="rId26" name="Drop Down 50">
              <controlPr defaultSize="0" autoLine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3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23" r:id="rId27" name="Drop Down 51">
              <controlPr defaultSize="0" autoLine="0" autoPict="0">
                <anchor moveWithCells="1">
                  <from>
                    <xdr:col>2</xdr:col>
                    <xdr:colOff>0</xdr:colOff>
                    <xdr:row>14</xdr:row>
                    <xdr:rowOff>0</xdr:rowOff>
                  </from>
                  <to>
                    <xdr:col>3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24" r:id="rId28" name="Drop Down 52">
              <controlPr defaultSize="0" autoLine="0" autoPict="0">
                <anchor moveWithCells="1">
                  <from>
                    <xdr:col>2</xdr:col>
                    <xdr:colOff>0</xdr:colOff>
                    <xdr:row>15</xdr:row>
                    <xdr:rowOff>0</xdr:rowOff>
                  </from>
                  <to>
                    <xdr:col>3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25" r:id="rId29" name="Drop Down 53">
              <controlPr defaultSize="0" autoLine="0" autoPict="0">
                <anchor moveWithCells="1">
                  <from>
                    <xdr:col>2</xdr:col>
                    <xdr:colOff>0</xdr:colOff>
                    <xdr:row>16</xdr:row>
                    <xdr:rowOff>0</xdr:rowOff>
                  </from>
                  <to>
                    <xdr:col>3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26" r:id="rId30" name="Drop Down 54">
              <controlPr defaultSize="0" autoLine="0" autoPict="0">
                <anchor moveWithCells="1">
                  <from>
                    <xdr:col>2</xdr:col>
                    <xdr:colOff>0</xdr:colOff>
                    <xdr:row>17</xdr:row>
                    <xdr:rowOff>0</xdr:rowOff>
                  </from>
                  <to>
                    <xdr:col>3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27" r:id="rId31" name="Drop Down 55">
              <controlPr defaultSize="0" autoLine="0" autoPict="0">
                <anchor moveWithCells="1">
                  <from>
                    <xdr:col>2</xdr:col>
                    <xdr:colOff>0</xdr:colOff>
                    <xdr:row>18</xdr:row>
                    <xdr:rowOff>0</xdr:rowOff>
                  </from>
                  <to>
                    <xdr:col>3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28" r:id="rId32" name="Drop Down 56">
              <controlPr defaultSize="0" autoLine="0" autoPict="0">
                <anchor moveWithCells="1">
                  <from>
                    <xdr:col>2</xdr:col>
                    <xdr:colOff>0</xdr:colOff>
                    <xdr:row>32</xdr:row>
                    <xdr:rowOff>0</xdr:rowOff>
                  </from>
                  <to>
                    <xdr:col>3</xdr:col>
                    <xdr:colOff>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29" r:id="rId33" name="Drop Down 57">
              <controlPr defaultSize="0" autoLine="0" autoPict="0">
                <anchor moveWithCells="1">
                  <from>
                    <xdr:col>2</xdr:col>
                    <xdr:colOff>0</xdr:colOff>
                    <xdr:row>33</xdr:row>
                    <xdr:rowOff>0</xdr:rowOff>
                  </from>
                  <to>
                    <xdr:col>3</xdr:col>
                    <xdr:colOff>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30" r:id="rId34" name="Drop Down 58">
              <controlPr defaultSize="0" autoLine="0" autoPict="0">
                <anchor moveWithCells="1">
                  <from>
                    <xdr:col>2</xdr:col>
                    <xdr:colOff>0</xdr:colOff>
                    <xdr:row>34</xdr:row>
                    <xdr:rowOff>0</xdr:rowOff>
                  </from>
                  <to>
                    <xdr:col>3</xdr:col>
                    <xdr:colOff>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31" r:id="rId35" name="Drop Down 59">
              <controlPr defaultSize="0" autoLine="0" autoPict="0">
                <anchor moveWithCells="1">
                  <from>
                    <xdr:col>2</xdr:col>
                    <xdr:colOff>0</xdr:colOff>
                    <xdr:row>35</xdr:row>
                    <xdr:rowOff>0</xdr:rowOff>
                  </from>
                  <to>
                    <xdr:col>3</xdr:col>
                    <xdr:colOff>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32" r:id="rId36" name="Drop Down 60">
              <controlPr defaultSize="0" autoLine="0" autoPict="0">
                <anchor moveWithCells="1">
                  <from>
                    <xdr:col>2</xdr:col>
                    <xdr:colOff>0</xdr:colOff>
                    <xdr:row>36</xdr:row>
                    <xdr:rowOff>0</xdr:rowOff>
                  </from>
                  <to>
                    <xdr:col>3</xdr:col>
                    <xdr:colOff>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33" r:id="rId37" name="Drop Down 61">
              <controlPr defaultSize="0" autoLine="0" autoPict="0">
                <anchor moveWithCells="1">
                  <from>
                    <xdr:col>2</xdr:col>
                    <xdr:colOff>0</xdr:colOff>
                    <xdr:row>37</xdr:row>
                    <xdr:rowOff>0</xdr:rowOff>
                  </from>
                  <to>
                    <xdr:col>3</xdr:col>
                    <xdr:colOff>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34" r:id="rId38" name="Drop Down 62">
              <controlPr defaultSize="0" autoLine="0" autoPict="0">
                <anchor moveWithCells="1">
                  <from>
                    <xdr:col>2</xdr:col>
                    <xdr:colOff>0</xdr:colOff>
                    <xdr:row>38</xdr:row>
                    <xdr:rowOff>0</xdr:rowOff>
                  </from>
                  <to>
                    <xdr:col>3</xdr:col>
                    <xdr:colOff>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35" r:id="rId39" name="Drop Down 63">
              <controlPr defaultSize="0" autoLine="0" autoPict="0">
                <anchor moveWithCells="1">
                  <from>
                    <xdr:col>2</xdr:col>
                    <xdr:colOff>0</xdr:colOff>
                    <xdr:row>39</xdr:row>
                    <xdr:rowOff>0</xdr:rowOff>
                  </from>
                  <to>
                    <xdr:col>3</xdr:col>
                    <xdr:colOff>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36" r:id="rId40" name="Drop Down 64">
              <controlPr defaultSize="0" autoLine="0" autoPict="0">
                <anchor moveWithCells="1">
                  <from>
                    <xdr:col>2</xdr:col>
                    <xdr:colOff>0</xdr:colOff>
                    <xdr:row>40</xdr:row>
                    <xdr:rowOff>0</xdr:rowOff>
                  </from>
                  <to>
                    <xdr:col>3</xdr:col>
                    <xdr:colOff>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37" r:id="rId41" name="Drop Down 65">
              <controlPr defaultSize="0" autoLine="0" autoPict="0">
                <anchor moveWithCells="1">
                  <from>
                    <xdr:col>2</xdr:col>
                    <xdr:colOff>0</xdr:colOff>
                    <xdr:row>41</xdr:row>
                    <xdr:rowOff>0</xdr:rowOff>
                  </from>
                  <to>
                    <xdr:col>3</xdr:col>
                    <xdr:colOff>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38" r:id="rId42" name="Drop Down 66">
              <controlPr defaultSize="0" autoLine="0" autoPict="0">
                <anchor moveWithCells="1">
                  <from>
                    <xdr:col>7</xdr:col>
                    <xdr:colOff>0</xdr:colOff>
                    <xdr:row>32</xdr:row>
                    <xdr:rowOff>0</xdr:rowOff>
                  </from>
                  <to>
                    <xdr:col>8</xdr:col>
                    <xdr:colOff>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39" r:id="rId43" name="Drop Down 67">
              <controlPr defaultSize="0" autoLine="0" autoPict="0">
                <anchor moveWithCells="1">
                  <from>
                    <xdr:col>7</xdr:col>
                    <xdr:colOff>0</xdr:colOff>
                    <xdr:row>33</xdr:row>
                    <xdr:rowOff>0</xdr:rowOff>
                  </from>
                  <to>
                    <xdr:col>8</xdr:col>
                    <xdr:colOff>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40" r:id="rId44" name="Drop Down 68">
              <controlPr defaultSize="0" autoLine="0" autoPict="0">
                <anchor moveWithCells="1">
                  <from>
                    <xdr:col>7</xdr:col>
                    <xdr:colOff>0</xdr:colOff>
                    <xdr:row>34</xdr:row>
                    <xdr:rowOff>0</xdr:rowOff>
                  </from>
                  <to>
                    <xdr:col>8</xdr:col>
                    <xdr:colOff>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41" r:id="rId45" name="Drop Down 69">
              <controlPr defaultSize="0" autoLine="0" autoPict="0">
                <anchor moveWithCells="1">
                  <from>
                    <xdr:col>7</xdr:col>
                    <xdr:colOff>0</xdr:colOff>
                    <xdr:row>35</xdr:row>
                    <xdr:rowOff>0</xdr:rowOff>
                  </from>
                  <to>
                    <xdr:col>8</xdr:col>
                    <xdr:colOff>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42" r:id="rId46" name="Drop Down 70">
              <controlPr defaultSize="0" autoLine="0" autoPict="0">
                <anchor moveWithCells="1">
                  <from>
                    <xdr:col>7</xdr:col>
                    <xdr:colOff>0</xdr:colOff>
                    <xdr:row>36</xdr:row>
                    <xdr:rowOff>0</xdr:rowOff>
                  </from>
                  <to>
                    <xdr:col>8</xdr:col>
                    <xdr:colOff>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43" r:id="rId47" name="Drop Down 71">
              <controlPr defaultSize="0" autoLine="0" autoPict="0">
                <anchor moveWithCells="1">
                  <from>
                    <xdr:col>7</xdr:col>
                    <xdr:colOff>0</xdr:colOff>
                    <xdr:row>37</xdr:row>
                    <xdr:rowOff>0</xdr:rowOff>
                  </from>
                  <to>
                    <xdr:col>8</xdr:col>
                    <xdr:colOff>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44" r:id="rId48" name="Drop Down 72">
              <controlPr defaultSize="0" autoLine="0" autoPict="0">
                <anchor moveWithCells="1">
                  <from>
                    <xdr:col>7</xdr:col>
                    <xdr:colOff>0</xdr:colOff>
                    <xdr:row>38</xdr:row>
                    <xdr:rowOff>0</xdr:rowOff>
                  </from>
                  <to>
                    <xdr:col>8</xdr:col>
                    <xdr:colOff>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45" r:id="rId49" name="Drop Down 73">
              <controlPr defaultSize="0" autoLine="0" autoPict="0">
                <anchor moveWithCells="1">
                  <from>
                    <xdr:col>7</xdr:col>
                    <xdr:colOff>0</xdr:colOff>
                    <xdr:row>39</xdr:row>
                    <xdr:rowOff>0</xdr:rowOff>
                  </from>
                  <to>
                    <xdr:col>8</xdr:col>
                    <xdr:colOff>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46" r:id="rId50" name="Drop Down 74">
              <controlPr defaultSize="0" autoLine="0" autoPict="0">
                <anchor moveWithCells="1">
                  <from>
                    <xdr:col>7</xdr:col>
                    <xdr:colOff>0</xdr:colOff>
                    <xdr:row>40</xdr:row>
                    <xdr:rowOff>0</xdr:rowOff>
                  </from>
                  <to>
                    <xdr:col>8</xdr:col>
                    <xdr:colOff>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47" r:id="rId51" name="Drop Down 75">
              <controlPr defaultSize="0" autoLine="0" autoPict="0">
                <anchor moveWithCells="1">
                  <from>
                    <xdr:col>7</xdr:col>
                    <xdr:colOff>0</xdr:colOff>
                    <xdr:row>41</xdr:row>
                    <xdr:rowOff>0</xdr:rowOff>
                  </from>
                  <to>
                    <xdr:col>8</xdr:col>
                    <xdr:colOff>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48" r:id="rId52" name="Drop Down 76">
              <controlPr defaultSize="0" autoLine="0" autoPict="0">
                <anchor moveWithCells="1">
                  <from>
                    <xdr:col>2</xdr:col>
                    <xdr:colOff>0</xdr:colOff>
                    <xdr:row>51</xdr:row>
                    <xdr:rowOff>0</xdr:rowOff>
                  </from>
                  <to>
                    <xdr:col>3</xdr:col>
                    <xdr:colOff>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49" r:id="rId53" name="Drop Down 77">
              <controlPr defaultSize="0" autoLine="0" autoPict="0">
                <anchor moveWithCells="1">
                  <from>
                    <xdr:col>2</xdr:col>
                    <xdr:colOff>0</xdr:colOff>
                    <xdr:row>52</xdr:row>
                    <xdr:rowOff>0</xdr:rowOff>
                  </from>
                  <to>
                    <xdr:col>3</xdr:col>
                    <xdr:colOff>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50" r:id="rId54" name="Drop Down 78">
              <controlPr defaultSize="0" autoLine="0" autoPict="0">
                <anchor moveWithCells="1">
                  <from>
                    <xdr:col>2</xdr:col>
                    <xdr:colOff>0</xdr:colOff>
                    <xdr:row>53</xdr:row>
                    <xdr:rowOff>0</xdr:rowOff>
                  </from>
                  <to>
                    <xdr:col>3</xdr:col>
                    <xdr:colOff>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51" r:id="rId55" name="Drop Down 79">
              <controlPr defaultSize="0" autoLine="0" autoPict="0">
                <anchor moveWithCells="1">
                  <from>
                    <xdr:col>2</xdr:col>
                    <xdr:colOff>0</xdr:colOff>
                    <xdr:row>54</xdr:row>
                    <xdr:rowOff>0</xdr:rowOff>
                  </from>
                  <to>
                    <xdr:col>3</xdr:col>
                    <xdr:colOff>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52" r:id="rId56" name="Drop Down 80">
              <controlPr defaultSize="0" autoLine="0" autoPict="0">
                <anchor moveWithCells="1">
                  <from>
                    <xdr:col>2</xdr:col>
                    <xdr:colOff>0</xdr:colOff>
                    <xdr:row>55</xdr:row>
                    <xdr:rowOff>0</xdr:rowOff>
                  </from>
                  <to>
                    <xdr:col>3</xdr:col>
                    <xdr:colOff>0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53" r:id="rId57" name="Drop Down 81">
              <controlPr defaultSize="0" autoLine="0" autoPict="0">
                <anchor moveWithCells="1">
                  <from>
                    <xdr:col>2</xdr:col>
                    <xdr:colOff>0</xdr:colOff>
                    <xdr:row>56</xdr:row>
                    <xdr:rowOff>0</xdr:rowOff>
                  </from>
                  <to>
                    <xdr:col>3</xdr:col>
                    <xdr:colOff>0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54" r:id="rId58" name="Drop Down 82">
              <controlPr defaultSize="0" autoLine="0" autoPict="0">
                <anchor moveWithCells="1">
                  <from>
                    <xdr:col>2</xdr:col>
                    <xdr:colOff>0</xdr:colOff>
                    <xdr:row>57</xdr:row>
                    <xdr:rowOff>0</xdr:rowOff>
                  </from>
                  <to>
                    <xdr:col>3</xdr:col>
                    <xdr:colOff>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55" r:id="rId59" name="Drop Down 83">
              <controlPr defaultSize="0" autoLine="0" autoPict="0">
                <anchor moveWithCells="1">
                  <from>
                    <xdr:col>2</xdr:col>
                    <xdr:colOff>0</xdr:colOff>
                    <xdr:row>58</xdr:row>
                    <xdr:rowOff>0</xdr:rowOff>
                  </from>
                  <to>
                    <xdr:col>3</xdr:col>
                    <xdr:colOff>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56" r:id="rId60" name="Drop Down 84">
              <controlPr defaultSize="0" autoLine="0" autoPict="0">
                <anchor moveWithCells="1">
                  <from>
                    <xdr:col>2</xdr:col>
                    <xdr:colOff>0</xdr:colOff>
                    <xdr:row>59</xdr:row>
                    <xdr:rowOff>0</xdr:rowOff>
                  </from>
                  <to>
                    <xdr:col>3</xdr:col>
                    <xdr:colOff>0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57" r:id="rId61" name="Drop Down 85">
              <controlPr defaultSize="0" autoLine="0" autoPict="0">
                <anchor moveWithCells="1">
                  <from>
                    <xdr:col>2</xdr:col>
                    <xdr:colOff>0</xdr:colOff>
                    <xdr:row>60</xdr:row>
                    <xdr:rowOff>0</xdr:rowOff>
                  </from>
                  <to>
                    <xdr:col>3</xdr:col>
                    <xdr:colOff>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58" r:id="rId62" name="Drop Down 86">
              <controlPr defaultSize="0" autoLine="0" autoPict="0">
                <anchor moveWithCells="1">
                  <from>
                    <xdr:col>2</xdr:col>
                    <xdr:colOff>0</xdr:colOff>
                    <xdr:row>61</xdr:row>
                    <xdr:rowOff>0</xdr:rowOff>
                  </from>
                  <to>
                    <xdr:col>3</xdr:col>
                    <xdr:colOff>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59" r:id="rId63" name="Drop Down 87">
              <controlPr defaultSize="0" autoLine="0" autoPict="0">
                <anchor moveWithCells="1">
                  <from>
                    <xdr:col>2</xdr:col>
                    <xdr:colOff>0</xdr:colOff>
                    <xdr:row>62</xdr:row>
                    <xdr:rowOff>0</xdr:rowOff>
                  </from>
                  <to>
                    <xdr:col>3</xdr:col>
                    <xdr:colOff>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60" r:id="rId64" name="Drop Down 88">
              <controlPr defaultSize="0" autoLine="0" autoPict="0">
                <anchor moveWithCells="1">
                  <from>
                    <xdr:col>2</xdr:col>
                    <xdr:colOff>0</xdr:colOff>
                    <xdr:row>63</xdr:row>
                    <xdr:rowOff>0</xdr:rowOff>
                  </from>
                  <to>
                    <xdr:col>3</xdr:col>
                    <xdr:colOff>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61" r:id="rId65" name="Drop Down 89">
              <controlPr defaultSize="0" autoLine="0" autoPict="0">
                <anchor moveWithCells="1">
                  <from>
                    <xdr:col>2</xdr:col>
                    <xdr:colOff>0</xdr:colOff>
                    <xdr:row>64</xdr:row>
                    <xdr:rowOff>0</xdr:rowOff>
                  </from>
                  <to>
                    <xdr:col>3</xdr:col>
                    <xdr:colOff>0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62" r:id="rId66" name="Drop Down 90">
              <controlPr defaultSize="0" autoLine="0" autoPict="0">
                <anchor moveWithCells="1">
                  <from>
                    <xdr:col>2</xdr:col>
                    <xdr:colOff>0</xdr:colOff>
                    <xdr:row>65</xdr:row>
                    <xdr:rowOff>0</xdr:rowOff>
                  </from>
                  <to>
                    <xdr:col>3</xdr:col>
                    <xdr:colOff>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63" r:id="rId67" name="Drop Down 91">
              <controlPr defaultSize="0" autoLine="0" autoPict="0">
                <anchor moveWithCells="1">
                  <from>
                    <xdr:col>2</xdr:col>
                    <xdr:colOff>0</xdr:colOff>
                    <xdr:row>66</xdr:row>
                    <xdr:rowOff>0</xdr:rowOff>
                  </from>
                  <to>
                    <xdr:col>3</xdr:col>
                    <xdr:colOff>0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64" r:id="rId68" name="Drop Down 92">
              <controlPr defaultSize="0" autoLine="0" autoPict="0">
                <anchor moveWithCells="1">
                  <from>
                    <xdr:col>2</xdr:col>
                    <xdr:colOff>0</xdr:colOff>
                    <xdr:row>70</xdr:row>
                    <xdr:rowOff>0</xdr:rowOff>
                  </from>
                  <to>
                    <xdr:col>3</xdr:col>
                    <xdr:colOff>0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65" r:id="rId69" name="Drop Down 93">
              <controlPr defaultSize="0" autoLine="0" autoPict="0">
                <anchor moveWithCells="1">
                  <from>
                    <xdr:col>7</xdr:col>
                    <xdr:colOff>0</xdr:colOff>
                    <xdr:row>51</xdr:row>
                    <xdr:rowOff>0</xdr:rowOff>
                  </from>
                  <to>
                    <xdr:col>8</xdr:col>
                    <xdr:colOff>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66" r:id="rId70" name="Drop Down 94">
              <controlPr defaultSize="0" autoLine="0" autoPict="0">
                <anchor moveWithCells="1">
                  <from>
                    <xdr:col>7</xdr:col>
                    <xdr:colOff>0</xdr:colOff>
                    <xdr:row>52</xdr:row>
                    <xdr:rowOff>0</xdr:rowOff>
                  </from>
                  <to>
                    <xdr:col>8</xdr:col>
                    <xdr:colOff>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67" r:id="rId71" name="Drop Down 95">
              <controlPr defaultSize="0" autoLine="0" autoPict="0">
                <anchor moveWithCells="1">
                  <from>
                    <xdr:col>7</xdr:col>
                    <xdr:colOff>0</xdr:colOff>
                    <xdr:row>53</xdr:row>
                    <xdr:rowOff>0</xdr:rowOff>
                  </from>
                  <to>
                    <xdr:col>8</xdr:col>
                    <xdr:colOff>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68" r:id="rId72" name="Drop Down 96">
              <controlPr defaultSize="0" autoLine="0" autoPict="0">
                <anchor moveWithCells="1">
                  <from>
                    <xdr:col>7</xdr:col>
                    <xdr:colOff>0</xdr:colOff>
                    <xdr:row>54</xdr:row>
                    <xdr:rowOff>0</xdr:rowOff>
                  </from>
                  <to>
                    <xdr:col>8</xdr:col>
                    <xdr:colOff>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69" r:id="rId73" name="Drop Down 97">
              <controlPr defaultSize="0" autoLine="0" autoPict="0">
                <anchor moveWithCells="1">
                  <from>
                    <xdr:col>7</xdr:col>
                    <xdr:colOff>0</xdr:colOff>
                    <xdr:row>55</xdr:row>
                    <xdr:rowOff>0</xdr:rowOff>
                  </from>
                  <to>
                    <xdr:col>8</xdr:col>
                    <xdr:colOff>0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70" r:id="rId74" name="Drop Down 98">
              <controlPr defaultSize="0" autoLine="0" autoPict="0">
                <anchor moveWithCells="1">
                  <from>
                    <xdr:col>7</xdr:col>
                    <xdr:colOff>0</xdr:colOff>
                    <xdr:row>56</xdr:row>
                    <xdr:rowOff>0</xdr:rowOff>
                  </from>
                  <to>
                    <xdr:col>8</xdr:col>
                    <xdr:colOff>0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71" r:id="rId75" name="Drop Down 99">
              <controlPr defaultSize="0" autoLine="0" autoPict="0">
                <anchor moveWithCells="1">
                  <from>
                    <xdr:col>7</xdr:col>
                    <xdr:colOff>0</xdr:colOff>
                    <xdr:row>57</xdr:row>
                    <xdr:rowOff>0</xdr:rowOff>
                  </from>
                  <to>
                    <xdr:col>8</xdr:col>
                    <xdr:colOff>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72" r:id="rId76" name="Drop Down 100">
              <controlPr defaultSize="0" autoLine="0" autoPict="0">
                <anchor moveWithCells="1">
                  <from>
                    <xdr:col>7</xdr:col>
                    <xdr:colOff>0</xdr:colOff>
                    <xdr:row>58</xdr:row>
                    <xdr:rowOff>0</xdr:rowOff>
                  </from>
                  <to>
                    <xdr:col>8</xdr:col>
                    <xdr:colOff>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73" r:id="rId77" name="Drop Down 101">
              <controlPr defaultSize="0" autoLine="0" autoPict="0">
                <anchor moveWithCells="1">
                  <from>
                    <xdr:col>7</xdr:col>
                    <xdr:colOff>0</xdr:colOff>
                    <xdr:row>59</xdr:row>
                    <xdr:rowOff>0</xdr:rowOff>
                  </from>
                  <to>
                    <xdr:col>8</xdr:col>
                    <xdr:colOff>0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74" r:id="rId78" name="Drop Down 102">
              <controlPr defaultSize="0" autoLine="0" autoPict="0">
                <anchor moveWithCells="1">
                  <from>
                    <xdr:col>7</xdr:col>
                    <xdr:colOff>0</xdr:colOff>
                    <xdr:row>60</xdr:row>
                    <xdr:rowOff>0</xdr:rowOff>
                  </from>
                  <to>
                    <xdr:col>8</xdr:col>
                    <xdr:colOff>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75" r:id="rId79" name="Drop Down 103">
              <controlPr defaultSize="0" autoLine="0" autoPict="0">
                <anchor moveWithCells="1">
                  <from>
                    <xdr:col>7</xdr:col>
                    <xdr:colOff>0</xdr:colOff>
                    <xdr:row>61</xdr:row>
                    <xdr:rowOff>0</xdr:rowOff>
                  </from>
                  <to>
                    <xdr:col>8</xdr:col>
                    <xdr:colOff>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76" r:id="rId80" name="Drop Down 104">
              <controlPr defaultSize="0" autoLine="0" autoPict="0">
                <anchor moveWithCells="1">
                  <from>
                    <xdr:col>7</xdr:col>
                    <xdr:colOff>0</xdr:colOff>
                    <xdr:row>62</xdr:row>
                    <xdr:rowOff>0</xdr:rowOff>
                  </from>
                  <to>
                    <xdr:col>8</xdr:col>
                    <xdr:colOff>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77" r:id="rId81" name="Drop Down 105">
              <controlPr defaultSize="0" autoLine="0" autoPict="0">
                <anchor moveWithCells="1">
                  <from>
                    <xdr:col>7</xdr:col>
                    <xdr:colOff>0</xdr:colOff>
                    <xdr:row>63</xdr:row>
                    <xdr:rowOff>0</xdr:rowOff>
                  </from>
                  <to>
                    <xdr:col>8</xdr:col>
                    <xdr:colOff>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78" r:id="rId82" name="Drop Down 106">
              <controlPr defaultSize="0" autoLine="0" autoPict="0">
                <anchor moveWithCells="1">
                  <from>
                    <xdr:col>7</xdr:col>
                    <xdr:colOff>0</xdr:colOff>
                    <xdr:row>64</xdr:row>
                    <xdr:rowOff>0</xdr:rowOff>
                  </from>
                  <to>
                    <xdr:col>8</xdr:col>
                    <xdr:colOff>0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79" r:id="rId83" name="Drop Down 107">
              <controlPr defaultSize="0" autoLine="0" autoPict="0">
                <anchor moveWithCells="1">
                  <from>
                    <xdr:col>7</xdr:col>
                    <xdr:colOff>0</xdr:colOff>
                    <xdr:row>65</xdr:row>
                    <xdr:rowOff>0</xdr:rowOff>
                  </from>
                  <to>
                    <xdr:col>8</xdr:col>
                    <xdr:colOff>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80" r:id="rId84" name="Drop Down 108">
              <controlPr defaultSize="0" autoLine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0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81" r:id="rId85" name="Drop Down 109">
              <controlPr defaultSize="0" autoLine="0" autoPict="0">
                <anchor moveWithCells="1">
                  <from>
                    <xdr:col>7</xdr:col>
                    <xdr:colOff>0</xdr:colOff>
                    <xdr:row>70</xdr:row>
                    <xdr:rowOff>0</xdr:rowOff>
                  </from>
                  <to>
                    <xdr:col>8</xdr:col>
                    <xdr:colOff>0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82" r:id="rId86" name="Drop Down 110">
              <controlPr defaultSize="0" autoLine="0" autoPict="0">
                <anchor moveWithCells="1">
                  <from>
                    <xdr:col>2</xdr:col>
                    <xdr:colOff>0</xdr:colOff>
                    <xdr:row>79</xdr:row>
                    <xdr:rowOff>0</xdr:rowOff>
                  </from>
                  <to>
                    <xdr:col>3</xdr:col>
                    <xdr:colOff>0</xdr:colOff>
                    <xdr:row>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83" r:id="rId87" name="Drop Down 111">
              <controlPr defaultSize="0" autoLine="0" autoPict="0">
                <anchor moveWithCells="1">
                  <from>
                    <xdr:col>7</xdr:col>
                    <xdr:colOff>0</xdr:colOff>
                    <xdr:row>79</xdr:row>
                    <xdr:rowOff>0</xdr:rowOff>
                  </from>
                  <to>
                    <xdr:col>8</xdr:col>
                    <xdr:colOff>0</xdr:colOff>
                    <xdr:row>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84" r:id="rId88" name="Drop Down 112">
              <controlPr defaultSize="0" autoLine="0" autoPict="0">
                <anchor moveWithCells="1">
                  <from>
                    <xdr:col>7</xdr:col>
                    <xdr:colOff>0</xdr:colOff>
                    <xdr:row>80</xdr:row>
                    <xdr:rowOff>0</xdr:rowOff>
                  </from>
                  <to>
                    <xdr:col>8</xdr:col>
                    <xdr:colOff>0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85" r:id="rId89" name="Drop Down 113">
              <controlPr defaultSize="0" autoLine="0" autoPict="0">
                <anchor moveWithCells="1">
                  <from>
                    <xdr:col>7</xdr:col>
                    <xdr:colOff>0</xdr:colOff>
                    <xdr:row>81</xdr:row>
                    <xdr:rowOff>0</xdr:rowOff>
                  </from>
                  <to>
                    <xdr:col>8</xdr:col>
                    <xdr:colOff>0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86" r:id="rId90" name="Drop Down 114">
              <controlPr defaultSize="0" autoLine="0" autoPict="0">
                <anchor moveWithCells="1">
                  <from>
                    <xdr:col>7</xdr:col>
                    <xdr:colOff>0</xdr:colOff>
                    <xdr:row>82</xdr:row>
                    <xdr:rowOff>0</xdr:rowOff>
                  </from>
                  <to>
                    <xdr:col>8</xdr:col>
                    <xdr:colOff>0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87" r:id="rId91" name="Drop Down 115">
              <controlPr defaultSize="0" autoLine="0" autoPict="0">
                <anchor moveWithCells="1">
                  <from>
                    <xdr:col>7</xdr:col>
                    <xdr:colOff>0</xdr:colOff>
                    <xdr:row>83</xdr:row>
                    <xdr:rowOff>0</xdr:rowOff>
                  </from>
                  <to>
                    <xdr:col>8</xdr:col>
                    <xdr:colOff>0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88" r:id="rId92" name="Drop Down 116">
              <controlPr defaultSize="0" autoLine="0" autoPict="0">
                <anchor moveWithCells="1">
                  <from>
                    <xdr:col>7</xdr:col>
                    <xdr:colOff>0</xdr:colOff>
                    <xdr:row>84</xdr:row>
                    <xdr:rowOff>0</xdr:rowOff>
                  </from>
                  <to>
                    <xdr:col>8</xdr:col>
                    <xdr:colOff>0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89" r:id="rId93" name="Drop Down 117">
              <controlPr defaultSize="0" autoLine="0" autoPict="0">
                <anchor moveWithCells="1">
                  <from>
                    <xdr:col>7</xdr:col>
                    <xdr:colOff>0</xdr:colOff>
                    <xdr:row>85</xdr:row>
                    <xdr:rowOff>0</xdr:rowOff>
                  </from>
                  <to>
                    <xdr:col>8</xdr:col>
                    <xdr:colOff>0</xdr:colOff>
                    <xdr:row>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90" r:id="rId94" name="Drop Down 118">
              <controlPr defaultSize="0" autoLine="0" autoPict="0">
                <anchor moveWithCells="1">
                  <from>
                    <xdr:col>7</xdr:col>
                    <xdr:colOff>0</xdr:colOff>
                    <xdr:row>86</xdr:row>
                    <xdr:rowOff>0</xdr:rowOff>
                  </from>
                  <to>
                    <xdr:col>8</xdr:col>
                    <xdr:colOff>0</xdr:colOff>
                    <xdr:row>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91" r:id="rId95" name="Drop Down 119">
              <controlPr defaultSize="0" autoLine="0" autoPict="0">
                <anchor moveWithCells="1">
                  <from>
                    <xdr:col>7</xdr:col>
                    <xdr:colOff>0</xdr:colOff>
                    <xdr:row>87</xdr:row>
                    <xdr:rowOff>0</xdr:rowOff>
                  </from>
                  <to>
                    <xdr:col>8</xdr:col>
                    <xdr:colOff>0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92" r:id="rId96" name="Drop Down 120">
              <controlPr defaultSize="0" autoLine="0" autoPict="0">
                <anchor moveWithCells="1">
                  <from>
                    <xdr:col>2</xdr:col>
                    <xdr:colOff>0</xdr:colOff>
                    <xdr:row>80</xdr:row>
                    <xdr:rowOff>0</xdr:rowOff>
                  </from>
                  <to>
                    <xdr:col>3</xdr:col>
                    <xdr:colOff>0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93" r:id="rId97" name="Drop Down 121">
              <controlPr defaultSize="0" autoLine="0" autoPict="0">
                <anchor moveWithCells="1">
                  <from>
                    <xdr:col>2</xdr:col>
                    <xdr:colOff>0</xdr:colOff>
                    <xdr:row>81</xdr:row>
                    <xdr:rowOff>0</xdr:rowOff>
                  </from>
                  <to>
                    <xdr:col>3</xdr:col>
                    <xdr:colOff>0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94" r:id="rId98" name="Drop Down 122">
              <controlPr defaultSize="0" autoLine="0" autoPict="0">
                <anchor moveWithCells="1">
                  <from>
                    <xdr:col>2</xdr:col>
                    <xdr:colOff>0</xdr:colOff>
                    <xdr:row>82</xdr:row>
                    <xdr:rowOff>0</xdr:rowOff>
                  </from>
                  <to>
                    <xdr:col>3</xdr:col>
                    <xdr:colOff>0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95" r:id="rId99" name="Drop Down 123">
              <controlPr defaultSize="0" autoLine="0" autoPict="0">
                <anchor moveWithCells="1">
                  <from>
                    <xdr:col>2</xdr:col>
                    <xdr:colOff>0</xdr:colOff>
                    <xdr:row>83</xdr:row>
                    <xdr:rowOff>0</xdr:rowOff>
                  </from>
                  <to>
                    <xdr:col>3</xdr:col>
                    <xdr:colOff>0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96" r:id="rId100" name="Drop Down 124">
              <controlPr defaultSize="0" autoLine="0" autoPict="0">
                <anchor moveWithCells="1">
                  <from>
                    <xdr:col>2</xdr:col>
                    <xdr:colOff>0</xdr:colOff>
                    <xdr:row>84</xdr:row>
                    <xdr:rowOff>0</xdr:rowOff>
                  </from>
                  <to>
                    <xdr:col>3</xdr:col>
                    <xdr:colOff>0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97" r:id="rId101" name="Drop Down 125">
              <controlPr defaultSize="0" autoLine="0" autoPict="0">
                <anchor moveWithCells="1">
                  <from>
                    <xdr:col>2</xdr:col>
                    <xdr:colOff>0</xdr:colOff>
                    <xdr:row>85</xdr:row>
                    <xdr:rowOff>0</xdr:rowOff>
                  </from>
                  <to>
                    <xdr:col>3</xdr:col>
                    <xdr:colOff>0</xdr:colOff>
                    <xdr:row>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98" r:id="rId102" name="Drop Down 126">
              <controlPr defaultSize="0" autoLine="0" autoPict="0">
                <anchor moveWithCells="1">
                  <from>
                    <xdr:col>2</xdr:col>
                    <xdr:colOff>0</xdr:colOff>
                    <xdr:row>86</xdr:row>
                    <xdr:rowOff>0</xdr:rowOff>
                  </from>
                  <to>
                    <xdr:col>3</xdr:col>
                    <xdr:colOff>0</xdr:colOff>
                    <xdr:row>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99" r:id="rId103" name="Drop Down 127">
              <controlPr defaultSize="0" autoLine="0" autoPict="0">
                <anchor moveWithCells="1">
                  <from>
                    <xdr:col>2</xdr:col>
                    <xdr:colOff>0</xdr:colOff>
                    <xdr:row>87</xdr:row>
                    <xdr:rowOff>0</xdr:rowOff>
                  </from>
                  <to>
                    <xdr:col>3</xdr:col>
                    <xdr:colOff>0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03" r:id="rId104" name="Drop Down 131">
              <controlPr defaultSize="0" autoLine="0" autoPict="0">
                <anchor moveWithCells="1">
                  <from>
                    <xdr:col>2</xdr:col>
                    <xdr:colOff>0</xdr:colOff>
                    <xdr:row>104</xdr:row>
                    <xdr:rowOff>0</xdr:rowOff>
                  </from>
                  <to>
                    <xdr:col>3</xdr:col>
                    <xdr:colOff>0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04" r:id="rId105" name="Drop Down 132">
              <controlPr defaultSize="0" autoLine="0" autoPict="0">
                <anchor moveWithCells="1">
                  <from>
                    <xdr:col>7</xdr:col>
                    <xdr:colOff>0</xdr:colOff>
                    <xdr:row>104</xdr:row>
                    <xdr:rowOff>0</xdr:rowOff>
                  </from>
                  <to>
                    <xdr:col>8</xdr:col>
                    <xdr:colOff>0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42" r:id="rId106" name="Drop Down 170">
              <controlPr defaultSize="0" autoLine="0" autoPict="0">
                <anchor moveWithCells="1">
                  <from>
                    <xdr:col>2</xdr:col>
                    <xdr:colOff>0</xdr:colOff>
                    <xdr:row>105</xdr:row>
                    <xdr:rowOff>0</xdr:rowOff>
                  </from>
                  <to>
                    <xdr:col>3</xdr:col>
                    <xdr:colOff>0</xdr:colOff>
                    <xdr:row>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43" r:id="rId107" name="Drop Down 171">
              <controlPr defaultSize="0" autoLine="0" autoPict="0">
                <anchor moveWithCells="1">
                  <from>
                    <xdr:col>7</xdr:col>
                    <xdr:colOff>0</xdr:colOff>
                    <xdr:row>105</xdr:row>
                    <xdr:rowOff>0</xdr:rowOff>
                  </from>
                  <to>
                    <xdr:col>8</xdr:col>
                    <xdr:colOff>0</xdr:colOff>
                    <xdr:row>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44" r:id="rId108" name="Drop Down 172">
              <controlPr defaultSize="0" autoLine="0" autoPict="0">
                <anchor moveWithCells="1">
                  <from>
                    <xdr:col>2</xdr:col>
                    <xdr:colOff>0</xdr:colOff>
                    <xdr:row>106</xdr:row>
                    <xdr:rowOff>0</xdr:rowOff>
                  </from>
                  <to>
                    <xdr:col>3</xdr:col>
                    <xdr:colOff>0</xdr:colOff>
                    <xdr:row>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45" r:id="rId109" name="Drop Down 173">
              <controlPr defaultSize="0" autoLine="0" autoPict="0">
                <anchor moveWithCells="1">
                  <from>
                    <xdr:col>7</xdr:col>
                    <xdr:colOff>0</xdr:colOff>
                    <xdr:row>106</xdr:row>
                    <xdr:rowOff>0</xdr:rowOff>
                  </from>
                  <to>
                    <xdr:col>8</xdr:col>
                    <xdr:colOff>0</xdr:colOff>
                    <xdr:row>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51" r:id="rId110" name="Drop Down 179">
              <controlPr defaultSize="0" autoLine="0" autoPict="0">
                <anchor moveWithCells="1">
                  <from>
                    <xdr:col>11</xdr:col>
                    <xdr:colOff>0</xdr:colOff>
                    <xdr:row>104</xdr:row>
                    <xdr:rowOff>0</xdr:rowOff>
                  </from>
                  <to>
                    <xdr:col>12</xdr:col>
                    <xdr:colOff>9525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52" r:id="rId111" name="Drop Down 180">
              <controlPr defaultSize="0" autoLine="0" autoPict="0">
                <anchor moveWithCells="1">
                  <from>
                    <xdr:col>11</xdr:col>
                    <xdr:colOff>0</xdr:colOff>
                    <xdr:row>105</xdr:row>
                    <xdr:rowOff>0</xdr:rowOff>
                  </from>
                  <to>
                    <xdr:col>12</xdr:col>
                    <xdr:colOff>9525</xdr:colOff>
                    <xdr:row>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53" r:id="rId112" name="Drop Down 181">
              <controlPr defaultSize="0" autoLine="0" autoPict="0">
                <anchor moveWithCells="1">
                  <from>
                    <xdr:col>11</xdr:col>
                    <xdr:colOff>0</xdr:colOff>
                    <xdr:row>106</xdr:row>
                    <xdr:rowOff>0</xdr:rowOff>
                  </from>
                  <to>
                    <xdr:col>12</xdr:col>
                    <xdr:colOff>9525</xdr:colOff>
                    <xdr:row>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76" r:id="rId113" name="Drop Down 204">
              <controlPr defaultSize="0" autoLine="0" autoPict="0">
                <anchor moveWithCells="1">
                  <from>
                    <xdr:col>1</xdr:col>
                    <xdr:colOff>0</xdr:colOff>
                    <xdr:row>79</xdr:row>
                    <xdr:rowOff>0</xdr:rowOff>
                  </from>
                  <to>
                    <xdr:col>2</xdr:col>
                    <xdr:colOff>0</xdr:colOff>
                    <xdr:row>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77" r:id="rId114" name="Drop Down 205">
              <controlPr defaultSize="0" autoLine="0" autoPict="0">
                <anchor moveWithCells="1">
                  <from>
                    <xdr:col>1</xdr:col>
                    <xdr:colOff>0</xdr:colOff>
                    <xdr:row>80</xdr:row>
                    <xdr:rowOff>0</xdr:rowOff>
                  </from>
                  <to>
                    <xdr:col>2</xdr:col>
                    <xdr:colOff>9525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78" r:id="rId115" name="Drop Down 206">
              <controlPr defaultSize="0" autoLine="0" autoPict="0">
                <anchor moveWithCells="1">
                  <from>
                    <xdr:col>1</xdr:col>
                    <xdr:colOff>0</xdr:colOff>
                    <xdr:row>81</xdr:row>
                    <xdr:rowOff>0</xdr:rowOff>
                  </from>
                  <to>
                    <xdr:col>2</xdr:col>
                    <xdr:colOff>0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79" r:id="rId116" name="Drop Down 207">
              <controlPr defaultSize="0" autoLine="0" autoPict="0">
                <anchor moveWithCells="1">
                  <from>
                    <xdr:col>1</xdr:col>
                    <xdr:colOff>0</xdr:colOff>
                    <xdr:row>82</xdr:row>
                    <xdr:rowOff>0</xdr:rowOff>
                  </from>
                  <to>
                    <xdr:col>2</xdr:col>
                    <xdr:colOff>0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80" r:id="rId117" name="Drop Down 208">
              <controlPr defaultSize="0" autoLine="0" autoPict="0">
                <anchor moveWithCells="1">
                  <from>
                    <xdr:col>1</xdr:col>
                    <xdr:colOff>0</xdr:colOff>
                    <xdr:row>83</xdr:row>
                    <xdr:rowOff>0</xdr:rowOff>
                  </from>
                  <to>
                    <xdr:col>2</xdr:col>
                    <xdr:colOff>0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81" r:id="rId118" name="Drop Down 209">
              <controlPr defaultSize="0" autoLine="0" autoPict="0">
                <anchor moveWithCells="1">
                  <from>
                    <xdr:col>1</xdr:col>
                    <xdr:colOff>0</xdr:colOff>
                    <xdr:row>84</xdr:row>
                    <xdr:rowOff>0</xdr:rowOff>
                  </from>
                  <to>
                    <xdr:col>2</xdr:col>
                    <xdr:colOff>0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82" r:id="rId119" name="Drop Down 210">
              <controlPr defaultSize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2</xdr:col>
                    <xdr:colOff>0</xdr:colOff>
                    <xdr:row>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83" r:id="rId120" name="Drop Down 211">
              <controlPr defaultSize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2</xdr:col>
                    <xdr:colOff>0</xdr:colOff>
                    <xdr:row>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84" r:id="rId121" name="Drop Down 212">
              <controlPr defaultSize="0" autoLine="0" autoPict="0">
                <anchor moveWithCells="1">
                  <from>
                    <xdr:col>1</xdr:col>
                    <xdr:colOff>0</xdr:colOff>
                    <xdr:row>87</xdr:row>
                    <xdr:rowOff>0</xdr:rowOff>
                  </from>
                  <to>
                    <xdr:col>2</xdr:col>
                    <xdr:colOff>9525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24" r:id="rId122" name="Drop Down 652">
              <controlPr defaultSize="0" autoLine="0" autoPict="0">
                <anchor moveWithCells="1">
                  <from>
                    <xdr:col>7</xdr:col>
                    <xdr:colOff>0</xdr:colOff>
                    <xdr:row>88</xdr:row>
                    <xdr:rowOff>0</xdr:rowOff>
                  </from>
                  <to>
                    <xdr:col>8</xdr:col>
                    <xdr:colOff>0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25" r:id="rId123" name="Drop Down 653">
              <controlPr defaultSize="0" autoLine="0" autoPict="0">
                <anchor moveWithCells="1">
                  <from>
                    <xdr:col>2</xdr:col>
                    <xdr:colOff>0</xdr:colOff>
                    <xdr:row>88</xdr:row>
                    <xdr:rowOff>0</xdr:rowOff>
                  </from>
                  <to>
                    <xdr:col>3</xdr:col>
                    <xdr:colOff>0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26" r:id="rId124" name="Drop Down 654">
              <controlPr defaultSize="0" autoLine="0" autoPict="0">
                <anchor moveWithCells="1">
                  <from>
                    <xdr:col>1</xdr:col>
                    <xdr:colOff>0</xdr:colOff>
                    <xdr:row>88</xdr:row>
                    <xdr:rowOff>0</xdr:rowOff>
                  </from>
                  <to>
                    <xdr:col>2</xdr:col>
                    <xdr:colOff>9525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27" r:id="rId125" name="Drop Down 655">
              <controlPr defaultSize="0" autoLine="0" autoPict="0">
                <anchor moveWithCells="1">
                  <from>
                    <xdr:col>7</xdr:col>
                    <xdr:colOff>0</xdr:colOff>
                    <xdr:row>89</xdr:row>
                    <xdr:rowOff>0</xdr:rowOff>
                  </from>
                  <to>
                    <xdr:col>8</xdr:col>
                    <xdr:colOff>0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28" r:id="rId126" name="Drop Down 656">
              <controlPr defaultSize="0" autoLine="0" autoPict="0">
                <anchor moveWithCells="1">
                  <from>
                    <xdr:col>2</xdr:col>
                    <xdr:colOff>0</xdr:colOff>
                    <xdr:row>89</xdr:row>
                    <xdr:rowOff>0</xdr:rowOff>
                  </from>
                  <to>
                    <xdr:col>3</xdr:col>
                    <xdr:colOff>0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29" r:id="rId127" name="Drop Down 657">
              <controlPr defaultSize="0" autoLine="0" autoPict="0">
                <anchor moveWithCells="1">
                  <from>
                    <xdr:col>1</xdr:col>
                    <xdr:colOff>0</xdr:colOff>
                    <xdr:row>89</xdr:row>
                    <xdr:rowOff>0</xdr:rowOff>
                  </from>
                  <to>
                    <xdr:col>2</xdr:col>
                    <xdr:colOff>9525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30" r:id="rId128" name="Drop Down 658">
              <controlPr defaultSize="0" autoLine="0" autoPict="0">
                <anchor moveWithCells="1">
                  <from>
                    <xdr:col>7</xdr:col>
                    <xdr:colOff>0</xdr:colOff>
                    <xdr:row>90</xdr:row>
                    <xdr:rowOff>0</xdr:rowOff>
                  </from>
                  <to>
                    <xdr:col>8</xdr:col>
                    <xdr:colOff>0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31" r:id="rId129" name="Drop Down 659">
              <controlPr defaultSize="0" autoLine="0" autoPict="0">
                <anchor moveWithCells="1">
                  <from>
                    <xdr:col>2</xdr:col>
                    <xdr:colOff>0</xdr:colOff>
                    <xdr:row>90</xdr:row>
                    <xdr:rowOff>0</xdr:rowOff>
                  </from>
                  <to>
                    <xdr:col>3</xdr:col>
                    <xdr:colOff>0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32" r:id="rId130" name="Drop Down 660">
              <controlPr defaultSize="0" autoLine="0" autoPict="0">
                <anchor moveWithCells="1">
                  <from>
                    <xdr:col>1</xdr:col>
                    <xdr:colOff>0</xdr:colOff>
                    <xdr:row>90</xdr:row>
                    <xdr:rowOff>0</xdr:rowOff>
                  </from>
                  <to>
                    <xdr:col>2</xdr:col>
                    <xdr:colOff>9525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33" r:id="rId131" name="Drop Down 661">
              <controlPr defaultSize="0" autoLine="0" autoPict="0">
                <anchor moveWithCells="1">
                  <from>
                    <xdr:col>7</xdr:col>
                    <xdr:colOff>0</xdr:colOff>
                    <xdr:row>91</xdr:row>
                    <xdr:rowOff>0</xdr:rowOff>
                  </from>
                  <to>
                    <xdr:col>8</xdr:col>
                    <xdr:colOff>0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34" r:id="rId132" name="Drop Down 662">
              <controlPr defaultSize="0" autoLine="0" autoPict="0">
                <anchor moveWithCells="1">
                  <from>
                    <xdr:col>2</xdr:col>
                    <xdr:colOff>0</xdr:colOff>
                    <xdr:row>91</xdr:row>
                    <xdr:rowOff>0</xdr:rowOff>
                  </from>
                  <to>
                    <xdr:col>3</xdr:col>
                    <xdr:colOff>0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35" r:id="rId133" name="Drop Down 663">
              <controlPr defaultSize="0" autoLine="0" autoPict="0">
                <anchor moveWithCells="1">
                  <from>
                    <xdr:col>1</xdr:col>
                    <xdr:colOff>0</xdr:colOff>
                    <xdr:row>91</xdr:row>
                    <xdr:rowOff>0</xdr:rowOff>
                  </from>
                  <to>
                    <xdr:col>2</xdr:col>
                    <xdr:colOff>9525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36" r:id="rId134" name="Drop Down 664">
              <controlPr defaultSize="0" autoLine="0" autoPict="0">
                <anchor moveWithCells="1">
                  <from>
                    <xdr:col>7</xdr:col>
                    <xdr:colOff>0</xdr:colOff>
                    <xdr:row>98</xdr:row>
                    <xdr:rowOff>0</xdr:rowOff>
                  </from>
                  <to>
                    <xdr:col>8</xdr:col>
                    <xdr:colOff>0</xdr:colOff>
                    <xdr:row>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37" r:id="rId135" name="Drop Down 665">
              <controlPr defaultSize="0" autoLine="0" autoPict="0">
                <anchor moveWithCells="1">
                  <from>
                    <xdr:col>2</xdr:col>
                    <xdr:colOff>0</xdr:colOff>
                    <xdr:row>98</xdr:row>
                    <xdr:rowOff>0</xdr:rowOff>
                  </from>
                  <to>
                    <xdr:col>3</xdr:col>
                    <xdr:colOff>0</xdr:colOff>
                    <xdr:row>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38" r:id="rId136" name="Drop Down 666">
              <controlPr defaultSize="0" autoLine="0" autoPict="0">
                <anchor moveWithCells="1">
                  <from>
                    <xdr:col>1</xdr:col>
                    <xdr:colOff>0</xdr:colOff>
                    <xdr:row>98</xdr:row>
                    <xdr:rowOff>0</xdr:rowOff>
                  </from>
                  <to>
                    <xdr:col>2</xdr:col>
                    <xdr:colOff>9525</xdr:colOff>
                    <xdr:row>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75" r:id="rId137" name="Drop Down 903">
              <controlPr defaultSize="0" autoLine="0" autoPict="0">
                <anchor moveWithCells="1">
                  <from>
                    <xdr:col>7</xdr:col>
                    <xdr:colOff>0</xdr:colOff>
                    <xdr:row>19</xdr:row>
                    <xdr:rowOff>0</xdr:rowOff>
                  </from>
                  <to>
                    <xdr:col>8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76" r:id="rId138" name="Drop Down 904">
              <controlPr defaultSize="0" autoLine="0" autoPict="0">
                <anchor moveWithCells="1">
                  <from>
                    <xdr:col>7</xdr:col>
                    <xdr:colOff>0</xdr:colOff>
                    <xdr:row>20</xdr:row>
                    <xdr:rowOff>0</xdr:rowOff>
                  </from>
                  <to>
                    <xdr:col>8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77" r:id="rId139" name="Drop Down 905">
              <controlPr defaultSize="0" autoLine="0" autoPict="0">
                <anchor moveWithCells="1">
                  <from>
                    <xdr:col>7</xdr:col>
                    <xdr:colOff>0</xdr:colOff>
                    <xdr:row>24</xdr:row>
                    <xdr:rowOff>0</xdr:rowOff>
                  </from>
                  <to>
                    <xdr:col>8</xdr:col>
                    <xdr:colOff>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78" r:id="rId140" name="Drop Down 906">
              <controlPr defaultSize="0" autoLine="0" autoPict="0">
                <anchor moveWithCells="1">
                  <from>
                    <xdr:col>2</xdr:col>
                    <xdr:colOff>0</xdr:colOff>
                    <xdr:row>19</xdr:row>
                    <xdr:rowOff>0</xdr:rowOff>
                  </from>
                  <to>
                    <xdr:col>3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79" r:id="rId141" name="Drop Down 907">
              <controlPr defaultSize="0" autoLine="0" autoPict="0">
                <anchor moveWithCells="1">
                  <from>
                    <xdr:col>2</xdr:col>
                    <xdr:colOff>0</xdr:colOff>
                    <xdr:row>20</xdr:row>
                    <xdr:rowOff>0</xdr:rowOff>
                  </from>
                  <to>
                    <xdr:col>3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80" r:id="rId142" name="Drop Down 908">
              <controlPr defaultSize="0" autoLine="0" autoPict="0">
                <anchor moveWithCells="1">
                  <from>
                    <xdr:col>2</xdr:col>
                    <xdr:colOff>0</xdr:colOff>
                    <xdr:row>24</xdr:row>
                    <xdr:rowOff>0</xdr:rowOff>
                  </from>
                  <to>
                    <xdr:col>3</xdr:col>
                    <xdr:colOff>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79" r:id="rId143" name="Drop Down 1007">
              <controlPr defaultSize="0" autoLine="0" autoPict="0">
                <anchor moveWithCells="1">
                  <from>
                    <xdr:col>7</xdr:col>
                    <xdr:colOff>0</xdr:colOff>
                    <xdr:row>21</xdr:row>
                    <xdr:rowOff>0</xdr:rowOff>
                  </from>
                  <to>
                    <xdr:col>8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80" r:id="rId144" name="Drop Down 1008">
              <controlPr defaultSize="0" autoLine="0" autoPict="0">
                <anchor moveWithCells="1">
                  <from>
                    <xdr:col>2</xdr:col>
                    <xdr:colOff>0</xdr:colOff>
                    <xdr:row>21</xdr:row>
                    <xdr:rowOff>0</xdr:rowOff>
                  </from>
                  <to>
                    <xdr:col>3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81" r:id="rId145" name="Drop Down 1009">
              <controlPr defaultSize="0" autoLine="0" autoPict="0">
                <anchor moveWithCells="1">
                  <from>
                    <xdr:col>7</xdr:col>
                    <xdr:colOff>0</xdr:colOff>
                    <xdr:row>22</xdr:row>
                    <xdr:rowOff>0</xdr:rowOff>
                  </from>
                  <to>
                    <xdr:col>8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82" r:id="rId146" name="Drop Down 1010">
              <controlPr defaultSize="0" autoLine="0" autoPict="0">
                <anchor moveWithCells="1">
                  <from>
                    <xdr:col>2</xdr:col>
                    <xdr:colOff>0</xdr:colOff>
                    <xdr:row>22</xdr:row>
                    <xdr:rowOff>0</xdr:rowOff>
                  </from>
                  <to>
                    <xdr:col>3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83" r:id="rId147" name="Drop Down 1011">
              <controlPr defaultSize="0" autoLine="0" autoPict="0">
                <anchor moveWithCells="1">
                  <from>
                    <xdr:col>7</xdr:col>
                    <xdr:colOff>0</xdr:colOff>
                    <xdr:row>23</xdr:row>
                    <xdr:rowOff>0</xdr:rowOff>
                  </from>
                  <to>
                    <xdr:col>8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84" r:id="rId148" name="Drop Down 1012">
              <controlPr defaultSize="0" autoLine="0" autoPict="0">
                <anchor moveWithCells="1">
                  <from>
                    <xdr:col>2</xdr:col>
                    <xdr:colOff>0</xdr:colOff>
                    <xdr:row>23</xdr:row>
                    <xdr:rowOff>0</xdr:rowOff>
                  </from>
                  <to>
                    <xdr:col>3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85" r:id="rId149" name="Drop Down 1013">
              <controlPr defaultSize="0" autoLine="0" autoPict="0">
                <anchor moveWithCells="1">
                  <from>
                    <xdr:col>2</xdr:col>
                    <xdr:colOff>0</xdr:colOff>
                    <xdr:row>67</xdr:row>
                    <xdr:rowOff>0</xdr:rowOff>
                  </from>
                  <to>
                    <xdr:col>3</xdr:col>
                    <xdr:colOff>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86" r:id="rId150" name="Drop Down 1014">
              <controlPr defaultSize="0" autoLine="0" autoPict="0">
                <anchor moveWithCells="1">
                  <from>
                    <xdr:col>7</xdr:col>
                    <xdr:colOff>0</xdr:colOff>
                    <xdr:row>67</xdr:row>
                    <xdr:rowOff>0</xdr:rowOff>
                  </from>
                  <to>
                    <xdr:col>8</xdr:col>
                    <xdr:colOff>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87" r:id="rId151" name="Drop Down 1015">
              <controlPr defaultSize="0" autoLine="0" autoPict="0">
                <anchor moveWithCells="1">
                  <from>
                    <xdr:col>2</xdr:col>
                    <xdr:colOff>0</xdr:colOff>
                    <xdr:row>68</xdr:row>
                    <xdr:rowOff>0</xdr:rowOff>
                  </from>
                  <to>
                    <xdr:col>3</xdr:col>
                    <xdr:colOff>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88" r:id="rId152" name="Drop Down 1016">
              <controlPr defaultSize="0" autoLine="0" autoPict="0">
                <anchor moveWithCells="1">
                  <from>
                    <xdr:col>7</xdr:col>
                    <xdr:colOff>0</xdr:colOff>
                    <xdr:row>68</xdr:row>
                    <xdr:rowOff>0</xdr:rowOff>
                  </from>
                  <to>
                    <xdr:col>8</xdr:col>
                    <xdr:colOff>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89" r:id="rId153" name="Drop Down 1017">
              <controlPr defaultSize="0" autoLine="0" autoPict="0">
                <anchor moveWithCells="1">
                  <from>
                    <xdr:col>2</xdr:col>
                    <xdr:colOff>0</xdr:colOff>
                    <xdr:row>69</xdr:row>
                    <xdr:rowOff>0</xdr:rowOff>
                  </from>
                  <to>
                    <xdr:col>3</xdr:col>
                    <xdr:colOff>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90" r:id="rId154" name="Drop Down 1018">
              <controlPr defaultSize="0" autoLine="0" autoPict="0">
                <anchor moveWithCells="1">
                  <from>
                    <xdr:col>7</xdr:col>
                    <xdr:colOff>0</xdr:colOff>
                    <xdr:row>69</xdr:row>
                    <xdr:rowOff>0</xdr:rowOff>
                  </from>
                  <to>
                    <xdr:col>8</xdr:col>
                    <xdr:colOff>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91" r:id="rId155" name="Drop Down 1019">
              <controlPr defaultSize="0" autoLine="0" autoPict="0">
                <anchor moveWithCells="1">
                  <from>
                    <xdr:col>7</xdr:col>
                    <xdr:colOff>0</xdr:colOff>
                    <xdr:row>92</xdr:row>
                    <xdr:rowOff>0</xdr:rowOff>
                  </from>
                  <to>
                    <xdr:col>8</xdr:col>
                    <xdr:colOff>0</xdr:colOff>
                    <xdr:row>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92" r:id="rId156" name="Drop Down 1020">
              <controlPr defaultSize="0" autoLine="0" autoPict="0">
                <anchor moveWithCells="1">
                  <from>
                    <xdr:col>2</xdr:col>
                    <xdr:colOff>0</xdr:colOff>
                    <xdr:row>92</xdr:row>
                    <xdr:rowOff>0</xdr:rowOff>
                  </from>
                  <to>
                    <xdr:col>3</xdr:col>
                    <xdr:colOff>0</xdr:colOff>
                    <xdr:row>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93" r:id="rId157" name="Drop Down 1021">
              <controlPr defaultSize="0" autoLine="0" autoPict="0">
                <anchor moveWithCells="1">
                  <from>
                    <xdr:col>1</xdr:col>
                    <xdr:colOff>0</xdr:colOff>
                    <xdr:row>92</xdr:row>
                    <xdr:rowOff>0</xdr:rowOff>
                  </from>
                  <to>
                    <xdr:col>2</xdr:col>
                    <xdr:colOff>9525</xdr:colOff>
                    <xdr:row>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94" r:id="rId158" name="Drop Down 1022">
              <controlPr defaultSize="0" autoLine="0" autoPict="0">
                <anchor moveWithCells="1">
                  <from>
                    <xdr:col>7</xdr:col>
                    <xdr:colOff>0</xdr:colOff>
                    <xdr:row>93</xdr:row>
                    <xdr:rowOff>0</xdr:rowOff>
                  </from>
                  <to>
                    <xdr:col>8</xdr:col>
                    <xdr:colOff>0</xdr:colOff>
                    <xdr:row>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95" r:id="rId159" name="Drop Down 1023">
              <controlPr defaultSize="0" autoLine="0" autoPict="0">
                <anchor moveWithCells="1">
                  <from>
                    <xdr:col>2</xdr:col>
                    <xdr:colOff>0</xdr:colOff>
                    <xdr:row>93</xdr:row>
                    <xdr:rowOff>0</xdr:rowOff>
                  </from>
                  <to>
                    <xdr:col>3</xdr:col>
                    <xdr:colOff>0</xdr:colOff>
                    <xdr:row>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36" r:id="rId160" name="Drop Down 1024">
              <controlPr defaultSize="0" autoLine="0" autoPict="0">
                <anchor moveWithCells="1">
                  <from>
                    <xdr:col>1</xdr:col>
                    <xdr:colOff>0</xdr:colOff>
                    <xdr:row>93</xdr:row>
                    <xdr:rowOff>0</xdr:rowOff>
                  </from>
                  <to>
                    <xdr:col>2</xdr:col>
                    <xdr:colOff>9525</xdr:colOff>
                    <xdr:row>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37" r:id="rId161" name="Drop Down 1025">
              <controlPr defaultSize="0" autoLine="0" autoPict="0">
                <anchor moveWithCells="1">
                  <from>
                    <xdr:col>7</xdr:col>
                    <xdr:colOff>0</xdr:colOff>
                    <xdr:row>94</xdr:row>
                    <xdr:rowOff>0</xdr:rowOff>
                  </from>
                  <to>
                    <xdr:col>8</xdr:col>
                    <xdr:colOff>0</xdr:colOff>
                    <xdr:row>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38" r:id="rId162" name="Drop Down 1026">
              <controlPr defaultSize="0" autoLine="0" autoPict="0">
                <anchor moveWithCells="1">
                  <from>
                    <xdr:col>2</xdr:col>
                    <xdr:colOff>0</xdr:colOff>
                    <xdr:row>94</xdr:row>
                    <xdr:rowOff>0</xdr:rowOff>
                  </from>
                  <to>
                    <xdr:col>3</xdr:col>
                    <xdr:colOff>0</xdr:colOff>
                    <xdr:row>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39" r:id="rId163" name="Drop Down 1027">
              <controlPr defaultSize="0" autoLine="0" autoPict="0">
                <anchor moveWithCells="1">
                  <from>
                    <xdr:col>1</xdr:col>
                    <xdr:colOff>0</xdr:colOff>
                    <xdr:row>94</xdr:row>
                    <xdr:rowOff>0</xdr:rowOff>
                  </from>
                  <to>
                    <xdr:col>2</xdr:col>
                    <xdr:colOff>9525</xdr:colOff>
                    <xdr:row>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40" r:id="rId164" name="Drop Down 1028">
              <controlPr defaultSize="0" autoLine="0" autoPict="0">
                <anchor moveWithCells="1">
                  <from>
                    <xdr:col>7</xdr:col>
                    <xdr:colOff>0</xdr:colOff>
                    <xdr:row>95</xdr:row>
                    <xdr:rowOff>0</xdr:rowOff>
                  </from>
                  <to>
                    <xdr:col>8</xdr:col>
                    <xdr:colOff>0</xdr:colOff>
                    <xdr:row>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41" r:id="rId165" name="Drop Down 1029">
              <controlPr defaultSize="0" autoLine="0" autoPict="0">
                <anchor moveWithCells="1">
                  <from>
                    <xdr:col>2</xdr:col>
                    <xdr:colOff>0</xdr:colOff>
                    <xdr:row>95</xdr:row>
                    <xdr:rowOff>0</xdr:rowOff>
                  </from>
                  <to>
                    <xdr:col>3</xdr:col>
                    <xdr:colOff>0</xdr:colOff>
                    <xdr:row>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42" r:id="rId166" name="Drop Down 1030">
              <controlPr defaultSize="0" autoLine="0" autoPict="0">
                <anchor moveWithCells="1">
                  <from>
                    <xdr:col>1</xdr:col>
                    <xdr:colOff>0</xdr:colOff>
                    <xdr:row>95</xdr:row>
                    <xdr:rowOff>0</xdr:rowOff>
                  </from>
                  <to>
                    <xdr:col>2</xdr:col>
                    <xdr:colOff>9525</xdr:colOff>
                    <xdr:row>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43" r:id="rId167" name="Drop Down 1031">
              <controlPr defaultSize="0" autoLine="0" autoPict="0">
                <anchor moveWithCells="1">
                  <from>
                    <xdr:col>7</xdr:col>
                    <xdr:colOff>0</xdr:colOff>
                    <xdr:row>96</xdr:row>
                    <xdr:rowOff>0</xdr:rowOff>
                  </from>
                  <to>
                    <xdr:col>8</xdr:col>
                    <xdr:colOff>0</xdr:colOff>
                    <xdr:row>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44" r:id="rId168" name="Drop Down 1032">
              <controlPr defaultSize="0" autoLine="0" autoPict="0">
                <anchor moveWithCells="1">
                  <from>
                    <xdr:col>2</xdr:col>
                    <xdr:colOff>0</xdr:colOff>
                    <xdr:row>96</xdr:row>
                    <xdr:rowOff>0</xdr:rowOff>
                  </from>
                  <to>
                    <xdr:col>3</xdr:col>
                    <xdr:colOff>0</xdr:colOff>
                    <xdr:row>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45" r:id="rId169" name="Drop Down 1033">
              <controlPr defaultSize="0" autoLine="0" autoPict="0">
                <anchor moveWithCells="1">
                  <from>
                    <xdr:col>1</xdr:col>
                    <xdr:colOff>0</xdr:colOff>
                    <xdr:row>96</xdr:row>
                    <xdr:rowOff>0</xdr:rowOff>
                  </from>
                  <to>
                    <xdr:col>2</xdr:col>
                    <xdr:colOff>9525</xdr:colOff>
                    <xdr:row>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46" r:id="rId170" name="Drop Down 1034">
              <controlPr defaultSize="0" autoLine="0" autoPict="0">
                <anchor moveWithCells="1">
                  <from>
                    <xdr:col>7</xdr:col>
                    <xdr:colOff>0</xdr:colOff>
                    <xdr:row>97</xdr:row>
                    <xdr:rowOff>0</xdr:rowOff>
                  </from>
                  <to>
                    <xdr:col>8</xdr:col>
                    <xdr:colOff>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47" r:id="rId171" name="Drop Down 1035">
              <controlPr defaultSize="0" autoLine="0" autoPict="0">
                <anchor moveWithCells="1">
                  <from>
                    <xdr:col>2</xdr:col>
                    <xdr:colOff>0</xdr:colOff>
                    <xdr:row>97</xdr:row>
                    <xdr:rowOff>0</xdr:rowOff>
                  </from>
                  <to>
                    <xdr:col>3</xdr:col>
                    <xdr:colOff>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48" r:id="rId172" name="Drop Down 1036">
              <controlPr defaultSize="0" autoLine="0" autoPict="0">
                <anchor moveWithCells="1">
                  <from>
                    <xdr:col>1</xdr:col>
                    <xdr:colOff>0</xdr:colOff>
                    <xdr:row>97</xdr:row>
                    <xdr:rowOff>0</xdr:rowOff>
                  </from>
                  <to>
                    <xdr:col>2</xdr:col>
                    <xdr:colOff>9525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661" r:id="rId173" name="Drop Down 3077">
              <controlPr defaultSize="0" autoLine="0" autoPict="0">
                <anchor moveWithCells="1">
                  <from>
                    <xdr:col>2</xdr:col>
                    <xdr:colOff>0</xdr:colOff>
                    <xdr:row>107</xdr:row>
                    <xdr:rowOff>0</xdr:rowOff>
                  </from>
                  <to>
                    <xdr:col>3</xdr:col>
                    <xdr:colOff>0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662" r:id="rId174" name="Drop Down 3078">
              <controlPr defaultSize="0" autoLine="0" autoPict="0">
                <anchor moveWithCells="1">
                  <from>
                    <xdr:col>7</xdr:col>
                    <xdr:colOff>0</xdr:colOff>
                    <xdr:row>107</xdr:row>
                    <xdr:rowOff>0</xdr:rowOff>
                  </from>
                  <to>
                    <xdr:col>8</xdr:col>
                    <xdr:colOff>0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663" r:id="rId175" name="Drop Down 3079">
              <controlPr defaultSize="0" autoLine="0" autoPict="0">
                <anchor moveWithCells="1">
                  <from>
                    <xdr:col>11</xdr:col>
                    <xdr:colOff>0</xdr:colOff>
                    <xdr:row>107</xdr:row>
                    <xdr:rowOff>0</xdr:rowOff>
                  </from>
                  <to>
                    <xdr:col>12</xdr:col>
                    <xdr:colOff>9525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664" r:id="rId176" name="Drop Down 3080">
              <controlPr defaultSize="0" autoLine="0" autoPict="0">
                <anchor moveWithCells="1">
                  <from>
                    <xdr:col>2</xdr:col>
                    <xdr:colOff>0</xdr:colOff>
                    <xdr:row>108</xdr:row>
                    <xdr:rowOff>0</xdr:rowOff>
                  </from>
                  <to>
                    <xdr:col>3</xdr:col>
                    <xdr:colOff>0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665" r:id="rId177" name="Drop Down 3081">
              <controlPr defaultSize="0" autoLine="0" autoPict="0">
                <anchor moveWithCells="1">
                  <from>
                    <xdr:col>7</xdr:col>
                    <xdr:colOff>0</xdr:colOff>
                    <xdr:row>108</xdr:row>
                    <xdr:rowOff>0</xdr:rowOff>
                  </from>
                  <to>
                    <xdr:col>8</xdr:col>
                    <xdr:colOff>0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666" r:id="rId178" name="Drop Down 3082">
              <controlPr defaultSize="0" autoLine="0" autoPict="0">
                <anchor moveWithCells="1">
                  <from>
                    <xdr:col>11</xdr:col>
                    <xdr:colOff>0</xdr:colOff>
                    <xdr:row>108</xdr:row>
                    <xdr:rowOff>0</xdr:rowOff>
                  </from>
                  <to>
                    <xdr:col>12</xdr:col>
                    <xdr:colOff>9525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667" r:id="rId179" name="Drop Down 3083">
              <controlPr defaultSize="0" autoLine="0" autoPict="0">
                <anchor moveWithCells="1">
                  <from>
                    <xdr:col>2</xdr:col>
                    <xdr:colOff>0</xdr:colOff>
                    <xdr:row>109</xdr:row>
                    <xdr:rowOff>0</xdr:rowOff>
                  </from>
                  <to>
                    <xdr:col>3</xdr:col>
                    <xdr:colOff>0</xdr:colOff>
                    <xdr:row>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668" r:id="rId180" name="Drop Down 3084">
              <controlPr defaultSize="0" autoLine="0" autoPict="0">
                <anchor moveWithCells="1">
                  <from>
                    <xdr:col>7</xdr:col>
                    <xdr:colOff>0</xdr:colOff>
                    <xdr:row>109</xdr:row>
                    <xdr:rowOff>0</xdr:rowOff>
                  </from>
                  <to>
                    <xdr:col>8</xdr:col>
                    <xdr:colOff>0</xdr:colOff>
                    <xdr:row>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669" r:id="rId181" name="Drop Down 3085">
              <controlPr defaultSize="0" autoLine="0" autoPict="0">
                <anchor moveWithCells="1">
                  <from>
                    <xdr:col>11</xdr:col>
                    <xdr:colOff>0</xdr:colOff>
                    <xdr:row>109</xdr:row>
                    <xdr:rowOff>0</xdr:rowOff>
                  </from>
                  <to>
                    <xdr:col>12</xdr:col>
                    <xdr:colOff>9525</xdr:colOff>
                    <xdr:row>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670" r:id="rId182" name="Drop Down 3086">
              <controlPr defaultSize="0" autoLine="0" autoPict="0">
                <anchor moveWithCells="1">
                  <from>
                    <xdr:col>2</xdr:col>
                    <xdr:colOff>0</xdr:colOff>
                    <xdr:row>110</xdr:row>
                    <xdr:rowOff>0</xdr:rowOff>
                  </from>
                  <to>
                    <xdr:col>3</xdr:col>
                    <xdr:colOff>0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671" r:id="rId183" name="Drop Down 3087">
              <controlPr defaultSize="0" autoLine="0" autoPict="0">
                <anchor moveWithCells="1">
                  <from>
                    <xdr:col>7</xdr:col>
                    <xdr:colOff>0</xdr:colOff>
                    <xdr:row>110</xdr:row>
                    <xdr:rowOff>0</xdr:rowOff>
                  </from>
                  <to>
                    <xdr:col>8</xdr:col>
                    <xdr:colOff>0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672" r:id="rId184" name="Drop Down 3088">
              <controlPr defaultSize="0" autoLine="0" autoPict="0">
                <anchor moveWithCells="1">
                  <from>
                    <xdr:col>11</xdr:col>
                    <xdr:colOff>0</xdr:colOff>
                    <xdr:row>110</xdr:row>
                    <xdr:rowOff>0</xdr:rowOff>
                  </from>
                  <to>
                    <xdr:col>12</xdr:col>
                    <xdr:colOff>9525</xdr:colOff>
                    <xdr:row>111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tabColor rgb="FF00B050"/>
  </sheetPr>
  <dimension ref="A1:IX19288"/>
  <sheetViews>
    <sheetView topLeftCell="D1" zoomScale="80" zoomScaleNormal="80" zoomScaleSheetLayoutView="110" workbookViewId="0">
      <selection activeCell="H30" sqref="H30"/>
    </sheetView>
  </sheetViews>
  <sheetFormatPr defaultRowHeight="12.75" x14ac:dyDescent="0.2"/>
  <cols>
    <col min="1" max="1" width="7.42578125" style="2277" customWidth="1"/>
    <col min="2" max="2" width="7.140625" style="2277" customWidth="1"/>
    <col min="3" max="3" width="27.42578125" style="2277" customWidth="1"/>
    <col min="4" max="4" width="20.7109375" style="2277" customWidth="1"/>
    <col min="5" max="5" width="18.7109375" style="2277" customWidth="1"/>
    <col min="6" max="6" width="24.140625" style="2277" customWidth="1"/>
    <col min="7" max="7" width="25.42578125" style="2277" customWidth="1"/>
    <col min="8" max="8" width="19" style="2277" customWidth="1"/>
    <col min="9" max="9" width="22.7109375" style="2277" bestFit="1" customWidth="1"/>
    <col min="10" max="10" width="16.140625" style="2277" customWidth="1"/>
    <col min="11" max="11" width="16" style="2277" customWidth="1"/>
    <col min="12" max="12" width="21.42578125" style="2277" customWidth="1"/>
    <col min="13" max="13" width="31.42578125" style="2277" customWidth="1"/>
    <col min="14" max="14" width="23.5703125" style="2277" customWidth="1"/>
    <col min="15" max="15" width="21.5703125" style="2277" customWidth="1"/>
    <col min="16" max="16" width="23.85546875" style="2277" customWidth="1"/>
    <col min="17" max="17" width="16.28515625" style="2277" customWidth="1"/>
    <col min="18" max="18" width="20.85546875" style="2277" customWidth="1"/>
    <col min="19" max="19" width="26.7109375" style="2277" customWidth="1"/>
    <col min="20" max="20" width="23.7109375" style="2277" customWidth="1"/>
    <col min="21" max="21" width="24.140625" style="2277" customWidth="1"/>
    <col min="22" max="22" width="22.28515625" style="2277" customWidth="1"/>
    <col min="23" max="23" width="21" style="2277" customWidth="1"/>
    <col min="24" max="24" width="19.42578125" style="2277" customWidth="1"/>
    <col min="25" max="25" width="15.7109375" style="2277" customWidth="1"/>
    <col min="26" max="26" width="24.5703125" style="2277" customWidth="1"/>
    <col min="27" max="29" width="23.42578125" style="2277" customWidth="1"/>
    <col min="30" max="30" width="20" style="2277" bestFit="1" customWidth="1"/>
    <col min="31" max="31" width="32.42578125" style="2277" customWidth="1"/>
    <col min="32" max="32" width="29.140625" style="2277" customWidth="1"/>
    <col min="33" max="33" width="22.7109375" style="2277" bestFit="1" customWidth="1"/>
    <col min="34" max="34" width="29.140625" style="2277" customWidth="1"/>
    <col min="35" max="35" width="22.7109375" style="2277" bestFit="1" customWidth="1"/>
    <col min="36" max="36" width="34.42578125" style="2277" customWidth="1"/>
    <col min="37" max="37" width="19.28515625" style="2277" customWidth="1"/>
    <col min="38" max="38" width="19.140625" style="2277" bestFit="1" customWidth="1"/>
    <col min="39" max="39" width="34.5703125" style="2277" customWidth="1"/>
    <col min="40" max="40" width="23.42578125" style="2277" customWidth="1"/>
    <col min="41" max="41" width="34.42578125" style="2277" customWidth="1"/>
    <col min="42" max="43" width="22.7109375" style="2277" customWidth="1"/>
    <col min="44" max="44" width="30.5703125" style="2277" customWidth="1"/>
    <col min="45" max="45" width="28.85546875" style="2277" customWidth="1"/>
    <col min="46" max="46" width="25.7109375" style="2277" customWidth="1"/>
    <col min="47" max="47" width="33.28515625" style="2277" customWidth="1"/>
    <col min="48" max="49" width="19.85546875" style="2277" customWidth="1"/>
    <col min="50" max="54" width="13.5703125" style="2277" customWidth="1"/>
    <col min="55" max="56" width="9.140625" style="2277"/>
    <col min="57" max="57" width="9.85546875" style="2277" customWidth="1"/>
    <col min="58" max="58" width="9.140625" style="2277"/>
    <col min="59" max="59" width="10.5703125" style="2277" customWidth="1"/>
    <col min="60" max="16384" width="9.140625" style="2277"/>
  </cols>
  <sheetData>
    <row r="1" spans="1:32" s="1665" customFormat="1" ht="18" x14ac:dyDescent="0.2">
      <c r="A1" s="1659"/>
      <c r="B1" s="1659"/>
      <c r="C1" s="1660" t="s">
        <v>360</v>
      </c>
      <c r="D1" s="1660"/>
      <c r="E1" s="1661"/>
      <c r="F1" s="1661"/>
      <c r="G1" s="1662" t="s">
        <v>941</v>
      </c>
      <c r="H1" s="1662" t="s">
        <v>942</v>
      </c>
      <c r="I1" s="1661"/>
      <c r="J1" s="1663"/>
      <c r="K1" s="1663"/>
      <c r="L1" s="1663"/>
      <c r="M1" s="1663"/>
      <c r="N1" s="1663"/>
      <c r="O1" s="1664"/>
      <c r="P1" s="1664"/>
      <c r="Q1" s="1664"/>
      <c r="R1" s="1664"/>
      <c r="S1" s="1664"/>
    </row>
    <row r="2" spans="1:32" s="1659" customFormat="1" ht="15.75" x14ac:dyDescent="0.2">
      <c r="C2" s="1666" t="s">
        <v>636</v>
      </c>
      <c r="D2" s="2568" t="s">
        <v>1414</v>
      </c>
      <c r="E2" s="2569"/>
      <c r="F2" s="1666" t="s">
        <v>977</v>
      </c>
      <c r="G2" s="1667">
        <v>2</v>
      </c>
      <c r="H2" s="1667">
        <v>13</v>
      </c>
      <c r="I2" s="1668"/>
      <c r="J2" s="1669"/>
      <c r="K2" s="1669"/>
      <c r="L2" s="1669"/>
      <c r="M2" s="1669"/>
      <c r="N2" s="1669"/>
      <c r="O2" s="1670"/>
      <c r="P2" s="1670"/>
      <c r="Q2" s="1670"/>
      <c r="R2" s="1670"/>
      <c r="S2" s="1670"/>
    </row>
    <row r="3" spans="1:32" s="1671" customFormat="1" ht="16.5" thickBot="1" x14ac:dyDescent="0.25">
      <c r="C3" s="1672" t="s">
        <v>361</v>
      </c>
      <c r="D3" s="1673"/>
      <c r="E3" s="1674"/>
      <c r="F3" s="1674"/>
      <c r="G3" s="1674"/>
      <c r="H3" s="1674"/>
      <c r="I3" s="1674"/>
      <c r="J3" s="1675"/>
      <c r="K3" s="1675"/>
      <c r="L3" s="1675"/>
      <c r="M3" s="1675"/>
      <c r="N3" s="1675"/>
      <c r="O3" s="1674"/>
      <c r="P3" s="1674"/>
      <c r="Q3" s="1674"/>
      <c r="R3" s="1674"/>
      <c r="S3" s="1674"/>
    </row>
    <row r="4" spans="1:32" s="1659" customFormat="1" ht="13.5" thickBot="1" x14ac:dyDescent="0.25">
      <c r="C4" s="1663"/>
      <c r="D4" s="1663"/>
      <c r="E4" s="632"/>
      <c r="F4" s="1676"/>
      <c r="G4" s="1676"/>
      <c r="H4" s="1676"/>
      <c r="I4" s="1676"/>
      <c r="J4" s="1668"/>
      <c r="K4" s="1668"/>
      <c r="L4" s="1668"/>
      <c r="M4" s="1668"/>
      <c r="N4" s="1668"/>
      <c r="O4" s="1670"/>
      <c r="P4" s="1670"/>
      <c r="Q4" s="1670"/>
      <c r="R4" s="1670"/>
      <c r="S4" s="1670"/>
    </row>
    <row r="5" spans="1:32" s="1659" customFormat="1" ht="13.5" thickBot="1" x14ac:dyDescent="0.25">
      <c r="C5" s="1677" t="s">
        <v>546</v>
      </c>
      <c r="D5" s="1678"/>
      <c r="E5" s="1679"/>
      <c r="F5" s="2294">
        <f>E5*H5</f>
        <v>0</v>
      </c>
      <c r="G5" s="2298" t="s">
        <v>1057</v>
      </c>
      <c r="H5" s="2299">
        <f>H6*H18</f>
        <v>0</v>
      </c>
      <c r="I5" s="1676"/>
      <c r="J5" s="1680" t="s">
        <v>539</v>
      </c>
      <c r="K5" s="828"/>
      <c r="M5" s="1676"/>
      <c r="N5" s="1676"/>
      <c r="O5" s="1682"/>
      <c r="P5" s="1682"/>
      <c r="Q5" s="1682"/>
      <c r="R5" s="1682"/>
      <c r="S5" s="1682"/>
      <c r="T5" s="1683"/>
      <c r="U5" s="1683"/>
      <c r="V5" s="1683"/>
      <c r="W5" s="1683"/>
      <c r="X5" s="1683"/>
      <c r="Z5" s="2544" t="s">
        <v>550</v>
      </c>
      <c r="AA5" s="2545"/>
      <c r="AB5" s="1684"/>
      <c r="AC5" s="1684"/>
      <c r="AE5" s="2544" t="s">
        <v>550</v>
      </c>
      <c r="AF5" s="2545"/>
    </row>
    <row r="6" spans="1:32" s="1659" customFormat="1" ht="13.5" thickBot="1" x14ac:dyDescent="0.25">
      <c r="C6" s="1685" t="s">
        <v>547</v>
      </c>
      <c r="D6" s="1686"/>
      <c r="E6" s="1687">
        <v>0.02</v>
      </c>
      <c r="G6" s="2298" t="s">
        <v>703</v>
      </c>
      <c r="H6" s="2300"/>
      <c r="I6" s="1676"/>
      <c r="J6" s="1680" t="s">
        <v>540</v>
      </c>
      <c r="K6" s="1681">
        <f>H5/2</f>
        <v>0</v>
      </c>
      <c r="M6" s="1683"/>
      <c r="N6" s="1683"/>
      <c r="O6" s="1683"/>
      <c r="P6" s="1682"/>
      <c r="Q6" s="1682"/>
      <c r="R6" s="1682"/>
      <c r="S6" s="1682"/>
      <c r="T6" s="1683"/>
      <c r="U6" s="1683"/>
      <c r="V6" s="1683"/>
      <c r="W6" s="1683"/>
      <c r="X6" s="1683"/>
      <c r="Z6" s="1688" t="str">
        <f>VLOOKUP(Descrição!C19,Descrição!Y15:Z23,2)</f>
        <v>Engorda</v>
      </c>
      <c r="AA6" s="1688">
        <f>Descrição!C19</f>
        <v>7</v>
      </c>
      <c r="AB6" s="1684"/>
      <c r="AC6" s="1684"/>
      <c r="AE6" s="1689">
        <v>0</v>
      </c>
      <c r="AF6" s="1690"/>
    </row>
    <row r="7" spans="1:32" s="1659" customFormat="1" x14ac:dyDescent="0.2">
      <c r="C7" s="2540" t="s">
        <v>746</v>
      </c>
      <c r="D7" s="2541"/>
      <c r="E7" s="1691"/>
      <c r="G7" s="2298" t="s">
        <v>796</v>
      </c>
      <c r="H7" s="2301">
        <f>IF(AA6=8,E12/E11,H6*H16)</f>
        <v>0</v>
      </c>
      <c r="I7" s="1676"/>
      <c r="J7" s="1680" t="s">
        <v>541</v>
      </c>
      <c r="K7" s="1681">
        <f>H5/2</f>
        <v>0</v>
      </c>
      <c r="M7" s="1683"/>
      <c r="N7" s="1683"/>
      <c r="O7" s="1683"/>
      <c r="P7" s="1682"/>
      <c r="Q7" s="1682"/>
      <c r="R7" s="1682"/>
      <c r="S7" s="1682"/>
      <c r="T7" s="1683"/>
      <c r="U7" s="1683"/>
      <c r="V7" s="1683"/>
      <c r="W7" s="1683"/>
      <c r="X7" s="1683"/>
      <c r="AE7" s="1692">
        <v>1</v>
      </c>
      <c r="AF7" s="1693" t="s">
        <v>295</v>
      </c>
    </row>
    <row r="8" spans="1:32" s="1659" customFormat="1" ht="13.5" thickBot="1" x14ac:dyDescent="0.25">
      <c r="C8" s="2572" t="s">
        <v>362</v>
      </c>
      <c r="D8" s="2573"/>
      <c r="E8" s="1694">
        <f>IF(H18=0,0,12/H18)</f>
        <v>0</v>
      </c>
      <c r="G8" s="2298" t="s">
        <v>1396</v>
      </c>
      <c r="H8" s="2302"/>
      <c r="I8" s="1695"/>
      <c r="M8" s="1695"/>
      <c r="N8" s="1695"/>
      <c r="O8" s="1695"/>
      <c r="P8" s="1695"/>
      <c r="Q8" s="1695"/>
      <c r="R8" s="1695"/>
      <c r="S8" s="1695"/>
      <c r="T8" s="1695"/>
      <c r="U8" s="1695"/>
      <c r="V8" s="1695"/>
      <c r="W8" s="1695"/>
      <c r="X8" s="1683"/>
      <c r="AE8" s="1696">
        <v>2</v>
      </c>
      <c r="AF8" s="1697" t="s">
        <v>296</v>
      </c>
    </row>
    <row r="9" spans="1:32" s="1659" customFormat="1" x14ac:dyDescent="0.2">
      <c r="C9" s="2542" t="s">
        <v>715</v>
      </c>
      <c r="D9" s="2543"/>
      <c r="E9" s="1698">
        <v>8</v>
      </c>
      <c r="G9" s="2298" t="s">
        <v>1397</v>
      </c>
      <c r="H9" s="2303"/>
      <c r="I9" s="923"/>
      <c r="J9" s="1680" t="s">
        <v>542</v>
      </c>
      <c r="K9" s="1699"/>
      <c r="M9" s="1700"/>
      <c r="N9" s="1700"/>
      <c r="O9" s="1700"/>
      <c r="P9" s="1700"/>
      <c r="Q9" s="1700"/>
      <c r="R9" s="1700"/>
      <c r="S9" s="1700"/>
      <c r="T9" s="1700"/>
      <c r="U9" s="1700"/>
      <c r="V9" s="1700"/>
      <c r="W9" s="1701"/>
      <c r="X9" s="1683"/>
      <c r="Z9" s="2546"/>
      <c r="AA9" s="2546"/>
      <c r="AB9" s="1684"/>
      <c r="AC9" s="1684"/>
    </row>
    <row r="10" spans="1:32" s="1659" customFormat="1" ht="13.5" thickBot="1" x14ac:dyDescent="0.25">
      <c r="B10" s="1702"/>
      <c r="C10" s="2542" t="s">
        <v>1082</v>
      </c>
      <c r="D10" s="2543"/>
      <c r="E10" s="1698">
        <v>36</v>
      </c>
      <c r="G10" s="2304" t="s">
        <v>1398</v>
      </c>
      <c r="H10" s="2305">
        <f>H9*H8</f>
        <v>0</v>
      </c>
      <c r="I10" s="923"/>
      <c r="J10" s="1680" t="s">
        <v>540</v>
      </c>
      <c r="K10" s="1703">
        <f>K6*(1-$E$5)</f>
        <v>0</v>
      </c>
      <c r="M10" s="1700"/>
      <c r="N10" s="1700"/>
      <c r="O10" s="1700"/>
      <c r="P10" s="1700"/>
      <c r="Q10" s="1700"/>
      <c r="R10" s="1700"/>
      <c r="S10" s="1700"/>
      <c r="T10" s="1700"/>
      <c r="U10" s="1700"/>
      <c r="V10" s="1700"/>
      <c r="W10" s="1701"/>
      <c r="X10" s="1683"/>
      <c r="Z10" s="1684"/>
      <c r="AA10" s="1704"/>
      <c r="AB10" s="1704"/>
      <c r="AC10" s="1704"/>
    </row>
    <row r="11" spans="1:32" s="1659" customFormat="1" x14ac:dyDescent="0.2">
      <c r="C11" s="2542" t="s">
        <v>792</v>
      </c>
      <c r="D11" s="2543"/>
      <c r="E11" s="1698"/>
      <c r="G11" s="2298" t="s">
        <v>1297</v>
      </c>
      <c r="H11" s="2302"/>
      <c r="J11" s="1680" t="s">
        <v>541</v>
      </c>
      <c r="K11" s="1703">
        <f>K7*(1-$E$5)</f>
        <v>0</v>
      </c>
      <c r="M11" s="1700"/>
      <c r="N11" s="1700"/>
      <c r="O11" s="1700"/>
      <c r="P11" s="1700"/>
      <c r="Q11" s="1700"/>
      <c r="R11" s="1700"/>
      <c r="S11" s="1700"/>
      <c r="T11" s="1700"/>
      <c r="U11" s="1700"/>
      <c r="V11" s="1700"/>
      <c r="W11" s="1701"/>
      <c r="X11" s="1683"/>
    </row>
    <row r="12" spans="1:32" s="1659" customFormat="1" x14ac:dyDescent="0.2">
      <c r="C12" s="2542" t="s">
        <v>732</v>
      </c>
      <c r="D12" s="2543"/>
      <c r="E12" s="1694">
        <f>E11*(E59+E60)</f>
        <v>0</v>
      </c>
      <c r="G12" s="2298" t="s">
        <v>1310</v>
      </c>
      <c r="H12" s="2303"/>
      <c r="I12" s="923" t="s">
        <v>1298</v>
      </c>
      <c r="M12" s="1700"/>
      <c r="N12" s="1700"/>
      <c r="O12" s="1700"/>
      <c r="P12" s="1700"/>
      <c r="Q12" s="1700"/>
      <c r="R12" s="1700"/>
      <c r="S12" s="1700"/>
      <c r="T12" s="1700"/>
      <c r="U12" s="1700"/>
      <c r="V12" s="1700"/>
      <c r="W12" s="1701"/>
      <c r="X12" s="1683"/>
      <c r="Z12" s="2546"/>
      <c r="AA12" s="2546"/>
      <c r="AB12" s="1684"/>
      <c r="AC12" s="1684"/>
    </row>
    <row r="13" spans="1:32" s="1659" customFormat="1" ht="13.5" thickBot="1" x14ac:dyDescent="0.25">
      <c r="C13" s="2542" t="s">
        <v>369</v>
      </c>
      <c r="D13" s="2543"/>
      <c r="E13" s="1694">
        <f>IF(E8=0,0,((E14*12)-E10)/E8)</f>
        <v>0</v>
      </c>
      <c r="G13" s="2304" t="s">
        <v>1015</v>
      </c>
      <c r="H13" s="2305">
        <f>H12*H11</f>
        <v>0</v>
      </c>
      <c r="I13" s="1705"/>
      <c r="J13" s="1683"/>
      <c r="K13" s="1683"/>
      <c r="L13" s="1683"/>
      <c r="M13" s="1683"/>
      <c r="N13" s="1683"/>
      <c r="O13" s="1683"/>
      <c r="P13" s="1682"/>
      <c r="Q13" s="1682"/>
      <c r="R13" s="1682"/>
      <c r="S13" s="1682"/>
      <c r="T13" s="1683"/>
      <c r="U13" s="1683"/>
      <c r="V13" s="1683"/>
      <c r="W13" s="1683"/>
      <c r="X13" s="1683"/>
      <c r="Z13" s="1684"/>
      <c r="AA13" s="1706"/>
      <c r="AB13" s="1706"/>
      <c r="AC13" s="1706"/>
    </row>
    <row r="14" spans="1:32" s="1659" customFormat="1" x14ac:dyDescent="0.2">
      <c r="C14" s="2542" t="s">
        <v>1344</v>
      </c>
      <c r="D14" s="2543"/>
      <c r="E14" s="1694">
        <f>IF(E8=0,0,(SUM(E32:E36)+(((100/E17)/100)*12))/12)</f>
        <v>0</v>
      </c>
      <c r="G14" s="2298" t="s">
        <v>1296</v>
      </c>
      <c r="H14" s="2306"/>
      <c r="I14" s="1705"/>
      <c r="J14" s="1683"/>
      <c r="K14" s="1683"/>
      <c r="L14" s="1683"/>
      <c r="M14" s="1683"/>
      <c r="N14" s="1683"/>
      <c r="O14" s="1683"/>
      <c r="P14" s="1682"/>
      <c r="Q14" s="1682"/>
      <c r="R14" s="1682"/>
      <c r="S14" s="1682"/>
      <c r="T14" s="1683"/>
      <c r="U14" s="1683"/>
      <c r="V14" s="1683"/>
      <c r="W14" s="1683"/>
      <c r="X14" s="1683"/>
      <c r="AA14" s="1706"/>
      <c r="AB14" s="1706"/>
      <c r="AC14" s="1706"/>
    </row>
    <row r="15" spans="1:32" s="1659" customFormat="1" x14ac:dyDescent="0.2">
      <c r="C15" s="2542" t="s">
        <v>365</v>
      </c>
      <c r="D15" s="2543"/>
      <c r="E15" s="1707">
        <f>H16</f>
        <v>0</v>
      </c>
      <c r="F15" s="1708" t="s">
        <v>1343</v>
      </c>
      <c r="G15" s="2298" t="s">
        <v>1311</v>
      </c>
      <c r="H15" s="2303"/>
      <c r="I15" s="1705"/>
      <c r="J15" s="2539" t="s">
        <v>820</v>
      </c>
      <c r="K15" s="2539"/>
      <c r="L15" s="2539"/>
      <c r="M15" s="1709"/>
      <c r="P15" s="1670"/>
      <c r="Q15" s="1670"/>
      <c r="R15" s="1670"/>
      <c r="S15" s="1670"/>
      <c r="AA15" s="1706"/>
      <c r="AB15" s="1706"/>
      <c r="AC15" s="1706"/>
    </row>
    <row r="16" spans="1:32" s="1659" customFormat="1" ht="13.5" thickBot="1" x14ac:dyDescent="0.25">
      <c r="C16" s="2576" t="s">
        <v>364</v>
      </c>
      <c r="D16" s="2577"/>
      <c r="E16" s="1710">
        <f>H18</f>
        <v>0</v>
      </c>
      <c r="G16" s="2304" t="s">
        <v>1322</v>
      </c>
      <c r="H16" s="2305">
        <f>H15*H14</f>
        <v>0</v>
      </c>
      <c r="I16" s="1646"/>
      <c r="J16" s="1711" t="str">
        <f>Descrição!P17</f>
        <v>Área de benfeitorias</v>
      </c>
      <c r="K16" s="1712"/>
      <c r="L16" s="1713">
        <f ca="1">Descrição!Q17</f>
        <v>26</v>
      </c>
      <c r="M16" s="1709"/>
      <c r="P16" s="1670"/>
      <c r="R16" s="1670"/>
      <c r="S16" s="1670"/>
      <c r="T16" s="1670"/>
      <c r="U16" s="1670"/>
      <c r="AA16" s="1706"/>
      <c r="AB16" s="1706"/>
      <c r="AC16" s="1706"/>
    </row>
    <row r="17" spans="1:29" s="1659" customFormat="1" ht="14.25" thickTop="1" thickBot="1" x14ac:dyDescent="0.25">
      <c r="C17" s="2574" t="s">
        <v>367</v>
      </c>
      <c r="D17" s="2575"/>
      <c r="E17" s="1714"/>
      <c r="G17" s="2298"/>
      <c r="H17" s="2307"/>
      <c r="I17" s="1676"/>
      <c r="J17" s="1711" t="str">
        <f>Descrição!P18</f>
        <v>Área de reserva</v>
      </c>
      <c r="K17" s="1712"/>
      <c r="L17" s="1713">
        <f ca="1">Descrição!Q18</f>
        <v>200</v>
      </c>
      <c r="M17" s="1709"/>
      <c r="P17" s="1670"/>
      <c r="Q17" s="632"/>
      <c r="R17" s="1715"/>
      <c r="S17" s="1716" t="s">
        <v>966</v>
      </c>
      <c r="T17" s="1717"/>
      <c r="U17" s="1717"/>
      <c r="V17" s="1717"/>
      <c r="W17" s="1718"/>
      <c r="X17" s="1646"/>
      <c r="AA17" s="1706"/>
      <c r="AB17" s="1706"/>
      <c r="AC17" s="1706"/>
    </row>
    <row r="18" spans="1:29" s="1659" customFormat="1" ht="13.5" customHeight="1" thickTop="1" x14ac:dyDescent="0.2">
      <c r="C18" s="2570" t="s">
        <v>368</v>
      </c>
      <c r="D18" s="2571"/>
      <c r="E18" s="1719">
        <f>IF(E54=0,0,AH89/E54)</f>
        <v>0</v>
      </c>
      <c r="F18" s="1683"/>
      <c r="G18" s="2304" t="s">
        <v>1014</v>
      </c>
      <c r="H18" s="2308">
        <f>(H16*(1-(H19*2)))+(H10*H19)+(H13*H19)</f>
        <v>0</v>
      </c>
      <c r="I18" s="1676"/>
      <c r="J18" s="1711" t="str">
        <f>Descrição!P19</f>
        <v>Área de pastagem perene</v>
      </c>
      <c r="K18" s="1712"/>
      <c r="L18" s="1713">
        <f ca="1">Descrição!Q19</f>
        <v>774</v>
      </c>
      <c r="M18" s="1709"/>
      <c r="P18" s="1670"/>
      <c r="Q18" s="2547" t="s">
        <v>981</v>
      </c>
      <c r="R18" s="2548"/>
      <c r="S18" s="1720" t="s">
        <v>980</v>
      </c>
      <c r="T18" s="1721" t="s">
        <v>978</v>
      </c>
      <c r="U18" s="1721" t="s">
        <v>965</v>
      </c>
      <c r="V18" s="1722"/>
      <c r="W18" s="1723"/>
      <c r="X18" s="1715"/>
    </row>
    <row r="19" spans="1:29" s="1659" customFormat="1" ht="11.25" customHeight="1" x14ac:dyDescent="0.2">
      <c r="C19" s="2542" t="s">
        <v>5</v>
      </c>
      <c r="D19" s="2543"/>
      <c r="E19" s="1724">
        <f>IF(AND(E21&lt;=12,Descrição!C19&gt;4),D90/D118,D90/Z70)</f>
        <v>0.49279470746130927</v>
      </c>
      <c r="F19" s="1725"/>
      <c r="G19" s="2298" t="s">
        <v>822</v>
      </c>
      <c r="H19" s="2309"/>
      <c r="I19" s="1676"/>
      <c r="J19" s="1711" t="str">
        <f>Descrição!P20</f>
        <v>Área de pastagem anual</v>
      </c>
      <c r="K19" s="1712"/>
      <c r="L19" s="1713">
        <f ca="1">Descrição!Q20</f>
        <v>0</v>
      </c>
      <c r="M19" s="1709"/>
      <c r="P19" s="1670"/>
      <c r="Q19" s="1726">
        <v>1</v>
      </c>
      <c r="R19" s="1727">
        <v>31</v>
      </c>
      <c r="S19" s="1727">
        <f>ROUNDDOWN(V19,2)</f>
        <v>0</v>
      </c>
      <c r="T19" s="1728">
        <f t="shared" ref="T19:T29" si="0">IF(E26=0,0,IF(W19&lt;0.99999999,1,IF(W19&gt;=0.999999,ROUNDDOWN(W19+1,0))))</f>
        <v>9</v>
      </c>
      <c r="U19" s="1728">
        <f t="shared" ref="U19:U29" si="1">ROUNDDOWN(E26/12,0)</f>
        <v>0</v>
      </c>
      <c r="V19" s="1728">
        <f t="shared" ref="V19:V29" si="2">IF(E26=0,0,IF(AND(W19&lt;=1,W19&gt;0.999999),0,IF(W19=0,0,IF(AND(W19&gt;0,W19&lt;0.999999),VLOOKUP(J26,$Q$19:$R$30,2)*W19,IF(W19&gt;1,VLOOKUP(J26,$Q$19:$R$30,2)*(W19-(T19-1)))))))</f>
        <v>0</v>
      </c>
      <c r="W19" s="1729">
        <f t="shared" ref="W19:W29" si="3">(((E26/12)-U19)*12)</f>
        <v>8</v>
      </c>
      <c r="X19" s="1715"/>
    </row>
    <row r="20" spans="1:29" s="1659" customFormat="1" x14ac:dyDescent="0.2">
      <c r="C20" s="2540" t="s">
        <v>1045</v>
      </c>
      <c r="D20" s="2541"/>
      <c r="E20" s="1730">
        <f>SUM(E26:E30)</f>
        <v>32</v>
      </c>
      <c r="H20" s="1731"/>
      <c r="I20" s="1676"/>
      <c r="J20" s="1711" t="str">
        <f>Descrição!P21</f>
        <v>Área de lavoura</v>
      </c>
      <c r="K20" s="1712"/>
      <c r="L20" s="1713">
        <f ca="1">Descrição!Q21</f>
        <v>0</v>
      </c>
      <c r="M20" s="1709"/>
      <c r="P20" s="1670"/>
      <c r="Q20" s="1732">
        <v>2</v>
      </c>
      <c r="R20" s="722">
        <v>28</v>
      </c>
      <c r="S20" s="722">
        <f t="shared" ref="S20:S27" si="4">ROUNDDOWN(V20,2)</f>
        <v>0</v>
      </c>
      <c r="T20" s="632">
        <f t="shared" si="0"/>
        <v>6</v>
      </c>
      <c r="U20" s="632">
        <f t="shared" si="1"/>
        <v>0</v>
      </c>
      <c r="V20" s="632">
        <f t="shared" si="2"/>
        <v>0</v>
      </c>
      <c r="W20" s="723">
        <f t="shared" si="3"/>
        <v>5</v>
      </c>
      <c r="X20" s="1715"/>
    </row>
    <row r="21" spans="1:29" s="1659" customFormat="1" x14ac:dyDescent="0.2">
      <c r="C21" s="1733" t="s">
        <v>1391</v>
      </c>
      <c r="E21" s="1734">
        <f>SUMIF(R47:R52,"&gt;0",Q47:Q52)*12</f>
        <v>24</v>
      </c>
      <c r="I21" s="1676"/>
      <c r="J21" s="1735" t="str">
        <f>Descrição!P23</f>
        <v>Área total</v>
      </c>
      <c r="K21" s="1736"/>
      <c r="L21" s="1737">
        <f ca="1">Descrição!Q23</f>
        <v>1000</v>
      </c>
      <c r="M21" s="1709"/>
      <c r="P21" s="1670"/>
      <c r="Q21" s="1732">
        <v>3</v>
      </c>
      <c r="R21" s="722">
        <v>31</v>
      </c>
      <c r="S21" s="722">
        <f t="shared" si="4"/>
        <v>0</v>
      </c>
      <c r="T21" s="632">
        <f t="shared" si="0"/>
        <v>9</v>
      </c>
      <c r="U21" s="632">
        <f t="shared" si="1"/>
        <v>0</v>
      </c>
      <c r="V21" s="632">
        <f t="shared" si="2"/>
        <v>0</v>
      </c>
      <c r="W21" s="723">
        <f t="shared" si="3"/>
        <v>8</v>
      </c>
      <c r="X21" s="1715"/>
    </row>
    <row r="22" spans="1:29" s="1659" customFormat="1" x14ac:dyDescent="0.2">
      <c r="C22" s="2555" t="s">
        <v>366</v>
      </c>
      <c r="D22" s="2556"/>
      <c r="E22" s="1738">
        <f ca="1">IF(H66=0,0,(H66+H70+H71)/(Descrição!Q19+Descrição!Q20))</f>
        <v>1.5924838072727143</v>
      </c>
      <c r="G22" s="1668"/>
      <c r="H22" s="1676"/>
      <c r="I22" s="1676"/>
      <c r="J22" s="1700"/>
      <c r="K22" s="1700"/>
      <c r="L22" s="1700"/>
      <c r="M22" s="1709"/>
      <c r="Q22" s="1732">
        <v>4</v>
      </c>
      <c r="R22" s="722">
        <v>30</v>
      </c>
      <c r="S22" s="722">
        <f t="shared" si="4"/>
        <v>0</v>
      </c>
      <c r="T22" s="632">
        <f t="shared" si="0"/>
        <v>9</v>
      </c>
      <c r="U22" s="632">
        <f t="shared" si="1"/>
        <v>0</v>
      </c>
      <c r="V22" s="632">
        <f t="shared" si="2"/>
        <v>0</v>
      </c>
      <c r="W22" s="723">
        <f t="shared" si="3"/>
        <v>8</v>
      </c>
      <c r="X22" s="1715"/>
    </row>
    <row r="23" spans="1:29" s="1646" customFormat="1" ht="13.5" thickBot="1" x14ac:dyDescent="0.25">
      <c r="A23" s="1659"/>
      <c r="B23" s="1659"/>
      <c r="C23" s="2564" t="s">
        <v>851</v>
      </c>
      <c r="D23" s="2565"/>
      <c r="E23" s="1739">
        <f ca="1">IF(H66=0,0,(H66+H70+H71)/Descrição!Q23)</f>
        <v>1.2325824668290808</v>
      </c>
      <c r="F23" s="1659"/>
      <c r="G23" s="1668"/>
      <c r="H23" s="1676"/>
      <c r="I23" s="1676"/>
      <c r="J23" s="1700"/>
      <c r="K23" s="1700"/>
      <c r="L23" s="1700"/>
      <c r="M23" s="1709"/>
      <c r="N23" s="632"/>
      <c r="Q23" s="1732">
        <v>5</v>
      </c>
      <c r="R23" s="722">
        <v>31</v>
      </c>
      <c r="S23" s="722">
        <f t="shared" si="4"/>
        <v>0</v>
      </c>
      <c r="T23" s="632">
        <f t="shared" si="0"/>
        <v>4</v>
      </c>
      <c r="U23" s="632">
        <f t="shared" si="1"/>
        <v>0</v>
      </c>
      <c r="V23" s="632">
        <f t="shared" si="2"/>
        <v>0</v>
      </c>
      <c r="W23" s="723">
        <f t="shared" si="3"/>
        <v>3</v>
      </c>
      <c r="X23" s="1715"/>
    </row>
    <row r="24" spans="1:29" s="1646" customFormat="1" ht="15" customHeight="1" x14ac:dyDescent="0.2">
      <c r="F24" s="632"/>
      <c r="G24" s="632"/>
      <c r="H24" s="632"/>
      <c r="I24" s="632"/>
      <c r="J24" s="632"/>
      <c r="K24" s="1709"/>
      <c r="L24" s="1709"/>
      <c r="M24" s="1709"/>
      <c r="N24" s="1659"/>
      <c r="Q24" s="1732">
        <v>6</v>
      </c>
      <c r="R24" s="722">
        <v>30</v>
      </c>
      <c r="S24" s="722">
        <f t="shared" si="4"/>
        <v>0</v>
      </c>
      <c r="T24" s="632">
        <f t="shared" si="0"/>
        <v>0</v>
      </c>
      <c r="U24" s="632">
        <f t="shared" si="1"/>
        <v>0</v>
      </c>
      <c r="V24" s="632">
        <f t="shared" si="2"/>
        <v>0</v>
      </c>
      <c r="W24" s="723">
        <f t="shared" si="3"/>
        <v>0</v>
      </c>
      <c r="X24" s="1715"/>
    </row>
    <row r="25" spans="1:29" s="1646" customFormat="1" ht="15" customHeight="1" x14ac:dyDescent="0.2">
      <c r="C25" s="2578" t="s">
        <v>53</v>
      </c>
      <c r="D25" s="2579"/>
      <c r="E25" s="1740" t="s">
        <v>967</v>
      </c>
      <c r="F25" s="1741" t="s">
        <v>371</v>
      </c>
      <c r="G25" s="1741" t="s">
        <v>372</v>
      </c>
      <c r="H25" s="1741" t="s">
        <v>801</v>
      </c>
      <c r="I25" s="1741" t="s">
        <v>980</v>
      </c>
      <c r="J25" s="1741" t="s">
        <v>964</v>
      </c>
      <c r="K25" s="1742" t="s">
        <v>1039</v>
      </c>
      <c r="L25" s="1659"/>
      <c r="M25" s="1659"/>
      <c r="N25" s="1659"/>
      <c r="Q25" s="1732">
        <v>7</v>
      </c>
      <c r="R25" s="722">
        <v>31</v>
      </c>
      <c r="S25" s="722">
        <f t="shared" si="4"/>
        <v>0</v>
      </c>
      <c r="T25" s="632">
        <f t="shared" si="0"/>
        <v>0</v>
      </c>
      <c r="U25" s="632">
        <f t="shared" si="1"/>
        <v>0</v>
      </c>
      <c r="V25" s="632">
        <f t="shared" si="2"/>
        <v>0</v>
      </c>
      <c r="W25" s="723">
        <f t="shared" si="3"/>
        <v>0</v>
      </c>
      <c r="X25" s="1715"/>
    </row>
    <row r="26" spans="1:29" s="1646" customFormat="1" ht="15" customHeight="1" x14ac:dyDescent="0.2">
      <c r="B26" s="1743">
        <v>2</v>
      </c>
      <c r="C26" s="2566" t="s">
        <v>719</v>
      </c>
      <c r="D26" s="2566"/>
      <c r="E26" s="1744">
        <f>E9</f>
        <v>8</v>
      </c>
      <c r="F26" s="1745">
        <v>27</v>
      </c>
      <c r="G26" s="1745">
        <v>180</v>
      </c>
      <c r="H26" s="1746">
        <f>IF(OR(E26=0,F26=0,G26=0),0,((G26-F26)*1000)/(E26*30.5))</f>
        <v>627.04918032786884</v>
      </c>
      <c r="I26" s="1747">
        <f>IF(E26=0,0,ROUNDDOWN((E26-ROUNDDOWN(E26,0))*30.42,0))</f>
        <v>0</v>
      </c>
      <c r="J26" s="1748">
        <f>IF(E26=0,0,ROUNDDOWN(E26,0))</f>
        <v>8</v>
      </c>
      <c r="K26" s="1749" t="s">
        <v>1040</v>
      </c>
      <c r="L26" s="632"/>
      <c r="M26" s="632"/>
      <c r="N26" s="1659"/>
      <c r="Q26" s="1732">
        <v>8</v>
      </c>
      <c r="R26" s="722">
        <v>31</v>
      </c>
      <c r="S26" s="722">
        <f t="shared" si="4"/>
        <v>0</v>
      </c>
      <c r="T26" s="632">
        <f t="shared" si="0"/>
        <v>0</v>
      </c>
      <c r="U26" s="632">
        <f t="shared" si="1"/>
        <v>0</v>
      </c>
      <c r="V26" s="632">
        <f t="shared" si="2"/>
        <v>0</v>
      </c>
      <c r="W26" s="723">
        <f t="shared" si="3"/>
        <v>0</v>
      </c>
      <c r="X26" s="1715"/>
    </row>
    <row r="27" spans="1:29" s="1646" customFormat="1" ht="15" customHeight="1" x14ac:dyDescent="0.2">
      <c r="B27" s="1743">
        <v>3</v>
      </c>
      <c r="C27" s="2566" t="s">
        <v>986</v>
      </c>
      <c r="D27" s="2566"/>
      <c r="E27" s="1744">
        <v>5</v>
      </c>
      <c r="F27" s="1750">
        <f>IF(E26=0,0,G26)</f>
        <v>180</v>
      </c>
      <c r="G27" s="1745">
        <v>250</v>
      </c>
      <c r="H27" s="1746">
        <f t="shared" ref="H27:H33" si="5">IF(OR(E27=0,F27=0,G27=0),0,((G27-F27)*1000)/(E27*30.5))</f>
        <v>459.01639344262293</v>
      </c>
      <c r="I27" s="1747">
        <f t="shared" ref="I27:I34" si="6">IF(E27=0,0,ROUNDDOWN((E27-ROUNDDOWN(E27,0))*30.42,0))</f>
        <v>0</v>
      </c>
      <c r="J27" s="1748">
        <f t="shared" ref="J27:J34" si="7">IF(E27=0,0,ROUNDDOWN(E27,0))</f>
        <v>5</v>
      </c>
      <c r="K27" s="1751"/>
      <c r="L27" s="1659"/>
      <c r="M27" s="1659"/>
      <c r="N27" s="632"/>
      <c r="Q27" s="1732">
        <v>9</v>
      </c>
      <c r="R27" s="722">
        <v>30</v>
      </c>
      <c r="S27" s="722">
        <f t="shared" si="4"/>
        <v>15.5</v>
      </c>
      <c r="T27" s="632">
        <f t="shared" si="0"/>
        <v>3</v>
      </c>
      <c r="U27" s="632">
        <f t="shared" si="1"/>
        <v>2</v>
      </c>
      <c r="V27" s="632">
        <f t="shared" si="2"/>
        <v>15.500000000000055</v>
      </c>
      <c r="W27" s="723">
        <f t="shared" si="3"/>
        <v>2.5000000000000018</v>
      </c>
      <c r="X27" s="1715"/>
    </row>
    <row r="28" spans="1:29" s="1646" customFormat="1" ht="15" customHeight="1" x14ac:dyDescent="0.2">
      <c r="B28" s="1743">
        <v>4</v>
      </c>
      <c r="C28" s="2567" t="s">
        <v>373</v>
      </c>
      <c r="D28" s="2567"/>
      <c r="E28" s="1744">
        <v>8</v>
      </c>
      <c r="F28" s="1750">
        <f>IF(E27=0,0,G27)</f>
        <v>250</v>
      </c>
      <c r="G28" s="1745">
        <v>370</v>
      </c>
      <c r="H28" s="1746">
        <f t="shared" si="5"/>
        <v>491.80327868852459</v>
      </c>
      <c r="I28" s="1747">
        <f t="shared" si="6"/>
        <v>0</v>
      </c>
      <c r="J28" s="1748">
        <f t="shared" si="7"/>
        <v>8</v>
      </c>
      <c r="K28" s="1752"/>
      <c r="L28" s="632"/>
      <c r="M28" s="632"/>
      <c r="N28" s="1659"/>
      <c r="Q28" s="1732">
        <v>10</v>
      </c>
      <c r="R28" s="722">
        <v>31</v>
      </c>
      <c r="S28" s="722">
        <f t="shared" ref="S28:S34" si="8">ROUNDDOWN(V28,2)</f>
        <v>15</v>
      </c>
      <c r="T28" s="632">
        <f t="shared" si="0"/>
        <v>10</v>
      </c>
      <c r="U28" s="632">
        <f t="shared" si="1"/>
        <v>0</v>
      </c>
      <c r="V28" s="632">
        <f t="shared" si="2"/>
        <v>15</v>
      </c>
      <c r="W28" s="723">
        <f t="shared" si="3"/>
        <v>9.5</v>
      </c>
      <c r="X28" s="1715"/>
    </row>
    <row r="29" spans="1:29" s="1646" customFormat="1" ht="15" customHeight="1" x14ac:dyDescent="0.2">
      <c r="B29" s="1743">
        <v>5</v>
      </c>
      <c r="C29" s="2567" t="s">
        <v>543</v>
      </c>
      <c r="D29" s="2567"/>
      <c r="E29" s="1744">
        <v>8</v>
      </c>
      <c r="F29" s="1750">
        <f>G28</f>
        <v>370</v>
      </c>
      <c r="G29" s="1745">
        <v>477</v>
      </c>
      <c r="H29" s="1746">
        <f t="shared" si="5"/>
        <v>438.52459016393442</v>
      </c>
      <c r="I29" s="1747">
        <f t="shared" si="6"/>
        <v>0</v>
      </c>
      <c r="J29" s="1748">
        <f t="shared" si="7"/>
        <v>8</v>
      </c>
      <c r="K29" s="1751"/>
      <c r="L29" s="1659"/>
      <c r="M29" s="1659"/>
      <c r="N29" s="632"/>
      <c r="Q29" s="1732">
        <v>11</v>
      </c>
      <c r="R29" s="722">
        <v>30</v>
      </c>
      <c r="S29" s="722">
        <f t="shared" si="8"/>
        <v>0</v>
      </c>
      <c r="T29" s="632">
        <f t="shared" si="0"/>
        <v>0</v>
      </c>
      <c r="U29" s="632">
        <f t="shared" si="1"/>
        <v>0</v>
      </c>
      <c r="V29" s="632">
        <f t="shared" si="2"/>
        <v>0</v>
      </c>
      <c r="W29" s="723">
        <f t="shared" si="3"/>
        <v>0</v>
      </c>
      <c r="X29" s="1715"/>
    </row>
    <row r="30" spans="1:29" s="1646" customFormat="1" ht="15" customHeight="1" thickBot="1" x14ac:dyDescent="0.25">
      <c r="B30" s="1743">
        <v>6</v>
      </c>
      <c r="C30" s="2554" t="s">
        <v>714</v>
      </c>
      <c r="D30" s="2554"/>
      <c r="E30" s="1753">
        <v>3</v>
      </c>
      <c r="F30" s="1754">
        <f>G29</f>
        <v>477</v>
      </c>
      <c r="G30" s="1755">
        <f>19*30</f>
        <v>570</v>
      </c>
      <c r="H30" s="1756">
        <f t="shared" si="5"/>
        <v>1016.3934426229508</v>
      </c>
      <c r="I30" s="1757">
        <f t="shared" si="6"/>
        <v>0</v>
      </c>
      <c r="J30" s="1758">
        <f t="shared" si="7"/>
        <v>3</v>
      </c>
      <c r="K30" s="1759"/>
      <c r="L30" s="1760"/>
      <c r="M30" s="1760"/>
      <c r="N30" s="1761"/>
      <c r="Q30" s="1762">
        <v>12</v>
      </c>
      <c r="R30" s="1720">
        <v>31</v>
      </c>
      <c r="S30" s="722">
        <f t="shared" si="8"/>
        <v>0</v>
      </c>
      <c r="T30" s="632">
        <f>IF((E37+E38)=0,0,IF(W30&lt;0.99999999,1,IF(W30&gt;=0.999999,ROUNDDOWN(W30+1,0))))</f>
        <v>0</v>
      </c>
      <c r="U30" s="632">
        <f>ROUNDDOWN((E37+E38)/12,0)</f>
        <v>0</v>
      </c>
      <c r="V30" s="632">
        <f>IF((E37+E38)=0,0,IF(AND(W30&lt;=1,W30&gt;0.999999),0,IF(W30=0,0,IF(AND(W30&gt;0,W30&lt;0.999999),VLOOKUP(J37,$Q$19:$R$30,2)*W30,IF(W30&gt;1,VLOOKUP(J37,$Q$19:$R$30,2)*(W30-(T30-1)))))))</f>
        <v>0</v>
      </c>
      <c r="W30" s="723">
        <f>((((E37+E38)/12)-U30)*12)</f>
        <v>0</v>
      </c>
      <c r="X30" s="1715"/>
    </row>
    <row r="31" spans="1:29" s="1646" customFormat="1" ht="15" customHeight="1" thickTop="1" thickBot="1" x14ac:dyDescent="0.25">
      <c r="B31" s="1743">
        <v>7</v>
      </c>
      <c r="C31" s="2588" t="s">
        <v>700</v>
      </c>
      <c r="D31" s="2588"/>
      <c r="E31" s="1763"/>
      <c r="F31" s="1764"/>
      <c r="G31" s="1764"/>
      <c r="H31" s="1765">
        <f t="shared" si="5"/>
        <v>0</v>
      </c>
      <c r="I31" s="1766">
        <f t="shared" si="6"/>
        <v>0</v>
      </c>
      <c r="J31" s="1767">
        <f t="shared" si="7"/>
        <v>0</v>
      </c>
      <c r="K31" s="1768"/>
      <c r="N31" s="1769"/>
      <c r="Q31" s="632"/>
      <c r="R31" s="632"/>
      <c r="S31" s="722">
        <f t="shared" si="8"/>
        <v>0</v>
      </c>
      <c r="T31" s="632">
        <f>IF(E39=0,0,IF(W31&lt;0.99999999,1,IF(W31&gt;=0.999999,ROUNDDOWN(W31+1,0))))</f>
        <v>0</v>
      </c>
      <c r="U31" s="632">
        <f>ROUNDDOWN(E39/12,0)</f>
        <v>0</v>
      </c>
      <c r="V31" s="632">
        <f>IF(E39=0,0,IF(AND(W31&lt;=1,W31&gt;0.999999),0,IF(W31=0,0,IF(AND(W31&gt;0,W31&lt;0.999999),VLOOKUP(J39,$Q$19:$R$30,2)*W31,IF(W31&gt;1,VLOOKUP(J39,$Q$19:$R$30,2)*(W31-(T31-1)))))))</f>
        <v>0</v>
      </c>
      <c r="W31" s="723">
        <f>(((E39/12)-U31)*12)</f>
        <v>0</v>
      </c>
      <c r="X31" s="1715"/>
    </row>
    <row r="32" spans="1:29" s="1646" customFormat="1" ht="15" customHeight="1" thickTop="1" x14ac:dyDescent="0.2">
      <c r="B32" s="1743">
        <v>8</v>
      </c>
      <c r="C32" s="2589" t="s">
        <v>718</v>
      </c>
      <c r="D32" s="2589"/>
      <c r="E32" s="1770"/>
      <c r="F32" s="1771"/>
      <c r="G32" s="1771"/>
      <c r="H32" s="1772">
        <f t="shared" si="5"/>
        <v>0</v>
      </c>
      <c r="I32" s="1773">
        <f t="shared" si="6"/>
        <v>0</v>
      </c>
      <c r="J32" s="1774">
        <f t="shared" si="7"/>
        <v>0</v>
      </c>
      <c r="K32" s="1720"/>
      <c r="N32" s="1761"/>
      <c r="Q32" s="632"/>
      <c r="R32" s="632"/>
      <c r="S32" s="722">
        <f t="shared" si="8"/>
        <v>0</v>
      </c>
      <c r="T32" s="632">
        <f>IF(E40=0,0,IF(W32&lt;0.99999999,1,IF(W32&gt;=0.999999,ROUNDDOWN(W32+1,0))))</f>
        <v>0</v>
      </c>
      <c r="U32" s="632">
        <f>ROUNDDOWN(E40/12,0)</f>
        <v>0</v>
      </c>
      <c r="V32" s="632">
        <f>IF(E40=0,0,IF(AND(W32&lt;=1,W32&gt;0.999999),0,IF(W32=0,0,IF(AND(W32&gt;0,W32&lt;0.999999),VLOOKUP(J40,$Q$19:$R$30,2)*W32,IF(W32&gt;1,VLOOKUP(J40,$Q$19:$R$30,2)*(W32-(T32-1)))))))</f>
        <v>0</v>
      </c>
      <c r="W32" s="723">
        <f>(((E40/12)-U32)*12)</f>
        <v>0</v>
      </c>
      <c r="X32" s="1715"/>
    </row>
    <row r="33" spans="1:257" s="1646" customFormat="1" ht="15" customHeight="1" x14ac:dyDescent="0.2">
      <c r="B33" s="1743">
        <v>9</v>
      </c>
      <c r="C33" s="2567" t="s">
        <v>712</v>
      </c>
      <c r="D33" s="2567"/>
      <c r="E33" s="1775">
        <f>IF(E32=0,0,12-E32)</f>
        <v>0</v>
      </c>
      <c r="F33" s="1750">
        <f>G32</f>
        <v>0</v>
      </c>
      <c r="G33" s="1745"/>
      <c r="H33" s="1746">
        <f t="shared" si="5"/>
        <v>0</v>
      </c>
      <c r="I33" s="1747">
        <f t="shared" si="6"/>
        <v>0</v>
      </c>
      <c r="J33" s="1748">
        <f t="shared" si="7"/>
        <v>0</v>
      </c>
      <c r="K33" s="1776">
        <v>1</v>
      </c>
      <c r="N33" s="1769"/>
      <c r="Q33" s="632"/>
      <c r="R33" s="632"/>
      <c r="S33" s="722">
        <f t="shared" si="8"/>
        <v>0</v>
      </c>
      <c r="T33" s="632">
        <f>IF(E41=0,0,IF(W33&lt;0.99999999,1,IF(W33&gt;=0.999999,ROUNDDOWN(W33+1,0))))</f>
        <v>0</v>
      </c>
      <c r="U33" s="632">
        <f>ROUNDDOWN(E41/12,0)</f>
        <v>0</v>
      </c>
      <c r="V33" s="632">
        <f>IF(E41=0,0,IF(AND(W33&lt;=1,W33&gt;0.999999),0,IF(W33=0,0,IF(AND(W33&gt;0,W33&lt;0.999999),VLOOKUP(J41,$Q$19:$R$30,2)*W33,IF(W33&gt;1,VLOOKUP(J41,$Q$19:$R$30,2)*(W33-(T33-1)))))))</f>
        <v>0</v>
      </c>
      <c r="W33" s="723">
        <f>(((E41/12)-U33)*12)</f>
        <v>0</v>
      </c>
      <c r="X33" s="1715"/>
    </row>
    <row r="34" spans="1:257" s="1646" customFormat="1" ht="15" customHeight="1" x14ac:dyDescent="0.2">
      <c r="B34" s="1743">
        <v>10</v>
      </c>
      <c r="C34" s="2567" t="s">
        <v>973</v>
      </c>
      <c r="D34" s="2567"/>
      <c r="E34" s="1775">
        <f>IF(E10=0,0,IF((E10-E33-E32-E35)&lt;=0,0,IF((E10-E33-E32-E35)&gt;0,E10-E33-E32-E35)))</f>
        <v>26.5</v>
      </c>
      <c r="F34" s="1750">
        <f>G33</f>
        <v>0</v>
      </c>
      <c r="G34" s="1745"/>
      <c r="H34" s="1746">
        <f>IF(OR(E34=0,F34=0,G34=0),0,((G34-F34)*1000)/(E34*30.5))</f>
        <v>0</v>
      </c>
      <c r="I34" s="1747">
        <f t="shared" si="6"/>
        <v>15</v>
      </c>
      <c r="J34" s="1748">
        <f t="shared" si="7"/>
        <v>26</v>
      </c>
      <c r="K34" s="1716">
        <v>1</v>
      </c>
      <c r="N34" s="1769"/>
      <c r="Q34" s="632"/>
      <c r="R34" s="632"/>
      <c r="S34" s="1720">
        <f t="shared" si="8"/>
        <v>0</v>
      </c>
      <c r="T34" s="1721">
        <f>IF(E42=0,0,IF(W34&lt;0.99999999,1,IF(W34&gt;=0.999999,ROUNDDOWN(W34+1,0))))</f>
        <v>0</v>
      </c>
      <c r="U34" s="1721">
        <f>ROUNDDOWN(E42/12,0)</f>
        <v>0</v>
      </c>
      <c r="V34" s="1721">
        <f>IF(E42=0,0,IF(AND(W34&lt;=1,W34&gt;0.999999),0,IF(W34=0,0,IF(AND(W34&gt;0,W34&lt;0.999999),VLOOKUP(J42,$Q$19:$R$30,2)*W34,IF(W34&gt;1,VLOOKUP(J42,$Q$19:$R$30,2)*(W34-(T34-1)))))))</f>
        <v>0</v>
      </c>
      <c r="W34" s="1777">
        <f>(((E42/12)-U34)*12)</f>
        <v>0</v>
      </c>
      <c r="X34" s="1715"/>
    </row>
    <row r="35" spans="1:257" s="1646" customFormat="1" ht="15" customHeight="1" x14ac:dyDescent="0.2">
      <c r="B35" s="1743">
        <v>11</v>
      </c>
      <c r="C35" s="2580" t="s">
        <v>972</v>
      </c>
      <c r="D35" s="2581"/>
      <c r="E35" s="1775">
        <f>IF(E10&gt;0,9.5,0)</f>
        <v>9.5</v>
      </c>
      <c r="F35" s="1750">
        <f>IF(E34=0,0,G34)</f>
        <v>0</v>
      </c>
      <c r="G35" s="1745"/>
      <c r="H35" s="1746">
        <f t="shared" ref="H35:H42" si="9">IF(OR(E35=0,F35=0,G35=0),0,((G35-F35)*1000)/(E35*30.5))</f>
        <v>0</v>
      </c>
      <c r="I35" s="1747">
        <f t="shared" ref="I35:I42" si="10">IF(E35=0,0,ROUNDDOWN((E35-ROUNDDOWN(E35,0))*30.42,0))</f>
        <v>15</v>
      </c>
      <c r="J35" s="1748">
        <f t="shared" ref="J35:J42" si="11">IF(E35=0,0,ROUNDDOWN(E35,0))</f>
        <v>9</v>
      </c>
      <c r="K35" s="1778"/>
      <c r="N35" s="1761"/>
      <c r="W35" s="1715"/>
    </row>
    <row r="36" spans="1:257" s="1646" customFormat="1" ht="15" customHeight="1" x14ac:dyDescent="0.2">
      <c r="B36" s="1743">
        <v>12</v>
      </c>
      <c r="C36" s="2580" t="s">
        <v>702</v>
      </c>
      <c r="D36" s="2581"/>
      <c r="E36" s="1775">
        <f>IF(E8=0,0,E8)</f>
        <v>0</v>
      </c>
      <c r="F36" s="1750">
        <f>IF(F35=0,0,IF(F35&gt;0,G35))</f>
        <v>0</v>
      </c>
      <c r="G36" s="1745"/>
      <c r="H36" s="1746">
        <f t="shared" si="9"/>
        <v>0</v>
      </c>
      <c r="I36" s="1747">
        <f t="shared" si="10"/>
        <v>0</v>
      </c>
      <c r="J36" s="1748">
        <f t="shared" si="11"/>
        <v>0</v>
      </c>
      <c r="K36" s="1779"/>
      <c r="N36" s="1769"/>
      <c r="W36" s="1715"/>
    </row>
    <row r="37" spans="1:257" s="1646" customFormat="1" ht="15" customHeight="1" x14ac:dyDescent="0.2">
      <c r="B37" s="1743">
        <v>13</v>
      </c>
      <c r="C37" s="2580" t="s">
        <v>1051</v>
      </c>
      <c r="D37" s="2581"/>
      <c r="E37" s="1775">
        <f>IF(E17=0,0,((100/E17)/100)*12)</f>
        <v>0</v>
      </c>
      <c r="F37" s="1745"/>
      <c r="G37" s="1745"/>
      <c r="H37" s="1746">
        <f t="shared" si="9"/>
        <v>0</v>
      </c>
      <c r="I37" s="1747">
        <f t="shared" si="10"/>
        <v>0</v>
      </c>
      <c r="J37" s="1748">
        <f t="shared" si="11"/>
        <v>0</v>
      </c>
      <c r="K37" s="1780"/>
      <c r="N37" s="1761"/>
      <c r="W37" s="1715"/>
    </row>
    <row r="38" spans="1:257" s="1646" customFormat="1" ht="15" customHeight="1" thickBot="1" x14ac:dyDescent="0.25">
      <c r="B38" s="1743">
        <v>14</v>
      </c>
      <c r="C38" s="2586" t="s">
        <v>1049</v>
      </c>
      <c r="D38" s="2587"/>
      <c r="E38" s="1781">
        <f>IF(E17=0,0,((100/E17)/100)*12)</f>
        <v>0</v>
      </c>
      <c r="F38" s="1755"/>
      <c r="G38" s="1755"/>
      <c r="H38" s="1756">
        <f t="shared" si="9"/>
        <v>0</v>
      </c>
      <c r="I38" s="1757">
        <f t="shared" si="10"/>
        <v>0</v>
      </c>
      <c r="J38" s="1758">
        <f t="shared" si="11"/>
        <v>0</v>
      </c>
      <c r="K38" s="1782">
        <v>1</v>
      </c>
      <c r="N38" s="1761"/>
      <c r="W38" s="1715"/>
    </row>
    <row r="39" spans="1:257" s="1646" customFormat="1" ht="15" customHeight="1" thickTop="1" x14ac:dyDescent="0.2">
      <c r="B39" s="1743">
        <v>15</v>
      </c>
      <c r="C39" s="2584" t="s">
        <v>969</v>
      </c>
      <c r="D39" s="2585"/>
      <c r="E39" s="1783"/>
      <c r="F39" s="1771"/>
      <c r="G39" s="1771"/>
      <c r="H39" s="1772">
        <f t="shared" si="9"/>
        <v>0</v>
      </c>
      <c r="I39" s="1773">
        <f t="shared" si="10"/>
        <v>0</v>
      </c>
      <c r="J39" s="1774">
        <f t="shared" si="11"/>
        <v>0</v>
      </c>
      <c r="K39" s="1751"/>
      <c r="L39" s="1769"/>
      <c r="M39" s="1769"/>
      <c r="N39" s="1761"/>
      <c r="W39" s="1715"/>
    </row>
    <row r="40" spans="1:257" s="1646" customFormat="1" ht="15" customHeight="1" x14ac:dyDescent="0.2">
      <c r="B40" s="1743">
        <v>16</v>
      </c>
      <c r="C40" s="2582" t="s">
        <v>970</v>
      </c>
      <c r="D40" s="2583"/>
      <c r="E40" s="1744"/>
      <c r="F40" s="1750">
        <f>IF(E39=0,0,G39)</f>
        <v>0</v>
      </c>
      <c r="G40" s="1745"/>
      <c r="H40" s="1746">
        <f t="shared" si="9"/>
        <v>0</v>
      </c>
      <c r="I40" s="1747">
        <f t="shared" si="10"/>
        <v>0</v>
      </c>
      <c r="J40" s="1748">
        <f t="shared" si="11"/>
        <v>0</v>
      </c>
      <c r="K40" s="1751"/>
      <c r="L40" s="1769"/>
      <c r="M40" s="1769"/>
      <c r="N40" s="1659"/>
      <c r="W40" s="1715"/>
    </row>
    <row r="41" spans="1:257" s="1646" customFormat="1" ht="15" customHeight="1" x14ac:dyDescent="0.2">
      <c r="B41" s="1743">
        <v>17</v>
      </c>
      <c r="C41" s="2580" t="s">
        <v>974</v>
      </c>
      <c r="D41" s="2581"/>
      <c r="E41" s="1744"/>
      <c r="F41" s="1750">
        <f>IF(E40=0,0,G40)</f>
        <v>0</v>
      </c>
      <c r="G41" s="1745"/>
      <c r="H41" s="1746">
        <f t="shared" si="9"/>
        <v>0</v>
      </c>
      <c r="I41" s="1747">
        <f t="shared" si="10"/>
        <v>0</v>
      </c>
      <c r="J41" s="1748">
        <f t="shared" si="11"/>
        <v>0</v>
      </c>
      <c r="K41" s="1751"/>
      <c r="L41" s="632"/>
      <c r="M41" s="632"/>
      <c r="N41" s="1659"/>
      <c r="O41" s="632"/>
      <c r="V41" s="1715"/>
      <c r="W41" s="1715"/>
    </row>
    <row r="42" spans="1:257" s="1646" customFormat="1" ht="15" customHeight="1" x14ac:dyDescent="0.2">
      <c r="B42" s="1743">
        <v>18</v>
      </c>
      <c r="C42" s="2582" t="s">
        <v>971</v>
      </c>
      <c r="D42" s="2583"/>
      <c r="E42" s="1744"/>
      <c r="F42" s="1750">
        <f>G41</f>
        <v>0</v>
      </c>
      <c r="G42" s="1745"/>
      <c r="H42" s="1746">
        <f t="shared" si="9"/>
        <v>0</v>
      </c>
      <c r="I42" s="1747">
        <f t="shared" si="10"/>
        <v>0</v>
      </c>
      <c r="J42" s="1748">
        <f t="shared" si="11"/>
        <v>0</v>
      </c>
      <c r="K42" s="1751"/>
      <c r="L42" s="632"/>
      <c r="M42" s="632"/>
      <c r="N42" s="632"/>
      <c r="O42" s="632"/>
      <c r="P42" s="632"/>
      <c r="Q42" s="632"/>
      <c r="S42" s="632"/>
      <c r="T42" s="632"/>
      <c r="U42" s="632"/>
      <c r="V42" s="1715"/>
      <c r="W42" s="1715"/>
    </row>
    <row r="43" spans="1:257" s="1788" customFormat="1" ht="15" customHeight="1" thickBot="1" x14ac:dyDescent="0.25">
      <c r="A43" s="1646"/>
      <c r="B43" s="1646"/>
      <c r="C43" s="1784"/>
      <c r="D43" s="1784"/>
      <c r="E43" s="1785"/>
      <c r="F43" s="1786"/>
      <c r="G43" s="1786"/>
      <c r="H43" s="632"/>
      <c r="I43" s="632"/>
      <c r="J43" s="632"/>
      <c r="K43" s="632"/>
      <c r="L43" s="632"/>
      <c r="M43" s="632"/>
      <c r="N43" s="1787"/>
      <c r="O43" s="1787"/>
      <c r="P43" s="1787"/>
      <c r="V43" s="1789"/>
      <c r="W43" s="1789"/>
      <c r="AN43" s="1788">
        <v>1</v>
      </c>
      <c r="AO43" s="1788">
        <v>2</v>
      </c>
      <c r="AP43" s="1788">
        <v>3</v>
      </c>
      <c r="AQ43" s="1788">
        <v>4</v>
      </c>
      <c r="AR43" s="1788">
        <v>5</v>
      </c>
      <c r="AS43" s="1788">
        <v>6</v>
      </c>
      <c r="AT43" s="1788">
        <v>7</v>
      </c>
      <c r="AU43" s="1788">
        <v>8</v>
      </c>
      <c r="AV43" s="1788">
        <v>9</v>
      </c>
    </row>
    <row r="44" spans="1:257" s="1646" customFormat="1" ht="15" customHeight="1" thickBot="1" x14ac:dyDescent="0.25">
      <c r="A44" s="1788"/>
      <c r="B44" s="1788"/>
      <c r="C44" s="1672" t="s">
        <v>375</v>
      </c>
      <c r="D44" s="1673"/>
      <c r="E44" s="1790"/>
      <c r="F44" s="1791"/>
      <c r="G44" s="1791"/>
      <c r="H44" s="1787"/>
      <c r="I44" s="1787"/>
      <c r="J44" s="1787"/>
      <c r="K44" s="1787"/>
      <c r="L44" s="1787"/>
      <c r="M44" s="1787"/>
      <c r="N44" s="1668"/>
      <c r="O44" s="632"/>
      <c r="P44" s="632"/>
      <c r="Q44" s="632"/>
      <c r="R44" s="632"/>
      <c r="S44" s="632"/>
      <c r="T44" s="632"/>
      <c r="U44" s="632"/>
      <c r="V44" s="1715"/>
      <c r="W44" s="1715"/>
      <c r="AO44" s="1792" t="str">
        <f t="shared" ref="AO44:AO62" si="12">P46</f>
        <v>Categorias</v>
      </c>
      <c r="AP44" s="1792" t="str">
        <f t="shared" ref="AP44:AP62" si="13">Q46</f>
        <v>Tempo de perm. P/ pond.</v>
      </c>
      <c r="AQ44" s="1792" t="str">
        <f>S46</f>
        <v>Cabeças</v>
      </c>
      <c r="AR44" s="1792" t="str">
        <f>R46</f>
        <v>UA pond</v>
      </c>
      <c r="AS44" s="1792" t="str">
        <f>Z46</f>
        <v>Cabeças Pond</v>
      </c>
      <c r="AT44" s="1793" t="str">
        <f>T46</f>
        <v>kg médio/categoria</v>
      </c>
      <c r="AU44" s="1715" t="str">
        <f>E25</f>
        <v>Tempo permanencia</v>
      </c>
      <c r="AV44" s="1684" t="s">
        <v>1023</v>
      </c>
    </row>
    <row r="45" spans="1:257" s="1646" customFormat="1" ht="18.75" customHeight="1" thickBot="1" x14ac:dyDescent="0.25">
      <c r="C45" s="1668"/>
      <c r="D45" s="1668"/>
      <c r="E45" s="1668"/>
      <c r="G45" s="1668"/>
      <c r="H45" s="1668"/>
      <c r="J45" s="1668"/>
      <c r="K45" s="1668"/>
      <c r="L45" s="1668"/>
      <c r="M45" s="1668"/>
      <c r="N45" s="1668"/>
      <c r="O45" s="632"/>
      <c r="AE45" s="1794"/>
      <c r="AF45" s="1794"/>
      <c r="AG45" s="1794"/>
      <c r="AH45" s="1794"/>
      <c r="AJ45" s="2598" t="s">
        <v>1010</v>
      </c>
      <c r="AK45" s="2599"/>
      <c r="AL45" s="2599"/>
      <c r="AM45" s="2600"/>
      <c r="AN45" s="1743">
        <v>1</v>
      </c>
      <c r="AO45" s="1795"/>
      <c r="AP45" s="1796"/>
      <c r="AQ45" s="1797"/>
      <c r="AR45" s="1798"/>
      <c r="AS45" s="1797"/>
      <c r="AT45" s="1799"/>
      <c r="AU45" s="1800"/>
      <c r="AV45" s="1801"/>
    </row>
    <row r="46" spans="1:257" s="1646" customFormat="1" ht="21.75" customHeight="1" thickBot="1" x14ac:dyDescent="0.25">
      <c r="C46" s="2590" t="s">
        <v>376</v>
      </c>
      <c r="D46" s="2591"/>
      <c r="E46" s="2611" t="s">
        <v>818</v>
      </c>
      <c r="F46" s="2551" t="s">
        <v>845</v>
      </c>
      <c r="G46" s="2551" t="s">
        <v>1331</v>
      </c>
      <c r="H46" s="2551" t="s">
        <v>1044</v>
      </c>
      <c r="I46" s="2551" t="s">
        <v>1046</v>
      </c>
      <c r="J46" s="2551" t="s">
        <v>1206</v>
      </c>
      <c r="K46" s="1668"/>
      <c r="L46" s="1668"/>
      <c r="M46" s="1668"/>
      <c r="N46" s="1645"/>
      <c r="P46" s="1802" t="s">
        <v>553</v>
      </c>
      <c r="Q46" s="1803" t="s">
        <v>474</v>
      </c>
      <c r="R46" s="1804" t="s">
        <v>556</v>
      </c>
      <c r="S46" s="1805" t="s">
        <v>555</v>
      </c>
      <c r="T46" s="1806" t="s">
        <v>846</v>
      </c>
      <c r="U46" s="1807" t="s">
        <v>1335</v>
      </c>
      <c r="V46" s="1808" t="s">
        <v>1336</v>
      </c>
      <c r="W46" s="1809" t="s">
        <v>1207</v>
      </c>
      <c r="X46" s="1807" t="s">
        <v>1337</v>
      </c>
      <c r="Y46" s="1810" t="s">
        <v>1338</v>
      </c>
      <c r="Z46" s="1811" t="s">
        <v>877</v>
      </c>
      <c r="AA46" s="1812" t="s">
        <v>1043</v>
      </c>
      <c r="AB46" s="1813" t="s">
        <v>1008</v>
      </c>
      <c r="AC46" s="1814" t="s">
        <v>53</v>
      </c>
      <c r="AD46" s="1743">
        <v>2</v>
      </c>
      <c r="AE46" s="1815" t="str">
        <f t="shared" ref="AE46:AE62" si="14">C26</f>
        <v>Bezerro em aleitamento</v>
      </c>
      <c r="AF46" s="1815" t="str">
        <f>AE46</f>
        <v>Bezerro em aleitamento</v>
      </c>
      <c r="AG46" s="1816">
        <v>36892</v>
      </c>
      <c r="AH46" s="1816">
        <v>36892</v>
      </c>
      <c r="AJ46" s="2601"/>
      <c r="AK46" s="2602"/>
      <c r="AL46" s="2602"/>
      <c r="AM46" s="2603"/>
      <c r="AN46" s="1743">
        <v>2</v>
      </c>
      <c r="AO46" s="1817">
        <f t="shared" si="12"/>
        <v>0</v>
      </c>
      <c r="AP46" s="1818">
        <f t="shared" si="13"/>
        <v>0.66666666666666663</v>
      </c>
      <c r="AQ46" s="1819">
        <f>Rebanho!S48</f>
        <v>0</v>
      </c>
      <c r="AR46" s="751">
        <f t="shared" ref="AR46:AR62" si="15">R48</f>
        <v>0</v>
      </c>
      <c r="AS46" s="1820">
        <f>Rebanho!Z48</f>
        <v>0</v>
      </c>
      <c r="AT46" s="1821">
        <f t="shared" ref="AT46:AT62" si="16">T48</f>
        <v>0</v>
      </c>
      <c r="AU46" s="1822">
        <f t="shared" ref="AU46:AU62" si="17">E26</f>
        <v>8</v>
      </c>
      <c r="AV46" s="1822">
        <f>IF(AU46&gt;12,12,AU46)</f>
        <v>8</v>
      </c>
      <c r="IN46" s="1823"/>
      <c r="IO46" s="1823"/>
      <c r="IP46" s="1823"/>
      <c r="IQ46" s="1823"/>
      <c r="IR46" s="1823"/>
      <c r="IS46" s="1823"/>
      <c r="IT46" s="1823"/>
      <c r="IU46" s="1823"/>
      <c r="IV46" s="1823"/>
      <c r="IW46" s="1823"/>
    </row>
    <row r="47" spans="1:257" s="1823" customFormat="1" ht="13.5" thickBot="1" x14ac:dyDescent="0.25">
      <c r="A47" s="1646"/>
      <c r="B47" s="1646"/>
      <c r="C47" s="2592"/>
      <c r="D47" s="2593"/>
      <c r="E47" s="2612"/>
      <c r="F47" s="2551"/>
      <c r="G47" s="2551"/>
      <c r="H47" s="2551"/>
      <c r="I47" s="2551"/>
      <c r="J47" s="2551"/>
      <c r="K47" s="1646"/>
      <c r="L47" s="1646"/>
      <c r="M47" s="1646"/>
      <c r="N47" s="1646"/>
      <c r="O47" s="1743">
        <v>1</v>
      </c>
      <c r="P47" s="1794"/>
      <c r="Q47" s="1824"/>
      <c r="R47" s="1825"/>
      <c r="S47" s="1826"/>
      <c r="T47" s="1825"/>
      <c r="U47" s="1827"/>
      <c r="V47" s="1828"/>
      <c r="W47" s="1829"/>
      <c r="X47" s="1827"/>
      <c r="Y47" s="1830"/>
      <c r="Z47" s="1831"/>
      <c r="AA47" s="1832"/>
      <c r="AB47" s="1833"/>
      <c r="AC47" s="1834"/>
      <c r="AD47" s="1743">
        <v>3</v>
      </c>
      <c r="AE47" s="1815" t="str">
        <f t="shared" si="14"/>
        <v>Bezerro desmamados</v>
      </c>
      <c r="AF47" s="1815" t="str">
        <f t="shared" ref="AF47:AF62" si="18">AE47</f>
        <v>Bezerro desmamados</v>
      </c>
      <c r="AG47" s="1816">
        <v>36923</v>
      </c>
      <c r="AH47" s="1816">
        <v>36923</v>
      </c>
      <c r="AI47" s="1646"/>
      <c r="AJ47" s="1835" t="s">
        <v>23</v>
      </c>
      <c r="AK47" s="1836" t="s">
        <v>1011</v>
      </c>
      <c r="AL47" s="1796" t="s">
        <v>825</v>
      </c>
      <c r="AM47" s="1837"/>
      <c r="AN47" s="1743">
        <v>3</v>
      </c>
      <c r="AO47" s="1817" t="str">
        <f t="shared" si="12"/>
        <v>Bezerro Desmamados</v>
      </c>
      <c r="AP47" s="1818">
        <f t="shared" si="13"/>
        <v>0.41666666666666669</v>
      </c>
      <c r="AQ47" s="1819">
        <f>Rebanho!S49</f>
        <v>793.33333333333337</v>
      </c>
      <c r="AR47" s="751">
        <f t="shared" si="15"/>
        <v>157.93209876543213</v>
      </c>
      <c r="AS47" s="1820">
        <f>Rebanho!Z49</f>
        <v>330.5555555555556</v>
      </c>
      <c r="AT47" s="1821">
        <f>T49</f>
        <v>170566.66666666669</v>
      </c>
      <c r="AU47" s="1822">
        <f t="shared" si="17"/>
        <v>5</v>
      </c>
      <c r="AV47" s="1822">
        <f t="shared" ref="AV47:AV62" si="19">IF(AU47&gt;12,12,AU47)</f>
        <v>5</v>
      </c>
      <c r="AW47" s="1646"/>
      <c r="AX47" s="1646"/>
      <c r="AY47" s="1646"/>
      <c r="AZ47" s="1646"/>
      <c r="BA47" s="1646"/>
      <c r="BB47" s="1646"/>
      <c r="BC47" s="1646"/>
      <c r="BD47" s="1646"/>
      <c r="BE47" s="1646"/>
      <c r="BF47" s="1646"/>
      <c r="BG47" s="1646"/>
      <c r="BH47" s="1646"/>
      <c r="BI47" s="1646"/>
      <c r="BJ47" s="1646"/>
      <c r="BK47" s="1646"/>
      <c r="BL47" s="1646"/>
      <c r="BM47" s="1646"/>
      <c r="BN47" s="1646"/>
      <c r="BO47" s="1646"/>
      <c r="BP47" s="1646"/>
      <c r="BQ47" s="1646"/>
      <c r="BR47" s="1646"/>
      <c r="BS47" s="1646"/>
      <c r="BT47" s="1646"/>
      <c r="BU47" s="1646"/>
      <c r="BV47" s="1646"/>
      <c r="BW47" s="1646"/>
      <c r="BX47" s="1646"/>
      <c r="BY47" s="1646"/>
      <c r="BZ47" s="1646"/>
      <c r="CA47" s="1646"/>
      <c r="CB47" s="1646"/>
      <c r="CC47" s="1646"/>
      <c r="CD47" s="1646"/>
      <c r="CE47" s="1646"/>
      <c r="CF47" s="1646"/>
      <c r="CG47" s="1646"/>
      <c r="CH47" s="1646"/>
      <c r="CI47" s="1646"/>
      <c r="CJ47" s="1646"/>
      <c r="CK47" s="1646"/>
      <c r="CL47" s="1646"/>
      <c r="CM47" s="1646"/>
      <c r="CN47" s="1646"/>
      <c r="CO47" s="1646"/>
      <c r="CP47" s="1646"/>
      <c r="CQ47" s="1646"/>
      <c r="CR47" s="1646"/>
      <c r="CS47" s="1646"/>
      <c r="CT47" s="1646"/>
      <c r="CU47" s="1646"/>
      <c r="CV47" s="1646"/>
      <c r="CW47" s="1646"/>
      <c r="CX47" s="1646"/>
      <c r="CY47" s="1646"/>
      <c r="CZ47" s="1646"/>
      <c r="DA47" s="1646"/>
      <c r="DB47" s="1646"/>
      <c r="DC47" s="1646"/>
      <c r="DD47" s="1646"/>
      <c r="DE47" s="1646"/>
      <c r="DF47" s="1646"/>
      <c r="DG47" s="1646"/>
      <c r="DH47" s="1646"/>
      <c r="DI47" s="1646"/>
      <c r="DJ47" s="1646"/>
      <c r="DK47" s="1646"/>
      <c r="DL47" s="1646"/>
      <c r="DM47" s="1646"/>
      <c r="DN47" s="1646"/>
      <c r="DO47" s="1646"/>
      <c r="DP47" s="1646"/>
      <c r="DQ47" s="1646"/>
      <c r="DR47" s="1646"/>
      <c r="DS47" s="1646"/>
      <c r="DT47" s="1646"/>
      <c r="DU47" s="1646"/>
      <c r="DV47" s="1646"/>
      <c r="DW47" s="1646"/>
      <c r="DX47" s="1646"/>
      <c r="DY47" s="1646"/>
      <c r="DZ47" s="1646"/>
      <c r="EA47" s="1646"/>
      <c r="EB47" s="1646"/>
      <c r="EC47" s="1646"/>
      <c r="ED47" s="1646"/>
      <c r="EE47" s="1646"/>
      <c r="EF47" s="1646"/>
      <c r="EG47" s="1646"/>
      <c r="EH47" s="1646"/>
      <c r="EI47" s="1646"/>
      <c r="EJ47" s="1646"/>
      <c r="EK47" s="1646"/>
      <c r="EL47" s="1646"/>
      <c r="EM47" s="1646"/>
      <c r="EN47" s="1646"/>
      <c r="EO47" s="1646"/>
      <c r="EP47" s="1646"/>
      <c r="EQ47" s="1646"/>
      <c r="ER47" s="1646"/>
      <c r="ES47" s="1646"/>
      <c r="ET47" s="1646"/>
      <c r="EU47" s="1646"/>
      <c r="EV47" s="1646"/>
      <c r="EW47" s="1646"/>
      <c r="EX47" s="1646"/>
      <c r="EY47" s="1646"/>
      <c r="EZ47" s="1646"/>
      <c r="FA47" s="1646"/>
      <c r="FB47" s="1646"/>
      <c r="FC47" s="1646"/>
      <c r="FD47" s="1646"/>
      <c r="FE47" s="1646"/>
      <c r="FF47" s="1646"/>
      <c r="FG47" s="1646"/>
      <c r="FH47" s="1646"/>
      <c r="FI47" s="1646"/>
      <c r="FJ47" s="1646"/>
      <c r="FK47" s="1646"/>
      <c r="FL47" s="1646"/>
      <c r="FM47" s="1646"/>
      <c r="FN47" s="1646"/>
      <c r="FO47" s="1646"/>
      <c r="FP47" s="1646"/>
      <c r="FQ47" s="1646"/>
      <c r="FR47" s="1646"/>
      <c r="FS47" s="1646"/>
      <c r="FT47" s="1646"/>
      <c r="FU47" s="1646"/>
      <c r="FV47" s="1646"/>
      <c r="FW47" s="1646"/>
      <c r="FX47" s="1646"/>
      <c r="FY47" s="1646"/>
      <c r="FZ47" s="1646"/>
      <c r="GA47" s="1646"/>
      <c r="GB47" s="1646"/>
      <c r="GC47" s="1646"/>
      <c r="GD47" s="1646"/>
      <c r="GE47" s="1646"/>
      <c r="GF47" s="1646"/>
      <c r="GG47" s="1646"/>
      <c r="GH47" s="1646"/>
      <c r="GI47" s="1646"/>
      <c r="GJ47" s="1646"/>
      <c r="GK47" s="1646"/>
      <c r="GL47" s="1646"/>
      <c r="GM47" s="1646"/>
      <c r="GN47" s="1646"/>
      <c r="GO47" s="1646"/>
      <c r="GP47" s="1646"/>
      <c r="GQ47" s="1646"/>
      <c r="GR47" s="1646"/>
      <c r="GS47" s="1646"/>
      <c r="GT47" s="1646"/>
      <c r="GU47" s="1646"/>
      <c r="GV47" s="1646"/>
      <c r="GW47" s="1646"/>
      <c r="GX47" s="1646"/>
      <c r="GY47" s="1646"/>
      <c r="GZ47" s="1646"/>
      <c r="HA47" s="1646"/>
      <c r="HB47" s="1646"/>
      <c r="HC47" s="1646"/>
      <c r="HD47" s="1646"/>
      <c r="HE47" s="1646"/>
      <c r="HF47" s="1646"/>
      <c r="HG47" s="1646"/>
      <c r="HH47" s="1646"/>
      <c r="HI47" s="1646"/>
      <c r="HJ47" s="1646"/>
      <c r="HK47" s="1646"/>
      <c r="HL47" s="1646"/>
      <c r="HM47" s="1646"/>
      <c r="HN47" s="1646"/>
      <c r="HO47" s="1646"/>
      <c r="HP47" s="1646"/>
      <c r="HQ47" s="1646"/>
      <c r="HR47" s="1646"/>
      <c r="HS47" s="1646"/>
      <c r="HT47" s="1646"/>
      <c r="HU47" s="1646"/>
      <c r="HV47" s="1646"/>
      <c r="HW47" s="1646"/>
      <c r="HX47" s="1646"/>
      <c r="HY47" s="1646"/>
      <c r="HZ47" s="1646"/>
      <c r="IA47" s="1646"/>
      <c r="IB47" s="1646"/>
      <c r="IC47" s="1646"/>
      <c r="ID47" s="1646"/>
      <c r="IE47" s="1646"/>
      <c r="IF47" s="1646"/>
      <c r="IG47" s="1646"/>
      <c r="IH47" s="1646"/>
      <c r="II47" s="1646"/>
      <c r="IJ47" s="1646"/>
      <c r="IK47" s="1646"/>
      <c r="IL47" s="1646"/>
      <c r="IM47" s="1646"/>
      <c r="IN47" s="1646"/>
      <c r="IO47" s="1646"/>
      <c r="IP47" s="1646"/>
      <c r="IQ47" s="1646"/>
      <c r="IR47" s="1646"/>
      <c r="IS47" s="1646"/>
      <c r="IT47" s="1646"/>
      <c r="IU47" s="1646"/>
      <c r="IV47" s="1646"/>
      <c r="IW47" s="1646"/>
    </row>
    <row r="48" spans="1:257" s="1646" customFormat="1" ht="12.75" customHeight="1" x14ac:dyDescent="0.2">
      <c r="B48" s="1659">
        <v>1</v>
      </c>
      <c r="C48" s="1659"/>
      <c r="D48" s="1659"/>
      <c r="E48" s="1659"/>
      <c r="F48" s="1659"/>
      <c r="G48" s="1659"/>
      <c r="H48" s="1659"/>
      <c r="I48" s="1659"/>
      <c r="J48" s="1083">
        <v>1</v>
      </c>
      <c r="K48" s="1659"/>
      <c r="L48" s="1659"/>
      <c r="M48" s="1659"/>
      <c r="O48" s="1659">
        <v>2</v>
      </c>
      <c r="P48" s="1838">
        <f t="shared" ref="P48:P64" si="20">IF(E49&lt;0.1,0,C49)</f>
        <v>0</v>
      </c>
      <c r="Q48" s="1839">
        <f t="shared" ref="Q48:Q64" si="21">IF(E26&gt;=12,1,E26/12)</f>
        <v>0.66666666666666663</v>
      </c>
      <c r="R48" s="1840">
        <f t="shared" ref="R48:R64" si="22">(F49/450)*Z48</f>
        <v>0</v>
      </c>
      <c r="S48" s="1841">
        <f t="shared" ref="S48:S64" si="23">E49</f>
        <v>0</v>
      </c>
      <c r="T48" s="1842">
        <f t="shared" ref="T48:T64" si="24">E49*F49</f>
        <v>0</v>
      </c>
      <c r="U48" s="1843">
        <f>V48</f>
        <v>0</v>
      </c>
      <c r="V48" s="1844">
        <f>G26*E49-(F26*(AC117))</f>
        <v>0</v>
      </c>
      <c r="W48" s="1845">
        <f t="shared" ref="W48:W65" si="25">J49</f>
        <v>0.5</v>
      </c>
      <c r="X48" s="1843">
        <f>U48*W48/15</f>
        <v>0</v>
      </c>
      <c r="Y48" s="1846">
        <f>((G26*E49)*J49/15)-((F26*(AC117))*J49/15)</f>
        <v>0</v>
      </c>
      <c r="Z48" s="1847">
        <f t="shared" ref="Z48:Z64" si="26">Q48*S48</f>
        <v>0</v>
      </c>
      <c r="AA48" s="1848">
        <f t="shared" ref="AA48:AA64" si="27">Z48*G49</f>
        <v>0</v>
      </c>
      <c r="AB48" s="1849">
        <f t="shared" ref="AB48:AB64" si="28">Z48/$Z$70</f>
        <v>0</v>
      </c>
      <c r="AC48" s="1815" t="str">
        <f t="shared" ref="AC48:AC64" si="29">C49</f>
        <v>Bezerro em aleitamento</v>
      </c>
      <c r="AD48" s="1743">
        <v>4</v>
      </c>
      <c r="AE48" s="1815" t="str">
        <f t="shared" si="14"/>
        <v>Garrotes</v>
      </c>
      <c r="AF48" s="1815" t="str">
        <f t="shared" si="18"/>
        <v>Garrotes</v>
      </c>
      <c r="AG48" s="1816">
        <v>36951</v>
      </c>
      <c r="AH48" s="1816">
        <v>36951</v>
      </c>
      <c r="AJ48" s="1850" t="str">
        <f t="shared" ref="AJ48:AJ64" si="30">C49</f>
        <v>Bezerro em aleitamento</v>
      </c>
      <c r="AK48" s="1851">
        <f t="shared" ref="AK48:AK64" si="31">E49</f>
        <v>0</v>
      </c>
      <c r="AL48" s="1852">
        <f t="shared" ref="AL48:AL64" si="32">I49</f>
        <v>0</v>
      </c>
      <c r="AM48" s="1853"/>
      <c r="AN48" s="1743">
        <v>4</v>
      </c>
      <c r="AO48" s="1817" t="str">
        <f t="shared" si="12"/>
        <v>Garrotes</v>
      </c>
      <c r="AP48" s="1818">
        <f t="shared" si="13"/>
        <v>0.66666666666666663</v>
      </c>
      <c r="AQ48" s="1819">
        <f>Rebanho!S50</f>
        <v>782.75555555555559</v>
      </c>
      <c r="AR48" s="751">
        <f t="shared" si="15"/>
        <v>359.4877366255144</v>
      </c>
      <c r="AS48" s="1820">
        <f>Rebanho!Z50</f>
        <v>521.83703703703702</v>
      </c>
      <c r="AT48" s="1821">
        <f t="shared" si="16"/>
        <v>242654.22222222222</v>
      </c>
      <c r="AU48" s="1822">
        <f t="shared" si="17"/>
        <v>8</v>
      </c>
      <c r="AV48" s="1822">
        <f t="shared" si="19"/>
        <v>8</v>
      </c>
    </row>
    <row r="49" spans="2:257" s="1646" customFormat="1" ht="12.75" customHeight="1" x14ac:dyDescent="0.2">
      <c r="B49" s="1659">
        <v>2</v>
      </c>
      <c r="C49" s="2566" t="s">
        <v>719</v>
      </c>
      <c r="D49" s="2566"/>
      <c r="E49" s="742">
        <f>$K$10+$AC$117</f>
        <v>0</v>
      </c>
      <c r="F49" s="743">
        <f>IF(E26=0,0,(G26+F26)/2)</f>
        <v>103.5</v>
      </c>
      <c r="G49" s="1467">
        <f>$F$79*F49/30</f>
        <v>396.75</v>
      </c>
      <c r="H49" s="751">
        <f>R48</f>
        <v>0</v>
      </c>
      <c r="I49" s="752">
        <f>G49*Z48</f>
        <v>0</v>
      </c>
      <c r="J49" s="1430">
        <v>0.5</v>
      </c>
      <c r="K49" s="1659"/>
      <c r="L49" s="1659"/>
      <c r="M49" s="1659"/>
      <c r="O49" s="1659">
        <v>3</v>
      </c>
      <c r="P49" s="1838" t="str">
        <f t="shared" si="20"/>
        <v>Bezerro Desmamados</v>
      </c>
      <c r="Q49" s="1839">
        <f t="shared" si="21"/>
        <v>0.41666666666666669</v>
      </c>
      <c r="R49" s="1840">
        <f t="shared" si="22"/>
        <v>157.93209876543213</v>
      </c>
      <c r="S49" s="1841">
        <f t="shared" si="23"/>
        <v>793.33333333333337</v>
      </c>
      <c r="T49" s="1842">
        <f t="shared" si="24"/>
        <v>170566.66666666669</v>
      </c>
      <c r="U49" s="1843">
        <f>H27*E27*30.5*E50/1000</f>
        <v>55533.333333333336</v>
      </c>
      <c r="V49" s="1844">
        <f>G27*E50-(F27*(E49+AD117-AC89))</f>
        <v>54333.333333333343</v>
      </c>
      <c r="W49" s="1845">
        <f t="shared" si="25"/>
        <v>0.5</v>
      </c>
      <c r="X49" s="1843">
        <f t="shared" ref="X49:X64" si="33">U49*W49/15</f>
        <v>1851.1111111111111</v>
      </c>
      <c r="Y49" s="1846">
        <f>(G27*E50)*J50/15-(F27*(E49+AD117-AC89))*J49/15</f>
        <v>1811.1111111111113</v>
      </c>
      <c r="Z49" s="1847">
        <f t="shared" si="26"/>
        <v>330.5555555555556</v>
      </c>
      <c r="AA49" s="1854">
        <f t="shared" si="27"/>
        <v>272432.87037037039</v>
      </c>
      <c r="AB49" s="1849">
        <f t="shared" si="28"/>
        <v>0.21197800463464944</v>
      </c>
      <c r="AC49" s="1815" t="str">
        <f t="shared" si="29"/>
        <v>Bezerro Desmamados</v>
      </c>
      <c r="AD49" s="1743">
        <v>5</v>
      </c>
      <c r="AE49" s="1815" t="str">
        <f t="shared" si="14"/>
        <v>Boi magro</v>
      </c>
      <c r="AF49" s="1815" t="str">
        <f t="shared" si="18"/>
        <v>Boi magro</v>
      </c>
      <c r="AG49" s="1816">
        <v>36982</v>
      </c>
      <c r="AH49" s="1816">
        <v>36982</v>
      </c>
      <c r="AJ49" s="1850" t="str">
        <f t="shared" si="30"/>
        <v>Bezerro Desmamados</v>
      </c>
      <c r="AK49" s="1851">
        <f t="shared" si="31"/>
        <v>793.33333333333337</v>
      </c>
      <c r="AL49" s="1852">
        <f t="shared" si="32"/>
        <v>272432.87037037039</v>
      </c>
      <c r="AM49" s="1855"/>
      <c r="AN49" s="1743">
        <v>5</v>
      </c>
      <c r="AO49" s="1817" t="str">
        <f t="shared" si="12"/>
        <v>Boi magro</v>
      </c>
      <c r="AP49" s="1818">
        <f t="shared" si="13"/>
        <v>0.66666666666666663</v>
      </c>
      <c r="AQ49" s="1819">
        <f>Rebanho!S51</f>
        <v>772.31881481481491</v>
      </c>
      <c r="AR49" s="751">
        <f t="shared" si="15"/>
        <v>484.55854529492456</v>
      </c>
      <c r="AS49" s="1820">
        <f>Rebanho!Z51</f>
        <v>514.8792098765432</v>
      </c>
      <c r="AT49" s="1856">
        <f t="shared" si="16"/>
        <v>327077.01807407412</v>
      </c>
      <c r="AU49" s="1822">
        <f t="shared" si="17"/>
        <v>8</v>
      </c>
      <c r="AV49" s="1822">
        <f t="shared" si="19"/>
        <v>8</v>
      </c>
      <c r="AW49" s="1659"/>
      <c r="AX49" s="1659"/>
      <c r="AY49" s="1659"/>
      <c r="AZ49" s="1659"/>
      <c r="BA49" s="1659"/>
      <c r="BB49" s="1659"/>
      <c r="BC49" s="1659"/>
      <c r="BD49" s="1659"/>
      <c r="BE49" s="1659"/>
      <c r="BF49" s="1659"/>
      <c r="BG49" s="1659"/>
      <c r="BH49" s="1659"/>
      <c r="BI49" s="1659"/>
      <c r="BJ49" s="1659"/>
      <c r="BK49" s="1659"/>
      <c r="BL49" s="1659"/>
      <c r="BM49" s="1659"/>
      <c r="BN49" s="1659"/>
      <c r="BO49" s="1659"/>
      <c r="BP49" s="1659"/>
      <c r="BQ49" s="1659"/>
      <c r="BR49" s="1659"/>
      <c r="BS49" s="1659"/>
      <c r="BT49" s="1659"/>
      <c r="BU49" s="1659"/>
      <c r="BV49" s="1659"/>
      <c r="BW49" s="1659"/>
      <c r="BX49" s="1659"/>
      <c r="BY49" s="1659"/>
      <c r="BZ49" s="1659"/>
      <c r="CA49" s="1659"/>
      <c r="CB49" s="1659"/>
      <c r="CC49" s="1659"/>
      <c r="CD49" s="1659"/>
      <c r="CE49" s="1659"/>
      <c r="CF49" s="1659"/>
      <c r="CG49" s="1659"/>
      <c r="CH49" s="1659"/>
      <c r="CI49" s="1659"/>
      <c r="CJ49" s="1659"/>
      <c r="CK49" s="1659"/>
      <c r="CL49" s="1659"/>
      <c r="CM49" s="1659"/>
      <c r="CN49" s="1659"/>
      <c r="CO49" s="1659"/>
      <c r="CP49" s="1659"/>
      <c r="CQ49" s="1659"/>
      <c r="CR49" s="1659"/>
      <c r="CS49" s="1659"/>
      <c r="CT49" s="1659"/>
      <c r="CU49" s="1659"/>
      <c r="CV49" s="1659"/>
      <c r="CW49" s="1659"/>
      <c r="CX49" s="1659"/>
      <c r="CY49" s="1659"/>
      <c r="CZ49" s="1659"/>
      <c r="DA49" s="1659"/>
      <c r="DB49" s="1659"/>
      <c r="DC49" s="1659"/>
      <c r="DD49" s="1659"/>
      <c r="DE49" s="1659"/>
      <c r="DF49" s="1659"/>
      <c r="DG49" s="1659"/>
      <c r="DH49" s="1659"/>
      <c r="DI49" s="1659"/>
      <c r="DJ49" s="1659"/>
      <c r="DK49" s="1659"/>
      <c r="DL49" s="1659"/>
      <c r="DM49" s="1659"/>
      <c r="DN49" s="1659"/>
      <c r="DO49" s="1659"/>
      <c r="DP49" s="1659"/>
      <c r="DQ49" s="1659"/>
      <c r="DR49" s="1659"/>
      <c r="DS49" s="1659"/>
      <c r="DT49" s="1659"/>
      <c r="DU49" s="1659"/>
      <c r="DV49" s="1659"/>
      <c r="DW49" s="1659"/>
      <c r="DX49" s="1659"/>
      <c r="DY49" s="1659"/>
      <c r="DZ49" s="1659"/>
      <c r="EA49" s="1659"/>
      <c r="EB49" s="1659"/>
      <c r="EC49" s="1659"/>
      <c r="ED49" s="1659"/>
      <c r="EE49" s="1659"/>
      <c r="EF49" s="1659"/>
      <c r="EG49" s="1659"/>
      <c r="EH49" s="1659"/>
      <c r="EI49" s="1659"/>
      <c r="EJ49" s="1659"/>
      <c r="EK49" s="1659"/>
      <c r="EL49" s="1659"/>
      <c r="EM49" s="1659"/>
      <c r="EN49" s="1659"/>
      <c r="EO49" s="1659"/>
      <c r="EP49" s="1659"/>
      <c r="EQ49" s="1659"/>
      <c r="ER49" s="1659"/>
      <c r="ES49" s="1659"/>
      <c r="ET49" s="1659"/>
      <c r="EU49" s="1659"/>
      <c r="EV49" s="1659"/>
      <c r="EW49" s="1659"/>
      <c r="EX49" s="1659"/>
      <c r="EY49" s="1659"/>
      <c r="EZ49" s="1659"/>
      <c r="FA49" s="1659"/>
      <c r="FB49" s="1659"/>
      <c r="FC49" s="1659"/>
      <c r="FD49" s="1659"/>
      <c r="FE49" s="1659"/>
      <c r="FF49" s="1659"/>
      <c r="FG49" s="1659"/>
      <c r="FH49" s="1659"/>
      <c r="FI49" s="1659"/>
      <c r="FJ49" s="1659"/>
      <c r="FK49" s="1659"/>
      <c r="FL49" s="1659"/>
      <c r="FM49" s="1659"/>
      <c r="FN49" s="1659"/>
      <c r="FO49" s="1659"/>
      <c r="FP49" s="1659"/>
      <c r="FQ49" s="1659"/>
      <c r="FR49" s="1659"/>
      <c r="FS49" s="1659"/>
      <c r="FT49" s="1659"/>
      <c r="FU49" s="1659"/>
      <c r="FV49" s="1659"/>
      <c r="FW49" s="1659"/>
      <c r="FX49" s="1659"/>
      <c r="FY49" s="1659"/>
      <c r="FZ49" s="1659"/>
      <c r="GA49" s="1659"/>
      <c r="GB49" s="1659"/>
      <c r="GC49" s="1659"/>
      <c r="GD49" s="1659"/>
      <c r="GE49" s="1659"/>
      <c r="GF49" s="1659"/>
      <c r="GG49" s="1659"/>
      <c r="GH49" s="1659"/>
      <c r="GI49" s="1659"/>
      <c r="GJ49" s="1659"/>
      <c r="GK49" s="1659"/>
      <c r="GL49" s="1659"/>
      <c r="GM49" s="1659"/>
      <c r="GN49" s="1659"/>
      <c r="GO49" s="1659"/>
      <c r="GP49" s="1659"/>
      <c r="GQ49" s="1659"/>
      <c r="GR49" s="1659"/>
      <c r="GS49" s="1659"/>
      <c r="GT49" s="1659"/>
      <c r="GU49" s="1659"/>
      <c r="GV49" s="1659"/>
      <c r="GW49" s="1659"/>
      <c r="GX49" s="1659"/>
      <c r="GY49" s="1659"/>
      <c r="GZ49" s="1659"/>
      <c r="HA49" s="1659"/>
      <c r="HB49" s="1659"/>
      <c r="HC49" s="1659"/>
      <c r="HD49" s="1659"/>
      <c r="HE49" s="1659"/>
      <c r="HF49" s="1659"/>
      <c r="HG49" s="1659"/>
      <c r="HH49" s="1659"/>
      <c r="HI49" s="1659"/>
      <c r="HJ49" s="1659"/>
      <c r="HK49" s="1659"/>
      <c r="HL49" s="1659"/>
      <c r="HM49" s="1659"/>
      <c r="HN49" s="1659"/>
      <c r="HO49" s="1659"/>
      <c r="HP49" s="1659"/>
      <c r="HQ49" s="1659"/>
      <c r="HR49" s="1659"/>
      <c r="HS49" s="1659"/>
      <c r="HT49" s="1659"/>
      <c r="HU49" s="1659"/>
      <c r="HV49" s="1659"/>
      <c r="HW49" s="1659"/>
      <c r="HX49" s="1659"/>
      <c r="HY49" s="1659"/>
      <c r="HZ49" s="1659"/>
      <c r="IA49" s="1659"/>
      <c r="IB49" s="1659"/>
      <c r="IC49" s="1659"/>
      <c r="ID49" s="1659"/>
      <c r="IE49" s="1659"/>
      <c r="IF49" s="1659"/>
      <c r="IG49" s="1659"/>
      <c r="IH49" s="1659"/>
      <c r="II49" s="1659"/>
      <c r="IJ49" s="1659"/>
      <c r="IK49" s="1659"/>
      <c r="IL49" s="1659"/>
      <c r="IM49" s="1659"/>
      <c r="IN49" s="1659"/>
      <c r="IO49" s="1659"/>
      <c r="IP49" s="1659"/>
      <c r="IQ49" s="1659"/>
      <c r="IR49" s="1659"/>
      <c r="IS49" s="1659"/>
      <c r="IT49" s="1659"/>
      <c r="IU49" s="1659"/>
      <c r="IV49" s="1659"/>
      <c r="IW49" s="1659"/>
    </row>
    <row r="50" spans="2:257" s="1659" customFormat="1" ht="13.5" thickBot="1" x14ac:dyDescent="0.25">
      <c r="B50" s="1659">
        <v>3</v>
      </c>
      <c r="C50" s="2566" t="s">
        <v>701</v>
      </c>
      <c r="D50" s="2566"/>
      <c r="E50" s="742">
        <f>IF($AC$89&gt;$E$49,0,($E$49+$AD$117-$AC$89)*(1-($E$6*Q49)))</f>
        <v>793.33333333333337</v>
      </c>
      <c r="F50" s="743">
        <f t="shared" ref="F50:F65" si="34">IF(E27=0,0,(G27+F27)/2)</f>
        <v>215</v>
      </c>
      <c r="G50" s="1467">
        <f t="shared" ref="G50:G52" si="35">$F$79*F50/30</f>
        <v>824.16666666666663</v>
      </c>
      <c r="H50" s="751">
        <f t="shared" ref="H50:H65" si="36">R49</f>
        <v>157.93209876543213</v>
      </c>
      <c r="I50" s="752">
        <f>G50*Z49</f>
        <v>272432.87037037039</v>
      </c>
      <c r="J50" s="1857">
        <v>0.5</v>
      </c>
      <c r="N50" s="1646"/>
      <c r="O50" s="1743">
        <v>4</v>
      </c>
      <c r="P50" s="1838" t="str">
        <f t="shared" si="20"/>
        <v>Garrotes</v>
      </c>
      <c r="Q50" s="1839">
        <f t="shared" si="21"/>
        <v>0.66666666666666663</v>
      </c>
      <c r="R50" s="1840">
        <f t="shared" si="22"/>
        <v>359.4877366255144</v>
      </c>
      <c r="S50" s="1841">
        <f t="shared" si="23"/>
        <v>782.75555555555559</v>
      </c>
      <c r="T50" s="1842">
        <f t="shared" si="24"/>
        <v>242654.22222222222</v>
      </c>
      <c r="U50" s="1843">
        <f>H28*E28*30.5*E51/1000</f>
        <v>93930.666666666672</v>
      </c>
      <c r="V50" s="1844">
        <f>(G28*E51)-(F28*(E50+AE117-AD89))</f>
        <v>91286.222222222219</v>
      </c>
      <c r="W50" s="1845">
        <f t="shared" si="25"/>
        <v>0.5</v>
      </c>
      <c r="X50" s="1843">
        <f>U50*W50/15</f>
        <v>3131.0222222222224</v>
      </c>
      <c r="Y50" s="1846">
        <f>(G28*E51)*J51/15-(F28*(E50+AE117-AD89))*J50/15</f>
        <v>3042.8740740740741</v>
      </c>
      <c r="Z50" s="1847">
        <f t="shared" si="26"/>
        <v>521.83703703703702</v>
      </c>
      <c r="AA50" s="1854">
        <f t="shared" si="27"/>
        <v>620116.34567901224</v>
      </c>
      <c r="AB50" s="1849">
        <f t="shared" si="28"/>
        <v>0.3346426099832332</v>
      </c>
      <c r="AC50" s="1815" t="str">
        <f t="shared" si="29"/>
        <v>Garrotes</v>
      </c>
      <c r="AD50" s="1743">
        <v>6</v>
      </c>
      <c r="AE50" s="1815" t="str">
        <f t="shared" si="14"/>
        <v>Boi gordo</v>
      </c>
      <c r="AF50" s="1815" t="str">
        <f t="shared" si="18"/>
        <v>Boi gordo</v>
      </c>
      <c r="AG50" s="1816">
        <v>37012</v>
      </c>
      <c r="AH50" s="1816">
        <v>37012</v>
      </c>
      <c r="AJ50" s="1850" t="str">
        <f t="shared" si="30"/>
        <v>Garrotes</v>
      </c>
      <c r="AK50" s="1851">
        <f t="shared" si="31"/>
        <v>782.75555555555559</v>
      </c>
      <c r="AL50" s="1852">
        <f t="shared" si="32"/>
        <v>620116.34567901224</v>
      </c>
      <c r="AM50" s="1855"/>
      <c r="AN50" s="1743">
        <v>6</v>
      </c>
      <c r="AO50" s="1858" t="str">
        <f t="shared" si="12"/>
        <v>Boi gordo</v>
      </c>
      <c r="AP50" s="1859">
        <f t="shared" si="13"/>
        <v>0.25</v>
      </c>
      <c r="AQ50" s="1860">
        <f>Rebanho!S52</f>
        <v>768.45722074074081</v>
      </c>
      <c r="AR50" s="753">
        <f t="shared" si="15"/>
        <v>223.4929750320988</v>
      </c>
      <c r="AS50" s="1861">
        <f>Rebanho!Z52</f>
        <v>192.1143051851852</v>
      </c>
      <c r="AT50" s="1862">
        <f t="shared" si="16"/>
        <v>402287.35505777784</v>
      </c>
      <c r="AU50" s="1863">
        <f t="shared" si="17"/>
        <v>3</v>
      </c>
      <c r="AV50" s="1863">
        <f t="shared" si="19"/>
        <v>3</v>
      </c>
    </row>
    <row r="51" spans="2:257" s="1659" customFormat="1" ht="14.25" thickTop="1" thickBot="1" x14ac:dyDescent="0.25">
      <c r="B51" s="1659">
        <v>4</v>
      </c>
      <c r="C51" s="2567" t="s">
        <v>373</v>
      </c>
      <c r="D51" s="2567"/>
      <c r="E51" s="742">
        <f>IF($AD$89&gt;$E$50,0,($E$50+$AE$117-$AD$89)*(1-($E$6*Q50)))</f>
        <v>782.75555555555559</v>
      </c>
      <c r="F51" s="743">
        <f t="shared" si="34"/>
        <v>310</v>
      </c>
      <c r="G51" s="1467">
        <f t="shared" si="35"/>
        <v>1188.3333333333333</v>
      </c>
      <c r="H51" s="751">
        <f t="shared" si="36"/>
        <v>359.4877366255144</v>
      </c>
      <c r="I51" s="752">
        <f>G51*Z50</f>
        <v>620116.34567901224</v>
      </c>
      <c r="J51" s="1857">
        <v>0.5</v>
      </c>
      <c r="N51" s="1646"/>
      <c r="O51" s="1659">
        <v>5</v>
      </c>
      <c r="P51" s="1838" t="str">
        <f t="shared" si="20"/>
        <v>Boi magro</v>
      </c>
      <c r="Q51" s="1839">
        <f t="shared" si="21"/>
        <v>0.66666666666666663</v>
      </c>
      <c r="R51" s="1840">
        <f t="shared" si="22"/>
        <v>484.55854529492456</v>
      </c>
      <c r="S51" s="1841">
        <f t="shared" si="23"/>
        <v>772.31881481481491</v>
      </c>
      <c r="T51" s="1842">
        <f t="shared" si="24"/>
        <v>327077.01807407412</v>
      </c>
      <c r="U51" s="1843">
        <f>H29*E29*30.5*E52/1000</f>
        <v>82638.113185185197</v>
      </c>
      <c r="V51" s="1844">
        <f>(G29*E52)-(F29*(E51+AF117-AE89))</f>
        <v>78776.519111111178</v>
      </c>
      <c r="W51" s="1845">
        <f t="shared" si="25"/>
        <v>0.5</v>
      </c>
      <c r="X51" s="1843">
        <f t="shared" si="33"/>
        <v>2754.6037728395067</v>
      </c>
      <c r="Y51" s="1846">
        <f>(G29*E52)*J52/15-(F29*(E51+AF117-AE89))*J51/15</f>
        <v>2625.8839703703725</v>
      </c>
      <c r="Z51" s="1847">
        <f t="shared" si="26"/>
        <v>514.8792098765432</v>
      </c>
      <c r="AA51" s="1854">
        <f t="shared" si="27"/>
        <v>835863.49063374486</v>
      </c>
      <c r="AB51" s="1849">
        <f t="shared" si="28"/>
        <v>0.3301807085167901</v>
      </c>
      <c r="AC51" s="1815" t="str">
        <f t="shared" si="29"/>
        <v>Boi magro</v>
      </c>
      <c r="AD51" s="1743">
        <v>7</v>
      </c>
      <c r="AE51" s="1815" t="str">
        <f t="shared" si="14"/>
        <v>Touro</v>
      </c>
      <c r="AF51" s="1815" t="str">
        <f t="shared" si="18"/>
        <v>Touro</v>
      </c>
      <c r="AG51" s="1816">
        <v>37043</v>
      </c>
      <c r="AH51" s="1816">
        <v>37043</v>
      </c>
      <c r="AJ51" s="1850" t="str">
        <f t="shared" si="30"/>
        <v>Boi magro</v>
      </c>
      <c r="AK51" s="1851">
        <f t="shared" si="31"/>
        <v>772.31881481481491</v>
      </c>
      <c r="AL51" s="1852">
        <f t="shared" si="32"/>
        <v>835863.49063374486</v>
      </c>
      <c r="AM51" s="1855"/>
      <c r="AN51" s="1743">
        <v>7</v>
      </c>
      <c r="AO51" s="1864">
        <f t="shared" si="12"/>
        <v>0</v>
      </c>
      <c r="AP51" s="1865">
        <f t="shared" si="13"/>
        <v>0</v>
      </c>
      <c r="AQ51" s="1866">
        <f>Rebanho!S53</f>
        <v>0</v>
      </c>
      <c r="AR51" s="824">
        <f t="shared" si="15"/>
        <v>0</v>
      </c>
      <c r="AS51" s="1867">
        <f>Rebanho!Z53</f>
        <v>0</v>
      </c>
      <c r="AT51" s="1868">
        <f t="shared" si="16"/>
        <v>0</v>
      </c>
      <c r="AU51" s="1869">
        <f t="shared" si="17"/>
        <v>0</v>
      </c>
      <c r="AV51" s="1869">
        <f t="shared" si="19"/>
        <v>0</v>
      </c>
    </row>
    <row r="52" spans="2:257" s="1659" customFormat="1" ht="14.25" thickTop="1" thickBot="1" x14ac:dyDescent="0.25">
      <c r="B52" s="1659">
        <v>5</v>
      </c>
      <c r="C52" s="2567" t="s">
        <v>543</v>
      </c>
      <c r="D52" s="2567"/>
      <c r="E52" s="742">
        <f>IF(AE89&gt;$E$51,0,($E$51+$AF$117-$AE$89)*(1-($E$6*Q51)))</f>
        <v>772.31881481481491</v>
      </c>
      <c r="F52" s="743">
        <f t="shared" si="34"/>
        <v>423.5</v>
      </c>
      <c r="G52" s="1467">
        <f t="shared" si="35"/>
        <v>1623.4166666666667</v>
      </c>
      <c r="H52" s="751">
        <f t="shared" si="36"/>
        <v>484.55854529492456</v>
      </c>
      <c r="I52" s="752">
        <f>G52*Z51</f>
        <v>835863.49063374486</v>
      </c>
      <c r="J52" s="1857">
        <v>0.5</v>
      </c>
      <c r="N52" s="1646"/>
      <c r="O52" s="1659">
        <v>6</v>
      </c>
      <c r="P52" s="1870" t="str">
        <f t="shared" si="20"/>
        <v>Boi gordo</v>
      </c>
      <c r="Q52" s="1871">
        <f t="shared" si="21"/>
        <v>0.25</v>
      </c>
      <c r="R52" s="1872">
        <f t="shared" si="22"/>
        <v>223.4929750320988</v>
      </c>
      <c r="S52" s="1873">
        <f t="shared" si="23"/>
        <v>768.45722074074081</v>
      </c>
      <c r="T52" s="1874">
        <f t="shared" si="24"/>
        <v>402287.35505777784</v>
      </c>
      <c r="U52" s="1875">
        <f>H30*E30*30.5*E53/1000</f>
        <v>71466.521528888901</v>
      </c>
      <c r="V52" s="1876">
        <f>(G30*E53)-(F30*(E52+AG117-AF89))</f>
        <v>69624.541155555518</v>
      </c>
      <c r="W52" s="1877">
        <f t="shared" si="25"/>
        <v>0.52</v>
      </c>
      <c r="X52" s="1875">
        <f t="shared" si="33"/>
        <v>2477.5060796681487</v>
      </c>
      <c r="Y52" s="1878">
        <f>((G30*E53)*J53/15)-((F30*(E52+AG117-AF89))*J52/15)</f>
        <v>2904.8455262814805</v>
      </c>
      <c r="Z52" s="1879">
        <f t="shared" si="26"/>
        <v>192.1143051851852</v>
      </c>
      <c r="AA52" s="1880">
        <f t="shared" si="27"/>
        <v>22093.145096296299</v>
      </c>
      <c r="AB52" s="1881">
        <f t="shared" si="28"/>
        <v>0.12319867686532732</v>
      </c>
      <c r="AC52" s="1882" t="str">
        <f t="shared" si="29"/>
        <v>Boi gordo</v>
      </c>
      <c r="AD52" s="1743">
        <v>8</v>
      </c>
      <c r="AE52" s="1815" t="str">
        <f t="shared" si="14"/>
        <v>Bezerras em aleitamento</v>
      </c>
      <c r="AF52" s="1815" t="str">
        <f t="shared" si="18"/>
        <v>Bezerras em aleitamento</v>
      </c>
      <c r="AG52" s="1816">
        <v>37073</v>
      </c>
      <c r="AH52" s="1816">
        <v>37073</v>
      </c>
      <c r="AJ52" s="1850" t="str">
        <f t="shared" si="30"/>
        <v>Boi gordo</v>
      </c>
      <c r="AK52" s="1851">
        <f t="shared" si="31"/>
        <v>768.45722074074081</v>
      </c>
      <c r="AL52" s="1852">
        <f t="shared" si="32"/>
        <v>400946.39720758522</v>
      </c>
      <c r="AM52" s="1855"/>
      <c r="AN52" s="1743">
        <v>8</v>
      </c>
      <c r="AO52" s="1883">
        <f t="shared" si="12"/>
        <v>0</v>
      </c>
      <c r="AP52" s="1884">
        <f t="shared" si="13"/>
        <v>0</v>
      </c>
      <c r="AQ52" s="1885">
        <f>Rebanho!S54</f>
        <v>0</v>
      </c>
      <c r="AR52" s="755">
        <f t="shared" si="15"/>
        <v>0</v>
      </c>
      <c r="AS52" s="1886">
        <f>Rebanho!Z54</f>
        <v>0</v>
      </c>
      <c r="AT52" s="1887">
        <f t="shared" si="16"/>
        <v>0</v>
      </c>
      <c r="AU52" s="1888">
        <f t="shared" si="17"/>
        <v>0</v>
      </c>
      <c r="AV52" s="1888">
        <f t="shared" si="19"/>
        <v>0</v>
      </c>
    </row>
    <row r="53" spans="2:257" s="1659" customFormat="1" ht="14.25" thickTop="1" thickBot="1" x14ac:dyDescent="0.25">
      <c r="B53" s="1659">
        <v>6</v>
      </c>
      <c r="C53" s="2554" t="s">
        <v>714</v>
      </c>
      <c r="D53" s="2554"/>
      <c r="E53" s="744">
        <f>IF($AF$89&gt;$E$52,0,($E$52+$AG$117-$AF$89)*(1-($E$6*Q52)))</f>
        <v>768.45722074074081</v>
      </c>
      <c r="F53" s="745">
        <f t="shared" si="34"/>
        <v>523.5</v>
      </c>
      <c r="G53" s="1507">
        <v>115</v>
      </c>
      <c r="H53" s="753">
        <f>R52</f>
        <v>223.4929750320988</v>
      </c>
      <c r="I53" s="754">
        <f>G53*Z52*J53*F53/15</f>
        <v>400946.39720758522</v>
      </c>
      <c r="J53" s="1889">
        <v>0.52</v>
      </c>
      <c r="K53" s="2606" t="s">
        <v>1203</v>
      </c>
      <c r="L53" s="2606"/>
      <c r="O53" s="1743">
        <v>7</v>
      </c>
      <c r="P53" s="1890">
        <f t="shared" si="20"/>
        <v>0</v>
      </c>
      <c r="Q53" s="1891">
        <f t="shared" si="21"/>
        <v>0</v>
      </c>
      <c r="R53" s="1892">
        <f t="shared" si="22"/>
        <v>0</v>
      </c>
      <c r="S53" s="1893">
        <f t="shared" si="23"/>
        <v>0</v>
      </c>
      <c r="T53" s="1894">
        <f t="shared" si="24"/>
        <v>0</v>
      </c>
      <c r="U53" s="1895">
        <f>H31*E31*30.5*E54/1000</f>
        <v>0</v>
      </c>
      <c r="V53" s="1896">
        <f>H31*E31*30.5*E54/1000</f>
        <v>0</v>
      </c>
      <c r="W53" s="1897">
        <f t="shared" si="25"/>
        <v>0.53</v>
      </c>
      <c r="X53" s="1895">
        <f t="shared" si="33"/>
        <v>0</v>
      </c>
      <c r="Y53" s="1898">
        <f>H31*E31*30.5*E54/1000*J54/15</f>
        <v>0</v>
      </c>
      <c r="Z53" s="1899">
        <f t="shared" si="26"/>
        <v>0</v>
      </c>
      <c r="AA53" s="1900">
        <f t="shared" si="27"/>
        <v>0</v>
      </c>
      <c r="AB53" s="1901">
        <f t="shared" si="28"/>
        <v>0</v>
      </c>
      <c r="AC53" s="1902" t="str">
        <f t="shared" si="29"/>
        <v>Touro</v>
      </c>
      <c r="AD53" s="1743">
        <v>9</v>
      </c>
      <c r="AE53" s="1815" t="str">
        <f t="shared" si="14"/>
        <v>Bezerras desmamadas</v>
      </c>
      <c r="AF53" s="1815" t="str">
        <f t="shared" si="18"/>
        <v>Bezerras desmamadas</v>
      </c>
      <c r="AG53" s="1816">
        <v>37104</v>
      </c>
      <c r="AH53" s="1816">
        <v>37104</v>
      </c>
      <c r="AJ53" s="1850" t="str">
        <f t="shared" si="30"/>
        <v>Touro</v>
      </c>
      <c r="AK53" s="1851">
        <f t="shared" si="31"/>
        <v>0</v>
      </c>
      <c r="AL53" s="1852">
        <f t="shared" si="32"/>
        <v>0</v>
      </c>
      <c r="AM53" s="1855"/>
      <c r="AN53" s="1743">
        <v>9</v>
      </c>
      <c r="AO53" s="1817">
        <f t="shared" si="12"/>
        <v>0</v>
      </c>
      <c r="AP53" s="1818">
        <f t="shared" si="13"/>
        <v>0</v>
      </c>
      <c r="AQ53" s="1819">
        <f>Rebanho!S55</f>
        <v>0</v>
      </c>
      <c r="AR53" s="751">
        <f t="shared" si="15"/>
        <v>0</v>
      </c>
      <c r="AS53" s="1820">
        <f>Rebanho!Z55</f>
        <v>0</v>
      </c>
      <c r="AT53" s="1821">
        <f t="shared" si="16"/>
        <v>0</v>
      </c>
      <c r="AU53" s="1822">
        <f t="shared" si="17"/>
        <v>0</v>
      </c>
      <c r="AV53" s="1822">
        <f t="shared" si="19"/>
        <v>0</v>
      </c>
    </row>
    <row r="54" spans="2:257" s="1659" customFormat="1" ht="14.25" thickTop="1" thickBot="1" x14ac:dyDescent="0.25">
      <c r="B54" s="1659">
        <v>7</v>
      </c>
      <c r="C54" s="2607" t="s">
        <v>700</v>
      </c>
      <c r="D54" s="2608"/>
      <c r="E54" s="746">
        <f>IF(E7=0,0,H6/E7)</f>
        <v>0</v>
      </c>
      <c r="F54" s="747">
        <f t="shared" si="34"/>
        <v>0</v>
      </c>
      <c r="G54" s="1508"/>
      <c r="H54" s="824">
        <f t="shared" si="36"/>
        <v>0</v>
      </c>
      <c r="I54" s="825">
        <f>G54*Z53*J54*F54/15</f>
        <v>0</v>
      </c>
      <c r="J54" s="1903">
        <v>0.53</v>
      </c>
      <c r="K54" s="1904" t="s">
        <v>1202</v>
      </c>
      <c r="L54" s="1905" t="s">
        <v>456</v>
      </c>
      <c r="O54" s="1659">
        <v>8</v>
      </c>
      <c r="P54" s="1906">
        <f t="shared" si="20"/>
        <v>0</v>
      </c>
      <c r="Q54" s="1907">
        <f t="shared" si="21"/>
        <v>0</v>
      </c>
      <c r="R54" s="1908">
        <f t="shared" si="22"/>
        <v>0</v>
      </c>
      <c r="S54" s="1909">
        <f t="shared" si="23"/>
        <v>0</v>
      </c>
      <c r="T54" s="1910">
        <f t="shared" si="24"/>
        <v>0</v>
      </c>
      <c r="U54" s="1911">
        <f>V54</f>
        <v>0</v>
      </c>
      <c r="V54" s="1912">
        <f>G32*E55-(F32*(AI117))</f>
        <v>0</v>
      </c>
      <c r="W54" s="1913">
        <f t="shared" si="25"/>
        <v>0.48</v>
      </c>
      <c r="X54" s="1911">
        <f t="shared" si="33"/>
        <v>0</v>
      </c>
      <c r="Y54" s="1914">
        <f>G32*E55*J55/15-(F32*(AI117))*J55/15</f>
        <v>0</v>
      </c>
      <c r="Z54" s="1915">
        <f t="shared" si="26"/>
        <v>0</v>
      </c>
      <c r="AA54" s="1916">
        <f t="shared" si="27"/>
        <v>0</v>
      </c>
      <c r="AB54" s="1917">
        <f t="shared" si="28"/>
        <v>0</v>
      </c>
      <c r="AC54" s="1918" t="str">
        <f t="shared" si="29"/>
        <v>Bezerras em aleitamento</v>
      </c>
      <c r="AD54" s="1743">
        <v>10</v>
      </c>
      <c r="AE54" s="1815" t="str">
        <f t="shared" si="14"/>
        <v>Novilhas sobreano</v>
      </c>
      <c r="AF54" s="1815" t="str">
        <f t="shared" si="18"/>
        <v>Novilhas sobreano</v>
      </c>
      <c r="AG54" s="1816">
        <v>37135</v>
      </c>
      <c r="AH54" s="1816">
        <v>37135</v>
      </c>
      <c r="AJ54" s="1850" t="str">
        <f t="shared" si="30"/>
        <v>Bezerras em aleitamento</v>
      </c>
      <c r="AK54" s="1851">
        <f t="shared" si="31"/>
        <v>0</v>
      </c>
      <c r="AL54" s="1852">
        <f t="shared" si="32"/>
        <v>0</v>
      </c>
      <c r="AM54" s="1855"/>
      <c r="AN54" s="1743">
        <v>10</v>
      </c>
      <c r="AO54" s="1817">
        <f t="shared" si="12"/>
        <v>0</v>
      </c>
      <c r="AP54" s="1818">
        <f t="shared" si="13"/>
        <v>1</v>
      </c>
      <c r="AQ54" s="1819">
        <f>Rebanho!S56</f>
        <v>0</v>
      </c>
      <c r="AR54" s="751">
        <f t="shared" si="15"/>
        <v>0</v>
      </c>
      <c r="AS54" s="1820">
        <f>Rebanho!Z56</f>
        <v>0</v>
      </c>
      <c r="AT54" s="1821">
        <f t="shared" si="16"/>
        <v>0</v>
      </c>
      <c r="AU54" s="1822">
        <f t="shared" si="17"/>
        <v>26.5</v>
      </c>
      <c r="AV54" s="1822">
        <f t="shared" si="19"/>
        <v>12</v>
      </c>
      <c r="AW54" s="1919"/>
      <c r="AX54" s="1919"/>
      <c r="AY54" s="1919"/>
      <c r="AZ54" s="1919"/>
      <c r="BA54" s="1919"/>
      <c r="BB54" s="1919"/>
      <c r="BC54" s="1919"/>
      <c r="BD54" s="1919"/>
    </row>
    <row r="55" spans="2:257" s="1659" customFormat="1" ht="13.5" thickTop="1" x14ac:dyDescent="0.2">
      <c r="B55" s="1659">
        <v>8</v>
      </c>
      <c r="C55" s="2589" t="s">
        <v>718</v>
      </c>
      <c r="D55" s="2589"/>
      <c r="E55" s="748">
        <f>$K$11+$AI$117-IF(K32=2,K55,0)</f>
        <v>0</v>
      </c>
      <c r="F55" s="749">
        <f t="shared" si="34"/>
        <v>0</v>
      </c>
      <c r="G55" s="1468"/>
      <c r="H55" s="755">
        <f t="shared" si="36"/>
        <v>0</v>
      </c>
      <c r="I55" s="756">
        <f>G55*Z54</f>
        <v>0</v>
      </c>
      <c r="J55" s="1920">
        <v>0.48</v>
      </c>
      <c r="K55" s="1921"/>
      <c r="L55" s="1921"/>
      <c r="O55" s="1659">
        <v>9</v>
      </c>
      <c r="P55" s="1838">
        <f t="shared" si="20"/>
        <v>0</v>
      </c>
      <c r="Q55" s="1922">
        <f t="shared" si="21"/>
        <v>0</v>
      </c>
      <c r="R55" s="1840">
        <f t="shared" si="22"/>
        <v>0</v>
      </c>
      <c r="S55" s="1841">
        <f t="shared" si="23"/>
        <v>0</v>
      </c>
      <c r="T55" s="1842">
        <f t="shared" si="24"/>
        <v>0</v>
      </c>
      <c r="U55" s="1843">
        <f t="shared" ref="U55:U64" si="37">H33*E33*30.5*E56/1000</f>
        <v>0</v>
      </c>
      <c r="V55" s="1844">
        <f>G33*E56-(F33*(E55+AJ117-AI89))</f>
        <v>0</v>
      </c>
      <c r="W55" s="1845">
        <f t="shared" si="25"/>
        <v>0.48</v>
      </c>
      <c r="X55" s="1843">
        <f t="shared" si="33"/>
        <v>0</v>
      </c>
      <c r="Y55" s="1846">
        <f>G33*E56*J56/15-(F33*(E55+AJ117-AI89))*J55/15</f>
        <v>0</v>
      </c>
      <c r="Z55" s="1847">
        <f t="shared" si="26"/>
        <v>0</v>
      </c>
      <c r="AA55" s="1854">
        <f t="shared" si="27"/>
        <v>0</v>
      </c>
      <c r="AB55" s="1849">
        <f t="shared" si="28"/>
        <v>0</v>
      </c>
      <c r="AC55" s="1815" t="str">
        <f t="shared" si="29"/>
        <v>Bezerras desmamadas</v>
      </c>
      <c r="AD55" s="1743">
        <v>11</v>
      </c>
      <c r="AE55" s="1815" t="str">
        <f t="shared" si="14"/>
        <v>Novilhas preenhe</v>
      </c>
      <c r="AF55" s="1815" t="str">
        <f t="shared" si="18"/>
        <v>Novilhas preenhe</v>
      </c>
      <c r="AG55" s="1816">
        <v>37165</v>
      </c>
      <c r="AH55" s="1816">
        <v>37165</v>
      </c>
      <c r="AJ55" s="1850" t="str">
        <f t="shared" si="30"/>
        <v>Bezerras desmamadas</v>
      </c>
      <c r="AK55" s="1851">
        <f t="shared" si="31"/>
        <v>0</v>
      </c>
      <c r="AL55" s="1852">
        <f t="shared" si="32"/>
        <v>0</v>
      </c>
      <c r="AM55" s="1855"/>
      <c r="AN55" s="1743">
        <v>11</v>
      </c>
      <c r="AO55" s="1817">
        <f t="shared" si="12"/>
        <v>0</v>
      </c>
      <c r="AP55" s="1818">
        <f t="shared" si="13"/>
        <v>0.79166666666666663</v>
      </c>
      <c r="AQ55" s="1819">
        <f>Rebanho!S57</f>
        <v>0</v>
      </c>
      <c r="AR55" s="751">
        <f t="shared" si="15"/>
        <v>0</v>
      </c>
      <c r="AS55" s="1820">
        <f>Rebanho!Z57</f>
        <v>0</v>
      </c>
      <c r="AT55" s="1821">
        <f t="shared" si="16"/>
        <v>0</v>
      </c>
      <c r="AU55" s="1822">
        <f t="shared" si="17"/>
        <v>9.5</v>
      </c>
      <c r="AV55" s="1822">
        <f t="shared" si="19"/>
        <v>9.5</v>
      </c>
    </row>
    <row r="56" spans="2:257" s="1659" customFormat="1" ht="12.2" customHeight="1" x14ac:dyDescent="0.2">
      <c r="B56" s="1659">
        <v>9</v>
      </c>
      <c r="C56" s="2567" t="s">
        <v>712</v>
      </c>
      <c r="D56" s="2567"/>
      <c r="E56" s="742">
        <f>IF($AI$89&lt;($E$55+$AJ$117),(($E$55+$AJ$117-$AI$89)*(1-($E$6*Q55))),0)-IF(K33=2,K56,0)</f>
        <v>0</v>
      </c>
      <c r="F56" s="743">
        <f t="shared" si="34"/>
        <v>0</v>
      </c>
      <c r="G56" s="1468"/>
      <c r="H56" s="751">
        <f t="shared" si="36"/>
        <v>0</v>
      </c>
      <c r="I56" s="752">
        <f>G56*Z55</f>
        <v>0</v>
      </c>
      <c r="J56" s="1857">
        <v>0.48</v>
      </c>
      <c r="K56" s="1923">
        <v>110</v>
      </c>
      <c r="L56" s="1924" t="e">
        <f>K57/(E57+E64)</f>
        <v>#DIV/0!</v>
      </c>
      <c r="O56" s="1743">
        <v>10</v>
      </c>
      <c r="P56" s="1838">
        <f t="shared" si="20"/>
        <v>0</v>
      </c>
      <c r="Q56" s="1922">
        <f t="shared" si="21"/>
        <v>1</v>
      </c>
      <c r="R56" s="1840">
        <f t="shared" si="22"/>
        <v>0</v>
      </c>
      <c r="S56" s="1841">
        <f t="shared" si="23"/>
        <v>0</v>
      </c>
      <c r="T56" s="1842">
        <f t="shared" si="24"/>
        <v>0</v>
      </c>
      <c r="U56" s="1843">
        <f t="shared" si="37"/>
        <v>0</v>
      </c>
      <c r="V56" s="1844">
        <f>(G34*E57)-(F34*(E56+AK117-AJ89))</f>
        <v>0</v>
      </c>
      <c r="W56" s="1845">
        <f t="shared" si="25"/>
        <v>0.48</v>
      </c>
      <c r="X56" s="1843">
        <f t="shared" si="33"/>
        <v>0</v>
      </c>
      <c r="Y56" s="1846">
        <f>(G34*E57)*J57/15-(F34*(E56+AK117-AJ89))*J56/15</f>
        <v>0</v>
      </c>
      <c r="Z56" s="1847">
        <f t="shared" si="26"/>
        <v>0</v>
      </c>
      <c r="AA56" s="1854">
        <f t="shared" si="27"/>
        <v>0</v>
      </c>
      <c r="AB56" s="1849">
        <f t="shared" si="28"/>
        <v>0</v>
      </c>
      <c r="AC56" s="1815" t="str">
        <f t="shared" si="29"/>
        <v>Novilhas sobreano</v>
      </c>
      <c r="AD56" s="1743">
        <v>12</v>
      </c>
      <c r="AE56" s="1815" t="str">
        <f t="shared" si="14"/>
        <v>Vacas primíparas</v>
      </c>
      <c r="AF56" s="1815" t="str">
        <f t="shared" si="18"/>
        <v>Vacas primíparas</v>
      </c>
      <c r="AG56" s="1816">
        <v>37196</v>
      </c>
      <c r="AH56" s="1816">
        <v>37196</v>
      </c>
      <c r="AJ56" s="1850" t="str">
        <f t="shared" si="30"/>
        <v>Novilhas sobreano</v>
      </c>
      <c r="AK56" s="1851">
        <f t="shared" si="31"/>
        <v>0</v>
      </c>
      <c r="AL56" s="1852">
        <f t="shared" si="32"/>
        <v>0</v>
      </c>
      <c r="AM56" s="1855"/>
      <c r="AN56" s="1743">
        <v>12</v>
      </c>
      <c r="AO56" s="1817">
        <f t="shared" si="12"/>
        <v>0</v>
      </c>
      <c r="AP56" s="1818">
        <f t="shared" si="13"/>
        <v>0</v>
      </c>
      <c r="AQ56" s="1819">
        <f>Rebanho!S58</f>
        <v>0</v>
      </c>
      <c r="AR56" s="751">
        <f t="shared" si="15"/>
        <v>0</v>
      </c>
      <c r="AS56" s="1820">
        <f>Rebanho!Z58</f>
        <v>0</v>
      </c>
      <c r="AT56" s="1821">
        <f t="shared" si="16"/>
        <v>0</v>
      </c>
      <c r="AU56" s="1822">
        <f t="shared" si="17"/>
        <v>0</v>
      </c>
      <c r="AV56" s="1822">
        <f t="shared" si="19"/>
        <v>0</v>
      </c>
    </row>
    <row r="57" spans="2:257" s="1659" customFormat="1" ht="12.75" customHeight="1" x14ac:dyDescent="0.2">
      <c r="B57" s="1659">
        <v>10</v>
      </c>
      <c r="C57" s="2567" t="s">
        <v>973</v>
      </c>
      <c r="D57" s="2567"/>
      <c r="E57" s="742">
        <f>IF($AJ$89&lt;($E$56+$AK$117),(($E$56+$AK$117-$AJ$89)*(1-($E$6*Q56))),0)-IF(K34=2,K57,0)</f>
        <v>0</v>
      </c>
      <c r="F57" s="743">
        <f t="shared" si="34"/>
        <v>0</v>
      </c>
      <c r="G57" s="1468"/>
      <c r="H57" s="751">
        <f t="shared" si="36"/>
        <v>0</v>
      </c>
      <c r="I57" s="752">
        <f>G57*Z56</f>
        <v>0</v>
      </c>
      <c r="J57" s="1857">
        <v>0.48</v>
      </c>
      <c r="K57" s="1923"/>
      <c r="L57" s="1924" t="e">
        <f>K57/(E57+E64)</f>
        <v>#DIV/0!</v>
      </c>
      <c r="O57" s="1659">
        <v>11</v>
      </c>
      <c r="P57" s="1838">
        <f t="shared" si="20"/>
        <v>0</v>
      </c>
      <c r="Q57" s="1922">
        <f t="shared" si="21"/>
        <v>0.79166666666666663</v>
      </c>
      <c r="R57" s="1840">
        <f t="shared" si="22"/>
        <v>0</v>
      </c>
      <c r="S57" s="1841">
        <f t="shared" si="23"/>
        <v>0</v>
      </c>
      <c r="T57" s="1842">
        <f t="shared" si="24"/>
        <v>0</v>
      </c>
      <c r="U57" s="1843">
        <f t="shared" si="37"/>
        <v>0</v>
      </c>
      <c r="V57" s="1844">
        <f>(G35*E58)-(F35*(E57+AL117-AK89))</f>
        <v>0</v>
      </c>
      <c r="W57" s="1845">
        <f t="shared" si="25"/>
        <v>0.48</v>
      </c>
      <c r="X57" s="1843">
        <f t="shared" si="33"/>
        <v>0</v>
      </c>
      <c r="Y57" s="1846">
        <f>(G35*E58)*J58/15-(F35*(E57+AL117-AK89))*J57/15</f>
        <v>0</v>
      </c>
      <c r="Z57" s="1847">
        <f t="shared" si="26"/>
        <v>0</v>
      </c>
      <c r="AA57" s="1854">
        <f t="shared" si="27"/>
        <v>0</v>
      </c>
      <c r="AB57" s="1849">
        <f t="shared" si="28"/>
        <v>0</v>
      </c>
      <c r="AC57" s="1815" t="str">
        <f t="shared" si="29"/>
        <v>Novilhas preenhe</v>
      </c>
      <c r="AD57" s="1743">
        <v>13</v>
      </c>
      <c r="AE57" s="1815" t="str">
        <f t="shared" si="14"/>
        <v>Vacas multiparas</v>
      </c>
      <c r="AF57" s="1815" t="str">
        <f t="shared" si="18"/>
        <v>Vacas multiparas</v>
      </c>
      <c r="AG57" s="1816">
        <v>37226</v>
      </c>
      <c r="AH57" s="1816">
        <v>37226</v>
      </c>
      <c r="AJ57" s="1850" t="str">
        <f t="shared" si="30"/>
        <v>Novilhas preenhe</v>
      </c>
      <c r="AK57" s="1851">
        <f t="shared" si="31"/>
        <v>0</v>
      </c>
      <c r="AL57" s="1852">
        <f t="shared" si="32"/>
        <v>0</v>
      </c>
      <c r="AM57" s="1855"/>
      <c r="AN57" s="1743">
        <v>13</v>
      </c>
      <c r="AO57" s="1817">
        <f t="shared" si="12"/>
        <v>0</v>
      </c>
      <c r="AP57" s="1818">
        <f t="shared" si="13"/>
        <v>0</v>
      </c>
      <c r="AQ57" s="1819">
        <f>Rebanho!S59</f>
        <v>0</v>
      </c>
      <c r="AR57" s="751">
        <f t="shared" si="15"/>
        <v>0</v>
      </c>
      <c r="AS57" s="1820">
        <f>Rebanho!Z59</f>
        <v>0</v>
      </c>
      <c r="AT57" s="1821">
        <f t="shared" si="16"/>
        <v>0</v>
      </c>
      <c r="AU57" s="1822">
        <f t="shared" si="17"/>
        <v>0</v>
      </c>
      <c r="AV57" s="1822">
        <f t="shared" si="19"/>
        <v>0</v>
      </c>
    </row>
    <row r="58" spans="2:257" s="1659" customFormat="1" ht="13.5" thickBot="1" x14ac:dyDescent="0.25">
      <c r="B58" s="1659">
        <v>11</v>
      </c>
      <c r="C58" s="2580" t="s">
        <v>972</v>
      </c>
      <c r="D58" s="2581"/>
      <c r="E58" s="742">
        <f>IF($AK$89&lt;($E$57+$AL$117),(($E$57+$AL$117-$AK$89)*(1-($E$6*Q57))),0)</f>
        <v>0</v>
      </c>
      <c r="F58" s="743">
        <f t="shared" si="34"/>
        <v>0</v>
      </c>
      <c r="G58" s="1468"/>
      <c r="H58" s="751">
        <f t="shared" si="36"/>
        <v>0</v>
      </c>
      <c r="I58" s="752">
        <f>G58*Z57</f>
        <v>0</v>
      </c>
      <c r="J58" s="1857">
        <v>0.48</v>
      </c>
      <c r="K58" s="1925"/>
      <c r="L58" s="1926"/>
      <c r="N58" s="1661"/>
      <c r="O58" s="1659">
        <v>12</v>
      </c>
      <c r="P58" s="1838">
        <f t="shared" si="20"/>
        <v>0</v>
      </c>
      <c r="Q58" s="1922">
        <f t="shared" si="21"/>
        <v>0</v>
      </c>
      <c r="R58" s="1840">
        <f t="shared" si="22"/>
        <v>0</v>
      </c>
      <c r="S58" s="1841">
        <f t="shared" si="23"/>
        <v>0</v>
      </c>
      <c r="T58" s="1842">
        <f t="shared" si="24"/>
        <v>0</v>
      </c>
      <c r="U58" s="1843">
        <f t="shared" si="37"/>
        <v>0</v>
      </c>
      <c r="V58" s="1844">
        <f>(G36*E59)-(F36*(E59+AM117-AL89))</f>
        <v>0</v>
      </c>
      <c r="W58" s="1845">
        <f t="shared" si="25"/>
        <v>0.48</v>
      </c>
      <c r="X58" s="1843">
        <f t="shared" si="33"/>
        <v>0</v>
      </c>
      <c r="Y58" s="1846">
        <f>(G36*E59)*J59/15-(F36*(E59+AM117-AL89))*J59/15</f>
        <v>0</v>
      </c>
      <c r="Z58" s="1847">
        <f t="shared" si="26"/>
        <v>0</v>
      </c>
      <c r="AA58" s="1854">
        <f t="shared" si="27"/>
        <v>0</v>
      </c>
      <c r="AB58" s="1849">
        <f t="shared" si="28"/>
        <v>0</v>
      </c>
      <c r="AC58" s="1815" t="str">
        <f t="shared" si="29"/>
        <v>Vacas primíparas</v>
      </c>
      <c r="AD58" s="1743">
        <v>14</v>
      </c>
      <c r="AE58" s="1815" t="str">
        <f t="shared" si="14"/>
        <v>Vacas solteiras secas</v>
      </c>
      <c r="AF58" s="1815" t="str">
        <f t="shared" si="18"/>
        <v>Vacas solteiras secas</v>
      </c>
      <c r="AG58" s="1816">
        <v>37257</v>
      </c>
      <c r="AH58" s="1816">
        <v>37257</v>
      </c>
      <c r="AJ58" s="1850" t="str">
        <f t="shared" si="30"/>
        <v>Vacas primíparas</v>
      </c>
      <c r="AK58" s="1851">
        <f t="shared" si="31"/>
        <v>0</v>
      </c>
      <c r="AL58" s="1852">
        <f t="shared" si="32"/>
        <v>0</v>
      </c>
      <c r="AM58" s="1855"/>
      <c r="AN58" s="1743">
        <v>14</v>
      </c>
      <c r="AO58" s="1858">
        <f t="shared" si="12"/>
        <v>0</v>
      </c>
      <c r="AP58" s="1859">
        <f t="shared" si="13"/>
        <v>0</v>
      </c>
      <c r="AQ58" s="1860">
        <f>Rebanho!S60</f>
        <v>0</v>
      </c>
      <c r="AR58" s="753">
        <f t="shared" si="15"/>
        <v>0</v>
      </c>
      <c r="AS58" s="1861">
        <f>Rebanho!Z60</f>
        <v>0</v>
      </c>
      <c r="AT58" s="1862">
        <f t="shared" si="16"/>
        <v>0</v>
      </c>
      <c r="AU58" s="1863">
        <f t="shared" si="17"/>
        <v>0</v>
      </c>
      <c r="AV58" s="1863">
        <f t="shared" si="19"/>
        <v>0</v>
      </c>
    </row>
    <row r="59" spans="2:257" s="1659" customFormat="1" ht="13.5" customHeight="1" thickTop="1" x14ac:dyDescent="0.2">
      <c r="B59" s="1659">
        <v>12</v>
      </c>
      <c r="C59" s="2580" t="s">
        <v>702</v>
      </c>
      <c r="D59" s="2581"/>
      <c r="E59" s="742">
        <f>IF($AL$89&lt;($E$58+$AM$117),($E$58+$AM$117-$AL$89),0)</f>
        <v>0</v>
      </c>
      <c r="F59" s="743">
        <f t="shared" si="34"/>
        <v>0</v>
      </c>
      <c r="G59" s="1509"/>
      <c r="H59" s="751">
        <f t="shared" si="36"/>
        <v>0</v>
      </c>
      <c r="I59" s="752">
        <f>G59*Z58*J59*F59/15</f>
        <v>0</v>
      </c>
      <c r="J59" s="1857">
        <v>0.48</v>
      </c>
      <c r="K59" s="1925"/>
      <c r="L59" s="1926"/>
      <c r="N59" s="1661"/>
      <c r="O59" s="1743">
        <v>13</v>
      </c>
      <c r="P59" s="1838">
        <f t="shared" si="20"/>
        <v>0</v>
      </c>
      <c r="Q59" s="1922">
        <f t="shared" si="21"/>
        <v>0</v>
      </c>
      <c r="R59" s="1840">
        <f t="shared" si="22"/>
        <v>0</v>
      </c>
      <c r="S59" s="1841">
        <f t="shared" si="23"/>
        <v>0</v>
      </c>
      <c r="T59" s="1842">
        <f t="shared" si="24"/>
        <v>0</v>
      </c>
      <c r="U59" s="1843">
        <f t="shared" si="37"/>
        <v>0</v>
      </c>
      <c r="V59" s="1844">
        <f>(G37*E60)-(F37*(E60+AN117))</f>
        <v>0</v>
      </c>
      <c r="W59" s="1845">
        <f t="shared" si="25"/>
        <v>0.48</v>
      </c>
      <c r="X59" s="1843">
        <f t="shared" si="33"/>
        <v>0</v>
      </c>
      <c r="Y59" s="1846">
        <f>(G37*E60)*J60/15-(F37*(E60+AN117))*J60/15</f>
        <v>0</v>
      </c>
      <c r="Z59" s="1847">
        <f t="shared" si="26"/>
        <v>0</v>
      </c>
      <c r="AA59" s="1854">
        <f t="shared" si="27"/>
        <v>0</v>
      </c>
      <c r="AB59" s="1849">
        <f t="shared" si="28"/>
        <v>0</v>
      </c>
      <c r="AC59" s="1815" t="str">
        <f t="shared" si="29"/>
        <v>Vacas em lactação multiparas</v>
      </c>
      <c r="AD59" s="1743">
        <v>15</v>
      </c>
      <c r="AE59" s="1815" t="str">
        <f t="shared" si="14"/>
        <v>Bezerras em aleitamento (Engorda)</v>
      </c>
      <c r="AF59" s="1815" t="str">
        <f t="shared" si="18"/>
        <v>Bezerras em aleitamento (Engorda)</v>
      </c>
      <c r="AG59" s="1816">
        <v>37288</v>
      </c>
      <c r="AH59" s="1816">
        <v>37288</v>
      </c>
      <c r="AJ59" s="1850" t="str">
        <f t="shared" si="30"/>
        <v>Vacas em lactação multiparas</v>
      </c>
      <c r="AK59" s="1851">
        <f t="shared" si="31"/>
        <v>0</v>
      </c>
      <c r="AL59" s="1852">
        <f t="shared" si="32"/>
        <v>0</v>
      </c>
      <c r="AM59" s="1855"/>
      <c r="AN59" s="1743">
        <v>15</v>
      </c>
      <c r="AO59" s="1883">
        <f t="shared" si="12"/>
        <v>0</v>
      </c>
      <c r="AP59" s="1884">
        <f t="shared" si="13"/>
        <v>0</v>
      </c>
      <c r="AQ59" s="1885">
        <f>Rebanho!S61</f>
        <v>0</v>
      </c>
      <c r="AR59" s="755">
        <f t="shared" si="15"/>
        <v>0</v>
      </c>
      <c r="AS59" s="1886">
        <f>Rebanho!Z61</f>
        <v>0</v>
      </c>
      <c r="AT59" s="1887">
        <f t="shared" si="16"/>
        <v>0</v>
      </c>
      <c r="AU59" s="1888">
        <f t="shared" si="17"/>
        <v>0</v>
      </c>
      <c r="AV59" s="1888">
        <f t="shared" si="19"/>
        <v>0</v>
      </c>
    </row>
    <row r="60" spans="2:257" s="1659" customFormat="1" ht="12.2" customHeight="1" thickBot="1" x14ac:dyDescent="0.25">
      <c r="B60" s="1659">
        <v>13</v>
      </c>
      <c r="C60" s="2580" t="s">
        <v>1052</v>
      </c>
      <c r="D60" s="2581"/>
      <c r="E60" s="742">
        <f>H7-E59+(AN117-AM89)</f>
        <v>0</v>
      </c>
      <c r="F60" s="743">
        <f t="shared" si="34"/>
        <v>0</v>
      </c>
      <c r="G60" s="1509"/>
      <c r="H60" s="751">
        <f t="shared" si="36"/>
        <v>0</v>
      </c>
      <c r="I60" s="752">
        <f>G60*Z59*J60*F60/15</f>
        <v>0</v>
      </c>
      <c r="J60" s="1857">
        <v>0.48</v>
      </c>
      <c r="K60" s="1925"/>
      <c r="L60" s="1926"/>
      <c r="N60" s="1661"/>
      <c r="O60" s="1659">
        <v>14</v>
      </c>
      <c r="P60" s="1870">
        <f t="shared" si="20"/>
        <v>0</v>
      </c>
      <c r="Q60" s="1871">
        <f t="shared" si="21"/>
        <v>0</v>
      </c>
      <c r="R60" s="1872">
        <f t="shared" si="22"/>
        <v>0</v>
      </c>
      <c r="S60" s="1873">
        <f t="shared" si="23"/>
        <v>0</v>
      </c>
      <c r="T60" s="1874">
        <f t="shared" si="24"/>
        <v>0</v>
      </c>
      <c r="U60" s="1875">
        <f t="shared" si="37"/>
        <v>0</v>
      </c>
      <c r="V60" s="1876">
        <f>(G38*E61)-(F38*(E61+AO117))</f>
        <v>0</v>
      </c>
      <c r="W60" s="1877">
        <f t="shared" si="25"/>
        <v>0.48</v>
      </c>
      <c r="X60" s="1875">
        <f t="shared" si="33"/>
        <v>0</v>
      </c>
      <c r="Y60" s="1878">
        <f>(G38*E61)*J61/15-(F38*(E61+AO117))*J61/15</f>
        <v>0</v>
      </c>
      <c r="Z60" s="1879">
        <f t="shared" si="26"/>
        <v>0</v>
      </c>
      <c r="AA60" s="1927">
        <f t="shared" si="27"/>
        <v>0</v>
      </c>
      <c r="AB60" s="1881">
        <f t="shared" si="28"/>
        <v>0</v>
      </c>
      <c r="AC60" s="1882" t="str">
        <f t="shared" si="29"/>
        <v>Vacas solteiras secas</v>
      </c>
      <c r="AD60" s="1743">
        <v>16</v>
      </c>
      <c r="AE60" s="1815" t="str">
        <f t="shared" si="14"/>
        <v>Bezerras desmamadas (Engorda)</v>
      </c>
      <c r="AF60" s="1815" t="str">
        <f t="shared" si="18"/>
        <v>Bezerras desmamadas (Engorda)</v>
      </c>
      <c r="AG60" s="1816">
        <v>37316</v>
      </c>
      <c r="AH60" s="1816">
        <v>37316</v>
      </c>
      <c r="AJ60" s="1850" t="str">
        <f t="shared" si="30"/>
        <v>Vacas solteiras secas</v>
      </c>
      <c r="AK60" s="1851">
        <f t="shared" si="31"/>
        <v>0</v>
      </c>
      <c r="AL60" s="1852">
        <f t="shared" si="32"/>
        <v>0</v>
      </c>
      <c r="AM60" s="1855"/>
      <c r="AN60" s="1743">
        <v>16</v>
      </c>
      <c r="AO60" s="1817">
        <f t="shared" si="12"/>
        <v>0</v>
      </c>
      <c r="AP60" s="1818">
        <f t="shared" si="13"/>
        <v>0</v>
      </c>
      <c r="AQ60" s="1819">
        <f>Rebanho!S62</f>
        <v>0</v>
      </c>
      <c r="AR60" s="751">
        <f t="shared" si="15"/>
        <v>0</v>
      </c>
      <c r="AS60" s="1820">
        <f>Rebanho!Z62</f>
        <v>0</v>
      </c>
      <c r="AT60" s="1821">
        <f t="shared" si="16"/>
        <v>0</v>
      </c>
      <c r="AU60" s="1822">
        <f t="shared" si="17"/>
        <v>0</v>
      </c>
      <c r="AV60" s="1822">
        <f t="shared" si="19"/>
        <v>0</v>
      </c>
      <c r="AW60" s="1665"/>
      <c r="AX60" s="1665"/>
      <c r="AY60" s="1665"/>
      <c r="AZ60" s="1665"/>
      <c r="BA60" s="1665"/>
      <c r="BB60" s="1665"/>
      <c r="BC60" s="1665"/>
      <c r="BD60" s="1665"/>
      <c r="BE60" s="1665"/>
      <c r="BF60" s="1665"/>
      <c r="BG60" s="1665"/>
      <c r="BH60" s="1665"/>
      <c r="BI60" s="1665"/>
      <c r="BJ60" s="1665"/>
      <c r="BK60" s="1665"/>
      <c r="BL60" s="1665"/>
      <c r="BM60" s="1665"/>
      <c r="BN60" s="1665"/>
      <c r="BO60" s="1665"/>
      <c r="BP60" s="1665"/>
      <c r="BQ60" s="1665"/>
      <c r="BR60" s="1665"/>
      <c r="BS60" s="1665"/>
      <c r="BT60" s="1665"/>
      <c r="BU60" s="1665"/>
      <c r="BV60" s="1665"/>
      <c r="BW60" s="1665"/>
      <c r="BX60" s="1665"/>
      <c r="BY60" s="1665"/>
      <c r="BZ60" s="1665"/>
      <c r="CA60" s="1665"/>
      <c r="CB60" s="1665"/>
      <c r="CC60" s="1665"/>
      <c r="CD60" s="1665"/>
      <c r="CE60" s="1665"/>
      <c r="CF60" s="1665"/>
      <c r="CG60" s="1665"/>
      <c r="CH60" s="1665"/>
      <c r="CI60" s="1665"/>
      <c r="CJ60" s="1665"/>
      <c r="CK60" s="1665"/>
      <c r="CL60" s="1665"/>
      <c r="CM60" s="1665"/>
      <c r="CN60" s="1665"/>
      <c r="CO60" s="1665"/>
      <c r="CP60" s="1665"/>
      <c r="CQ60" s="1665"/>
      <c r="CR60" s="1665"/>
      <c r="CS60" s="1665"/>
      <c r="CT60" s="1665"/>
      <c r="CU60" s="1665"/>
      <c r="CV60" s="1665"/>
      <c r="CW60" s="1665"/>
      <c r="CX60" s="1665"/>
      <c r="CY60" s="1665"/>
      <c r="CZ60" s="1665"/>
      <c r="DA60" s="1665"/>
      <c r="DB60" s="1665"/>
      <c r="DC60" s="1665"/>
      <c r="DD60" s="1665"/>
      <c r="DE60" s="1665"/>
      <c r="DF60" s="1665"/>
      <c r="DG60" s="1665"/>
      <c r="DH60" s="1665"/>
      <c r="DI60" s="1665"/>
      <c r="DJ60" s="1665"/>
      <c r="DK60" s="1665"/>
      <c r="DL60" s="1665"/>
      <c r="DM60" s="1665"/>
      <c r="DN60" s="1665"/>
      <c r="DO60" s="1665"/>
      <c r="DP60" s="1665"/>
      <c r="DQ60" s="1665"/>
      <c r="DR60" s="1665"/>
      <c r="DS60" s="1665"/>
      <c r="DT60" s="1665"/>
      <c r="DU60" s="1665"/>
      <c r="DV60" s="1665"/>
      <c r="DW60" s="1665"/>
      <c r="DX60" s="1665"/>
      <c r="DY60" s="1665"/>
      <c r="DZ60" s="1665"/>
      <c r="EA60" s="1665"/>
      <c r="EB60" s="1665"/>
      <c r="EC60" s="1665"/>
      <c r="ED60" s="1665"/>
      <c r="EE60" s="1665"/>
      <c r="EF60" s="1665"/>
      <c r="EG60" s="1665"/>
      <c r="EH60" s="1665"/>
      <c r="EI60" s="1665"/>
      <c r="EJ60" s="1665"/>
      <c r="EK60" s="1665"/>
      <c r="EL60" s="1665"/>
      <c r="EM60" s="1665"/>
      <c r="EN60" s="1665"/>
      <c r="EO60" s="1665"/>
      <c r="EP60" s="1665"/>
      <c r="EQ60" s="1665"/>
      <c r="ER60" s="1665"/>
      <c r="ES60" s="1665"/>
      <c r="ET60" s="1665"/>
      <c r="EU60" s="1665"/>
      <c r="EV60" s="1665"/>
      <c r="EW60" s="1665"/>
      <c r="EX60" s="1665"/>
      <c r="EY60" s="1665"/>
      <c r="EZ60" s="1665"/>
      <c r="FA60" s="1665"/>
      <c r="FB60" s="1665"/>
      <c r="FC60" s="1665"/>
      <c r="FD60" s="1665"/>
      <c r="FE60" s="1665"/>
      <c r="FF60" s="1665"/>
      <c r="FG60" s="1665"/>
      <c r="FH60" s="1665"/>
      <c r="FI60" s="1665"/>
      <c r="FJ60" s="1665"/>
      <c r="FK60" s="1665"/>
      <c r="FL60" s="1665"/>
      <c r="FM60" s="1665"/>
      <c r="FN60" s="1665"/>
      <c r="FO60" s="1665"/>
      <c r="FP60" s="1665"/>
      <c r="FQ60" s="1665"/>
      <c r="FR60" s="1665"/>
      <c r="FS60" s="1665"/>
      <c r="FT60" s="1665"/>
      <c r="FU60" s="1665"/>
      <c r="FV60" s="1665"/>
      <c r="FW60" s="1665"/>
      <c r="FX60" s="1665"/>
      <c r="FY60" s="1665"/>
      <c r="FZ60" s="1665"/>
      <c r="GA60" s="1665"/>
      <c r="GB60" s="1665"/>
      <c r="GC60" s="1665"/>
      <c r="GD60" s="1665"/>
      <c r="GE60" s="1665"/>
      <c r="GF60" s="1665"/>
      <c r="GG60" s="1665"/>
      <c r="GH60" s="1665"/>
      <c r="GI60" s="1665"/>
      <c r="GJ60" s="1665"/>
      <c r="GK60" s="1665"/>
      <c r="GL60" s="1665"/>
      <c r="GM60" s="1665"/>
      <c r="GN60" s="1665"/>
      <c r="GO60" s="1665"/>
      <c r="GP60" s="1665"/>
      <c r="GQ60" s="1665"/>
      <c r="GR60" s="1665"/>
      <c r="GS60" s="1665"/>
      <c r="GT60" s="1665"/>
      <c r="GU60" s="1665"/>
      <c r="GV60" s="1665"/>
      <c r="GW60" s="1665"/>
      <c r="GX60" s="1665"/>
      <c r="GY60" s="1665"/>
      <c r="GZ60" s="1665"/>
      <c r="HA60" s="1665"/>
      <c r="HB60" s="1665"/>
      <c r="HC60" s="1665"/>
      <c r="HD60" s="1665"/>
      <c r="HE60" s="1665"/>
      <c r="HF60" s="1665"/>
      <c r="HG60" s="1665"/>
      <c r="HH60" s="1665"/>
      <c r="HI60" s="1665"/>
      <c r="HJ60" s="1665"/>
      <c r="HK60" s="1665"/>
      <c r="HL60" s="1665"/>
      <c r="HM60" s="1665"/>
      <c r="HN60" s="1665"/>
      <c r="HO60" s="1665"/>
      <c r="HP60" s="1665"/>
      <c r="HQ60" s="1665"/>
      <c r="HR60" s="1665"/>
      <c r="HS60" s="1665"/>
      <c r="HT60" s="1665"/>
      <c r="HU60" s="1665"/>
      <c r="HV60" s="1665"/>
      <c r="HW60" s="1665"/>
      <c r="HX60" s="1665"/>
      <c r="HY60" s="1665"/>
      <c r="HZ60" s="1665"/>
      <c r="IA60" s="1665"/>
      <c r="IB60" s="1665"/>
      <c r="IC60" s="1665"/>
      <c r="ID60" s="1665"/>
      <c r="IE60" s="1665"/>
      <c r="IF60" s="1665"/>
      <c r="IG60" s="1665"/>
      <c r="IH60" s="1665"/>
      <c r="II60" s="1665"/>
      <c r="IJ60" s="1665"/>
      <c r="IK60" s="1665"/>
      <c r="IL60" s="1665"/>
      <c r="IM60" s="1665"/>
      <c r="IN60" s="1665"/>
      <c r="IO60" s="1665"/>
      <c r="IP60" s="1665"/>
      <c r="IQ60" s="1665"/>
      <c r="IR60" s="1665"/>
      <c r="IS60" s="1665"/>
      <c r="IT60" s="1665"/>
      <c r="IU60" s="1665"/>
      <c r="IV60" s="1665"/>
      <c r="IW60" s="1665"/>
    </row>
    <row r="61" spans="2:257" s="1665" customFormat="1" ht="12.2" customHeight="1" thickTop="1" thickBot="1" x14ac:dyDescent="0.25">
      <c r="B61" s="1659">
        <v>14</v>
      </c>
      <c r="C61" s="2586" t="s">
        <v>1049</v>
      </c>
      <c r="D61" s="2587"/>
      <c r="E61" s="744">
        <f>IF(E8=0,0,(H6-H7))-IF(K38=2,K61,0)</f>
        <v>0</v>
      </c>
      <c r="F61" s="745">
        <f t="shared" si="34"/>
        <v>0</v>
      </c>
      <c r="G61" s="1508"/>
      <c r="H61" s="753">
        <f t="shared" si="36"/>
        <v>0</v>
      </c>
      <c r="I61" s="825">
        <f>G61*Z60*J61*F61/15</f>
        <v>0</v>
      </c>
      <c r="J61" s="1889">
        <v>0.48</v>
      </c>
      <c r="K61" s="1923">
        <v>111</v>
      </c>
      <c r="L61" s="1924" t="e">
        <f>K57/(E57+E64)</f>
        <v>#DIV/0!</v>
      </c>
      <c r="M61" s="1659"/>
      <c r="N61" s="1661"/>
      <c r="O61" s="1659">
        <v>15</v>
      </c>
      <c r="P61" s="1906">
        <f t="shared" si="20"/>
        <v>0</v>
      </c>
      <c r="Q61" s="1907">
        <f t="shared" si="21"/>
        <v>0</v>
      </c>
      <c r="R61" s="1908">
        <f t="shared" si="22"/>
        <v>0</v>
      </c>
      <c r="S61" s="1909">
        <f t="shared" si="23"/>
        <v>0</v>
      </c>
      <c r="T61" s="1910">
        <f t="shared" si="24"/>
        <v>0</v>
      </c>
      <c r="U61" s="1911">
        <f t="shared" si="37"/>
        <v>0</v>
      </c>
      <c r="V61" s="1912">
        <f>(G39*E62)-(F39*(AP117))</f>
        <v>0</v>
      </c>
      <c r="W61" s="1913">
        <f t="shared" si="25"/>
        <v>0.45</v>
      </c>
      <c r="X61" s="1911">
        <f t="shared" si="33"/>
        <v>0</v>
      </c>
      <c r="Y61" s="1914">
        <f>G39*E62*J62/15-(F39*(AP117))*J62/15</f>
        <v>0</v>
      </c>
      <c r="Z61" s="1915">
        <f t="shared" si="26"/>
        <v>0</v>
      </c>
      <c r="AA61" s="1916">
        <f t="shared" si="27"/>
        <v>0</v>
      </c>
      <c r="AB61" s="1917">
        <f t="shared" si="28"/>
        <v>0</v>
      </c>
      <c r="AC61" s="1918" t="str">
        <f t="shared" si="29"/>
        <v>Bezerras em aleitamento (Engorda)</v>
      </c>
      <c r="AD61" s="1743">
        <v>17</v>
      </c>
      <c r="AE61" s="1815" t="str">
        <f t="shared" si="14"/>
        <v>Novilhas sobreano (Engorda)</v>
      </c>
      <c r="AF61" s="1815" t="str">
        <f t="shared" si="18"/>
        <v>Novilhas sobreano (Engorda)</v>
      </c>
      <c r="AG61" s="1816">
        <v>37347</v>
      </c>
      <c r="AH61" s="1816">
        <v>37347</v>
      </c>
      <c r="AJ61" s="1850" t="str">
        <f t="shared" si="30"/>
        <v>Bezerras em aleitamento (Engorda)</v>
      </c>
      <c r="AK61" s="1851">
        <f t="shared" si="31"/>
        <v>0</v>
      </c>
      <c r="AL61" s="1852">
        <f t="shared" si="32"/>
        <v>0</v>
      </c>
      <c r="AM61" s="1855"/>
      <c r="AN61" s="1743">
        <v>17</v>
      </c>
      <c r="AO61" s="1817">
        <f t="shared" si="12"/>
        <v>0</v>
      </c>
      <c r="AP61" s="1818">
        <f t="shared" si="13"/>
        <v>0</v>
      </c>
      <c r="AQ61" s="1819">
        <f>Rebanho!S63</f>
        <v>0</v>
      </c>
      <c r="AR61" s="751">
        <f t="shared" si="15"/>
        <v>0</v>
      </c>
      <c r="AS61" s="1928">
        <f>Rebanho!Z63</f>
        <v>0</v>
      </c>
      <c r="AT61" s="1856">
        <f t="shared" si="16"/>
        <v>0</v>
      </c>
      <c r="AU61" s="1822">
        <f t="shared" si="17"/>
        <v>0</v>
      </c>
      <c r="AV61" s="1822">
        <f t="shared" si="19"/>
        <v>0</v>
      </c>
      <c r="AW61" s="1659"/>
      <c r="AX61" s="1659"/>
      <c r="AY61" s="1659"/>
      <c r="AZ61" s="1659"/>
      <c r="BA61" s="1659"/>
      <c r="BB61" s="1659"/>
      <c r="BC61" s="1659"/>
      <c r="BD61" s="1659"/>
      <c r="BE61" s="1659"/>
      <c r="BF61" s="1659"/>
      <c r="BG61" s="1659"/>
      <c r="BH61" s="1659"/>
      <c r="BI61" s="1659"/>
      <c r="BJ61" s="1659"/>
      <c r="BK61" s="1659"/>
      <c r="BL61" s="1659"/>
      <c r="BM61" s="1659"/>
      <c r="BN61" s="1659"/>
      <c r="BO61" s="1659"/>
    </row>
    <row r="62" spans="2:257" s="1665" customFormat="1" ht="12.2" customHeight="1" thickTop="1" thickBot="1" x14ac:dyDescent="0.25">
      <c r="B62" s="1659">
        <v>15</v>
      </c>
      <c r="C62" s="2584" t="s">
        <v>969</v>
      </c>
      <c r="D62" s="2585"/>
      <c r="E62" s="748">
        <f>AP117+IF(AND(K32=2,H6&gt;0),K55,0)</f>
        <v>0</v>
      </c>
      <c r="F62" s="749">
        <f t="shared" si="34"/>
        <v>0</v>
      </c>
      <c r="G62" s="1469"/>
      <c r="H62" s="755">
        <f t="shared" si="36"/>
        <v>0</v>
      </c>
      <c r="I62" s="756">
        <f>G62*Z61</f>
        <v>0</v>
      </c>
      <c r="J62" s="1920">
        <v>0.45</v>
      </c>
      <c r="M62" s="1661"/>
      <c r="N62" s="1661"/>
      <c r="O62" s="1743">
        <v>16</v>
      </c>
      <c r="P62" s="1838">
        <f t="shared" si="20"/>
        <v>0</v>
      </c>
      <c r="Q62" s="1922">
        <f t="shared" si="21"/>
        <v>0</v>
      </c>
      <c r="R62" s="1840">
        <f t="shared" si="22"/>
        <v>0</v>
      </c>
      <c r="S62" s="1841">
        <f t="shared" si="23"/>
        <v>0</v>
      </c>
      <c r="T62" s="1842">
        <f t="shared" si="24"/>
        <v>0</v>
      </c>
      <c r="U62" s="1843">
        <f t="shared" si="37"/>
        <v>0</v>
      </c>
      <c r="V62" s="1844">
        <f>G40*E63-(F40*(E62+AQ117-AP89))</f>
        <v>0</v>
      </c>
      <c r="W62" s="1845">
        <f t="shared" si="25"/>
        <v>0.45</v>
      </c>
      <c r="X62" s="1843">
        <f t="shared" si="33"/>
        <v>0</v>
      </c>
      <c r="Y62" s="1846">
        <f>G40*E63*J63/15-(F40*(E62+AQ117-AP89))*J62/15</f>
        <v>0</v>
      </c>
      <c r="Z62" s="1847">
        <f t="shared" si="26"/>
        <v>0</v>
      </c>
      <c r="AA62" s="1854">
        <f t="shared" si="27"/>
        <v>0</v>
      </c>
      <c r="AB62" s="1849">
        <f t="shared" si="28"/>
        <v>0</v>
      </c>
      <c r="AC62" s="1815" t="str">
        <f t="shared" si="29"/>
        <v>Bezerras desmamadas (Engorda)</v>
      </c>
      <c r="AD62" s="1743">
        <v>18</v>
      </c>
      <c r="AE62" s="1815" t="str">
        <f t="shared" si="14"/>
        <v>Vaca (Engorda)</v>
      </c>
      <c r="AF62" s="1815" t="str">
        <f t="shared" si="18"/>
        <v>Vaca (Engorda)</v>
      </c>
      <c r="AG62" s="1816">
        <v>37377</v>
      </c>
      <c r="AH62" s="1816">
        <v>37377</v>
      </c>
      <c r="AJ62" s="1850" t="str">
        <f t="shared" si="30"/>
        <v>Bezerras desmamadas (Engorda)</v>
      </c>
      <c r="AK62" s="1851">
        <f t="shared" si="31"/>
        <v>0</v>
      </c>
      <c r="AL62" s="1852">
        <f t="shared" si="32"/>
        <v>0</v>
      </c>
      <c r="AM62" s="1855"/>
      <c r="AN62" s="1743">
        <v>18</v>
      </c>
      <c r="AO62" s="1929">
        <f t="shared" si="12"/>
        <v>0</v>
      </c>
      <c r="AP62" s="1930">
        <f t="shared" si="13"/>
        <v>0</v>
      </c>
      <c r="AQ62" s="1931">
        <f>Rebanho!S64</f>
        <v>0</v>
      </c>
      <c r="AR62" s="757">
        <f t="shared" si="15"/>
        <v>0</v>
      </c>
      <c r="AS62" s="1932">
        <f>Rebanho!Z64</f>
        <v>0</v>
      </c>
      <c r="AT62" s="1933">
        <f t="shared" si="16"/>
        <v>0</v>
      </c>
      <c r="AU62" s="1934">
        <f t="shared" si="17"/>
        <v>0</v>
      </c>
      <c r="AV62" s="1934">
        <f t="shared" si="19"/>
        <v>0</v>
      </c>
      <c r="AW62" s="1659"/>
      <c r="AX62" s="1659"/>
      <c r="AY62" s="1659"/>
      <c r="AZ62" s="1659"/>
      <c r="BA62" s="1659"/>
      <c r="BB62" s="1659"/>
      <c r="BC62" s="1659"/>
      <c r="BD62" s="1659"/>
      <c r="BE62" s="1659"/>
      <c r="BF62" s="1659"/>
      <c r="BG62" s="1659"/>
      <c r="BH62" s="1659"/>
      <c r="BI62" s="1659"/>
      <c r="BJ62" s="1659"/>
      <c r="BK62" s="1659"/>
      <c r="BL62" s="1659"/>
      <c r="BM62" s="1659"/>
      <c r="BN62" s="1659"/>
      <c r="BO62" s="1659"/>
    </row>
    <row r="63" spans="2:257" s="1665" customFormat="1" ht="12.2" customHeight="1" thickBot="1" x14ac:dyDescent="0.25">
      <c r="B63" s="1659">
        <v>16</v>
      </c>
      <c r="C63" s="2582" t="s">
        <v>970</v>
      </c>
      <c r="D63" s="2583"/>
      <c r="E63" s="748">
        <f>((E62+AQ117-AP89+IF(AND(K33=2,H6&gt;0),K56,0))*(1-(E6*Q62)))</f>
        <v>0</v>
      </c>
      <c r="F63" s="743">
        <f t="shared" si="34"/>
        <v>0</v>
      </c>
      <c r="G63" s="1470"/>
      <c r="H63" s="751">
        <f t="shared" si="36"/>
        <v>0</v>
      </c>
      <c r="I63" s="752">
        <f>G63*Z62</f>
        <v>0</v>
      </c>
      <c r="J63" s="1857">
        <v>0.45</v>
      </c>
      <c r="K63" s="1661"/>
      <c r="L63" s="1661"/>
      <c r="M63" s="1661"/>
      <c r="N63" s="1661"/>
      <c r="O63" s="1659">
        <v>17</v>
      </c>
      <c r="P63" s="1838">
        <f t="shared" si="20"/>
        <v>0</v>
      </c>
      <c r="Q63" s="1922">
        <f t="shared" si="21"/>
        <v>0</v>
      </c>
      <c r="R63" s="1840">
        <f t="shared" si="22"/>
        <v>0</v>
      </c>
      <c r="S63" s="1841">
        <f t="shared" si="23"/>
        <v>0</v>
      </c>
      <c r="T63" s="1842">
        <f t="shared" si="24"/>
        <v>0</v>
      </c>
      <c r="U63" s="1843">
        <f t="shared" si="37"/>
        <v>0</v>
      </c>
      <c r="V63" s="1844">
        <f>G41*E64-(F41*(E63+AR117-AQ89))</f>
        <v>0</v>
      </c>
      <c r="W63" s="1845">
        <f t="shared" si="25"/>
        <v>0.45</v>
      </c>
      <c r="X63" s="1843">
        <f t="shared" si="33"/>
        <v>0</v>
      </c>
      <c r="Y63" s="1846">
        <f>G41*E64*J64/15-(F41*(E63+AR117-AQ89))*J63/15</f>
        <v>0</v>
      </c>
      <c r="Z63" s="1847">
        <f t="shared" si="26"/>
        <v>0</v>
      </c>
      <c r="AA63" s="1935">
        <f t="shared" si="27"/>
        <v>0</v>
      </c>
      <c r="AB63" s="1849">
        <f t="shared" si="28"/>
        <v>0</v>
      </c>
      <c r="AC63" s="1815" t="str">
        <f t="shared" si="29"/>
        <v>Novilhas sobreano (Engorda)</v>
      </c>
      <c r="AD63" s="1743">
        <v>19</v>
      </c>
      <c r="AE63" s="1936" t="s">
        <v>707</v>
      </c>
      <c r="AF63" s="1937"/>
      <c r="AG63" s="1816">
        <v>37408</v>
      </c>
      <c r="AH63" s="1816">
        <v>37408</v>
      </c>
      <c r="AJ63" s="1850" t="str">
        <f t="shared" si="30"/>
        <v>Novilhas sobreano (Engorda)</v>
      </c>
      <c r="AK63" s="1851">
        <f t="shared" si="31"/>
        <v>0</v>
      </c>
      <c r="AL63" s="1852">
        <f t="shared" si="32"/>
        <v>0</v>
      </c>
      <c r="AM63" s="1855"/>
      <c r="AN63" s="1743">
        <v>19</v>
      </c>
      <c r="AO63" s="1938" t="str">
        <f>P70</f>
        <v>Total de animais</v>
      </c>
      <c r="AP63" s="1939"/>
      <c r="AQ63" s="1940">
        <f>SUM(AQ46:AQ62)</f>
        <v>3116.864924444445</v>
      </c>
      <c r="AR63" s="1941">
        <f>R70</f>
        <v>1225.4713557179698</v>
      </c>
      <c r="AS63" s="1942">
        <f>SUM(AS46:AS62)</f>
        <v>1559.386107654321</v>
      </c>
      <c r="AT63" s="1943">
        <f>SUM(AT46:AT62)</f>
        <v>1142585.2620207409</v>
      </c>
      <c r="AU63" s="1944">
        <f>IF(SUM(AS46:AS62)=0,0,((AS46*AU46)+(AS47*AU47)+(AS48*AU48)+(AS49*AU49)+(AS50*AU50)+(AS51*AU51)+(AS52*AU52)+(AS53*AU53)+(AS54*AU54)+(AS55*AU55)+(AS56*AU56)+(AS57*AU57)+(AS58*AU58)+(AS59*AU59)+(AS60*AU60)+(AS61*AU61)+(AS62*AU62))/(SUM(AS46:AS62)))</f>
        <v>6.7480726017694153</v>
      </c>
      <c r="AV63" s="1944">
        <f>IF(AU63&gt;12,12,AU63)</f>
        <v>6.7480726017694153</v>
      </c>
      <c r="AW63" s="1659"/>
      <c r="AX63" s="1659"/>
      <c r="AY63" s="1659"/>
      <c r="AZ63" s="1659"/>
      <c r="BA63" s="1659"/>
      <c r="BB63" s="1659"/>
      <c r="BC63" s="1659"/>
      <c r="BD63" s="1659"/>
      <c r="BE63" s="1659"/>
      <c r="BF63" s="1659"/>
      <c r="BG63" s="1659"/>
      <c r="BH63" s="1659"/>
      <c r="BI63" s="1659"/>
      <c r="BJ63" s="1659"/>
      <c r="BK63" s="1659"/>
      <c r="BL63" s="1659"/>
      <c r="BM63" s="1659"/>
      <c r="BN63" s="1659"/>
      <c r="BO63" s="1659"/>
    </row>
    <row r="64" spans="2:257" s="1665" customFormat="1" ht="12.2" customHeight="1" thickBot="1" x14ac:dyDescent="0.25">
      <c r="B64" s="1659">
        <v>17</v>
      </c>
      <c r="C64" s="2567" t="s">
        <v>974</v>
      </c>
      <c r="D64" s="2567"/>
      <c r="E64" s="748">
        <f>((E63+AR117-AQ89+IF(AND(K34=2,H6&gt;0),K57,0))*(1-(E6*Q63)))</f>
        <v>0</v>
      </c>
      <c r="F64" s="743">
        <f t="shared" si="34"/>
        <v>0</v>
      </c>
      <c r="G64" s="1470"/>
      <c r="H64" s="751">
        <f t="shared" si="36"/>
        <v>0</v>
      </c>
      <c r="I64" s="752">
        <f>G64*Z63</f>
        <v>0</v>
      </c>
      <c r="J64" s="1857">
        <v>0.45</v>
      </c>
      <c r="K64" s="1661"/>
      <c r="L64" s="1661"/>
      <c r="M64" s="1661"/>
      <c r="N64" s="1661"/>
      <c r="O64" s="1659">
        <v>18</v>
      </c>
      <c r="P64" s="1838">
        <f t="shared" si="20"/>
        <v>0</v>
      </c>
      <c r="Q64" s="1922">
        <f t="shared" si="21"/>
        <v>0</v>
      </c>
      <c r="R64" s="1840">
        <f t="shared" si="22"/>
        <v>0</v>
      </c>
      <c r="S64" s="1945">
        <f t="shared" si="23"/>
        <v>0</v>
      </c>
      <c r="T64" s="1946">
        <f t="shared" si="24"/>
        <v>0</v>
      </c>
      <c r="U64" s="1843">
        <f t="shared" si="37"/>
        <v>0</v>
      </c>
      <c r="V64" s="1844">
        <f>(G42*E65)-(F42*(E64+AS117-AR89))</f>
        <v>0</v>
      </c>
      <c r="W64" s="1947">
        <f t="shared" si="25"/>
        <v>0.5</v>
      </c>
      <c r="X64" s="1843">
        <f t="shared" si="33"/>
        <v>0</v>
      </c>
      <c r="Y64" s="1846">
        <f>G42*E65*J65/15-(F42*(E64+AS117-AR89))*J64/15</f>
        <v>0</v>
      </c>
      <c r="Z64" s="1847">
        <f t="shared" si="26"/>
        <v>0</v>
      </c>
      <c r="AA64" s="1948">
        <f t="shared" si="27"/>
        <v>0</v>
      </c>
      <c r="AB64" s="1949">
        <f t="shared" si="28"/>
        <v>0</v>
      </c>
      <c r="AC64" s="1950" t="str">
        <f t="shared" si="29"/>
        <v>Vaca (Engorda)</v>
      </c>
      <c r="AD64" s="1743">
        <v>20</v>
      </c>
      <c r="AE64" s="1936" t="s">
        <v>708</v>
      </c>
      <c r="AF64" s="1937"/>
      <c r="AG64" s="1816">
        <v>37438</v>
      </c>
      <c r="AH64" s="1816">
        <v>37438</v>
      </c>
      <c r="AJ64" s="1951" t="str">
        <f t="shared" si="30"/>
        <v>Vaca (Engorda)</v>
      </c>
      <c r="AK64" s="1952">
        <f t="shared" si="31"/>
        <v>0</v>
      </c>
      <c r="AL64" s="1953">
        <f t="shared" si="32"/>
        <v>0</v>
      </c>
      <c r="AM64" s="1688" t="s">
        <v>1012</v>
      </c>
      <c r="AN64" s="1954"/>
      <c r="AO64" s="1955"/>
      <c r="AP64" s="1956"/>
      <c r="AQ64" s="1957"/>
      <c r="AR64" s="1958"/>
      <c r="AS64" s="1959"/>
      <c r="AT64" s="1960"/>
      <c r="AU64" s="1961"/>
      <c r="AV64" s="1961"/>
      <c r="AW64" s="1962"/>
      <c r="AX64" s="1659"/>
      <c r="AY64" s="1659"/>
      <c r="AZ64" s="1659"/>
      <c r="BA64" s="1659"/>
      <c r="BB64" s="1659"/>
      <c r="BC64" s="1659"/>
      <c r="BD64" s="1659"/>
      <c r="BE64" s="1659"/>
      <c r="BF64" s="1659"/>
      <c r="BG64" s="1659"/>
      <c r="BH64" s="1659"/>
      <c r="BI64" s="1659"/>
      <c r="BJ64" s="1659"/>
      <c r="BK64" s="1659"/>
      <c r="BL64" s="1659"/>
      <c r="BM64" s="1659"/>
      <c r="BN64" s="1659"/>
      <c r="BO64" s="1659"/>
      <c r="BP64" s="1659"/>
    </row>
    <row r="65" spans="1:258" s="1665" customFormat="1" ht="12.2" customHeight="1" thickBot="1" x14ac:dyDescent="0.25">
      <c r="B65" s="1659">
        <v>18</v>
      </c>
      <c r="C65" s="2596" t="s">
        <v>971</v>
      </c>
      <c r="D65" s="2597"/>
      <c r="E65" s="763">
        <f>((E64+AS117-AR89+IF(AND(K38=2,H6&gt;0),K61,0))*(1-(E6*Q64)))</f>
        <v>0</v>
      </c>
      <c r="F65" s="750">
        <f t="shared" si="34"/>
        <v>0</v>
      </c>
      <c r="G65" s="1510"/>
      <c r="H65" s="757">
        <f t="shared" si="36"/>
        <v>0</v>
      </c>
      <c r="I65" s="758">
        <f>G65*Z64*J65*F65/15</f>
        <v>0</v>
      </c>
      <c r="J65" s="1963">
        <v>0.5</v>
      </c>
      <c r="M65" s="1661"/>
      <c r="N65" s="1661"/>
      <c r="O65" s="1743">
        <v>19</v>
      </c>
      <c r="P65" s="1776" t="s">
        <v>707</v>
      </c>
      <c r="Q65" s="1964"/>
      <c r="R65" s="1965"/>
      <c r="S65" s="1966"/>
      <c r="T65" s="1965"/>
      <c r="U65" s="1967"/>
      <c r="V65" s="1968"/>
      <c r="W65" s="1969">
        <f t="shared" si="25"/>
        <v>0</v>
      </c>
      <c r="X65" s="1967"/>
      <c r="Y65" s="1970"/>
      <c r="Z65" s="1966"/>
      <c r="AA65" s="1969"/>
      <c r="AB65" s="1971">
        <f>Z70/$Z$70</f>
        <v>1</v>
      </c>
      <c r="AC65" s="1972" t="s">
        <v>77</v>
      </c>
      <c r="AD65" s="1743">
        <v>21</v>
      </c>
      <c r="AE65" s="1936" t="s">
        <v>709</v>
      </c>
      <c r="AF65" s="1973"/>
      <c r="AG65" s="1816">
        <v>37469</v>
      </c>
      <c r="AH65" s="1816">
        <v>37469</v>
      </c>
      <c r="AJ65" s="1974" t="str">
        <f>C70</f>
        <v>Equinos</v>
      </c>
      <c r="AK65" s="1975">
        <f>D70</f>
        <v>0</v>
      </c>
      <c r="AL65" s="1976">
        <f>AJ71</f>
        <v>24000</v>
      </c>
      <c r="AM65" s="1977">
        <f>AK71</f>
        <v>2000</v>
      </c>
      <c r="AN65" s="1954"/>
      <c r="AO65" s="1978"/>
      <c r="AP65" s="1979"/>
      <c r="AQ65" s="1980"/>
      <c r="AR65" s="1981"/>
      <c r="AS65" s="1982"/>
      <c r="AT65" s="1983"/>
      <c r="AU65" s="1984"/>
      <c r="AV65" s="1984"/>
      <c r="AW65" s="1985"/>
      <c r="AX65" s="1659"/>
      <c r="AY65" s="1659"/>
      <c r="AZ65" s="1659"/>
      <c r="BA65" s="1659"/>
      <c r="BB65" s="1659"/>
      <c r="BC65" s="1659"/>
      <c r="BD65" s="1659"/>
      <c r="BE65" s="1659"/>
      <c r="BF65" s="1659"/>
      <c r="BG65" s="1659"/>
      <c r="BH65" s="1659"/>
      <c r="BI65" s="1659"/>
      <c r="BJ65" s="1659"/>
      <c r="BK65" s="1659"/>
      <c r="BL65" s="1659"/>
      <c r="BM65" s="1659"/>
      <c r="BN65" s="1659"/>
      <c r="BO65" s="1659"/>
      <c r="BP65" s="1659"/>
    </row>
    <row r="66" spans="1:258" s="1665" customFormat="1" ht="12.2" customHeight="1" thickBot="1" x14ac:dyDescent="0.25">
      <c r="B66" s="1659"/>
      <c r="C66" s="2594" t="s">
        <v>1009</v>
      </c>
      <c r="D66" s="2595"/>
      <c r="E66" s="774">
        <f>Z70</f>
        <v>1559.386107654321</v>
      </c>
      <c r="F66" s="759"/>
      <c r="G66" s="760"/>
      <c r="H66" s="761">
        <f>SUM(H49:H65)</f>
        <v>1225.4713557179698</v>
      </c>
      <c r="I66" s="762">
        <f>SUM(I49:I65)</f>
        <v>2129359.1038907128</v>
      </c>
      <c r="J66" s="1659"/>
      <c r="M66" s="1661"/>
      <c r="N66" s="1661"/>
      <c r="O66" s="1659">
        <v>20</v>
      </c>
      <c r="P66" s="1776" t="s">
        <v>708</v>
      </c>
      <c r="Q66" s="1986"/>
      <c r="R66" s="1987"/>
      <c r="S66" s="1988"/>
      <c r="T66" s="1989"/>
      <c r="U66" s="1990"/>
      <c r="V66" s="1991"/>
      <c r="W66" s="1992"/>
      <c r="X66" s="1990"/>
      <c r="Y66" s="1993"/>
      <c r="Z66" s="1994"/>
      <c r="AA66" s="1995"/>
      <c r="AB66" s="1996"/>
      <c r="AC66" s="1659"/>
      <c r="AD66" s="1743">
        <v>22</v>
      </c>
      <c r="AE66" s="1936" t="s">
        <v>710</v>
      </c>
      <c r="AF66" s="1973"/>
      <c r="AG66" s="1816">
        <v>37500</v>
      </c>
      <c r="AH66" s="1816">
        <v>37500</v>
      </c>
      <c r="AJ66" s="1997" t="str">
        <f>C71</f>
        <v>Outros (Rufiao)</v>
      </c>
      <c r="AK66" s="1998">
        <f>D71</f>
        <v>0</v>
      </c>
      <c r="AL66" s="1999">
        <f>AJ72</f>
        <v>0</v>
      </c>
      <c r="AM66" s="2000">
        <f>AK72</f>
        <v>0</v>
      </c>
      <c r="AN66" s="1954"/>
      <c r="AO66" s="1978"/>
      <c r="AP66" s="1979"/>
      <c r="AQ66" s="1980"/>
      <c r="AR66" s="1981"/>
      <c r="AS66" s="1982"/>
      <c r="AT66" s="1983"/>
      <c r="AU66" s="1984"/>
      <c r="AV66" s="1984"/>
      <c r="AW66" s="1985"/>
      <c r="AX66" s="1659"/>
      <c r="AY66" s="1659"/>
      <c r="AZ66" s="1659"/>
      <c r="BA66" s="1659"/>
      <c r="BB66" s="1659"/>
      <c r="BC66" s="1659"/>
      <c r="BD66" s="1659"/>
      <c r="BE66" s="1659"/>
      <c r="BF66" s="1659"/>
      <c r="BG66" s="1659"/>
      <c r="BH66" s="1659"/>
      <c r="BI66" s="1659"/>
      <c r="BJ66" s="1659"/>
      <c r="BK66" s="1659"/>
      <c r="BL66" s="1659"/>
      <c r="BM66" s="1659"/>
      <c r="BN66" s="1659"/>
      <c r="BO66" s="1659"/>
      <c r="BP66" s="1659"/>
    </row>
    <row r="67" spans="1:258" s="1665" customFormat="1" ht="12.2" customHeight="1" thickBot="1" x14ac:dyDescent="0.25">
      <c r="E67" s="2278">
        <f>E66/Descrição!J16</f>
        <v>2.0147107334035157</v>
      </c>
      <c r="F67" s="1665" t="s">
        <v>1415</v>
      </c>
      <c r="J67" s="1659"/>
      <c r="M67" s="1661"/>
      <c r="N67" s="1663"/>
      <c r="O67" s="1659">
        <v>21</v>
      </c>
      <c r="P67" s="1776" t="s">
        <v>709</v>
      </c>
      <c r="Q67" s="1733"/>
      <c r="R67" s="1969"/>
      <c r="S67" s="1994"/>
      <c r="T67" s="2001"/>
      <c r="U67" s="2002"/>
      <c r="V67" s="2003"/>
      <c r="W67" s="1969"/>
      <c r="X67" s="2002"/>
      <c r="Y67" s="2004"/>
      <c r="Z67" s="1994"/>
      <c r="AA67" s="1969"/>
      <c r="AD67" s="1665">
        <v>23</v>
      </c>
      <c r="AE67" s="1936" t="s">
        <v>711</v>
      </c>
      <c r="AF67" s="1973"/>
      <c r="AG67" s="1816">
        <v>37530</v>
      </c>
      <c r="AH67" s="1816">
        <v>37530</v>
      </c>
      <c r="AJ67" s="2005" t="s">
        <v>1013</v>
      </c>
      <c r="AK67" s="2006"/>
      <c r="AL67" s="2007">
        <f>SUM(AL48:AL66)</f>
        <v>2153359.1038907128</v>
      </c>
      <c r="AM67" s="2008">
        <f>SUM(AM65:AM66)</f>
        <v>2000</v>
      </c>
      <c r="AN67" s="1954"/>
      <c r="AO67" s="1978"/>
      <c r="AP67" s="1979"/>
      <c r="AQ67" s="1980"/>
      <c r="AR67" s="1981"/>
      <c r="AS67" s="1982"/>
      <c r="AT67" s="1983"/>
      <c r="AU67" s="1984"/>
      <c r="AV67" s="1984"/>
      <c r="AW67" s="1985"/>
      <c r="AX67" s="1659"/>
      <c r="AY67" s="1659"/>
      <c r="AZ67" s="1659"/>
      <c r="BA67" s="1659"/>
      <c r="BB67" s="1659"/>
      <c r="BC67" s="1659"/>
      <c r="BD67" s="1659"/>
      <c r="BE67" s="1659"/>
      <c r="BF67" s="1659"/>
      <c r="BG67" s="1659"/>
      <c r="BH67" s="1659"/>
      <c r="BI67" s="1659"/>
      <c r="BJ67" s="1659"/>
      <c r="BK67" s="1659"/>
      <c r="BL67" s="1659"/>
      <c r="BM67" s="1659"/>
      <c r="BN67" s="1659"/>
      <c r="BO67" s="1659"/>
      <c r="BP67" s="1659"/>
    </row>
    <row r="68" spans="1:258" s="1665" customFormat="1" ht="12.2" customHeight="1" thickBot="1" x14ac:dyDescent="0.25">
      <c r="B68" s="1659"/>
      <c r="C68" s="1663"/>
      <c r="D68" s="1663"/>
      <c r="E68" s="2009"/>
      <c r="F68" s="1663"/>
      <c r="G68" s="1663"/>
      <c r="H68" s="2010"/>
      <c r="I68" s="2011"/>
      <c r="J68" s="1659"/>
      <c r="M68" s="1663"/>
      <c r="N68" s="1659"/>
      <c r="O68" s="1743">
        <v>22</v>
      </c>
      <c r="P68" s="1776" t="s">
        <v>710</v>
      </c>
      <c r="Q68" s="1733"/>
      <c r="R68" s="1969"/>
      <c r="S68" s="1994"/>
      <c r="T68" s="2001"/>
      <c r="U68" s="2002"/>
      <c r="V68" s="2003"/>
      <c r="W68" s="1969"/>
      <c r="X68" s="2002"/>
      <c r="Y68" s="2004"/>
      <c r="Z68" s="1994"/>
      <c r="AA68" s="1969"/>
      <c r="AE68" s="2012"/>
      <c r="AF68" s="1973"/>
      <c r="AG68" s="1816">
        <v>37561</v>
      </c>
      <c r="AH68" s="1816">
        <v>37561</v>
      </c>
      <c r="AN68" s="1954"/>
      <c r="AO68" s="1978"/>
      <c r="AP68" s="1979"/>
      <c r="AQ68" s="1980"/>
      <c r="AR68" s="1981"/>
      <c r="AS68" s="1982"/>
      <c r="AT68" s="1983"/>
      <c r="AU68" s="1984"/>
      <c r="AV68" s="1984"/>
      <c r="AW68" s="1985"/>
      <c r="AX68" s="1659"/>
      <c r="AY68" s="1659"/>
      <c r="AZ68" s="1659"/>
      <c r="BA68" s="1659"/>
      <c r="BB68" s="1659"/>
      <c r="BC68" s="1659"/>
      <c r="BD68" s="1659"/>
      <c r="BE68" s="1659"/>
      <c r="BF68" s="1659"/>
      <c r="BG68" s="1659"/>
      <c r="BH68" s="1659"/>
      <c r="BI68" s="1659"/>
      <c r="BJ68" s="1659"/>
      <c r="BK68" s="1659"/>
      <c r="BL68" s="1659"/>
      <c r="BM68" s="1659"/>
      <c r="BN68" s="1659"/>
      <c r="BO68" s="1659"/>
      <c r="BP68" s="1659"/>
    </row>
    <row r="69" spans="1:258" s="1665" customFormat="1" ht="12.2" customHeight="1" thickBot="1" x14ac:dyDescent="0.25">
      <c r="B69" s="1659"/>
      <c r="C69" s="2615" t="s">
        <v>10</v>
      </c>
      <c r="D69" s="2616"/>
      <c r="E69" s="1740" t="s">
        <v>0</v>
      </c>
      <c r="F69" s="1740" t="s">
        <v>7</v>
      </c>
      <c r="G69" s="1740" t="s">
        <v>968</v>
      </c>
      <c r="H69" s="1740" t="s">
        <v>378</v>
      </c>
      <c r="I69" s="1740" t="s">
        <v>791</v>
      </c>
      <c r="J69" s="1659"/>
      <c r="M69" s="1659"/>
      <c r="N69" s="1659"/>
      <c r="O69" s="1659">
        <v>23</v>
      </c>
      <c r="P69" s="2013" t="s">
        <v>711</v>
      </c>
      <c r="Q69" s="2014"/>
      <c r="R69" s="2015"/>
      <c r="S69" s="2016"/>
      <c r="T69" s="2017"/>
      <c r="U69" s="2018"/>
      <c r="V69" s="2019"/>
      <c r="W69" s="1969"/>
      <c r="X69" s="2018"/>
      <c r="Y69" s="2020"/>
      <c r="Z69" s="2016"/>
      <c r="AA69" s="1969"/>
      <c r="AF69" s="1973"/>
      <c r="AG69" s="1816">
        <v>37591</v>
      </c>
      <c r="AH69" s="1816">
        <v>37591</v>
      </c>
      <c r="AI69" s="1659"/>
      <c r="AJ69" s="2544" t="s">
        <v>10</v>
      </c>
      <c r="AK69" s="2613"/>
      <c r="AL69" s="2613"/>
      <c r="AM69" s="2545"/>
      <c r="AN69" s="1954"/>
      <c r="AO69" s="2021"/>
      <c r="AP69" s="1979"/>
      <c r="AQ69" s="1980"/>
      <c r="AR69" s="1981"/>
      <c r="AS69" s="1982"/>
      <c r="AT69" s="1983"/>
      <c r="AU69" s="1984"/>
      <c r="AV69" s="1984"/>
      <c r="AW69" s="1985"/>
      <c r="AX69" s="1659"/>
      <c r="AY69" s="1659"/>
      <c r="AZ69" s="1659"/>
      <c r="BA69" s="1659"/>
      <c r="BB69" s="1659"/>
      <c r="BC69" s="1659"/>
      <c r="BD69" s="1659"/>
      <c r="BE69" s="1659"/>
      <c r="BF69" s="1659"/>
      <c r="BG69" s="1659"/>
      <c r="BH69" s="1659"/>
      <c r="BI69" s="1659"/>
      <c r="BJ69" s="1659"/>
      <c r="BK69" s="1659"/>
      <c r="BL69" s="1659"/>
      <c r="BM69" s="1659"/>
      <c r="BN69" s="1659"/>
      <c r="BO69" s="1659"/>
      <c r="BP69" s="1659"/>
    </row>
    <row r="70" spans="1:258" s="1665" customFormat="1" ht="12.2" customHeight="1" thickBot="1" x14ac:dyDescent="0.25">
      <c r="A70" s="1659"/>
      <c r="B70" s="1659"/>
      <c r="C70" s="2609" t="s">
        <v>382</v>
      </c>
      <c r="D70" s="2610"/>
      <c r="E70" s="2022">
        <v>8</v>
      </c>
      <c r="F70" s="2023">
        <v>400</v>
      </c>
      <c r="G70" s="2024">
        <v>3000</v>
      </c>
      <c r="H70" s="2025">
        <f>AL71/450</f>
        <v>7.1111111111111107</v>
      </c>
      <c r="I70" s="2026">
        <v>12</v>
      </c>
      <c r="J70" s="2027"/>
      <c r="M70" s="1659"/>
      <c r="N70" s="2028"/>
      <c r="O70" s="1659"/>
      <c r="P70" s="2029" t="s">
        <v>554</v>
      </c>
      <c r="Q70" s="2030"/>
      <c r="R70" s="2031">
        <f>SUM(R48:R64)</f>
        <v>1225.4713557179698</v>
      </c>
      <c r="S70" s="2032">
        <f>SUM(S48:S64)</f>
        <v>3116.864924444445</v>
      </c>
      <c r="T70" s="2033">
        <f>(T48*Q48)+(T49*Q49)+(T54*Q54)+(T55*Q55)+SUM(T50:T53,T56:T64)</f>
        <v>1043088.0397985186</v>
      </c>
      <c r="U70" s="2034">
        <f>SUM(U48:U64)</f>
        <v>303568.63471407408</v>
      </c>
      <c r="V70" s="2035">
        <f>SUM(V48:V64)</f>
        <v>294020.61582222226</v>
      </c>
      <c r="W70" s="2036"/>
      <c r="X70" s="2037">
        <f>SUM(X48:X64)</f>
        <v>10214.243185840989</v>
      </c>
      <c r="Y70" s="2037">
        <f>SUM(Y47:Y64)</f>
        <v>10384.714681837038</v>
      </c>
      <c r="Z70" s="2032">
        <f>SUM(Z48:Z64)</f>
        <v>1559.386107654321</v>
      </c>
      <c r="AA70" s="2038">
        <f>SUM(AA48:AA64)</f>
        <v>1750505.8517794239</v>
      </c>
      <c r="AI70" s="1659"/>
      <c r="AJ70" s="2039" t="s">
        <v>75</v>
      </c>
      <c r="AK70" s="2040" t="s">
        <v>944</v>
      </c>
      <c r="AL70" s="2041" t="s">
        <v>377</v>
      </c>
      <c r="AM70" s="2042" t="s">
        <v>815</v>
      </c>
      <c r="AN70" s="1954"/>
      <c r="AO70" s="1978"/>
      <c r="AP70" s="1979"/>
      <c r="AQ70" s="1980"/>
      <c r="AR70" s="1981"/>
      <c r="AS70" s="1982"/>
      <c r="AT70" s="1983"/>
      <c r="AU70" s="1984"/>
      <c r="AV70" s="1984"/>
      <c r="AW70" s="1985"/>
      <c r="AX70" s="1659"/>
      <c r="AY70" s="1659"/>
      <c r="AZ70" s="1659"/>
      <c r="BA70" s="1659"/>
      <c r="BB70" s="1659"/>
      <c r="BC70" s="1659"/>
      <c r="BD70" s="1659"/>
      <c r="BE70" s="1659"/>
      <c r="BF70" s="1659"/>
      <c r="BG70" s="1659"/>
      <c r="BH70" s="1659"/>
      <c r="BI70" s="1659"/>
      <c r="BJ70" s="1659"/>
      <c r="BK70" s="1659"/>
      <c r="BL70" s="1659"/>
      <c r="BM70" s="1659"/>
      <c r="BN70" s="1659"/>
      <c r="BO70" s="1659"/>
      <c r="BP70" s="1659"/>
      <c r="BQ70" s="1659"/>
      <c r="BR70" s="1659"/>
      <c r="BS70" s="1659"/>
      <c r="BT70" s="1659"/>
      <c r="BU70" s="1659"/>
      <c r="BV70" s="1659"/>
      <c r="BW70" s="1659"/>
      <c r="BX70" s="1659"/>
      <c r="BY70" s="1659"/>
      <c r="BZ70" s="1659"/>
      <c r="CA70" s="1659"/>
      <c r="CB70" s="1659"/>
      <c r="CC70" s="1659"/>
      <c r="CD70" s="1659"/>
      <c r="CE70" s="1659"/>
      <c r="CF70" s="1659"/>
      <c r="CG70" s="1659"/>
      <c r="CH70" s="1659"/>
      <c r="CI70" s="1659"/>
      <c r="CJ70" s="1659"/>
      <c r="CK70" s="1659"/>
      <c r="CL70" s="1659"/>
      <c r="CM70" s="1659"/>
      <c r="CN70" s="1659"/>
      <c r="CO70" s="1659"/>
      <c r="CP70" s="1659"/>
      <c r="CQ70" s="1659"/>
      <c r="CR70" s="1659"/>
      <c r="CS70" s="1659"/>
      <c r="CT70" s="1659"/>
      <c r="CU70" s="1659"/>
      <c r="CV70" s="1659"/>
      <c r="CW70" s="1659"/>
      <c r="CX70" s="1659"/>
      <c r="CY70" s="1659"/>
      <c r="CZ70" s="1659"/>
      <c r="DA70" s="1659"/>
      <c r="DB70" s="1659"/>
      <c r="DC70" s="1659"/>
      <c r="DD70" s="1659"/>
      <c r="DE70" s="1659"/>
      <c r="DF70" s="1659"/>
      <c r="DG70" s="1659"/>
      <c r="DH70" s="1659"/>
      <c r="DI70" s="1659"/>
      <c r="DJ70" s="1659"/>
      <c r="DK70" s="1659"/>
      <c r="DL70" s="1659"/>
      <c r="DM70" s="1659"/>
      <c r="DN70" s="1659"/>
      <c r="DO70" s="1659"/>
      <c r="DP70" s="1659"/>
      <c r="DQ70" s="1659"/>
      <c r="DR70" s="1659"/>
      <c r="DS70" s="1659"/>
      <c r="DT70" s="1659"/>
      <c r="DU70" s="1659"/>
      <c r="DV70" s="1659"/>
      <c r="DW70" s="1659"/>
      <c r="DX70" s="1659"/>
      <c r="DY70" s="1659"/>
      <c r="DZ70" s="1659"/>
      <c r="EA70" s="1659"/>
      <c r="EB70" s="1659"/>
      <c r="EC70" s="1659"/>
      <c r="ED70" s="1659"/>
      <c r="EE70" s="1659"/>
      <c r="EF70" s="1659"/>
      <c r="EG70" s="1659"/>
      <c r="EH70" s="1659"/>
      <c r="EI70" s="1659"/>
      <c r="EJ70" s="1659"/>
      <c r="EK70" s="1659"/>
      <c r="EL70" s="1659"/>
      <c r="EM70" s="1659"/>
      <c r="EN70" s="1659"/>
      <c r="EO70" s="1659"/>
      <c r="EP70" s="1659"/>
      <c r="EQ70" s="1659"/>
      <c r="ER70" s="1659"/>
      <c r="ES70" s="1659"/>
      <c r="ET70" s="1659"/>
      <c r="EU70" s="1659"/>
      <c r="EV70" s="1659"/>
      <c r="EW70" s="1659"/>
      <c r="EX70" s="1659"/>
      <c r="EY70" s="1659"/>
      <c r="EZ70" s="1659"/>
      <c r="FA70" s="1659"/>
      <c r="FB70" s="1659"/>
      <c r="FC70" s="1659"/>
      <c r="FD70" s="1659"/>
      <c r="FE70" s="1659"/>
      <c r="FF70" s="1659"/>
      <c r="FG70" s="1659"/>
      <c r="FH70" s="1659"/>
      <c r="FI70" s="1659"/>
      <c r="FJ70" s="1659"/>
      <c r="FK70" s="1659"/>
      <c r="FL70" s="1659"/>
      <c r="FM70" s="1659"/>
      <c r="FN70" s="1659"/>
      <c r="FO70" s="1659"/>
      <c r="FP70" s="1659"/>
      <c r="FQ70" s="1659"/>
      <c r="FR70" s="1659"/>
      <c r="FS70" s="1659"/>
      <c r="FT70" s="1659"/>
      <c r="FU70" s="1659"/>
      <c r="FV70" s="1659"/>
      <c r="FW70" s="1659"/>
      <c r="FX70" s="1659"/>
      <c r="FY70" s="1659"/>
      <c r="FZ70" s="1659"/>
      <c r="GA70" s="1659"/>
      <c r="GB70" s="1659"/>
      <c r="GC70" s="1659"/>
      <c r="GD70" s="1659"/>
      <c r="GE70" s="1659"/>
      <c r="GF70" s="1659"/>
      <c r="GG70" s="1659"/>
      <c r="GH70" s="1659"/>
      <c r="GI70" s="1659"/>
      <c r="GJ70" s="1659"/>
      <c r="GK70" s="1659"/>
      <c r="GL70" s="1659"/>
      <c r="GM70" s="1659"/>
      <c r="GN70" s="1659"/>
      <c r="GO70" s="1659"/>
      <c r="GP70" s="1659"/>
      <c r="GQ70" s="1659"/>
      <c r="GR70" s="1659"/>
      <c r="GS70" s="1659"/>
      <c r="GT70" s="1659"/>
      <c r="GU70" s="1659"/>
      <c r="GV70" s="1659"/>
      <c r="GW70" s="1659"/>
      <c r="GX70" s="1659"/>
      <c r="GY70" s="1659"/>
      <c r="GZ70" s="1659"/>
      <c r="HA70" s="1659"/>
      <c r="HB70" s="1659"/>
      <c r="HC70" s="1659"/>
      <c r="HD70" s="1659"/>
      <c r="HE70" s="1659"/>
      <c r="HF70" s="1659"/>
      <c r="HG70" s="1659"/>
      <c r="HH70" s="1659"/>
      <c r="HI70" s="1659"/>
      <c r="HJ70" s="1659"/>
      <c r="HK70" s="1659"/>
      <c r="HL70" s="1659"/>
      <c r="HM70" s="1659"/>
      <c r="HN70" s="1659"/>
      <c r="HO70" s="1659"/>
      <c r="HP70" s="1659"/>
      <c r="HQ70" s="1659"/>
      <c r="HR70" s="1659"/>
      <c r="HS70" s="1659"/>
      <c r="HT70" s="1659"/>
      <c r="HU70" s="1659"/>
      <c r="HV70" s="1659"/>
      <c r="HW70" s="1659"/>
      <c r="HX70" s="1659"/>
      <c r="HY70" s="1659"/>
      <c r="HZ70" s="1659"/>
      <c r="IA70" s="1659"/>
      <c r="IB70" s="1659"/>
      <c r="IC70" s="1659"/>
      <c r="ID70" s="1659"/>
      <c r="IE70" s="1659"/>
      <c r="IF70" s="1659"/>
      <c r="IG70" s="1659"/>
      <c r="IH70" s="1659"/>
      <c r="II70" s="1659"/>
      <c r="IJ70" s="1659"/>
      <c r="IK70" s="1659"/>
      <c r="IL70" s="1659"/>
      <c r="IM70" s="1659"/>
      <c r="IN70" s="1659"/>
      <c r="IO70" s="1659"/>
      <c r="IP70" s="1659"/>
      <c r="IQ70" s="1659"/>
      <c r="IR70" s="1659"/>
      <c r="IS70" s="1659"/>
      <c r="IT70" s="1659"/>
      <c r="IU70" s="1659"/>
      <c r="IV70" s="1659"/>
      <c r="IW70" s="1659"/>
      <c r="IX70" s="1659"/>
    </row>
    <row r="71" spans="1:258" s="1659" customFormat="1" x14ac:dyDescent="0.2">
      <c r="C71" s="2609" t="s">
        <v>735</v>
      </c>
      <c r="D71" s="2610"/>
      <c r="E71" s="2022"/>
      <c r="F71" s="2023"/>
      <c r="G71" s="2024"/>
      <c r="H71" s="2025">
        <f>AL72/450</f>
        <v>0</v>
      </c>
      <c r="I71" s="2026"/>
      <c r="K71" s="1665"/>
      <c r="L71" s="1665"/>
      <c r="M71" s="2028"/>
      <c r="N71" s="1668"/>
      <c r="Y71" s="2043"/>
      <c r="AG71" s="2044"/>
      <c r="AJ71" s="2045">
        <f>E70*G70</f>
        <v>24000</v>
      </c>
      <c r="AK71" s="2046">
        <f>IF(I70&gt;0,(G70*E70)/I70,0)</f>
        <v>2000</v>
      </c>
      <c r="AL71" s="2047">
        <f>E70*F70</f>
        <v>3200</v>
      </c>
      <c r="AM71" s="2048">
        <f>I70</f>
        <v>12</v>
      </c>
      <c r="AN71" s="1954"/>
      <c r="AO71" s="2021"/>
      <c r="AP71" s="1979"/>
      <c r="AQ71" s="1980"/>
      <c r="AR71" s="1981"/>
      <c r="AS71" s="1982"/>
      <c r="AT71" s="1983"/>
      <c r="AU71" s="1984"/>
      <c r="AV71" s="1984"/>
      <c r="AW71" s="1985"/>
    </row>
    <row r="72" spans="1:258" s="1659" customFormat="1" ht="13.5" thickBot="1" x14ac:dyDescent="0.25">
      <c r="G72" s="2049"/>
      <c r="H72" s="2050"/>
      <c r="I72" s="2049"/>
      <c r="J72" s="2027"/>
      <c r="M72" s="1668"/>
      <c r="N72" s="2043"/>
      <c r="AG72" s="2044"/>
      <c r="AI72" s="2043"/>
      <c r="AJ72" s="2051">
        <f>E71*G71</f>
        <v>0</v>
      </c>
      <c r="AK72" s="2052">
        <f>IF(I71&gt;0,(G71*E71)/I71,0)</f>
        <v>0</v>
      </c>
      <c r="AL72" s="2053">
        <f>E71*F71</f>
        <v>0</v>
      </c>
      <c r="AM72" s="2054">
        <f>I71</f>
        <v>0</v>
      </c>
      <c r="AN72" s="1954"/>
      <c r="AO72" s="1978"/>
      <c r="AP72" s="1979"/>
      <c r="AQ72" s="1980"/>
      <c r="AR72" s="1981"/>
      <c r="AS72" s="1982"/>
      <c r="AT72" s="1983"/>
      <c r="AU72" s="1984"/>
      <c r="AV72" s="1984"/>
      <c r="AW72" s="1985"/>
      <c r="AX72" s="2043"/>
      <c r="AY72" s="2043"/>
      <c r="AZ72" s="2043"/>
      <c r="BA72" s="2043"/>
      <c r="BB72" s="2043"/>
      <c r="BC72" s="2043"/>
      <c r="BD72" s="2043"/>
      <c r="BE72" s="2043"/>
      <c r="BF72" s="2043"/>
      <c r="BG72" s="2043"/>
      <c r="BH72" s="2043"/>
      <c r="BI72" s="2043"/>
      <c r="BJ72" s="2043"/>
      <c r="BK72" s="2043"/>
      <c r="BL72" s="2043"/>
      <c r="BM72" s="2043"/>
      <c r="BN72" s="2043"/>
      <c r="BO72" s="2043"/>
      <c r="BP72" s="2043"/>
    </row>
    <row r="73" spans="1:258" s="2056" customFormat="1" ht="13.5" thickBot="1" x14ac:dyDescent="0.25">
      <c r="A73" s="1659"/>
      <c r="B73" s="2043"/>
      <c r="C73" s="2043"/>
      <c r="D73" s="2043"/>
      <c r="E73" s="2043"/>
      <c r="F73" s="2043"/>
      <c r="G73" s="2043"/>
      <c r="H73" s="2043"/>
      <c r="I73" s="2043"/>
      <c r="J73" s="2043"/>
      <c r="K73" s="1659"/>
      <c r="L73" s="1659"/>
      <c r="M73" s="2043"/>
      <c r="N73" s="2055"/>
      <c r="O73" s="2055"/>
      <c r="P73" s="2055"/>
      <c r="Q73" s="2055"/>
      <c r="R73" s="2055"/>
      <c r="W73" s="2055"/>
      <c r="X73" s="2055"/>
      <c r="Y73" s="2057"/>
      <c r="AG73" s="2058"/>
      <c r="AH73" s="2055"/>
      <c r="AI73" s="2059" t="s">
        <v>77</v>
      </c>
      <c r="AJ73" s="2060">
        <f>SUM(AJ71:AJ72)</f>
        <v>24000</v>
      </c>
      <c r="AK73" s="2061">
        <f>SUM(AK71:AK72)</f>
        <v>2000</v>
      </c>
      <c r="AL73" s="2062"/>
      <c r="AM73" s="2063"/>
      <c r="AN73" s="2055"/>
      <c r="AT73" s="2055"/>
      <c r="AU73" s="2055"/>
      <c r="AV73" s="2055"/>
      <c r="AW73" s="2055"/>
      <c r="AX73" s="2055"/>
      <c r="AY73" s="2055"/>
      <c r="AZ73" s="2055"/>
      <c r="BA73" s="2055"/>
      <c r="BB73" s="2055"/>
      <c r="BC73" s="2055"/>
      <c r="BD73" s="2055"/>
      <c r="BE73" s="2055"/>
      <c r="BF73" s="2055"/>
      <c r="BG73" s="2055"/>
      <c r="BH73" s="2055"/>
      <c r="BI73" s="2055"/>
      <c r="BJ73" s="2055"/>
      <c r="BK73" s="2055"/>
      <c r="BL73" s="2055"/>
      <c r="BM73" s="2055"/>
      <c r="BN73" s="2055"/>
      <c r="BO73" s="2055"/>
      <c r="BP73" s="2055"/>
    </row>
    <row r="74" spans="1:258" s="1659" customFormat="1" ht="16.5" thickBot="1" x14ac:dyDescent="0.25">
      <c r="A74" s="2056"/>
      <c r="B74" s="2055"/>
      <c r="C74" s="2064" t="s">
        <v>706</v>
      </c>
      <c r="D74" s="2065">
        <f>D79/18</f>
        <v>42.692067818930042</v>
      </c>
      <c r="E74" s="2065"/>
      <c r="F74" s="2055"/>
      <c r="G74" s="2055"/>
      <c r="H74" s="2066"/>
      <c r="I74" s="2066"/>
      <c r="J74" s="2066"/>
      <c r="K74" s="2055"/>
      <c r="L74" s="2055"/>
      <c r="M74" s="2055"/>
      <c r="N74" s="2067"/>
      <c r="O74" s="2068"/>
      <c r="P74" s="2068"/>
      <c r="Q74" s="2068"/>
      <c r="R74" s="2068"/>
      <c r="S74" s="2068"/>
      <c r="T74" s="2068"/>
      <c r="U74" s="2068"/>
      <c r="V74" s="2068"/>
      <c r="W74" s="2068"/>
      <c r="X74" s="2068"/>
      <c r="Y74" s="2068"/>
      <c r="Z74" s="2068"/>
      <c r="AA74" s="2043"/>
      <c r="AB74" s="2043"/>
      <c r="AC74" s="2043"/>
      <c r="AD74" s="2068"/>
      <c r="AG74" s="2044"/>
      <c r="AH74" s="2068"/>
      <c r="AI74" s="2068"/>
      <c r="AJ74" s="2068"/>
      <c r="AK74" s="2068"/>
      <c r="AL74" s="2068"/>
      <c r="AM74" s="2068"/>
      <c r="AN74" s="2068"/>
      <c r="AO74" s="2068"/>
      <c r="AP74" s="2068"/>
      <c r="AQ74" s="2068"/>
      <c r="AR74" s="2068"/>
      <c r="AS74" s="2068"/>
      <c r="AT74" s="2068"/>
      <c r="AU74" s="2068"/>
      <c r="AV74" s="2068"/>
      <c r="AW74" s="2068"/>
      <c r="AX74" s="2068"/>
      <c r="AY74" s="2043"/>
      <c r="AZ74" s="2043"/>
      <c r="BA74" s="2043"/>
      <c r="BB74" s="2043"/>
      <c r="BC74" s="2043"/>
      <c r="BD74" s="2043"/>
      <c r="BE74" s="2043"/>
      <c r="BF74" s="2043"/>
      <c r="BG74" s="2043"/>
      <c r="BH74" s="2043"/>
      <c r="BI74" s="2043"/>
      <c r="BJ74" s="2043"/>
      <c r="BK74" s="2043"/>
      <c r="BL74" s="2043"/>
      <c r="BM74" s="2043"/>
      <c r="BN74" s="2043"/>
      <c r="BO74" s="2043"/>
      <c r="BP74" s="2043"/>
    </row>
    <row r="75" spans="1:258" s="1659" customFormat="1" x14ac:dyDescent="0.2">
      <c r="A75" s="2068"/>
      <c r="B75" s="2068"/>
      <c r="C75" s="2068"/>
      <c r="D75" s="2068"/>
      <c r="E75" s="2068"/>
      <c r="F75" s="2068"/>
      <c r="G75" s="2068"/>
      <c r="H75" s="2068"/>
      <c r="I75" s="2068"/>
      <c r="J75" s="2068"/>
      <c r="K75" s="2067"/>
      <c r="L75" s="2067"/>
      <c r="M75" s="2067"/>
      <c r="N75" s="2067"/>
      <c r="O75" s="2069"/>
      <c r="P75" s="2068"/>
      <c r="Q75" s="2068"/>
      <c r="R75" s="2068"/>
      <c r="W75" s="2068"/>
      <c r="X75" s="2068"/>
      <c r="Y75" s="2068"/>
      <c r="Z75" s="2068"/>
      <c r="AA75" s="2068"/>
      <c r="AB75" s="2068"/>
      <c r="AC75" s="2068"/>
      <c r="AD75" s="2068"/>
      <c r="AG75" s="2044"/>
      <c r="AH75" s="2068"/>
      <c r="AI75" s="2068"/>
      <c r="AJ75" s="2068"/>
      <c r="AK75" s="2068"/>
      <c r="AL75" s="2068"/>
      <c r="AM75" s="2068"/>
      <c r="AN75" s="2068"/>
      <c r="AO75" s="2068"/>
      <c r="AP75" s="2068"/>
      <c r="AQ75" s="2068"/>
      <c r="AR75" s="2068"/>
      <c r="AS75" s="2068"/>
      <c r="AT75" s="2068"/>
      <c r="AU75" s="2068"/>
      <c r="AV75" s="2068"/>
      <c r="AW75" s="2068"/>
      <c r="AX75" s="2068"/>
      <c r="AY75" s="2043"/>
      <c r="AZ75" s="2043"/>
      <c r="BA75" s="2043"/>
      <c r="BB75" s="2043"/>
      <c r="BC75" s="2043"/>
      <c r="BD75" s="2617"/>
      <c r="BE75" s="2617"/>
      <c r="BF75" s="2617"/>
      <c r="BG75" s="2617"/>
      <c r="BH75" s="2043"/>
      <c r="BI75" s="2043"/>
      <c r="BJ75" s="2043"/>
      <c r="BK75" s="2043"/>
      <c r="BL75" s="2043"/>
      <c r="BM75" s="2043"/>
      <c r="BN75" s="2043"/>
      <c r="BO75" s="2043"/>
      <c r="BP75" s="2043"/>
      <c r="BQ75" s="2043"/>
      <c r="BR75" s="2043"/>
      <c r="BS75" s="2043"/>
      <c r="BT75" s="2043"/>
      <c r="BU75" s="2043"/>
      <c r="BV75" s="2043"/>
      <c r="BW75" s="2043"/>
      <c r="BX75" s="2043"/>
      <c r="BY75" s="2043"/>
      <c r="BZ75" s="2043"/>
      <c r="CA75" s="2043"/>
      <c r="CB75" s="2043"/>
      <c r="CC75" s="2043"/>
      <c r="CD75" s="2043"/>
      <c r="CE75" s="2043"/>
      <c r="CF75" s="2043"/>
      <c r="CG75" s="2043"/>
      <c r="CH75" s="2043"/>
      <c r="CI75" s="2043"/>
      <c r="CJ75" s="2043"/>
      <c r="CK75" s="2043"/>
      <c r="CL75" s="2043"/>
      <c r="CM75" s="2043"/>
      <c r="CN75" s="2043"/>
      <c r="CO75" s="2043"/>
      <c r="CP75" s="2043"/>
      <c r="CQ75" s="2043"/>
      <c r="CR75" s="2043"/>
      <c r="CS75" s="2043"/>
      <c r="CT75" s="2043"/>
      <c r="CU75" s="2043"/>
      <c r="CV75" s="2043"/>
      <c r="CW75" s="2043"/>
      <c r="CX75" s="2043"/>
      <c r="CY75" s="2043"/>
      <c r="CZ75" s="2043"/>
      <c r="DA75" s="2043"/>
      <c r="DB75" s="2043"/>
      <c r="DC75" s="2043"/>
      <c r="DD75" s="2043"/>
      <c r="DE75" s="2043"/>
      <c r="DF75" s="2043"/>
      <c r="DG75" s="2043"/>
      <c r="DH75" s="2043"/>
      <c r="DI75" s="2043"/>
      <c r="DJ75" s="2043"/>
      <c r="DK75" s="2043"/>
      <c r="DL75" s="2043"/>
      <c r="DM75" s="2043"/>
      <c r="DN75" s="2043"/>
      <c r="DO75" s="2043"/>
      <c r="DP75" s="2043"/>
      <c r="DQ75" s="2043"/>
      <c r="DR75" s="2043"/>
      <c r="DS75" s="2043"/>
      <c r="DT75" s="2043"/>
      <c r="DU75" s="2043"/>
      <c r="DV75" s="2043"/>
      <c r="DW75" s="2043"/>
      <c r="DX75" s="2043"/>
      <c r="DY75" s="2043"/>
      <c r="DZ75" s="2043"/>
      <c r="EA75" s="2043"/>
      <c r="EB75" s="2043"/>
      <c r="EC75" s="2043"/>
      <c r="ED75" s="2043"/>
      <c r="EE75" s="2043"/>
      <c r="EF75" s="2043"/>
      <c r="EG75" s="2043"/>
      <c r="EH75" s="2043"/>
      <c r="EI75" s="2043"/>
      <c r="EJ75" s="2043"/>
      <c r="EK75" s="2043"/>
      <c r="EL75" s="2043"/>
      <c r="EM75" s="2043"/>
      <c r="EN75" s="2043"/>
      <c r="EO75" s="2043"/>
      <c r="EP75" s="2043"/>
      <c r="EQ75" s="2043"/>
      <c r="ER75" s="2043"/>
      <c r="ES75" s="2043"/>
      <c r="ET75" s="2043"/>
      <c r="EU75" s="2043"/>
      <c r="EV75" s="2043"/>
      <c r="EW75" s="2043"/>
      <c r="EX75" s="2043"/>
      <c r="EY75" s="2043"/>
      <c r="EZ75" s="2043"/>
      <c r="FA75" s="2043"/>
      <c r="FB75" s="2043"/>
      <c r="FC75" s="2043"/>
      <c r="FD75" s="2043"/>
      <c r="FE75" s="2043"/>
      <c r="FF75" s="2043"/>
      <c r="FG75" s="2043"/>
      <c r="FH75" s="2043"/>
      <c r="FI75" s="2043"/>
      <c r="FJ75" s="2043"/>
      <c r="FK75" s="2043"/>
      <c r="FL75" s="2043"/>
      <c r="FM75" s="2043"/>
      <c r="FN75" s="2043"/>
      <c r="FO75" s="2043"/>
      <c r="FP75" s="2043"/>
      <c r="FQ75" s="2043"/>
      <c r="FR75" s="2043"/>
      <c r="FS75" s="2043"/>
      <c r="FT75" s="2043"/>
      <c r="FU75" s="2043"/>
      <c r="FV75" s="2043"/>
      <c r="FW75" s="2043"/>
      <c r="FX75" s="2043"/>
      <c r="FY75" s="2043"/>
      <c r="FZ75" s="2043"/>
      <c r="GA75" s="2043"/>
      <c r="GB75" s="2043"/>
      <c r="GC75" s="2043"/>
      <c r="GD75" s="2043"/>
      <c r="GE75" s="2043"/>
      <c r="GF75" s="2043"/>
      <c r="GG75" s="2043"/>
      <c r="GH75" s="2043"/>
      <c r="GI75" s="2043"/>
      <c r="GJ75" s="2043"/>
      <c r="GK75" s="2043"/>
      <c r="GL75" s="2043"/>
      <c r="GM75" s="2043"/>
      <c r="GN75" s="2043"/>
      <c r="GO75" s="2043"/>
      <c r="GP75" s="2043"/>
      <c r="GQ75" s="2043"/>
      <c r="GR75" s="2043"/>
      <c r="GS75" s="2043"/>
      <c r="GT75" s="2043"/>
      <c r="GU75" s="2043"/>
      <c r="GV75" s="2043"/>
      <c r="GW75" s="2043"/>
      <c r="GX75" s="2043"/>
      <c r="GY75" s="2043"/>
      <c r="GZ75" s="2043"/>
      <c r="HA75" s="2043"/>
      <c r="HB75" s="2043"/>
      <c r="HC75" s="2043"/>
      <c r="HD75" s="2043"/>
      <c r="HE75" s="2043"/>
      <c r="HF75" s="2043"/>
      <c r="HG75" s="2043"/>
      <c r="HH75" s="2043"/>
      <c r="HI75" s="2043"/>
      <c r="HJ75" s="2043"/>
      <c r="HK75" s="2043"/>
      <c r="HL75" s="2043"/>
      <c r="HM75" s="2043"/>
      <c r="HN75" s="2043"/>
      <c r="HO75" s="2043"/>
      <c r="HP75" s="2043"/>
      <c r="HQ75" s="2043"/>
      <c r="HR75" s="2043"/>
      <c r="HS75" s="2043"/>
      <c r="HT75" s="2043"/>
      <c r="HU75" s="2043"/>
      <c r="HV75" s="2043"/>
      <c r="HW75" s="2043"/>
      <c r="HX75" s="2043"/>
      <c r="HY75" s="2043"/>
      <c r="HZ75" s="2043"/>
      <c r="IA75" s="2043"/>
      <c r="IB75" s="2043"/>
      <c r="IC75" s="2043"/>
      <c r="ID75" s="2043"/>
      <c r="IE75" s="2043"/>
      <c r="IF75" s="2043"/>
      <c r="IG75" s="2043"/>
      <c r="IH75" s="2043"/>
      <c r="II75" s="2043"/>
      <c r="IJ75" s="2043"/>
      <c r="IK75" s="2043"/>
      <c r="IL75" s="2043"/>
      <c r="IM75" s="2043"/>
      <c r="IN75" s="2043"/>
      <c r="IO75" s="2043"/>
      <c r="IP75" s="2043"/>
      <c r="IQ75" s="2043"/>
      <c r="IR75" s="2043"/>
      <c r="IS75" s="2043"/>
      <c r="IT75" s="2043"/>
      <c r="IU75" s="2043"/>
      <c r="IV75" s="2043"/>
      <c r="IW75" s="2043"/>
      <c r="IX75" s="2043"/>
    </row>
    <row r="76" spans="1:258" s="2043" customFormat="1" ht="12.75" customHeight="1" x14ac:dyDescent="0.2">
      <c r="A76" s="2068"/>
      <c r="B76" s="2068"/>
      <c r="C76" s="2551" t="s">
        <v>376</v>
      </c>
      <c r="D76" s="2551" t="s">
        <v>0</v>
      </c>
      <c r="E76" s="2551" t="s">
        <v>393</v>
      </c>
      <c r="F76" s="2551" t="s">
        <v>705</v>
      </c>
      <c r="G76" s="2551" t="s">
        <v>943</v>
      </c>
      <c r="H76" s="2551" t="s">
        <v>748</v>
      </c>
      <c r="I76" s="2614" t="s">
        <v>75</v>
      </c>
      <c r="J76" s="2604" t="s">
        <v>458</v>
      </c>
      <c r="K76" s="2605"/>
      <c r="L76" s="2067"/>
      <c r="M76" s="2067"/>
      <c r="N76" s="2069"/>
      <c r="O76" s="2069"/>
      <c r="P76" s="2069"/>
      <c r="Q76" s="2069"/>
      <c r="R76" s="2069"/>
      <c r="S76" s="1659"/>
      <c r="T76" s="1659"/>
      <c r="U76" s="1659"/>
      <c r="V76" s="1659"/>
      <c r="W76" s="2069"/>
      <c r="X76" s="2068"/>
      <c r="Y76" s="2068"/>
      <c r="Z76" s="2068"/>
      <c r="AA76" s="730"/>
      <c r="AB76" s="730"/>
      <c r="AC76" s="735">
        <v>2</v>
      </c>
      <c r="AD76" s="735">
        <v>3</v>
      </c>
      <c r="AE76" s="735">
        <v>4</v>
      </c>
      <c r="AF76" s="735">
        <v>5</v>
      </c>
      <c r="AG76" s="735">
        <v>6</v>
      </c>
      <c r="AH76" s="735">
        <v>7</v>
      </c>
      <c r="AI76" s="735">
        <v>8</v>
      </c>
      <c r="AJ76" s="735">
        <v>9</v>
      </c>
      <c r="AK76" s="735">
        <v>10</v>
      </c>
      <c r="AL76" s="735">
        <v>11</v>
      </c>
      <c r="AM76" s="735">
        <v>12</v>
      </c>
      <c r="AN76" s="735">
        <v>13</v>
      </c>
      <c r="AO76" s="735">
        <v>14</v>
      </c>
      <c r="AP76" s="735">
        <v>15</v>
      </c>
      <c r="AQ76" s="735">
        <v>16</v>
      </c>
      <c r="AR76" s="735">
        <v>17</v>
      </c>
      <c r="AS76" s="735">
        <v>18</v>
      </c>
      <c r="AT76" s="735">
        <v>19</v>
      </c>
      <c r="AU76" s="735">
        <v>20</v>
      </c>
      <c r="AV76" s="735">
        <v>21</v>
      </c>
      <c r="AW76" s="735">
        <v>22</v>
      </c>
      <c r="AX76" s="735">
        <v>23</v>
      </c>
      <c r="AZ76" s="2068"/>
      <c r="BA76" s="2068"/>
      <c r="BB76" s="2068"/>
      <c r="BD76" s="2617"/>
      <c r="BE76" s="2617"/>
      <c r="BF76" s="2617"/>
      <c r="BG76" s="2617"/>
    </row>
    <row r="77" spans="1:258" s="2055" customFormat="1" ht="13.5" customHeight="1" thickBot="1" x14ac:dyDescent="0.25">
      <c r="A77" s="2068"/>
      <c r="B77" s="2043"/>
      <c r="C77" s="2551"/>
      <c r="D77" s="2551"/>
      <c r="E77" s="2551"/>
      <c r="F77" s="2551"/>
      <c r="G77" s="2551"/>
      <c r="H77" s="2551"/>
      <c r="I77" s="2614"/>
      <c r="J77" s="2070" t="s">
        <v>292</v>
      </c>
      <c r="K77" s="2070" t="s">
        <v>80</v>
      </c>
      <c r="L77" s="2068"/>
      <c r="M77" s="2068"/>
      <c r="N77" s="2069"/>
      <c r="O77" s="2068"/>
      <c r="P77" s="2068"/>
      <c r="Q77" s="2068">
        <v>1</v>
      </c>
      <c r="R77" s="2071"/>
      <c r="S77" s="818" t="s">
        <v>727</v>
      </c>
      <c r="T77" s="2072" t="s">
        <v>728</v>
      </c>
      <c r="U77" s="2072" t="s">
        <v>1019</v>
      </c>
      <c r="V77" s="2072" t="s">
        <v>1021</v>
      </c>
      <c r="W77" s="2072" t="s">
        <v>1022</v>
      </c>
      <c r="X77" s="2072" t="s">
        <v>816</v>
      </c>
      <c r="Y77" s="2068"/>
      <c r="Z77" s="2043"/>
      <c r="AA77" s="731"/>
      <c r="AB77" s="731"/>
      <c r="AC77" s="732" t="s">
        <v>747</v>
      </c>
      <c r="AD77" s="732" t="s">
        <v>695</v>
      </c>
      <c r="AE77" s="732" t="s">
        <v>373</v>
      </c>
      <c r="AF77" s="732" t="s">
        <v>383</v>
      </c>
      <c r="AG77" s="732" t="s">
        <v>374</v>
      </c>
      <c r="AH77" s="732" t="s">
        <v>379</v>
      </c>
      <c r="AI77" s="732" t="s">
        <v>718</v>
      </c>
      <c r="AJ77" s="732" t="s">
        <v>696</v>
      </c>
      <c r="AK77" s="732" t="s">
        <v>973</v>
      </c>
      <c r="AL77" s="732" t="s">
        <v>1007</v>
      </c>
      <c r="AM77" s="832" t="s">
        <v>702</v>
      </c>
      <c r="AN77" s="827" t="s">
        <v>1050</v>
      </c>
      <c r="AO77" s="830" t="s">
        <v>1049</v>
      </c>
      <c r="AP77" s="833" t="s">
        <v>969</v>
      </c>
      <c r="AQ77" s="734" t="s">
        <v>970</v>
      </c>
      <c r="AR77" s="734" t="s">
        <v>974</v>
      </c>
      <c r="AS77" s="734" t="s">
        <v>971</v>
      </c>
      <c r="AT77" s="733" t="s">
        <v>720</v>
      </c>
      <c r="AU77" s="733" t="s">
        <v>721</v>
      </c>
      <c r="AV77" s="733" t="s">
        <v>722</v>
      </c>
      <c r="AW77" s="733" t="s">
        <v>723</v>
      </c>
      <c r="AX77" s="733" t="s">
        <v>724</v>
      </c>
      <c r="AZ77" s="2068"/>
      <c r="BA77" s="2068"/>
      <c r="BB77" s="2068"/>
      <c r="BC77" s="2068"/>
      <c r="BD77" s="2073"/>
      <c r="BE77" s="2068"/>
      <c r="BF77" s="2073"/>
      <c r="BG77" s="2068"/>
      <c r="BH77" s="2068"/>
      <c r="BI77" s="2068"/>
      <c r="BJ77" s="2068"/>
      <c r="BK77" s="2068"/>
      <c r="BL77" s="2068"/>
      <c r="BM77" s="2068"/>
      <c r="BN77" s="2068"/>
      <c r="BO77" s="2068"/>
      <c r="BP77" s="2068"/>
      <c r="BQ77" s="2068"/>
      <c r="BR77" s="2068"/>
      <c r="BS77" s="2068"/>
      <c r="BT77" s="2068"/>
      <c r="BU77" s="2068"/>
      <c r="BV77" s="2068"/>
      <c r="BW77" s="2068"/>
      <c r="BX77" s="2068"/>
      <c r="BY77" s="2068"/>
      <c r="BZ77" s="2068"/>
      <c r="CA77" s="2068"/>
      <c r="CB77" s="2068"/>
      <c r="CC77" s="2068"/>
      <c r="CD77" s="2068"/>
      <c r="CE77" s="2068"/>
      <c r="CF77" s="2068"/>
      <c r="CG77" s="2068"/>
      <c r="CH77" s="2068"/>
      <c r="CI77" s="2068"/>
      <c r="CJ77" s="2068"/>
      <c r="CK77" s="2068"/>
      <c r="CL77" s="2068"/>
      <c r="CM77" s="2068"/>
      <c r="CN77" s="2068"/>
      <c r="CO77" s="2068"/>
      <c r="CP77" s="2068"/>
      <c r="CQ77" s="2068"/>
      <c r="CR77" s="2068"/>
      <c r="CS77" s="2068"/>
      <c r="CT77" s="2068"/>
      <c r="CU77" s="2068"/>
      <c r="CV77" s="2068"/>
      <c r="CW77" s="2068"/>
      <c r="CX77" s="2068"/>
      <c r="CY77" s="2068"/>
      <c r="CZ77" s="2068"/>
      <c r="DA77" s="2068"/>
      <c r="DB77" s="2068"/>
      <c r="DC77" s="2068"/>
      <c r="DD77" s="2068"/>
      <c r="DE77" s="2068"/>
      <c r="DF77" s="2068"/>
      <c r="DG77" s="2068"/>
      <c r="DH77" s="2068"/>
      <c r="DI77" s="2068"/>
      <c r="DJ77" s="2068"/>
      <c r="DK77" s="2068"/>
      <c r="DL77" s="2068"/>
      <c r="DM77" s="2068"/>
      <c r="DN77" s="2068"/>
      <c r="DO77" s="2068"/>
      <c r="DP77" s="2068"/>
      <c r="DQ77" s="2068"/>
      <c r="DR77" s="2068"/>
      <c r="DS77" s="2068"/>
      <c r="DT77" s="2068"/>
      <c r="DU77" s="2068"/>
      <c r="DV77" s="2068"/>
      <c r="DW77" s="2068"/>
      <c r="DX77" s="2068"/>
      <c r="DY77" s="2068"/>
      <c r="DZ77" s="2068"/>
      <c r="EA77" s="2068"/>
      <c r="EB77" s="2068"/>
      <c r="EC77" s="2068"/>
      <c r="ED77" s="2068"/>
      <c r="EE77" s="2068"/>
      <c r="EF77" s="2068"/>
      <c r="EG77" s="2068"/>
      <c r="EH77" s="2068"/>
      <c r="EI77" s="2068"/>
      <c r="EJ77" s="2068"/>
      <c r="EK77" s="2068"/>
      <c r="EL77" s="2068"/>
      <c r="EM77" s="2068"/>
      <c r="EN77" s="2068"/>
      <c r="EO77" s="2068"/>
      <c r="EP77" s="2068"/>
      <c r="EQ77" s="2068"/>
      <c r="ER77" s="2068"/>
      <c r="ES77" s="2068"/>
      <c r="ET77" s="2068"/>
      <c r="EU77" s="2068"/>
      <c r="EV77" s="2068"/>
      <c r="EW77" s="2068"/>
      <c r="EX77" s="2068"/>
      <c r="EY77" s="2068"/>
      <c r="EZ77" s="2068"/>
      <c r="FA77" s="2068"/>
      <c r="FB77" s="2068"/>
      <c r="FC77" s="2068"/>
      <c r="FD77" s="2068"/>
      <c r="FE77" s="2068"/>
      <c r="FF77" s="2068"/>
      <c r="FG77" s="2068"/>
      <c r="FH77" s="2068"/>
      <c r="FI77" s="2068"/>
      <c r="FJ77" s="2068"/>
      <c r="FK77" s="2068"/>
      <c r="FL77" s="2068"/>
      <c r="FM77" s="2068"/>
      <c r="FN77" s="2068"/>
      <c r="FO77" s="2068"/>
      <c r="FP77" s="2068"/>
      <c r="FQ77" s="2068"/>
      <c r="FR77" s="2068"/>
      <c r="FS77" s="2068"/>
      <c r="FT77" s="2068"/>
      <c r="FU77" s="2068"/>
      <c r="FV77" s="2068"/>
      <c r="FW77" s="2068"/>
      <c r="FX77" s="2068"/>
      <c r="FY77" s="2068"/>
      <c r="FZ77" s="2068"/>
      <c r="GA77" s="2068"/>
      <c r="GB77" s="2068"/>
      <c r="GC77" s="2068"/>
      <c r="GD77" s="2068"/>
      <c r="GE77" s="2068"/>
      <c r="GF77" s="2068"/>
      <c r="GG77" s="2068"/>
      <c r="GH77" s="2068"/>
      <c r="GI77" s="2068"/>
      <c r="GJ77" s="2068"/>
      <c r="GK77" s="2068"/>
      <c r="GL77" s="2068"/>
      <c r="GM77" s="2068"/>
      <c r="GN77" s="2068"/>
      <c r="GO77" s="2068"/>
      <c r="GP77" s="2068"/>
      <c r="GQ77" s="2068"/>
      <c r="GR77" s="2068"/>
      <c r="GS77" s="2068"/>
      <c r="GT77" s="2068"/>
      <c r="GU77" s="2068"/>
      <c r="GV77" s="2068"/>
      <c r="GW77" s="2068"/>
      <c r="GX77" s="2068"/>
      <c r="GY77" s="2068"/>
      <c r="GZ77" s="2068"/>
      <c r="HA77" s="2068"/>
      <c r="HB77" s="2068"/>
      <c r="HC77" s="2068"/>
      <c r="HD77" s="2068"/>
      <c r="HE77" s="2068"/>
      <c r="HF77" s="2068"/>
      <c r="HG77" s="2068"/>
      <c r="HH77" s="2068"/>
      <c r="HI77" s="2068"/>
      <c r="HJ77" s="2068"/>
      <c r="HK77" s="2068"/>
      <c r="HL77" s="2068"/>
      <c r="HM77" s="2068"/>
      <c r="HN77" s="2068"/>
      <c r="HO77" s="2068"/>
      <c r="HP77" s="2068"/>
      <c r="HQ77" s="2068"/>
      <c r="HR77" s="2068"/>
      <c r="HS77" s="2068"/>
      <c r="HT77" s="2068"/>
      <c r="HU77" s="2068"/>
      <c r="HV77" s="2068"/>
      <c r="HW77" s="2068"/>
      <c r="HX77" s="2068"/>
      <c r="HY77" s="2068"/>
      <c r="HZ77" s="2068"/>
      <c r="IA77" s="2068"/>
      <c r="IB77" s="2068"/>
      <c r="IC77" s="2068"/>
      <c r="ID77" s="2068"/>
      <c r="IE77" s="2068"/>
      <c r="IF77" s="2068"/>
      <c r="IG77" s="2068"/>
      <c r="IH77" s="2068"/>
      <c r="II77" s="2068"/>
    </row>
    <row r="78" spans="1:258" s="2068" customFormat="1" ht="15" customHeight="1" x14ac:dyDescent="0.2">
      <c r="B78" s="2043">
        <v>1</v>
      </c>
      <c r="C78" s="1740"/>
      <c r="D78" s="1740"/>
      <c r="E78" s="1740"/>
      <c r="F78" s="1740"/>
      <c r="G78" s="1740"/>
      <c r="H78" s="1740"/>
      <c r="I78" s="2070"/>
      <c r="J78" s="2070"/>
      <c r="K78" s="2074"/>
      <c r="N78" s="2069"/>
      <c r="Q78" s="2068">
        <v>2</v>
      </c>
      <c r="R78" s="2075" t="str">
        <f t="shared" ref="R78:R88" si="38">AB78</f>
        <v>Boi gordo</v>
      </c>
      <c r="S78" s="2075">
        <f t="shared" ref="S78:S88" si="39">IF(OR(C79=1,C79=19,C79=20,C79=21,C79=22,C79=23),0,IF(OR(C79=2,C79=3,C79=4,C79=5,C79=6,C79=7,C79=8,C79=9,C79=10,C79=11,C79=12,C79=13,C79=14,C79=15,C79=16,C79=17,C79=18),I79))</f>
        <v>1746242.1884112596</v>
      </c>
      <c r="T78" s="2075">
        <f t="shared" ref="T78:T88" si="40">IF(OR(C79=19,C79=20,C79=21,C79=22,C79=23),I79,IF(OR(C79=1,C79=2,C79=3,C79=4,C79=5,C79=6,C79=7,C79=8,C79=9,C79=10,C79=11,C79=12,C79=13,C79=14,C79=15,C79=16,C79=17,C79=18),0))</f>
        <v>0</v>
      </c>
      <c r="U78" s="2076">
        <f>IF(OR(C79=1,C79=19,C79=20,C79=21,C79=22,C79=23),0,D79*E79)</f>
        <v>438020.61582222226</v>
      </c>
      <c r="V78" s="2077">
        <f t="shared" ref="V78:V88" si="41">IF(OR(C79=1,C79=19,C79=20,C79=21,C79=22,C79=23),0,IF(OR(C79=5,C79=6,C79=7,C79=13,C79=14,C79=17,C79=18),H79,0.5))</f>
        <v>0.52</v>
      </c>
      <c r="W78" s="2076">
        <f t="shared" ref="W78:W88" si="42">IF(OR(C79=1,C79=19,C79=20,C79=21,C79=22,C79=23),0,U78*V78)</f>
        <v>227770.72022755558</v>
      </c>
      <c r="X78" s="2078">
        <f>W78/15</f>
        <v>15184.714681837038</v>
      </c>
      <c r="AA78" s="2620" t="s">
        <v>946</v>
      </c>
      <c r="AB78" s="2079" t="str">
        <f t="shared" ref="AB78:AB88" si="43">IF(C79=1,0,VLOOKUP(C79,$AD$46:$AE$68,2))</f>
        <v>Boi gordo</v>
      </c>
      <c r="AC78" s="2080">
        <f t="shared" ref="AC78:AC88" si="44">IF($C79=2,$D79,0)</f>
        <v>0</v>
      </c>
      <c r="AD78" s="2080">
        <f t="shared" ref="AD78:AD88" si="45">IF($C79=3,$D79,0)</f>
        <v>0</v>
      </c>
      <c r="AE78" s="2080">
        <f t="shared" ref="AE78:AE88" si="46">IF($C79=4,$D79,0)</f>
        <v>0</v>
      </c>
      <c r="AF78" s="2080">
        <f t="shared" ref="AF78:AF88" si="47">IF($C79=5,$D79,0)</f>
        <v>0</v>
      </c>
      <c r="AG78" s="2080">
        <f t="shared" ref="AG78:AG88" si="48">IF($C79=6,$D79,0)</f>
        <v>768.45722074074081</v>
      </c>
      <c r="AH78" s="2080">
        <f t="shared" ref="AH78:AH88" si="49">IF($C79=7,$D79,0)</f>
        <v>0</v>
      </c>
      <c r="AI78" s="2080">
        <f t="shared" ref="AI78:AI88" si="50">IF($C79=8,$D79,0)</f>
        <v>0</v>
      </c>
      <c r="AJ78" s="2080">
        <f t="shared" ref="AJ78:AJ88" si="51">IF($C79=9,$D79,0)</f>
        <v>0</v>
      </c>
      <c r="AK78" s="2080">
        <f t="shared" ref="AK78:AK88" si="52">IF($C79=10,$D79,0)</f>
        <v>0</v>
      </c>
      <c r="AL78" s="2080">
        <f t="shared" ref="AL78:AL88" si="53">IF($C79=11,$D79,0)</f>
        <v>0</v>
      </c>
      <c r="AM78" s="2080">
        <f t="shared" ref="AM78:AM88" si="54">IF($C79=12,$D79,0)</f>
        <v>0</v>
      </c>
      <c r="AN78" s="2080">
        <f t="shared" ref="AN78:AN88" si="55">IF($C79=13,$D79,0)</f>
        <v>0</v>
      </c>
      <c r="AO78" s="2081">
        <f t="shared" ref="AO78:AO88" si="56">IF($C79=14,$D79,0)</f>
        <v>0</v>
      </c>
      <c r="AP78" s="2081">
        <f t="shared" ref="AP78:AP88" si="57">IF($C79=15,$D79,0)</f>
        <v>0</v>
      </c>
      <c r="AQ78" s="2080">
        <f t="shared" ref="AQ78:AQ88" si="58">IF($C79=16,$D79,0)</f>
        <v>0</v>
      </c>
      <c r="AR78" s="2080">
        <f t="shared" ref="AR78:AR88" si="59">IF($C79=17,$D79,0)</f>
        <v>0</v>
      </c>
      <c r="AS78" s="2080">
        <f t="shared" ref="AS78:AS88" si="60">IF($C79=18,$D79,0)</f>
        <v>0</v>
      </c>
      <c r="AT78" s="2082">
        <f t="shared" ref="AT78:AT88" si="61">IF($C79=19,$D79,0)</f>
        <v>0</v>
      </c>
      <c r="AU78" s="2082">
        <f t="shared" ref="AU78:AU88" si="62">IF($C79=20,$D79,0)</f>
        <v>0</v>
      </c>
      <c r="AV78" s="2082">
        <f t="shared" ref="AV78:AV88" si="63">IF($C79=21,$D79,0)</f>
        <v>0</v>
      </c>
      <c r="AW78" s="2082">
        <f t="shared" ref="AW78:AW88" si="64">IF($C79=22,$D79,0)</f>
        <v>0</v>
      </c>
      <c r="AX78" s="2082">
        <f t="shared" ref="AX78:AX88" si="65">IF($C79=23,$D79,0)</f>
        <v>0</v>
      </c>
    </row>
    <row r="79" spans="1:258" s="2068" customFormat="1" ht="15.75" customHeight="1" x14ac:dyDescent="0.2">
      <c r="A79" s="2043"/>
      <c r="B79" s="2043">
        <v>2</v>
      </c>
      <c r="C79" s="1815">
        <v>6</v>
      </c>
      <c r="D79" s="2022">
        <f>E53</f>
        <v>768.45722074074081</v>
      </c>
      <c r="E79" s="2083">
        <f t="shared" ref="E79:E89" si="66">IF(C79=1,0,IF(OR(C79=19,C79=20,C79=21,C79=22,C79=23),0,VLOOKUP(C79,$B$26:$G$42,6)))</f>
        <v>570</v>
      </c>
      <c r="F79" s="2084">
        <v>115</v>
      </c>
      <c r="G79" s="2085">
        <f>IF(OR(C79=19,C79=20,C79=21,C79=22,C79=23),$E$12,0)</f>
        <v>0</v>
      </c>
      <c r="H79" s="2086">
        <f t="shared" ref="H79:H89" si="67">IF(C79=1,0,IF(OR(C79=19,C79=20,C79=21,C79=22,C79=23),0,VLOOKUP(C79,$B$48:$J$65,9)))</f>
        <v>0.52</v>
      </c>
      <c r="I79" s="2087">
        <f>IF(OR(C79=1),0,IF(OR(C79=5,C79=6,C79=7,C79=13,C79=14,C79=17,C79=18),((E79*H79)/15)*F79*D79,IF(OR(C79=2,C79=3,C79=4,C79=8,C79=9,C79=10,C79=11,C79=12,C79=15,C79=16),D79*F79,IF(OR(C79=19,C79=20,C79=21,C79=22,C79=23),G79*F79*365))))</f>
        <v>1746242.1884112596</v>
      </c>
      <c r="J79" s="2079">
        <v>1</v>
      </c>
      <c r="K79" s="2088">
        <v>1</v>
      </c>
      <c r="N79" s="2069"/>
      <c r="Q79" s="2068">
        <v>3</v>
      </c>
      <c r="R79" s="2089">
        <f t="shared" si="38"/>
        <v>0</v>
      </c>
      <c r="S79" s="2089">
        <f t="shared" si="39"/>
        <v>0</v>
      </c>
      <c r="T79" s="2089">
        <f t="shared" si="40"/>
        <v>0</v>
      </c>
      <c r="U79" s="2090">
        <f>IF(OR(C80=1,C80=19,C80=20,C80=21,C80=22,C80=23),0,D80*E80)</f>
        <v>0</v>
      </c>
      <c r="V79" s="2091">
        <f t="shared" si="41"/>
        <v>0</v>
      </c>
      <c r="W79" s="2090">
        <f t="shared" si="42"/>
        <v>0</v>
      </c>
      <c r="X79" s="2092">
        <f t="shared" ref="X79:X88" si="68">W79/15</f>
        <v>0</v>
      </c>
      <c r="Y79" s="2043"/>
      <c r="AA79" s="2621"/>
      <c r="AB79" s="2079">
        <f t="shared" si="43"/>
        <v>0</v>
      </c>
      <c r="AC79" s="2080">
        <f t="shared" si="44"/>
        <v>0</v>
      </c>
      <c r="AD79" s="2080">
        <f t="shared" si="45"/>
        <v>0</v>
      </c>
      <c r="AE79" s="2080">
        <f t="shared" si="46"/>
        <v>0</v>
      </c>
      <c r="AF79" s="2080">
        <f t="shared" si="47"/>
        <v>0</v>
      </c>
      <c r="AG79" s="2080">
        <f t="shared" si="48"/>
        <v>0</v>
      </c>
      <c r="AH79" s="2080">
        <f t="shared" si="49"/>
        <v>0</v>
      </c>
      <c r="AI79" s="2080">
        <f t="shared" si="50"/>
        <v>0</v>
      </c>
      <c r="AJ79" s="2080">
        <f t="shared" si="51"/>
        <v>0</v>
      </c>
      <c r="AK79" s="2080">
        <f t="shared" si="52"/>
        <v>0</v>
      </c>
      <c r="AL79" s="2080">
        <f t="shared" si="53"/>
        <v>0</v>
      </c>
      <c r="AM79" s="2080">
        <f t="shared" si="54"/>
        <v>0</v>
      </c>
      <c r="AN79" s="2080">
        <f t="shared" si="55"/>
        <v>0</v>
      </c>
      <c r="AO79" s="2080">
        <f t="shared" si="56"/>
        <v>0</v>
      </c>
      <c r="AP79" s="2080">
        <f t="shared" si="57"/>
        <v>0</v>
      </c>
      <c r="AQ79" s="2080">
        <f t="shared" si="58"/>
        <v>0</v>
      </c>
      <c r="AR79" s="2080">
        <f t="shared" si="59"/>
        <v>0</v>
      </c>
      <c r="AS79" s="2080">
        <f t="shared" si="60"/>
        <v>0</v>
      </c>
      <c r="AT79" s="2082">
        <f t="shared" si="61"/>
        <v>0</v>
      </c>
      <c r="AU79" s="2082">
        <f t="shared" si="62"/>
        <v>0</v>
      </c>
      <c r="AV79" s="2082">
        <f t="shared" si="63"/>
        <v>0</v>
      </c>
      <c r="AW79" s="2082">
        <f t="shared" si="64"/>
        <v>0</v>
      </c>
      <c r="AX79" s="2082">
        <f t="shared" si="65"/>
        <v>0</v>
      </c>
    </row>
    <row r="80" spans="1:258" s="2068" customFormat="1" ht="15" customHeight="1" x14ac:dyDescent="0.2">
      <c r="A80" s="2043"/>
      <c r="B80" s="2043">
        <v>3</v>
      </c>
      <c r="C80" s="1815">
        <v>1</v>
      </c>
      <c r="D80" s="2022"/>
      <c r="E80" s="2083">
        <f t="shared" si="66"/>
        <v>0</v>
      </c>
      <c r="F80" s="2084"/>
      <c r="G80" s="2085">
        <f t="shared" ref="G80:G89" si="69">IF(OR(C80=19,C80=20,C80=21,C80=22,C80=23),$E$12,0)</f>
        <v>0</v>
      </c>
      <c r="H80" s="2086">
        <f t="shared" si="67"/>
        <v>0</v>
      </c>
      <c r="I80" s="2087">
        <f t="shared" ref="I80:I89" si="70">IF(OR(C80=1),0,IF(OR(C80=5,C80=6,C80=7,C80=13,C80=14,C80=17,C80=18),((E80*H80)/15)*F80*D80,IF(OR(C80=2,C80=3,C80=4,C80=8,C80=9,C80=10,C80=11,C80=12,C80=15,C80=16),D80*F80,IF(OR(C80=19,C80=20,C80=21,C80=22,C80=23),G80*F80*365))))</f>
        <v>0</v>
      </c>
      <c r="J80" s="2079">
        <v>1</v>
      </c>
      <c r="K80" s="2088">
        <v>1</v>
      </c>
      <c r="N80" s="2069"/>
      <c r="Q80" s="2068">
        <v>4</v>
      </c>
      <c r="R80" s="2089">
        <f t="shared" si="38"/>
        <v>0</v>
      </c>
      <c r="S80" s="2089">
        <f t="shared" si="39"/>
        <v>0</v>
      </c>
      <c r="T80" s="2089">
        <f t="shared" si="40"/>
        <v>0</v>
      </c>
      <c r="U80" s="2090">
        <f>IF(OR(C81=1,C81=19,C81=20,C81=21,C81=22,C81=23),0,D81*E81)</f>
        <v>0</v>
      </c>
      <c r="V80" s="2091">
        <f t="shared" si="41"/>
        <v>0</v>
      </c>
      <c r="W80" s="2090">
        <f t="shared" si="42"/>
        <v>0</v>
      </c>
      <c r="X80" s="2092">
        <f t="shared" si="68"/>
        <v>0</v>
      </c>
      <c r="Y80" s="2043"/>
      <c r="AA80" s="2621"/>
      <c r="AB80" s="2079">
        <f t="shared" si="43"/>
        <v>0</v>
      </c>
      <c r="AC80" s="2080">
        <f t="shared" si="44"/>
        <v>0</v>
      </c>
      <c r="AD80" s="2080">
        <f t="shared" si="45"/>
        <v>0</v>
      </c>
      <c r="AE80" s="2080">
        <f t="shared" si="46"/>
        <v>0</v>
      </c>
      <c r="AF80" s="2080">
        <f t="shared" si="47"/>
        <v>0</v>
      </c>
      <c r="AG80" s="2080">
        <f t="shared" si="48"/>
        <v>0</v>
      </c>
      <c r="AH80" s="2080">
        <f t="shared" si="49"/>
        <v>0</v>
      </c>
      <c r="AI80" s="2080">
        <f t="shared" si="50"/>
        <v>0</v>
      </c>
      <c r="AJ80" s="2080">
        <f t="shared" si="51"/>
        <v>0</v>
      </c>
      <c r="AK80" s="2080">
        <f t="shared" si="52"/>
        <v>0</v>
      </c>
      <c r="AL80" s="2080">
        <f t="shared" si="53"/>
        <v>0</v>
      </c>
      <c r="AM80" s="2080">
        <f t="shared" si="54"/>
        <v>0</v>
      </c>
      <c r="AN80" s="2080">
        <f t="shared" si="55"/>
        <v>0</v>
      </c>
      <c r="AO80" s="2080">
        <f t="shared" si="56"/>
        <v>0</v>
      </c>
      <c r="AP80" s="2080">
        <f t="shared" si="57"/>
        <v>0</v>
      </c>
      <c r="AQ80" s="2080">
        <f t="shared" si="58"/>
        <v>0</v>
      </c>
      <c r="AR80" s="2080">
        <f t="shared" si="59"/>
        <v>0</v>
      </c>
      <c r="AS80" s="2080">
        <f t="shared" si="60"/>
        <v>0</v>
      </c>
      <c r="AT80" s="2082">
        <f t="shared" si="61"/>
        <v>0</v>
      </c>
      <c r="AU80" s="2082">
        <f t="shared" si="62"/>
        <v>0</v>
      </c>
      <c r="AV80" s="2082">
        <f t="shared" si="63"/>
        <v>0</v>
      </c>
      <c r="AW80" s="2082">
        <f t="shared" si="64"/>
        <v>0</v>
      </c>
      <c r="AX80" s="2082">
        <f t="shared" si="65"/>
        <v>0</v>
      </c>
    </row>
    <row r="81" spans="1:243" s="2043" customFormat="1" ht="15" customHeight="1" x14ac:dyDescent="0.2">
      <c r="B81" s="2043">
        <v>4</v>
      </c>
      <c r="C81" s="1815">
        <v>1</v>
      </c>
      <c r="D81" s="2093"/>
      <c r="E81" s="2083">
        <f t="shared" si="66"/>
        <v>0</v>
      </c>
      <c r="F81" s="2084"/>
      <c r="G81" s="2085">
        <f t="shared" si="69"/>
        <v>0</v>
      </c>
      <c r="H81" s="2086">
        <f t="shared" si="67"/>
        <v>0</v>
      </c>
      <c r="I81" s="2087">
        <f t="shared" si="70"/>
        <v>0</v>
      </c>
      <c r="J81" s="2079">
        <v>1</v>
      </c>
      <c r="K81" s="2088">
        <v>1</v>
      </c>
      <c r="L81" s="2068"/>
      <c r="M81" s="2068"/>
      <c r="N81" s="2069"/>
      <c r="O81" s="2068"/>
      <c r="P81" s="2068"/>
      <c r="Q81" s="2068">
        <v>5</v>
      </c>
      <c r="R81" s="2089">
        <f t="shared" si="38"/>
        <v>0</v>
      </c>
      <c r="S81" s="2089">
        <f t="shared" si="39"/>
        <v>0</v>
      </c>
      <c r="T81" s="2089">
        <f t="shared" si="40"/>
        <v>0</v>
      </c>
      <c r="U81" s="2090">
        <f t="shared" ref="U81:U88" si="71">IF(OR(C82=1,C82=19,C82=20,C82=21,C82=22,C82=23),0,IF(OR(C82=2,C82=3,C82=4,C82=8,C82=9,C82=10,C82=11,C82=12,C82=15,C82=16),D82*E82*0.5,IF(OR(C82=5,C82=6,C82=7,C82=13,C82=14,C82=17,C82=18),D82*E82*H82,0)))</f>
        <v>0</v>
      </c>
      <c r="V81" s="2091">
        <f t="shared" si="41"/>
        <v>0</v>
      </c>
      <c r="W81" s="2090">
        <f t="shared" si="42"/>
        <v>0</v>
      </c>
      <c r="X81" s="2092">
        <f t="shared" si="68"/>
        <v>0</v>
      </c>
      <c r="AA81" s="2621"/>
      <c r="AB81" s="2079">
        <f t="shared" si="43"/>
        <v>0</v>
      </c>
      <c r="AC81" s="2080">
        <f t="shared" si="44"/>
        <v>0</v>
      </c>
      <c r="AD81" s="2080">
        <f t="shared" si="45"/>
        <v>0</v>
      </c>
      <c r="AE81" s="2080">
        <f t="shared" si="46"/>
        <v>0</v>
      </c>
      <c r="AF81" s="2080">
        <f t="shared" si="47"/>
        <v>0</v>
      </c>
      <c r="AG81" s="2080">
        <f t="shared" si="48"/>
        <v>0</v>
      </c>
      <c r="AH81" s="2080">
        <f t="shared" si="49"/>
        <v>0</v>
      </c>
      <c r="AI81" s="2080">
        <f t="shared" si="50"/>
        <v>0</v>
      </c>
      <c r="AJ81" s="2080">
        <f t="shared" si="51"/>
        <v>0</v>
      </c>
      <c r="AK81" s="2080">
        <f t="shared" si="52"/>
        <v>0</v>
      </c>
      <c r="AL81" s="2080">
        <f t="shared" si="53"/>
        <v>0</v>
      </c>
      <c r="AM81" s="2080">
        <f t="shared" si="54"/>
        <v>0</v>
      </c>
      <c r="AN81" s="2080">
        <f t="shared" si="55"/>
        <v>0</v>
      </c>
      <c r="AO81" s="2080">
        <f t="shared" si="56"/>
        <v>0</v>
      </c>
      <c r="AP81" s="2080">
        <f t="shared" si="57"/>
        <v>0</v>
      </c>
      <c r="AQ81" s="2080">
        <f t="shared" si="58"/>
        <v>0</v>
      </c>
      <c r="AR81" s="2080">
        <f t="shared" si="59"/>
        <v>0</v>
      </c>
      <c r="AS81" s="2080">
        <f t="shared" si="60"/>
        <v>0</v>
      </c>
      <c r="AT81" s="2082">
        <f t="shared" si="61"/>
        <v>0</v>
      </c>
      <c r="AU81" s="2082">
        <f t="shared" si="62"/>
        <v>0</v>
      </c>
      <c r="AV81" s="2082">
        <f t="shared" si="63"/>
        <v>0</v>
      </c>
      <c r="AW81" s="2082">
        <f t="shared" si="64"/>
        <v>0</v>
      </c>
      <c r="AX81" s="2082">
        <f t="shared" si="65"/>
        <v>0</v>
      </c>
      <c r="AZ81" s="2068"/>
      <c r="BC81" s="2068"/>
      <c r="BD81" s="2068"/>
      <c r="BE81" s="2068"/>
      <c r="BF81" s="2068"/>
      <c r="BG81" s="2068"/>
      <c r="BH81" s="2068"/>
      <c r="BI81" s="2068"/>
      <c r="BJ81" s="2068"/>
      <c r="BK81" s="2068"/>
      <c r="BL81" s="2068"/>
      <c r="BM81" s="2068"/>
      <c r="BN81" s="2068"/>
      <c r="BO81" s="2068"/>
      <c r="BP81" s="2068"/>
      <c r="BQ81" s="2068"/>
      <c r="BR81" s="2068"/>
      <c r="BS81" s="2068"/>
      <c r="BT81" s="2068"/>
      <c r="BU81" s="2068"/>
      <c r="BV81" s="2068"/>
      <c r="BW81" s="2068"/>
      <c r="BX81" s="2068"/>
      <c r="BY81" s="2068"/>
      <c r="BZ81" s="2068"/>
      <c r="CA81" s="2068"/>
      <c r="CB81" s="2068"/>
      <c r="CC81" s="2068"/>
      <c r="CD81" s="2068"/>
      <c r="CE81" s="2068"/>
      <c r="CF81" s="2068"/>
      <c r="CG81" s="2068"/>
      <c r="CH81" s="2068"/>
      <c r="CI81" s="2068"/>
      <c r="CJ81" s="2068"/>
      <c r="CK81" s="2068"/>
      <c r="CL81" s="2068"/>
      <c r="CM81" s="2068"/>
      <c r="CN81" s="2068"/>
      <c r="CO81" s="2068"/>
      <c r="CP81" s="2068"/>
      <c r="CQ81" s="2068"/>
      <c r="CR81" s="2068"/>
      <c r="CS81" s="2068"/>
      <c r="CT81" s="2068"/>
      <c r="CU81" s="2068"/>
      <c r="CV81" s="2068"/>
      <c r="CW81" s="2068"/>
      <c r="CX81" s="2068"/>
      <c r="CY81" s="2068"/>
      <c r="CZ81" s="2068"/>
      <c r="DA81" s="2068"/>
      <c r="DB81" s="2068"/>
      <c r="DC81" s="2068"/>
      <c r="DD81" s="2068"/>
      <c r="DE81" s="2068"/>
      <c r="DF81" s="2068"/>
      <c r="DG81" s="2068"/>
      <c r="DH81" s="2068"/>
      <c r="DI81" s="2068"/>
      <c r="DJ81" s="2068"/>
      <c r="DK81" s="2068"/>
      <c r="DL81" s="2068"/>
      <c r="DM81" s="2068"/>
      <c r="DN81" s="2068"/>
      <c r="DO81" s="2068"/>
      <c r="DP81" s="2068"/>
      <c r="DQ81" s="2068"/>
      <c r="DR81" s="2068"/>
      <c r="DS81" s="2068"/>
      <c r="DT81" s="2068"/>
      <c r="DU81" s="2068"/>
      <c r="DV81" s="2068"/>
      <c r="DW81" s="2068"/>
      <c r="DX81" s="2068"/>
      <c r="DY81" s="2068"/>
      <c r="DZ81" s="2068"/>
      <c r="EA81" s="2068"/>
      <c r="EB81" s="2068"/>
      <c r="EC81" s="2068"/>
      <c r="ED81" s="2068"/>
      <c r="EE81" s="2068"/>
      <c r="EF81" s="2068"/>
      <c r="EG81" s="2068"/>
      <c r="EH81" s="2068"/>
      <c r="EI81" s="2068"/>
      <c r="EJ81" s="2068"/>
      <c r="EK81" s="2068"/>
      <c r="EL81" s="2068"/>
      <c r="EM81" s="2068"/>
      <c r="EN81" s="2068"/>
      <c r="EO81" s="2068"/>
      <c r="EP81" s="2068"/>
      <c r="EQ81" s="2068"/>
      <c r="ER81" s="2068"/>
      <c r="ES81" s="2068"/>
      <c r="ET81" s="2068"/>
      <c r="EU81" s="2068"/>
      <c r="EV81" s="2068"/>
      <c r="EW81" s="2068"/>
      <c r="EX81" s="2068"/>
      <c r="EY81" s="2068"/>
      <c r="EZ81" s="2068"/>
      <c r="FA81" s="2068"/>
      <c r="FB81" s="2068"/>
      <c r="FC81" s="2068"/>
      <c r="FD81" s="2068"/>
      <c r="FE81" s="2068"/>
      <c r="FF81" s="2068"/>
      <c r="FG81" s="2068"/>
      <c r="FH81" s="2068"/>
      <c r="FI81" s="2068"/>
      <c r="FJ81" s="2068"/>
      <c r="FK81" s="2068"/>
      <c r="FL81" s="2068"/>
      <c r="FM81" s="2068"/>
      <c r="FN81" s="2068"/>
      <c r="FO81" s="2068"/>
      <c r="FP81" s="2068"/>
      <c r="FQ81" s="2068"/>
      <c r="FR81" s="2068"/>
      <c r="FS81" s="2068"/>
      <c r="FT81" s="2068"/>
      <c r="FU81" s="2068"/>
      <c r="FV81" s="2068"/>
      <c r="FW81" s="2068"/>
      <c r="FX81" s="2068"/>
      <c r="FY81" s="2068"/>
      <c r="FZ81" s="2068"/>
      <c r="GA81" s="2068"/>
      <c r="GB81" s="2068"/>
      <c r="GC81" s="2068"/>
      <c r="GD81" s="2068"/>
      <c r="GE81" s="2068"/>
      <c r="GF81" s="2068"/>
      <c r="GG81" s="2068"/>
      <c r="GH81" s="2068"/>
      <c r="GI81" s="2068"/>
      <c r="GJ81" s="2068"/>
      <c r="GK81" s="2068"/>
      <c r="GL81" s="2068"/>
      <c r="GM81" s="2068"/>
      <c r="GN81" s="2068"/>
      <c r="GO81" s="2068"/>
      <c r="GP81" s="2068"/>
      <c r="GQ81" s="2068"/>
      <c r="GR81" s="2068"/>
      <c r="GS81" s="2068"/>
      <c r="GT81" s="2068"/>
      <c r="GU81" s="2068"/>
      <c r="GV81" s="2068"/>
      <c r="GW81" s="2068"/>
      <c r="GX81" s="2068"/>
      <c r="GY81" s="2068"/>
      <c r="GZ81" s="2068"/>
      <c r="HA81" s="2068"/>
      <c r="HB81" s="2068"/>
      <c r="HC81" s="2068"/>
      <c r="HD81" s="2068"/>
      <c r="HE81" s="2068"/>
      <c r="HF81" s="2068"/>
      <c r="HG81" s="2068"/>
      <c r="HH81" s="2068"/>
      <c r="HI81" s="2068"/>
      <c r="HJ81" s="2068"/>
      <c r="HK81" s="2068"/>
      <c r="HL81" s="2068"/>
      <c r="HM81" s="2068"/>
      <c r="HN81" s="2068"/>
      <c r="HO81" s="2068"/>
      <c r="HP81" s="2068"/>
      <c r="HQ81" s="2068"/>
      <c r="HR81" s="2068"/>
      <c r="HS81" s="2068"/>
      <c r="HT81" s="2068"/>
      <c r="HU81" s="2068"/>
      <c r="HV81" s="2068"/>
      <c r="HW81" s="2068"/>
      <c r="HX81" s="2068"/>
      <c r="HY81" s="2068"/>
      <c r="HZ81" s="2068"/>
      <c r="IA81" s="2068"/>
      <c r="IB81" s="2068"/>
      <c r="IC81" s="2068"/>
      <c r="ID81" s="2068"/>
      <c r="IE81" s="2068"/>
      <c r="IF81" s="2068"/>
      <c r="IG81" s="2068"/>
      <c r="IH81" s="2068"/>
      <c r="II81" s="2068"/>
    </row>
    <row r="82" spans="1:243" s="2043" customFormat="1" ht="15.75" customHeight="1" x14ac:dyDescent="0.2">
      <c r="B82" s="2043">
        <v>5</v>
      </c>
      <c r="C82" s="1815">
        <v>1</v>
      </c>
      <c r="D82" s="2093"/>
      <c r="E82" s="2083">
        <f t="shared" si="66"/>
        <v>0</v>
      </c>
      <c r="F82" s="2084"/>
      <c r="G82" s="2085">
        <f t="shared" si="69"/>
        <v>0</v>
      </c>
      <c r="H82" s="2086">
        <f t="shared" si="67"/>
        <v>0</v>
      </c>
      <c r="I82" s="2087">
        <f t="shared" si="70"/>
        <v>0</v>
      </c>
      <c r="J82" s="2079">
        <v>1</v>
      </c>
      <c r="K82" s="2088">
        <v>1</v>
      </c>
      <c r="L82" s="2068"/>
      <c r="M82" s="2068"/>
      <c r="N82" s="2069"/>
      <c r="O82" s="2068"/>
      <c r="P82" s="2068"/>
      <c r="Q82" s="2068">
        <v>6</v>
      </c>
      <c r="R82" s="2089">
        <f t="shared" si="38"/>
        <v>0</v>
      </c>
      <c r="S82" s="2089">
        <f t="shared" si="39"/>
        <v>0</v>
      </c>
      <c r="T82" s="2089">
        <f t="shared" si="40"/>
        <v>0</v>
      </c>
      <c r="U82" s="2090">
        <f t="shared" si="71"/>
        <v>0</v>
      </c>
      <c r="V82" s="2091">
        <f t="shared" si="41"/>
        <v>0</v>
      </c>
      <c r="W82" s="2090">
        <f t="shared" si="42"/>
        <v>0</v>
      </c>
      <c r="X82" s="2092">
        <f t="shared" si="68"/>
        <v>0</v>
      </c>
      <c r="AA82" s="2621"/>
      <c r="AB82" s="2079">
        <f t="shared" si="43"/>
        <v>0</v>
      </c>
      <c r="AC82" s="2080">
        <f t="shared" si="44"/>
        <v>0</v>
      </c>
      <c r="AD82" s="2080">
        <f t="shared" si="45"/>
        <v>0</v>
      </c>
      <c r="AE82" s="2080">
        <f t="shared" si="46"/>
        <v>0</v>
      </c>
      <c r="AF82" s="2080">
        <f t="shared" si="47"/>
        <v>0</v>
      </c>
      <c r="AG82" s="2080">
        <f t="shared" si="48"/>
        <v>0</v>
      </c>
      <c r="AH82" s="2080">
        <f t="shared" si="49"/>
        <v>0</v>
      </c>
      <c r="AI82" s="2080">
        <f t="shared" si="50"/>
        <v>0</v>
      </c>
      <c r="AJ82" s="2080">
        <f t="shared" si="51"/>
        <v>0</v>
      </c>
      <c r="AK82" s="2080">
        <f t="shared" si="52"/>
        <v>0</v>
      </c>
      <c r="AL82" s="2080">
        <f t="shared" si="53"/>
        <v>0</v>
      </c>
      <c r="AM82" s="2080">
        <f t="shared" si="54"/>
        <v>0</v>
      </c>
      <c r="AN82" s="2080">
        <f t="shared" si="55"/>
        <v>0</v>
      </c>
      <c r="AO82" s="2080">
        <f t="shared" si="56"/>
        <v>0</v>
      </c>
      <c r="AP82" s="2080">
        <f t="shared" si="57"/>
        <v>0</v>
      </c>
      <c r="AQ82" s="2080">
        <f t="shared" si="58"/>
        <v>0</v>
      </c>
      <c r="AR82" s="2080">
        <f t="shared" si="59"/>
        <v>0</v>
      </c>
      <c r="AS82" s="2080">
        <f t="shared" si="60"/>
        <v>0</v>
      </c>
      <c r="AT82" s="2082">
        <f t="shared" si="61"/>
        <v>0</v>
      </c>
      <c r="AU82" s="2082">
        <f t="shared" si="62"/>
        <v>0</v>
      </c>
      <c r="AV82" s="2082">
        <f t="shared" si="63"/>
        <v>0</v>
      </c>
      <c r="AW82" s="2082">
        <f t="shared" si="64"/>
        <v>0</v>
      </c>
      <c r="AX82" s="2082">
        <f t="shared" si="65"/>
        <v>0</v>
      </c>
      <c r="BC82" s="2068"/>
      <c r="BD82" s="2068"/>
      <c r="BE82" s="2068"/>
      <c r="BF82" s="2068"/>
      <c r="BG82" s="2068"/>
      <c r="BH82" s="2068"/>
      <c r="BI82" s="2068"/>
      <c r="BJ82" s="2068"/>
      <c r="BK82" s="2068"/>
      <c r="BL82" s="2068"/>
      <c r="BM82" s="2068"/>
      <c r="BN82" s="2068"/>
      <c r="BO82" s="2068"/>
      <c r="BP82" s="2068"/>
      <c r="BQ82" s="2068"/>
      <c r="BR82" s="2068"/>
      <c r="BS82" s="2068"/>
      <c r="BT82" s="2068"/>
      <c r="BU82" s="2068"/>
      <c r="BV82" s="2068"/>
      <c r="BW82" s="2068"/>
      <c r="BX82" s="2068"/>
      <c r="BY82" s="2068"/>
      <c r="BZ82" s="2068"/>
      <c r="CA82" s="2068"/>
      <c r="CB82" s="2068"/>
      <c r="CC82" s="2068"/>
      <c r="CD82" s="2068"/>
      <c r="CE82" s="2068"/>
      <c r="CF82" s="2068"/>
      <c r="CG82" s="2068"/>
      <c r="CH82" s="2068"/>
      <c r="CI82" s="2068"/>
      <c r="CJ82" s="2068"/>
      <c r="CK82" s="2068"/>
      <c r="CL82" s="2068"/>
      <c r="CM82" s="2068"/>
      <c r="CN82" s="2068"/>
      <c r="CO82" s="2068"/>
      <c r="CP82" s="2068"/>
      <c r="CQ82" s="2068"/>
      <c r="CR82" s="2068"/>
      <c r="CS82" s="2068"/>
      <c r="CT82" s="2068"/>
      <c r="CU82" s="2068"/>
      <c r="CV82" s="2068"/>
      <c r="CW82" s="2068"/>
      <c r="CX82" s="2068"/>
      <c r="CY82" s="2068"/>
      <c r="CZ82" s="2068"/>
      <c r="DA82" s="2068"/>
      <c r="DB82" s="2068"/>
      <c r="DC82" s="2068"/>
      <c r="DD82" s="2068"/>
      <c r="DE82" s="2068"/>
      <c r="DF82" s="2068"/>
      <c r="DG82" s="2068"/>
      <c r="DH82" s="2068"/>
      <c r="DI82" s="2068"/>
      <c r="DJ82" s="2068"/>
      <c r="DK82" s="2068"/>
      <c r="DL82" s="2068"/>
      <c r="DM82" s="2068"/>
      <c r="DN82" s="2068"/>
      <c r="DO82" s="2068"/>
      <c r="DP82" s="2068"/>
      <c r="DQ82" s="2068"/>
      <c r="DR82" s="2068"/>
      <c r="DS82" s="2068"/>
      <c r="DT82" s="2068"/>
      <c r="DU82" s="2068"/>
      <c r="DV82" s="2068"/>
      <c r="DW82" s="2068"/>
      <c r="DX82" s="2068"/>
      <c r="DY82" s="2068"/>
      <c r="DZ82" s="2068"/>
      <c r="EA82" s="2068"/>
      <c r="EB82" s="2068"/>
      <c r="EC82" s="2068"/>
      <c r="ED82" s="2068"/>
      <c r="EE82" s="2068"/>
      <c r="EF82" s="2068"/>
      <c r="EG82" s="2068"/>
      <c r="EH82" s="2068"/>
      <c r="EI82" s="2068"/>
      <c r="EJ82" s="2068"/>
      <c r="EK82" s="2068"/>
      <c r="EL82" s="2068"/>
      <c r="EM82" s="2068"/>
      <c r="EN82" s="2068"/>
      <c r="EO82" s="2068"/>
      <c r="EP82" s="2068"/>
      <c r="EQ82" s="2068"/>
      <c r="ER82" s="2068"/>
      <c r="ES82" s="2068"/>
      <c r="ET82" s="2068"/>
      <c r="EU82" s="2068"/>
      <c r="EV82" s="2068"/>
      <c r="EW82" s="2068"/>
      <c r="EX82" s="2068"/>
      <c r="EY82" s="2068"/>
      <c r="EZ82" s="2068"/>
      <c r="FA82" s="2068"/>
      <c r="FB82" s="2068"/>
      <c r="FC82" s="2068"/>
      <c r="FD82" s="2068"/>
      <c r="FE82" s="2068"/>
      <c r="FF82" s="2068"/>
      <c r="FG82" s="2068"/>
      <c r="FH82" s="2068"/>
      <c r="FI82" s="2068"/>
      <c r="FJ82" s="2068"/>
      <c r="FK82" s="2068"/>
      <c r="FL82" s="2068"/>
      <c r="FM82" s="2068"/>
      <c r="FN82" s="2068"/>
      <c r="FO82" s="2068"/>
      <c r="FP82" s="2068"/>
      <c r="FQ82" s="2068"/>
      <c r="FR82" s="2068"/>
      <c r="FS82" s="2068"/>
      <c r="FT82" s="2068"/>
      <c r="FU82" s="2068"/>
      <c r="FV82" s="2068"/>
      <c r="FW82" s="2068"/>
      <c r="FX82" s="2068"/>
      <c r="FY82" s="2068"/>
      <c r="FZ82" s="2068"/>
      <c r="GA82" s="2068"/>
      <c r="GB82" s="2068"/>
      <c r="GC82" s="2068"/>
      <c r="GD82" s="2068"/>
      <c r="GE82" s="2068"/>
      <c r="GF82" s="2068"/>
      <c r="GG82" s="2068"/>
      <c r="GH82" s="2068"/>
      <c r="GI82" s="2068"/>
      <c r="GJ82" s="2068"/>
      <c r="GK82" s="2068"/>
      <c r="GL82" s="2068"/>
      <c r="GM82" s="2068"/>
      <c r="GN82" s="2068"/>
      <c r="GO82" s="2068"/>
      <c r="GP82" s="2068"/>
      <c r="GQ82" s="2068"/>
      <c r="GR82" s="2068"/>
      <c r="GS82" s="2068"/>
      <c r="GT82" s="2068"/>
      <c r="GU82" s="2068"/>
      <c r="GV82" s="2068"/>
      <c r="GW82" s="2068"/>
      <c r="GX82" s="2068"/>
      <c r="GY82" s="2068"/>
      <c r="GZ82" s="2068"/>
      <c r="HA82" s="2068"/>
      <c r="HB82" s="2068"/>
      <c r="HC82" s="2068"/>
      <c r="HD82" s="2068"/>
      <c r="HE82" s="2068"/>
      <c r="HF82" s="2068"/>
      <c r="HG82" s="2068"/>
      <c r="HH82" s="2068"/>
      <c r="HI82" s="2068"/>
      <c r="HJ82" s="2068"/>
      <c r="HK82" s="2068"/>
      <c r="HL82" s="2068"/>
      <c r="HM82" s="2068"/>
      <c r="HN82" s="2068"/>
      <c r="HO82" s="2068"/>
      <c r="HP82" s="2068"/>
      <c r="HQ82" s="2068"/>
      <c r="HR82" s="2068"/>
      <c r="HS82" s="2068"/>
      <c r="HT82" s="2068"/>
      <c r="HU82" s="2068"/>
      <c r="HV82" s="2068"/>
      <c r="HW82" s="2068"/>
      <c r="HX82" s="2068"/>
      <c r="HY82" s="2068"/>
      <c r="HZ82" s="2068"/>
      <c r="IA82" s="2068"/>
      <c r="IB82" s="2068"/>
      <c r="IC82" s="2068"/>
      <c r="ID82" s="2068"/>
      <c r="IE82" s="2068"/>
      <c r="IF82" s="2068"/>
      <c r="IG82" s="2068"/>
      <c r="IH82" s="2068"/>
      <c r="II82" s="2068"/>
    </row>
    <row r="83" spans="1:243" s="2043" customFormat="1" ht="15.75" customHeight="1" x14ac:dyDescent="0.2">
      <c r="B83" s="2043">
        <v>6</v>
      </c>
      <c r="C83" s="1815">
        <v>1</v>
      </c>
      <c r="D83" s="2093"/>
      <c r="E83" s="2083">
        <f t="shared" si="66"/>
        <v>0</v>
      </c>
      <c r="F83" s="2084"/>
      <c r="G83" s="2085">
        <f t="shared" si="69"/>
        <v>0</v>
      </c>
      <c r="H83" s="2086">
        <f t="shared" si="67"/>
        <v>0</v>
      </c>
      <c r="I83" s="2087">
        <f t="shared" si="70"/>
        <v>0</v>
      </c>
      <c r="J83" s="2079">
        <v>1</v>
      </c>
      <c r="K83" s="2088">
        <v>1</v>
      </c>
      <c r="L83" s="2068"/>
      <c r="M83" s="2068"/>
      <c r="N83" s="2069"/>
      <c r="O83" s="2068"/>
      <c r="P83" s="2068"/>
      <c r="Q83" s="2068">
        <v>7</v>
      </c>
      <c r="R83" s="2089">
        <f t="shared" si="38"/>
        <v>0</v>
      </c>
      <c r="S83" s="2089">
        <f t="shared" si="39"/>
        <v>0</v>
      </c>
      <c r="T83" s="2089">
        <f t="shared" si="40"/>
        <v>0</v>
      </c>
      <c r="U83" s="2090">
        <f t="shared" si="71"/>
        <v>0</v>
      </c>
      <c r="V83" s="2091">
        <f t="shared" si="41"/>
        <v>0</v>
      </c>
      <c r="W83" s="2090">
        <f t="shared" si="42"/>
        <v>0</v>
      </c>
      <c r="X83" s="2092">
        <f t="shared" si="68"/>
        <v>0</v>
      </c>
      <c r="AA83" s="2621"/>
      <c r="AB83" s="2079">
        <f t="shared" si="43"/>
        <v>0</v>
      </c>
      <c r="AC83" s="2080">
        <f t="shared" si="44"/>
        <v>0</v>
      </c>
      <c r="AD83" s="2080">
        <f t="shared" si="45"/>
        <v>0</v>
      </c>
      <c r="AE83" s="2080">
        <f t="shared" si="46"/>
        <v>0</v>
      </c>
      <c r="AF83" s="2080">
        <f t="shared" si="47"/>
        <v>0</v>
      </c>
      <c r="AG83" s="2080">
        <f t="shared" si="48"/>
        <v>0</v>
      </c>
      <c r="AH83" s="2080">
        <f t="shared" si="49"/>
        <v>0</v>
      </c>
      <c r="AI83" s="2080">
        <f t="shared" si="50"/>
        <v>0</v>
      </c>
      <c r="AJ83" s="2080">
        <f t="shared" si="51"/>
        <v>0</v>
      </c>
      <c r="AK83" s="2080">
        <f t="shared" si="52"/>
        <v>0</v>
      </c>
      <c r="AL83" s="2080">
        <f t="shared" si="53"/>
        <v>0</v>
      </c>
      <c r="AM83" s="2080">
        <f t="shared" si="54"/>
        <v>0</v>
      </c>
      <c r="AN83" s="2080">
        <f t="shared" si="55"/>
        <v>0</v>
      </c>
      <c r="AO83" s="2080">
        <f t="shared" si="56"/>
        <v>0</v>
      </c>
      <c r="AP83" s="2080">
        <f t="shared" si="57"/>
        <v>0</v>
      </c>
      <c r="AQ83" s="2080">
        <f t="shared" si="58"/>
        <v>0</v>
      </c>
      <c r="AR83" s="2080">
        <f t="shared" si="59"/>
        <v>0</v>
      </c>
      <c r="AS83" s="2080">
        <f t="shared" si="60"/>
        <v>0</v>
      </c>
      <c r="AT83" s="2082">
        <f t="shared" si="61"/>
        <v>0</v>
      </c>
      <c r="AU83" s="2082">
        <f t="shared" si="62"/>
        <v>0</v>
      </c>
      <c r="AV83" s="2082">
        <f t="shared" si="63"/>
        <v>0</v>
      </c>
      <c r="AW83" s="2082">
        <f t="shared" si="64"/>
        <v>0</v>
      </c>
      <c r="AX83" s="2082">
        <f t="shared" si="65"/>
        <v>0</v>
      </c>
      <c r="BC83" s="2068"/>
      <c r="BD83" s="2068"/>
      <c r="BE83" s="2068"/>
      <c r="BF83" s="2068"/>
      <c r="BG83" s="2068"/>
      <c r="BH83" s="2068"/>
      <c r="BI83" s="2068"/>
      <c r="BJ83" s="2068"/>
      <c r="BK83" s="2068"/>
      <c r="BL83" s="2068"/>
      <c r="BM83" s="2068"/>
      <c r="BN83" s="2068"/>
      <c r="BO83" s="2068"/>
      <c r="BP83" s="2068"/>
      <c r="BQ83" s="2068"/>
      <c r="BR83" s="2068"/>
      <c r="BS83" s="2068"/>
      <c r="BT83" s="2068"/>
      <c r="BU83" s="2068"/>
      <c r="BV83" s="2068"/>
      <c r="BW83" s="2068"/>
      <c r="BX83" s="2068"/>
      <c r="BY83" s="2068"/>
      <c r="BZ83" s="2068"/>
      <c r="CA83" s="2068"/>
      <c r="CB83" s="2068"/>
      <c r="CC83" s="2068"/>
      <c r="CD83" s="2068"/>
      <c r="CE83" s="2068"/>
      <c r="CF83" s="2068"/>
      <c r="CG83" s="2068"/>
      <c r="CH83" s="2068"/>
      <c r="CI83" s="2068"/>
      <c r="CJ83" s="2068"/>
      <c r="CK83" s="2068"/>
      <c r="CL83" s="2068"/>
      <c r="CM83" s="2068"/>
      <c r="CN83" s="2068"/>
      <c r="CO83" s="2068"/>
      <c r="CP83" s="2068"/>
      <c r="CQ83" s="2068"/>
      <c r="CR83" s="2068"/>
      <c r="CS83" s="2068"/>
      <c r="CT83" s="2068"/>
      <c r="CU83" s="2068"/>
      <c r="CV83" s="2068"/>
      <c r="CW83" s="2068"/>
      <c r="CX83" s="2068"/>
      <c r="CY83" s="2068"/>
      <c r="CZ83" s="2068"/>
      <c r="DA83" s="2068"/>
      <c r="DB83" s="2068"/>
      <c r="DC83" s="2068"/>
      <c r="DD83" s="2068"/>
      <c r="DE83" s="2068"/>
      <c r="DF83" s="2068"/>
      <c r="DG83" s="2068"/>
      <c r="DH83" s="2068"/>
      <c r="DI83" s="2068"/>
      <c r="DJ83" s="2068"/>
      <c r="DK83" s="2068"/>
      <c r="DL83" s="2068"/>
      <c r="DM83" s="2068"/>
      <c r="DN83" s="2068"/>
      <c r="DO83" s="2068"/>
      <c r="DP83" s="2068"/>
      <c r="DQ83" s="2068"/>
      <c r="DR83" s="2068"/>
      <c r="DS83" s="2068"/>
      <c r="DT83" s="2068"/>
      <c r="DU83" s="2068"/>
      <c r="DV83" s="2068"/>
      <c r="DW83" s="2068"/>
      <c r="DX83" s="2068"/>
      <c r="DY83" s="2068"/>
      <c r="DZ83" s="2068"/>
      <c r="EA83" s="2068"/>
      <c r="EB83" s="2068"/>
      <c r="EC83" s="2068"/>
      <c r="ED83" s="2068"/>
      <c r="EE83" s="2068"/>
      <c r="EF83" s="2068"/>
      <c r="EG83" s="2068"/>
      <c r="EH83" s="2068"/>
      <c r="EI83" s="2068"/>
      <c r="EJ83" s="2068"/>
      <c r="EK83" s="2068"/>
      <c r="EL83" s="2068"/>
      <c r="EM83" s="2068"/>
      <c r="EN83" s="2068"/>
      <c r="EO83" s="2068"/>
      <c r="EP83" s="2068"/>
      <c r="EQ83" s="2068"/>
      <c r="ER83" s="2068"/>
      <c r="ES83" s="2068"/>
      <c r="ET83" s="2068"/>
      <c r="EU83" s="2068"/>
      <c r="EV83" s="2068"/>
      <c r="EW83" s="2068"/>
      <c r="EX83" s="2068"/>
      <c r="EY83" s="2068"/>
      <c r="EZ83" s="2068"/>
      <c r="FA83" s="2068"/>
      <c r="FB83" s="2068"/>
      <c r="FC83" s="2068"/>
      <c r="FD83" s="2068"/>
      <c r="FE83" s="2068"/>
      <c r="FF83" s="2068"/>
      <c r="FG83" s="2068"/>
      <c r="FH83" s="2068"/>
      <c r="FI83" s="2068"/>
      <c r="FJ83" s="2068"/>
      <c r="FK83" s="2068"/>
      <c r="FL83" s="2068"/>
      <c r="FM83" s="2068"/>
      <c r="FN83" s="2068"/>
      <c r="FO83" s="2068"/>
      <c r="FP83" s="2068"/>
      <c r="FQ83" s="2068"/>
      <c r="FR83" s="2068"/>
      <c r="FS83" s="2068"/>
      <c r="FT83" s="2068"/>
      <c r="FU83" s="2068"/>
      <c r="FV83" s="2068"/>
      <c r="FW83" s="2068"/>
      <c r="FX83" s="2068"/>
      <c r="FY83" s="2068"/>
      <c r="FZ83" s="2068"/>
      <c r="GA83" s="2068"/>
      <c r="GB83" s="2068"/>
      <c r="GC83" s="2068"/>
      <c r="GD83" s="2068"/>
      <c r="GE83" s="2068"/>
      <c r="GF83" s="2068"/>
      <c r="GG83" s="2068"/>
      <c r="GH83" s="2068"/>
      <c r="GI83" s="2068"/>
      <c r="GJ83" s="2068"/>
      <c r="GK83" s="2068"/>
      <c r="GL83" s="2068"/>
      <c r="GM83" s="2068"/>
      <c r="GN83" s="2068"/>
      <c r="GO83" s="2068"/>
      <c r="GP83" s="2068"/>
      <c r="GQ83" s="2068"/>
      <c r="GR83" s="2068"/>
      <c r="GS83" s="2068"/>
      <c r="GT83" s="2068"/>
      <c r="GU83" s="2068"/>
      <c r="GV83" s="2068"/>
      <c r="GW83" s="2068"/>
      <c r="GX83" s="2068"/>
      <c r="GY83" s="2068"/>
      <c r="GZ83" s="2068"/>
      <c r="HA83" s="2068"/>
      <c r="HB83" s="2068"/>
      <c r="HC83" s="2068"/>
      <c r="HD83" s="2068"/>
      <c r="HE83" s="2068"/>
      <c r="HF83" s="2068"/>
      <c r="HG83" s="2068"/>
      <c r="HH83" s="2068"/>
      <c r="HI83" s="2068"/>
      <c r="HJ83" s="2068"/>
      <c r="HK83" s="2068"/>
      <c r="HL83" s="2068"/>
      <c r="HM83" s="2068"/>
      <c r="HN83" s="2068"/>
      <c r="HO83" s="2068"/>
      <c r="HP83" s="2068"/>
      <c r="HQ83" s="2068"/>
      <c r="HR83" s="2068"/>
      <c r="HS83" s="2068"/>
      <c r="HT83" s="2068"/>
      <c r="HU83" s="2068"/>
      <c r="HV83" s="2068"/>
      <c r="HW83" s="2068"/>
      <c r="HX83" s="2068"/>
      <c r="HY83" s="2068"/>
      <c r="HZ83" s="2068"/>
      <c r="IA83" s="2068"/>
      <c r="IB83" s="2068"/>
      <c r="IC83" s="2068"/>
      <c r="ID83" s="2068"/>
      <c r="IE83" s="2068"/>
      <c r="IF83" s="2068"/>
      <c r="IG83" s="2068"/>
      <c r="IH83" s="2068"/>
      <c r="II83" s="2068"/>
    </row>
    <row r="84" spans="1:243" s="2043" customFormat="1" ht="15.75" customHeight="1" x14ac:dyDescent="0.2">
      <c r="B84" s="2043">
        <v>7</v>
      </c>
      <c r="C84" s="1815">
        <v>1</v>
      </c>
      <c r="D84" s="2093"/>
      <c r="E84" s="2083">
        <f t="shared" si="66"/>
        <v>0</v>
      </c>
      <c r="F84" s="2084"/>
      <c r="G84" s="2085">
        <f t="shared" si="69"/>
        <v>0</v>
      </c>
      <c r="H84" s="2086">
        <f t="shared" si="67"/>
        <v>0</v>
      </c>
      <c r="I84" s="2087">
        <f t="shared" si="70"/>
        <v>0</v>
      </c>
      <c r="J84" s="2079">
        <v>1</v>
      </c>
      <c r="K84" s="2088">
        <v>1</v>
      </c>
      <c r="L84" s="2068"/>
      <c r="M84" s="2068"/>
      <c r="N84" s="2094"/>
      <c r="O84" s="2068"/>
      <c r="P84" s="2068"/>
      <c r="Q84" s="2068">
        <v>8</v>
      </c>
      <c r="R84" s="2089">
        <f t="shared" si="38"/>
        <v>0</v>
      </c>
      <c r="S84" s="2089">
        <f t="shared" si="39"/>
        <v>0</v>
      </c>
      <c r="T84" s="2089">
        <f t="shared" si="40"/>
        <v>0</v>
      </c>
      <c r="U84" s="2090">
        <f t="shared" si="71"/>
        <v>0</v>
      </c>
      <c r="V84" s="2091">
        <f t="shared" si="41"/>
        <v>0</v>
      </c>
      <c r="W84" s="2090">
        <f t="shared" si="42"/>
        <v>0</v>
      </c>
      <c r="X84" s="2092">
        <f t="shared" si="68"/>
        <v>0</v>
      </c>
      <c r="AA84" s="2621"/>
      <c r="AB84" s="2079">
        <f t="shared" si="43"/>
        <v>0</v>
      </c>
      <c r="AC84" s="2080">
        <f t="shared" si="44"/>
        <v>0</v>
      </c>
      <c r="AD84" s="2080">
        <f t="shared" si="45"/>
        <v>0</v>
      </c>
      <c r="AE84" s="2080">
        <f t="shared" si="46"/>
        <v>0</v>
      </c>
      <c r="AF84" s="2080">
        <f t="shared" si="47"/>
        <v>0</v>
      </c>
      <c r="AG84" s="2080">
        <f t="shared" si="48"/>
        <v>0</v>
      </c>
      <c r="AH84" s="2080">
        <f t="shared" si="49"/>
        <v>0</v>
      </c>
      <c r="AI84" s="2080">
        <f t="shared" si="50"/>
        <v>0</v>
      </c>
      <c r="AJ84" s="2080">
        <f t="shared" si="51"/>
        <v>0</v>
      </c>
      <c r="AK84" s="2080">
        <f t="shared" si="52"/>
        <v>0</v>
      </c>
      <c r="AL84" s="2080">
        <f t="shared" si="53"/>
        <v>0</v>
      </c>
      <c r="AM84" s="2080">
        <f t="shared" si="54"/>
        <v>0</v>
      </c>
      <c r="AN84" s="2080">
        <f t="shared" si="55"/>
        <v>0</v>
      </c>
      <c r="AO84" s="2080">
        <f t="shared" si="56"/>
        <v>0</v>
      </c>
      <c r="AP84" s="2080">
        <f t="shared" si="57"/>
        <v>0</v>
      </c>
      <c r="AQ84" s="2080">
        <f t="shared" si="58"/>
        <v>0</v>
      </c>
      <c r="AR84" s="2080">
        <f t="shared" si="59"/>
        <v>0</v>
      </c>
      <c r="AS84" s="2080">
        <f t="shared" si="60"/>
        <v>0</v>
      </c>
      <c r="AT84" s="2082">
        <f t="shared" si="61"/>
        <v>0</v>
      </c>
      <c r="AU84" s="2082">
        <f t="shared" si="62"/>
        <v>0</v>
      </c>
      <c r="AV84" s="2082">
        <f t="shared" si="63"/>
        <v>0</v>
      </c>
      <c r="AW84" s="2082">
        <f t="shared" si="64"/>
        <v>0</v>
      </c>
      <c r="AX84" s="2082">
        <f t="shared" si="65"/>
        <v>0</v>
      </c>
      <c r="BC84" s="2068"/>
      <c r="BD84" s="2068"/>
      <c r="BE84" s="2068"/>
      <c r="BF84" s="2068"/>
      <c r="BG84" s="2068"/>
      <c r="BH84" s="2068"/>
      <c r="BI84" s="2068"/>
      <c r="BJ84" s="2068"/>
      <c r="BK84" s="2068"/>
      <c r="BL84" s="2068"/>
      <c r="BM84" s="2068"/>
      <c r="BN84" s="2068"/>
      <c r="BO84" s="2068"/>
      <c r="BP84" s="2068"/>
      <c r="BQ84" s="2068"/>
      <c r="BR84" s="2068"/>
      <c r="BS84" s="2068"/>
      <c r="BT84" s="2068"/>
      <c r="BU84" s="2068"/>
      <c r="BV84" s="2068"/>
      <c r="BW84" s="2068"/>
      <c r="BX84" s="2068"/>
      <c r="BY84" s="2068"/>
      <c r="BZ84" s="2068"/>
      <c r="CA84" s="2068"/>
      <c r="CB84" s="2068"/>
      <c r="CC84" s="2068"/>
      <c r="CD84" s="2068"/>
      <c r="CE84" s="2068"/>
      <c r="CF84" s="2068"/>
      <c r="CG84" s="2068"/>
      <c r="CH84" s="2068"/>
      <c r="CI84" s="2068"/>
      <c r="CJ84" s="2068"/>
      <c r="CK84" s="2068"/>
      <c r="CL84" s="2068"/>
      <c r="CM84" s="2068"/>
      <c r="CN84" s="2068"/>
      <c r="CO84" s="2068"/>
      <c r="CP84" s="2068"/>
      <c r="CQ84" s="2068"/>
      <c r="CR84" s="2068"/>
      <c r="CS84" s="2068"/>
      <c r="CT84" s="2068"/>
      <c r="CU84" s="2068"/>
      <c r="CV84" s="2068"/>
      <c r="CW84" s="2068"/>
      <c r="CX84" s="2068"/>
      <c r="CY84" s="2068"/>
      <c r="CZ84" s="2068"/>
      <c r="DA84" s="2068"/>
      <c r="DB84" s="2068"/>
      <c r="DC84" s="2068"/>
      <c r="DD84" s="2068"/>
      <c r="DE84" s="2068"/>
      <c r="DF84" s="2068"/>
      <c r="DG84" s="2068"/>
      <c r="DH84" s="2068"/>
      <c r="DI84" s="2068"/>
      <c r="DJ84" s="2068"/>
      <c r="DK84" s="2068"/>
      <c r="DL84" s="2068"/>
      <c r="DM84" s="2068"/>
      <c r="DN84" s="2068"/>
      <c r="DO84" s="2068"/>
      <c r="DP84" s="2068"/>
      <c r="DQ84" s="2068"/>
      <c r="DR84" s="2068"/>
      <c r="DS84" s="2068"/>
      <c r="DT84" s="2068"/>
      <c r="DU84" s="2068"/>
      <c r="DV84" s="2068"/>
      <c r="DW84" s="2068"/>
      <c r="DX84" s="2068"/>
      <c r="DY84" s="2068"/>
      <c r="DZ84" s="2068"/>
      <c r="EA84" s="2068"/>
      <c r="EB84" s="2068"/>
      <c r="EC84" s="2068"/>
      <c r="ED84" s="2068"/>
      <c r="EE84" s="2068"/>
      <c r="EF84" s="2068"/>
      <c r="EG84" s="2068"/>
      <c r="EH84" s="2068"/>
      <c r="EI84" s="2068"/>
      <c r="EJ84" s="2068"/>
      <c r="EK84" s="2068"/>
      <c r="EL84" s="2068"/>
      <c r="EM84" s="2068"/>
      <c r="EN84" s="2068"/>
      <c r="EO84" s="2068"/>
      <c r="EP84" s="2068"/>
      <c r="EQ84" s="2068"/>
      <c r="ER84" s="2068"/>
      <c r="ES84" s="2068"/>
      <c r="ET84" s="2068"/>
      <c r="EU84" s="2068"/>
      <c r="EV84" s="2068"/>
      <c r="EW84" s="2068"/>
      <c r="EX84" s="2068"/>
      <c r="EY84" s="2068"/>
      <c r="EZ84" s="2068"/>
      <c r="FA84" s="2068"/>
      <c r="FB84" s="2068"/>
      <c r="FC84" s="2068"/>
      <c r="FD84" s="2068"/>
      <c r="FE84" s="2068"/>
      <c r="FF84" s="2068"/>
      <c r="FG84" s="2068"/>
      <c r="FH84" s="2068"/>
      <c r="FI84" s="2068"/>
      <c r="FJ84" s="2068"/>
      <c r="FK84" s="2068"/>
      <c r="FL84" s="2068"/>
      <c r="FM84" s="2068"/>
      <c r="FN84" s="2068"/>
      <c r="FO84" s="2068"/>
      <c r="FP84" s="2068"/>
      <c r="FQ84" s="2068"/>
      <c r="FR84" s="2068"/>
      <c r="FS84" s="2068"/>
      <c r="FT84" s="2068"/>
      <c r="FU84" s="2068"/>
      <c r="FV84" s="2068"/>
      <c r="FW84" s="2068"/>
      <c r="FX84" s="2068"/>
      <c r="FY84" s="2068"/>
      <c r="FZ84" s="2068"/>
      <c r="GA84" s="2068"/>
      <c r="GB84" s="2068"/>
      <c r="GC84" s="2068"/>
      <c r="GD84" s="2068"/>
      <c r="GE84" s="2068"/>
      <c r="GF84" s="2068"/>
      <c r="GG84" s="2068"/>
      <c r="GH84" s="2068"/>
      <c r="GI84" s="2068"/>
      <c r="GJ84" s="2068"/>
      <c r="GK84" s="2068"/>
      <c r="GL84" s="2068"/>
      <c r="GM84" s="2068"/>
      <c r="GN84" s="2068"/>
      <c r="GO84" s="2068"/>
      <c r="GP84" s="2068"/>
      <c r="GQ84" s="2068"/>
      <c r="GR84" s="2068"/>
      <c r="GS84" s="2068"/>
      <c r="GT84" s="2068"/>
      <c r="GU84" s="2068"/>
      <c r="GV84" s="2068"/>
      <c r="GW84" s="2068"/>
      <c r="GX84" s="2068"/>
      <c r="GY84" s="2068"/>
      <c r="GZ84" s="2068"/>
      <c r="HA84" s="2068"/>
      <c r="HB84" s="2068"/>
      <c r="HC84" s="2068"/>
      <c r="HD84" s="2068"/>
      <c r="HE84" s="2068"/>
      <c r="HF84" s="2068"/>
      <c r="HG84" s="2068"/>
      <c r="HH84" s="2068"/>
      <c r="HI84" s="2068"/>
      <c r="HJ84" s="2068"/>
      <c r="HK84" s="2068"/>
      <c r="HL84" s="2068"/>
      <c r="HM84" s="2068"/>
      <c r="HN84" s="2068"/>
      <c r="HO84" s="2068"/>
      <c r="HP84" s="2068"/>
      <c r="HQ84" s="2068"/>
      <c r="HR84" s="2068"/>
      <c r="HS84" s="2068"/>
      <c r="HT84" s="2068"/>
      <c r="HU84" s="2068"/>
      <c r="HV84" s="2068"/>
      <c r="HW84" s="2068"/>
      <c r="HX84" s="2068"/>
      <c r="HY84" s="2068"/>
      <c r="HZ84" s="2068"/>
      <c r="IA84" s="2068"/>
      <c r="IB84" s="2068"/>
      <c r="IC84" s="2068"/>
      <c r="ID84" s="2068"/>
      <c r="IE84" s="2068"/>
      <c r="IF84" s="2068"/>
      <c r="IG84" s="2068"/>
      <c r="IH84" s="2068"/>
      <c r="II84" s="2068"/>
    </row>
    <row r="85" spans="1:243" s="2043" customFormat="1" ht="15.75" customHeight="1" x14ac:dyDescent="0.2">
      <c r="A85" s="2095"/>
      <c r="B85" s="2043">
        <v>8</v>
      </c>
      <c r="C85" s="1815">
        <v>1</v>
      </c>
      <c r="D85" s="2093"/>
      <c r="E85" s="2083">
        <f t="shared" si="66"/>
        <v>0</v>
      </c>
      <c r="F85" s="2084"/>
      <c r="G85" s="2085">
        <f t="shared" si="69"/>
        <v>0</v>
      </c>
      <c r="H85" s="2086">
        <f t="shared" si="67"/>
        <v>0</v>
      </c>
      <c r="I85" s="2087">
        <f t="shared" si="70"/>
        <v>0</v>
      </c>
      <c r="J85" s="2079">
        <v>1</v>
      </c>
      <c r="K85" s="2079">
        <v>1</v>
      </c>
      <c r="L85" s="2068"/>
      <c r="M85" s="2068"/>
      <c r="N85" s="2094"/>
      <c r="O85" s="2068"/>
      <c r="P85" s="2068"/>
      <c r="Q85" s="2068">
        <v>9</v>
      </c>
      <c r="R85" s="2089">
        <f t="shared" si="38"/>
        <v>0</v>
      </c>
      <c r="S85" s="2089">
        <f t="shared" si="39"/>
        <v>0</v>
      </c>
      <c r="T85" s="2089">
        <f t="shared" si="40"/>
        <v>0</v>
      </c>
      <c r="U85" s="2090">
        <f t="shared" si="71"/>
        <v>0</v>
      </c>
      <c r="V85" s="2091">
        <f t="shared" si="41"/>
        <v>0</v>
      </c>
      <c r="W85" s="2090">
        <f t="shared" si="42"/>
        <v>0</v>
      </c>
      <c r="X85" s="2092">
        <f t="shared" si="68"/>
        <v>0</v>
      </c>
      <c r="AA85" s="2621"/>
      <c r="AB85" s="2079">
        <f t="shared" si="43"/>
        <v>0</v>
      </c>
      <c r="AC85" s="2080">
        <f t="shared" si="44"/>
        <v>0</v>
      </c>
      <c r="AD85" s="2080">
        <f t="shared" si="45"/>
        <v>0</v>
      </c>
      <c r="AE85" s="2080">
        <f t="shared" si="46"/>
        <v>0</v>
      </c>
      <c r="AF85" s="2080">
        <f t="shared" si="47"/>
        <v>0</v>
      </c>
      <c r="AG85" s="2080">
        <f t="shared" si="48"/>
        <v>0</v>
      </c>
      <c r="AH85" s="2080">
        <f t="shared" si="49"/>
        <v>0</v>
      </c>
      <c r="AI85" s="2080">
        <f t="shared" si="50"/>
        <v>0</v>
      </c>
      <c r="AJ85" s="2080">
        <f t="shared" si="51"/>
        <v>0</v>
      </c>
      <c r="AK85" s="2080">
        <f t="shared" si="52"/>
        <v>0</v>
      </c>
      <c r="AL85" s="2080">
        <f t="shared" si="53"/>
        <v>0</v>
      </c>
      <c r="AM85" s="2080">
        <f t="shared" si="54"/>
        <v>0</v>
      </c>
      <c r="AN85" s="2080">
        <f t="shared" si="55"/>
        <v>0</v>
      </c>
      <c r="AO85" s="2080">
        <f t="shared" si="56"/>
        <v>0</v>
      </c>
      <c r="AP85" s="2080">
        <f t="shared" si="57"/>
        <v>0</v>
      </c>
      <c r="AQ85" s="2080">
        <f t="shared" si="58"/>
        <v>0</v>
      </c>
      <c r="AR85" s="2080">
        <f t="shared" si="59"/>
        <v>0</v>
      </c>
      <c r="AS85" s="2080">
        <f t="shared" si="60"/>
        <v>0</v>
      </c>
      <c r="AT85" s="2082">
        <f t="shared" si="61"/>
        <v>0</v>
      </c>
      <c r="AU85" s="2082">
        <f t="shared" si="62"/>
        <v>0</v>
      </c>
      <c r="AV85" s="2082">
        <f t="shared" si="63"/>
        <v>0</v>
      </c>
      <c r="AW85" s="2082">
        <f t="shared" si="64"/>
        <v>0</v>
      </c>
      <c r="AX85" s="2082">
        <f t="shared" si="65"/>
        <v>0</v>
      </c>
      <c r="BD85" s="2068"/>
      <c r="BE85" s="2068"/>
      <c r="BF85" s="2068"/>
      <c r="BG85" s="2068"/>
    </row>
    <row r="86" spans="1:243" s="2043" customFormat="1" ht="15.75" customHeight="1" thickBot="1" x14ac:dyDescent="0.25">
      <c r="B86" s="2043">
        <v>9</v>
      </c>
      <c r="C86" s="1815">
        <v>1</v>
      </c>
      <c r="D86" s="2093"/>
      <c r="E86" s="2083">
        <f t="shared" si="66"/>
        <v>0</v>
      </c>
      <c r="F86" s="2084"/>
      <c r="G86" s="2085">
        <f t="shared" si="69"/>
        <v>0</v>
      </c>
      <c r="H86" s="2086">
        <f t="shared" si="67"/>
        <v>0</v>
      </c>
      <c r="I86" s="2087">
        <f t="shared" si="70"/>
        <v>0</v>
      </c>
      <c r="J86" s="2079">
        <v>1</v>
      </c>
      <c r="K86" s="2079">
        <v>1</v>
      </c>
      <c r="L86" s="2068"/>
      <c r="M86" s="2068"/>
      <c r="N86" s="2094"/>
      <c r="O86" s="2068"/>
      <c r="P86" s="2068"/>
      <c r="Q86" s="2068">
        <v>10</v>
      </c>
      <c r="R86" s="2096">
        <f t="shared" si="38"/>
        <v>0</v>
      </c>
      <c r="S86" s="2096">
        <f t="shared" si="39"/>
        <v>0</v>
      </c>
      <c r="T86" s="2096">
        <f t="shared" si="40"/>
        <v>0</v>
      </c>
      <c r="U86" s="2097">
        <f t="shared" si="71"/>
        <v>0</v>
      </c>
      <c r="V86" s="2098">
        <f t="shared" si="41"/>
        <v>0</v>
      </c>
      <c r="W86" s="2097">
        <f t="shared" si="42"/>
        <v>0</v>
      </c>
      <c r="X86" s="2099">
        <f t="shared" si="68"/>
        <v>0</v>
      </c>
      <c r="AA86" s="2621"/>
      <c r="AB86" s="2079">
        <f t="shared" si="43"/>
        <v>0</v>
      </c>
      <c r="AC86" s="2080">
        <f t="shared" si="44"/>
        <v>0</v>
      </c>
      <c r="AD86" s="2080">
        <f t="shared" si="45"/>
        <v>0</v>
      </c>
      <c r="AE86" s="2080">
        <f t="shared" si="46"/>
        <v>0</v>
      </c>
      <c r="AF86" s="2080">
        <f t="shared" si="47"/>
        <v>0</v>
      </c>
      <c r="AG86" s="2080">
        <f t="shared" si="48"/>
        <v>0</v>
      </c>
      <c r="AH86" s="2080">
        <f t="shared" si="49"/>
        <v>0</v>
      </c>
      <c r="AI86" s="2080">
        <f t="shared" si="50"/>
        <v>0</v>
      </c>
      <c r="AJ86" s="2080">
        <f t="shared" si="51"/>
        <v>0</v>
      </c>
      <c r="AK86" s="2080">
        <f t="shared" si="52"/>
        <v>0</v>
      </c>
      <c r="AL86" s="2080">
        <f t="shared" si="53"/>
        <v>0</v>
      </c>
      <c r="AM86" s="2080">
        <f t="shared" si="54"/>
        <v>0</v>
      </c>
      <c r="AN86" s="2080">
        <f t="shared" si="55"/>
        <v>0</v>
      </c>
      <c r="AO86" s="2080">
        <f t="shared" si="56"/>
        <v>0</v>
      </c>
      <c r="AP86" s="2080">
        <f t="shared" si="57"/>
        <v>0</v>
      </c>
      <c r="AQ86" s="2080">
        <f t="shared" si="58"/>
        <v>0</v>
      </c>
      <c r="AR86" s="2080">
        <f t="shared" si="59"/>
        <v>0</v>
      </c>
      <c r="AS86" s="2080">
        <f t="shared" si="60"/>
        <v>0</v>
      </c>
      <c r="AT86" s="2082">
        <f t="shared" si="61"/>
        <v>0</v>
      </c>
      <c r="AU86" s="2082">
        <f t="shared" si="62"/>
        <v>0</v>
      </c>
      <c r="AV86" s="2082">
        <f t="shared" si="63"/>
        <v>0</v>
      </c>
      <c r="AW86" s="2082">
        <f t="shared" si="64"/>
        <v>0</v>
      </c>
      <c r="AX86" s="2082">
        <f t="shared" si="65"/>
        <v>0</v>
      </c>
      <c r="BD86" s="2068"/>
      <c r="BE86" s="2068"/>
      <c r="BF86" s="2068"/>
      <c r="BG86" s="2068"/>
    </row>
    <row r="87" spans="1:243" s="2043" customFormat="1" ht="15.75" customHeight="1" thickTop="1" thickBot="1" x14ac:dyDescent="0.25">
      <c r="B87" s="2043">
        <v>10</v>
      </c>
      <c r="C87" s="2100">
        <v>1</v>
      </c>
      <c r="D87" s="2101"/>
      <c r="E87" s="2102">
        <f t="shared" si="66"/>
        <v>0</v>
      </c>
      <c r="F87" s="2103"/>
      <c r="G87" s="2104">
        <f t="shared" si="69"/>
        <v>0</v>
      </c>
      <c r="H87" s="2105">
        <f t="shared" si="67"/>
        <v>0</v>
      </c>
      <c r="I87" s="2106">
        <f t="shared" si="70"/>
        <v>0</v>
      </c>
      <c r="J87" s="2079">
        <v>1</v>
      </c>
      <c r="K87" s="2079">
        <v>1</v>
      </c>
      <c r="L87" s="2068"/>
      <c r="M87" s="2068"/>
      <c r="N87" s="2094"/>
      <c r="O87" s="2068"/>
      <c r="P87" s="2068"/>
      <c r="Q87" s="2068">
        <v>11</v>
      </c>
      <c r="R87" s="2107" t="str">
        <f t="shared" si="38"/>
        <v>Touro</v>
      </c>
      <c r="S87" s="2075">
        <f t="shared" si="39"/>
        <v>0</v>
      </c>
      <c r="T87" s="2075">
        <f t="shared" si="40"/>
        <v>0</v>
      </c>
      <c r="U87" s="2076">
        <f t="shared" si="71"/>
        <v>0</v>
      </c>
      <c r="V87" s="2077">
        <f t="shared" si="41"/>
        <v>0.53</v>
      </c>
      <c r="W87" s="2076">
        <f t="shared" si="42"/>
        <v>0</v>
      </c>
      <c r="X87" s="2078">
        <f t="shared" si="68"/>
        <v>0</v>
      </c>
      <c r="AA87" s="2621"/>
      <c r="AB87" s="2079" t="str">
        <f t="shared" si="43"/>
        <v>Touro</v>
      </c>
      <c r="AC87" s="2080">
        <f t="shared" si="44"/>
        <v>0</v>
      </c>
      <c r="AD87" s="2080">
        <f t="shared" si="45"/>
        <v>0</v>
      </c>
      <c r="AE87" s="2080">
        <f t="shared" si="46"/>
        <v>0</v>
      </c>
      <c r="AF87" s="2080">
        <f t="shared" si="47"/>
        <v>0</v>
      </c>
      <c r="AG87" s="2080">
        <f t="shared" si="48"/>
        <v>0</v>
      </c>
      <c r="AH87" s="2080">
        <f t="shared" si="49"/>
        <v>0</v>
      </c>
      <c r="AI87" s="2080">
        <f t="shared" si="50"/>
        <v>0</v>
      </c>
      <c r="AJ87" s="2080">
        <f t="shared" si="51"/>
        <v>0</v>
      </c>
      <c r="AK87" s="2080">
        <f t="shared" si="52"/>
        <v>0</v>
      </c>
      <c r="AL87" s="2080">
        <f t="shared" si="53"/>
        <v>0</v>
      </c>
      <c r="AM87" s="2080">
        <f t="shared" si="54"/>
        <v>0</v>
      </c>
      <c r="AN87" s="2080">
        <f t="shared" si="55"/>
        <v>0</v>
      </c>
      <c r="AO87" s="2080">
        <f t="shared" si="56"/>
        <v>0</v>
      </c>
      <c r="AP87" s="2080">
        <f t="shared" si="57"/>
        <v>0</v>
      </c>
      <c r="AQ87" s="2080">
        <f t="shared" si="58"/>
        <v>0</v>
      </c>
      <c r="AR87" s="2080">
        <f t="shared" si="59"/>
        <v>0</v>
      </c>
      <c r="AS87" s="2080">
        <f t="shared" si="60"/>
        <v>0</v>
      </c>
      <c r="AT87" s="2082">
        <f t="shared" si="61"/>
        <v>0</v>
      </c>
      <c r="AU87" s="2082">
        <f t="shared" si="62"/>
        <v>0</v>
      </c>
      <c r="AV87" s="2082">
        <f t="shared" si="63"/>
        <v>0</v>
      </c>
      <c r="AW87" s="2082">
        <f t="shared" si="64"/>
        <v>0</v>
      </c>
      <c r="AX87" s="2082">
        <f t="shared" si="65"/>
        <v>0</v>
      </c>
      <c r="BD87" s="2068"/>
      <c r="BE87" s="2068"/>
      <c r="BF87" s="2068"/>
      <c r="BG87" s="2068"/>
    </row>
    <row r="88" spans="1:243" s="2043" customFormat="1" ht="15.75" customHeight="1" thickBot="1" x14ac:dyDescent="0.25">
      <c r="B88" s="1346">
        <v>11</v>
      </c>
      <c r="C88" s="2312">
        <v>7</v>
      </c>
      <c r="D88" s="2313">
        <f>IF(E54=0,0,E54/(E31/12))</f>
        <v>0</v>
      </c>
      <c r="E88" s="2314">
        <f t="shared" si="66"/>
        <v>0</v>
      </c>
      <c r="F88" s="2315"/>
      <c r="G88" s="2316">
        <f t="shared" si="69"/>
        <v>0</v>
      </c>
      <c r="H88" s="2317">
        <f t="shared" si="67"/>
        <v>0.53</v>
      </c>
      <c r="I88" s="2318">
        <f t="shared" si="70"/>
        <v>0</v>
      </c>
      <c r="J88" s="2311">
        <v>1</v>
      </c>
      <c r="K88" s="2079">
        <v>1</v>
      </c>
      <c r="L88" s="2068"/>
      <c r="M88" s="2068"/>
      <c r="N88" s="2094"/>
      <c r="O88" s="2068"/>
      <c r="P88" s="2068"/>
      <c r="Q88" s="2068">
        <v>12</v>
      </c>
      <c r="R88" s="2108" t="str">
        <f t="shared" si="38"/>
        <v>Vacas solteiras secas</v>
      </c>
      <c r="S88" s="2096">
        <f t="shared" si="39"/>
        <v>0</v>
      </c>
      <c r="T88" s="2096">
        <f t="shared" si="40"/>
        <v>0</v>
      </c>
      <c r="U88" s="2097">
        <f t="shared" si="71"/>
        <v>0</v>
      </c>
      <c r="V88" s="2098">
        <f t="shared" si="41"/>
        <v>0.48</v>
      </c>
      <c r="W88" s="2097">
        <f t="shared" si="42"/>
        <v>0</v>
      </c>
      <c r="X88" s="2099">
        <f t="shared" si="68"/>
        <v>0</v>
      </c>
      <c r="AA88" s="2621"/>
      <c r="AB88" s="2071" t="str">
        <f t="shared" si="43"/>
        <v>Vacas solteiras secas</v>
      </c>
      <c r="AC88" s="2109">
        <f t="shared" si="44"/>
        <v>0</v>
      </c>
      <c r="AD88" s="2109">
        <f t="shared" si="45"/>
        <v>0</v>
      </c>
      <c r="AE88" s="2109">
        <f t="shared" si="46"/>
        <v>0</v>
      </c>
      <c r="AF88" s="2109">
        <f t="shared" si="47"/>
        <v>0</v>
      </c>
      <c r="AG88" s="2109">
        <f t="shared" si="48"/>
        <v>0</v>
      </c>
      <c r="AH88" s="2109">
        <f t="shared" si="49"/>
        <v>0</v>
      </c>
      <c r="AI88" s="2109">
        <f t="shared" si="50"/>
        <v>0</v>
      </c>
      <c r="AJ88" s="2109">
        <f t="shared" si="51"/>
        <v>0</v>
      </c>
      <c r="AK88" s="2109">
        <f t="shared" si="52"/>
        <v>0</v>
      </c>
      <c r="AL88" s="2109">
        <f t="shared" si="53"/>
        <v>0</v>
      </c>
      <c r="AM88" s="2109">
        <f t="shared" si="54"/>
        <v>0</v>
      </c>
      <c r="AN88" s="2109">
        <f t="shared" si="55"/>
        <v>0</v>
      </c>
      <c r="AO88" s="2109">
        <f t="shared" si="56"/>
        <v>0</v>
      </c>
      <c r="AP88" s="2109">
        <f t="shared" si="57"/>
        <v>0</v>
      </c>
      <c r="AQ88" s="2109">
        <f t="shared" si="58"/>
        <v>0</v>
      </c>
      <c r="AR88" s="2109">
        <f t="shared" si="59"/>
        <v>0</v>
      </c>
      <c r="AS88" s="2109">
        <f t="shared" si="60"/>
        <v>0</v>
      </c>
      <c r="AT88" s="2110">
        <f t="shared" si="61"/>
        <v>0</v>
      </c>
      <c r="AU88" s="2110">
        <f t="shared" si="62"/>
        <v>0</v>
      </c>
      <c r="AV88" s="2110">
        <f t="shared" si="63"/>
        <v>0</v>
      </c>
      <c r="AW88" s="2110">
        <f t="shared" si="64"/>
        <v>0</v>
      </c>
      <c r="AX88" s="2110">
        <f t="shared" si="65"/>
        <v>0</v>
      </c>
      <c r="BD88" s="2068"/>
      <c r="BE88" s="2068"/>
      <c r="BF88" s="2068"/>
      <c r="BG88" s="2068"/>
    </row>
    <row r="89" spans="1:243" s="2043" customFormat="1" ht="15.75" customHeight="1" thickTop="1" thickBot="1" x14ac:dyDescent="0.25">
      <c r="B89" s="1346">
        <v>12</v>
      </c>
      <c r="C89" s="2319">
        <v>14</v>
      </c>
      <c r="D89" s="2111">
        <f>IF(H6=0,0,E17*H6)</f>
        <v>0</v>
      </c>
      <c r="E89" s="2112">
        <f t="shared" si="66"/>
        <v>0</v>
      </c>
      <c r="F89" s="2320"/>
      <c r="G89" s="2104">
        <f t="shared" si="69"/>
        <v>0</v>
      </c>
      <c r="H89" s="2321">
        <f t="shared" si="67"/>
        <v>0.48</v>
      </c>
      <c r="I89" s="2322">
        <f t="shared" si="70"/>
        <v>0</v>
      </c>
      <c r="J89" s="2311">
        <v>1</v>
      </c>
      <c r="K89" s="2079">
        <v>1</v>
      </c>
      <c r="L89" s="2068"/>
      <c r="M89" s="2068"/>
      <c r="N89" s="2094"/>
      <c r="O89" s="2068"/>
      <c r="P89" s="2068"/>
      <c r="Q89" s="2068"/>
      <c r="R89" s="2113"/>
      <c r="S89" s="2113">
        <f>SUM(S78:S88)</f>
        <v>1746242.1884112596</v>
      </c>
      <c r="T89" s="2113">
        <f>SUM(T78:T88)</f>
        <v>0</v>
      </c>
      <c r="U89" s="2114">
        <f>SUM(U78:U88)</f>
        <v>438020.61582222226</v>
      </c>
      <c r="V89" s="2115">
        <f>IFERROR(V90,0)</f>
        <v>0.52</v>
      </c>
      <c r="W89" s="2114">
        <f>SUM(W78:W88)</f>
        <v>227770.72022755558</v>
      </c>
      <c r="X89" s="2116">
        <f>SUM(X78:X88)</f>
        <v>15184.714681837038</v>
      </c>
      <c r="AA89" s="2622"/>
      <c r="AB89" s="2117" t="s">
        <v>2</v>
      </c>
      <c r="AC89" s="2118">
        <f>SUM(AC78:AC88)</f>
        <v>0</v>
      </c>
      <c r="AD89" s="2118">
        <f t="shared" ref="AD89:AW89" si="72">SUM(AD78:AD88)</f>
        <v>0</v>
      </c>
      <c r="AE89" s="2118">
        <f>SUM(AE78:AE88)</f>
        <v>0</v>
      </c>
      <c r="AF89" s="2118">
        <f t="shared" si="72"/>
        <v>0</v>
      </c>
      <c r="AG89" s="2118">
        <f>SUM(AG78:AG88)</f>
        <v>768.45722074074081</v>
      </c>
      <c r="AH89" s="2118">
        <f t="shared" si="72"/>
        <v>0</v>
      </c>
      <c r="AI89" s="2118">
        <f t="shared" si="72"/>
        <v>0</v>
      </c>
      <c r="AJ89" s="2118">
        <f t="shared" si="72"/>
        <v>0</v>
      </c>
      <c r="AK89" s="2118">
        <f t="shared" si="72"/>
        <v>0</v>
      </c>
      <c r="AL89" s="2118">
        <f t="shared" si="72"/>
        <v>0</v>
      </c>
      <c r="AM89" s="2118">
        <f t="shared" si="72"/>
        <v>0</v>
      </c>
      <c r="AN89" s="2118">
        <f t="shared" si="72"/>
        <v>0</v>
      </c>
      <c r="AO89" s="2118">
        <f t="shared" si="72"/>
        <v>0</v>
      </c>
      <c r="AP89" s="2118">
        <f t="shared" si="72"/>
        <v>0</v>
      </c>
      <c r="AQ89" s="2118">
        <f t="shared" si="72"/>
        <v>0</v>
      </c>
      <c r="AR89" s="2118">
        <f t="shared" si="72"/>
        <v>0</v>
      </c>
      <c r="AS89" s="2118">
        <f t="shared" si="72"/>
        <v>0</v>
      </c>
      <c r="AT89" s="2119">
        <f t="shared" si="72"/>
        <v>0</v>
      </c>
      <c r="AU89" s="2119">
        <f t="shared" si="72"/>
        <v>0</v>
      </c>
      <c r="AV89" s="2119">
        <f t="shared" si="72"/>
        <v>0</v>
      </c>
      <c r="AW89" s="2119">
        <f t="shared" si="72"/>
        <v>0</v>
      </c>
      <c r="AX89" s="2119">
        <f>SUM(AX78:AX88)</f>
        <v>0</v>
      </c>
      <c r="BB89" s="2068"/>
      <c r="BD89" s="2073"/>
      <c r="BE89" s="2068"/>
      <c r="BF89" s="2073"/>
      <c r="BG89" s="2068"/>
    </row>
    <row r="90" spans="1:243" s="2043" customFormat="1" ht="15" customHeight="1" x14ac:dyDescent="0.2">
      <c r="C90" s="2120" t="s">
        <v>2</v>
      </c>
      <c r="D90" s="2121">
        <f>SUMIF(C79:C89,"&gt;1",D79:D89)</f>
        <v>768.45722074074081</v>
      </c>
      <c r="E90" s="2122"/>
      <c r="F90" s="2123"/>
      <c r="G90" s="2124">
        <f>SUM(G79:G89)</f>
        <v>0</v>
      </c>
      <c r="H90" s="2125"/>
      <c r="I90" s="2126">
        <f>SUM(I79:I89)</f>
        <v>1746242.1884112596</v>
      </c>
      <c r="N90" s="2094"/>
      <c r="O90" s="2068"/>
      <c r="P90" s="2068"/>
      <c r="Q90" s="2068"/>
      <c r="V90" s="2127">
        <f>SUMPRODUCT(S78:S88,V78:V88)/SUM(S78:S88)</f>
        <v>0.52</v>
      </c>
    </row>
    <row r="91" spans="1:243" s="2043" customFormat="1" ht="15.75" customHeight="1" thickBot="1" x14ac:dyDescent="0.25">
      <c r="N91" s="2094"/>
      <c r="S91" s="2094"/>
      <c r="T91" s="2094"/>
    </row>
    <row r="92" spans="1:243" s="2043" customFormat="1" ht="15.75" customHeight="1" thickBot="1" x14ac:dyDescent="0.25">
      <c r="H92" s="2128"/>
      <c r="I92" s="2128"/>
      <c r="N92" s="2094"/>
      <c r="S92" s="2552" t="s">
        <v>1220</v>
      </c>
      <c r="T92" s="2553"/>
      <c r="U92" s="2129"/>
      <c r="AR92" s="2069"/>
      <c r="AS92" s="2130"/>
      <c r="AT92" s="2130"/>
      <c r="AU92" s="2069"/>
    </row>
    <row r="93" spans="1:243" s="2043" customFormat="1" ht="15.75" customHeight="1" thickBot="1" x14ac:dyDescent="0.25">
      <c r="C93" s="2131" t="s">
        <v>1279</v>
      </c>
      <c r="H93" s="2549" t="s">
        <v>394</v>
      </c>
      <c r="I93" s="2550"/>
      <c r="O93" s="2094"/>
      <c r="P93" s="1709"/>
      <c r="Q93" s="2094"/>
      <c r="S93" s="2132" t="s">
        <v>53</v>
      </c>
      <c r="T93" s="2133" t="s">
        <v>75</v>
      </c>
      <c r="U93" s="2134"/>
      <c r="AR93" s="2069"/>
      <c r="AS93" s="2135"/>
      <c r="AT93" s="2136"/>
      <c r="AU93" s="2069"/>
    </row>
    <row r="94" spans="1:243" s="2043" customFormat="1" ht="15.75" customHeight="1" x14ac:dyDescent="0.2">
      <c r="C94" s="1740" t="s">
        <v>473</v>
      </c>
      <c r="D94" s="1740" t="s">
        <v>42</v>
      </c>
      <c r="E94" s="1740" t="s">
        <v>472</v>
      </c>
      <c r="F94" s="1740" t="s">
        <v>53</v>
      </c>
      <c r="G94" s="1740" t="s">
        <v>15</v>
      </c>
      <c r="H94" s="2070" t="s">
        <v>292</v>
      </c>
      <c r="I94" s="2070" t="s">
        <v>80</v>
      </c>
      <c r="O94" s="2094"/>
      <c r="P94" s="2094"/>
      <c r="Q94" s="1131"/>
      <c r="S94" s="2137" t="str">
        <f t="shared" ref="S94:S102" si="73">VLOOKUP(F95,$Q$77:$R$88,2)</f>
        <v>Boi gordo</v>
      </c>
      <c r="T94" s="1133">
        <f t="shared" ref="T94:T102" si="74">G95</f>
        <v>25359.088284444446</v>
      </c>
      <c r="U94" s="2138"/>
      <c r="V94" s="2069"/>
      <c r="W94" s="2069"/>
      <c r="X94" s="2069"/>
      <c r="AJ94" s="2068"/>
      <c r="AK94" s="2068"/>
      <c r="AR94" s="2069"/>
      <c r="AS94" s="2139"/>
      <c r="AT94" s="2136"/>
      <c r="AU94" s="2069"/>
    </row>
    <row r="95" spans="1:243" s="2043" customFormat="1" ht="15.75" customHeight="1" x14ac:dyDescent="0.2">
      <c r="B95" s="2043">
        <v>2</v>
      </c>
      <c r="C95" s="2079">
        <v>3</v>
      </c>
      <c r="D95" s="2140" t="str">
        <f>VLOOKUP(C95,Dados!$A$14:$AD$81,30)</f>
        <v>por cab.</v>
      </c>
      <c r="E95" s="2280">
        <v>33</v>
      </c>
      <c r="F95" s="2079">
        <v>2</v>
      </c>
      <c r="G95" s="2142">
        <f t="shared" ref="G95:G103" si="75">IF(OR(C95=2,C95=6,C95=8,C95=9),VLOOKUP(F95,$B$78:$I$89,8)*E95/100,IF(C95=1,0,IF(C95=5,VLOOKUP(F95,$B$78:$I$89,6)*E95*365,IF(OR(C95=3,C95=4,C95=7),VLOOKUP(F95,$B$78:$I$89,3)*E95))))</f>
        <v>25359.088284444446</v>
      </c>
      <c r="H95" s="2043">
        <v>1</v>
      </c>
      <c r="I95" s="2043">
        <v>1</v>
      </c>
      <c r="J95" s="2095"/>
      <c r="K95" s="2143"/>
      <c r="L95" s="2095"/>
      <c r="O95" s="2094"/>
      <c r="P95" s="2094"/>
      <c r="Q95" s="1131"/>
      <c r="S95" s="2137">
        <f t="shared" si="73"/>
        <v>0</v>
      </c>
      <c r="T95" s="1133">
        <f t="shared" si="74"/>
        <v>0</v>
      </c>
      <c r="U95" s="2138"/>
      <c r="V95" s="2144"/>
      <c r="W95" s="2145"/>
      <c r="X95" s="2146"/>
      <c r="AJ95" s="828"/>
      <c r="AK95" s="828"/>
      <c r="AR95" s="2069"/>
      <c r="AS95" s="2139"/>
      <c r="AT95" s="2136"/>
      <c r="AU95" s="2069"/>
    </row>
    <row r="96" spans="1:243" s="2043" customFormat="1" ht="15.75" customHeight="1" x14ac:dyDescent="0.2">
      <c r="B96" s="2043">
        <v>3</v>
      </c>
      <c r="C96" s="2079">
        <v>1</v>
      </c>
      <c r="D96" s="2140">
        <f>VLOOKUP(C96,Dados!$A$14:$AD$81,30)</f>
        <v>0</v>
      </c>
      <c r="E96" s="2280"/>
      <c r="F96" s="2079">
        <v>1</v>
      </c>
      <c r="G96" s="2142">
        <f t="shared" si="75"/>
        <v>0</v>
      </c>
      <c r="H96" s="2043">
        <v>1</v>
      </c>
      <c r="I96" s="2043">
        <v>1</v>
      </c>
      <c r="K96" s="2095"/>
      <c r="L96" s="2095"/>
      <c r="Q96" s="1131"/>
      <c r="S96" s="2137">
        <f t="shared" si="73"/>
        <v>0</v>
      </c>
      <c r="T96" s="1133">
        <f t="shared" si="74"/>
        <v>0</v>
      </c>
      <c r="U96" s="2068"/>
      <c r="V96" s="2069"/>
      <c r="W96" s="1695"/>
      <c r="X96" s="1695"/>
      <c r="AJ96" s="829"/>
      <c r="AK96" s="829"/>
      <c r="AR96" s="2069"/>
      <c r="AS96" s="2139"/>
      <c r="AT96" s="2136"/>
      <c r="AU96" s="2069"/>
    </row>
    <row r="97" spans="1:243" s="2043" customFormat="1" ht="15.75" customHeight="1" x14ac:dyDescent="0.2">
      <c r="B97" s="2043">
        <v>4</v>
      </c>
      <c r="C97" s="2079">
        <v>1</v>
      </c>
      <c r="D97" s="2140">
        <f>VLOOKUP(C97,Dados!$A$14:$AD$81,30)</f>
        <v>0</v>
      </c>
      <c r="E97" s="2280"/>
      <c r="F97" s="2079">
        <v>1</v>
      </c>
      <c r="G97" s="2142">
        <f t="shared" si="75"/>
        <v>0</v>
      </c>
      <c r="H97" s="2043">
        <v>1</v>
      </c>
      <c r="I97" s="2043">
        <v>1</v>
      </c>
      <c r="K97" s="2095"/>
      <c r="L97" s="2095"/>
      <c r="Q97" s="1131"/>
      <c r="S97" s="2137">
        <f t="shared" si="73"/>
        <v>0</v>
      </c>
      <c r="T97" s="1133">
        <f t="shared" si="74"/>
        <v>0</v>
      </c>
      <c r="U97" s="2068"/>
      <c r="V97" s="2069"/>
      <c r="W97" s="1695"/>
      <c r="X97" s="1695"/>
      <c r="AJ97" s="2068"/>
      <c r="AK97" s="2068"/>
      <c r="AR97" s="2069"/>
      <c r="AS97" s="2139"/>
      <c r="AT97" s="2136"/>
      <c r="AU97" s="2069"/>
    </row>
    <row r="98" spans="1:243" s="2043" customFormat="1" ht="15.75" customHeight="1" x14ac:dyDescent="0.2">
      <c r="B98" s="2095">
        <v>5</v>
      </c>
      <c r="C98" s="2079">
        <v>1</v>
      </c>
      <c r="D98" s="2140">
        <f>VLOOKUP(C98,Dados!$A$14:$AD$81,30)</f>
        <v>0</v>
      </c>
      <c r="E98" s="2280"/>
      <c r="F98" s="2079">
        <v>1</v>
      </c>
      <c r="G98" s="2142">
        <f t="shared" si="75"/>
        <v>0</v>
      </c>
      <c r="H98" s="2147">
        <v>1</v>
      </c>
      <c r="I98" s="2043">
        <v>1</v>
      </c>
      <c r="K98" s="2143"/>
      <c r="M98" s="2095"/>
      <c r="Q98" s="1131"/>
      <c r="S98" s="2137" t="e">
        <f t="shared" si="73"/>
        <v>#N/A</v>
      </c>
      <c r="T98" s="1133">
        <f t="shared" si="74"/>
        <v>0</v>
      </c>
      <c r="U98" s="2068"/>
      <c r="V98" s="2069"/>
      <c r="W98" s="2148"/>
      <c r="X98" s="2148"/>
      <c r="AR98" s="2069"/>
      <c r="AS98" s="2139"/>
      <c r="AT98" s="2136"/>
      <c r="AU98" s="2069"/>
    </row>
    <row r="99" spans="1:243" s="2043" customFormat="1" ht="15.75" customHeight="1" x14ac:dyDescent="0.2">
      <c r="B99" s="2043">
        <v>6</v>
      </c>
      <c r="C99" s="2079">
        <v>1</v>
      </c>
      <c r="D99" s="2140">
        <f>VLOOKUP(C99,Dados!$A$14:$AD$81,30)</f>
        <v>0</v>
      </c>
      <c r="E99" s="2141"/>
      <c r="F99" s="2079">
        <v>0</v>
      </c>
      <c r="G99" s="2142">
        <f t="shared" si="75"/>
        <v>0</v>
      </c>
      <c r="H99" s="2043">
        <v>1</v>
      </c>
      <c r="I99" s="2043">
        <v>1</v>
      </c>
      <c r="K99" s="2149" t="s">
        <v>1295</v>
      </c>
      <c r="N99" s="2094"/>
      <c r="Q99" s="1131"/>
      <c r="S99" s="2137" t="e">
        <f t="shared" si="73"/>
        <v>#N/A</v>
      </c>
      <c r="T99" s="1133">
        <f t="shared" si="74"/>
        <v>0</v>
      </c>
      <c r="U99" s="2068"/>
      <c r="V99" s="2144"/>
      <c r="W99" s="2145"/>
      <c r="X99" s="2145"/>
      <c r="AR99" s="2069"/>
      <c r="AS99" s="2150"/>
      <c r="AT99" s="2136"/>
      <c r="AU99" s="2069"/>
    </row>
    <row r="100" spans="1:243" s="2043" customFormat="1" ht="15.75" customHeight="1" x14ac:dyDescent="0.2">
      <c r="B100" s="2043">
        <v>7</v>
      </c>
      <c r="C100" s="2079">
        <v>1</v>
      </c>
      <c r="D100" s="2140">
        <f>VLOOKUP(C100,Dados!$A$14:$AD$81,30)</f>
        <v>0</v>
      </c>
      <c r="E100" s="2141"/>
      <c r="F100" s="2079">
        <v>0</v>
      </c>
      <c r="G100" s="2142">
        <f t="shared" si="75"/>
        <v>0</v>
      </c>
      <c r="H100" s="2043">
        <v>1</v>
      </c>
      <c r="I100" s="2043">
        <v>1</v>
      </c>
      <c r="K100" s="2094"/>
      <c r="L100" s="2094"/>
      <c r="M100" s="2094"/>
      <c r="N100" s="2094"/>
      <c r="Q100" s="1131"/>
      <c r="S100" s="2137" t="e">
        <f t="shared" si="73"/>
        <v>#N/A</v>
      </c>
      <c r="T100" s="1133">
        <f t="shared" si="74"/>
        <v>0</v>
      </c>
      <c r="U100" s="2068"/>
      <c r="V100" s="2069"/>
      <c r="W100" s="1695"/>
      <c r="X100" s="1695"/>
      <c r="AR100" s="2069"/>
      <c r="AS100" s="2150"/>
      <c r="AT100" s="2136"/>
      <c r="AU100" s="2069"/>
    </row>
    <row r="101" spans="1:243" s="2043" customFormat="1" ht="15.75" customHeight="1" x14ac:dyDescent="0.2">
      <c r="B101" s="2043">
        <v>8</v>
      </c>
      <c r="C101" s="2079">
        <v>1</v>
      </c>
      <c r="D101" s="2140">
        <f>VLOOKUP(C101,Dados!$A$14:$AD$81,30)</f>
        <v>0</v>
      </c>
      <c r="E101" s="2141"/>
      <c r="F101" s="2151">
        <v>0</v>
      </c>
      <c r="G101" s="2142">
        <f t="shared" si="75"/>
        <v>0</v>
      </c>
      <c r="H101" s="2043">
        <v>1</v>
      </c>
      <c r="I101" s="2043">
        <v>1</v>
      </c>
      <c r="J101" s="2147"/>
      <c r="K101" s="2094"/>
      <c r="L101" s="2094"/>
      <c r="M101" s="2094"/>
      <c r="N101" s="2069"/>
      <c r="Q101" s="1131"/>
      <c r="S101" s="2137" t="e">
        <f t="shared" si="73"/>
        <v>#N/A</v>
      </c>
      <c r="T101" s="1133">
        <f t="shared" si="74"/>
        <v>0</v>
      </c>
      <c r="V101" s="2144"/>
      <c r="W101" s="2145"/>
      <c r="X101" s="2145"/>
      <c r="AR101" s="2069"/>
      <c r="AS101" s="2139"/>
      <c r="AT101" s="2136"/>
      <c r="AU101" s="2069"/>
    </row>
    <row r="102" spans="1:243" s="2043" customFormat="1" ht="15.75" customHeight="1" thickBot="1" x14ac:dyDescent="0.25">
      <c r="B102" s="2068">
        <v>9</v>
      </c>
      <c r="C102" s="2079">
        <v>1</v>
      </c>
      <c r="D102" s="2140">
        <f>VLOOKUP(C102,Dados!$A$14:$AD$81,30)</f>
        <v>0</v>
      </c>
      <c r="E102" s="2141"/>
      <c r="F102" s="2068">
        <v>0</v>
      </c>
      <c r="G102" s="2142">
        <f t="shared" si="75"/>
        <v>0</v>
      </c>
      <c r="H102" s="2068">
        <v>1</v>
      </c>
      <c r="I102" s="2068">
        <v>1</v>
      </c>
      <c r="J102" s="2068"/>
      <c r="K102" s="2069"/>
      <c r="L102" s="2069"/>
      <c r="M102" s="2069"/>
      <c r="N102" s="2069"/>
      <c r="O102" s="2094"/>
      <c r="P102" s="2094"/>
      <c r="Q102" s="1131"/>
      <c r="S102" s="2152" t="e">
        <f t="shared" si="73"/>
        <v>#N/A</v>
      </c>
      <c r="T102" s="1134">
        <f t="shared" si="74"/>
        <v>0</v>
      </c>
      <c r="V102" s="2144"/>
      <c r="W102" s="2145"/>
      <c r="X102" s="2145"/>
      <c r="AR102" s="2069"/>
      <c r="AS102" s="2139"/>
      <c r="AT102" s="2136"/>
      <c r="AU102" s="2069"/>
    </row>
    <row r="103" spans="1:243" s="2043" customFormat="1" ht="15.75" customHeight="1" x14ac:dyDescent="0.2">
      <c r="B103" s="2068">
        <v>10</v>
      </c>
      <c r="C103" s="2079">
        <v>1</v>
      </c>
      <c r="D103" s="2153">
        <f>VLOOKUP(C103,Dados!$A$14:$AD$81,30)</f>
        <v>0</v>
      </c>
      <c r="E103" s="2154"/>
      <c r="F103" s="2068">
        <v>0</v>
      </c>
      <c r="G103" s="2142">
        <f t="shared" si="75"/>
        <v>0</v>
      </c>
      <c r="H103" s="2068">
        <v>1</v>
      </c>
      <c r="I103" s="2068">
        <v>1</v>
      </c>
      <c r="J103" s="2068"/>
      <c r="K103" s="2069"/>
      <c r="L103" s="2069"/>
      <c r="M103" s="2069"/>
      <c r="N103" s="2094"/>
      <c r="O103" s="2094"/>
      <c r="P103" s="2094"/>
      <c r="Q103" s="2094"/>
      <c r="R103" s="2094"/>
      <c r="S103" s="2095" t="s">
        <v>2</v>
      </c>
      <c r="T103" s="1127">
        <f>SUM(T99:T102)</f>
        <v>0</v>
      </c>
      <c r="U103" s="2094"/>
      <c r="V103" s="2069"/>
      <c r="W103" s="2069"/>
      <c r="X103" s="2069"/>
      <c r="AA103" s="1646"/>
      <c r="AB103" s="1646"/>
      <c r="AC103" s="1646"/>
      <c r="AD103" s="1646"/>
      <c r="AI103" s="2068"/>
      <c r="AJ103" s="2068"/>
      <c r="AK103" s="2068"/>
      <c r="AL103" s="2068"/>
      <c r="AM103" s="2068"/>
      <c r="AN103" s="2068"/>
      <c r="AO103" s="2068"/>
      <c r="AP103" s="2068"/>
      <c r="AQ103" s="2068"/>
      <c r="AR103" s="2069"/>
      <c r="AS103" s="2069"/>
      <c r="AT103" s="2069"/>
      <c r="AU103" s="2069"/>
    </row>
    <row r="104" spans="1:243" s="2043" customFormat="1" ht="15.75" customHeight="1" x14ac:dyDescent="0.2">
      <c r="A104" s="2068"/>
      <c r="C104" s="2155" t="s">
        <v>2</v>
      </c>
      <c r="D104" s="2156"/>
      <c r="E104" s="2157"/>
      <c r="F104" s="2158"/>
      <c r="G104" s="2159">
        <f>SUM(G95:G103)</f>
        <v>25359.088284444446</v>
      </c>
      <c r="K104" s="2094"/>
      <c r="L104" s="2094"/>
      <c r="M104" s="2094"/>
      <c r="N104" s="2069"/>
      <c r="O104" s="2069"/>
      <c r="P104" s="2069"/>
      <c r="Q104" s="2069"/>
      <c r="R104" s="2094"/>
      <c r="S104" s="2094"/>
      <c r="T104" s="2160"/>
      <c r="U104" s="1646"/>
      <c r="V104" s="1646"/>
      <c r="W104" s="1646"/>
      <c r="X104" s="1646"/>
      <c r="Y104" s="1646"/>
      <c r="Z104" s="1646"/>
      <c r="AA104" s="828"/>
      <c r="AB104" s="828"/>
      <c r="AC104" s="828"/>
      <c r="AD104" s="828"/>
      <c r="AE104" s="2068"/>
      <c r="AF104" s="2068"/>
      <c r="AG104" s="2068"/>
      <c r="AH104" s="2068"/>
      <c r="AI104" s="2068"/>
      <c r="AJ104" s="2068"/>
      <c r="AK104" s="2068"/>
      <c r="AL104" s="2068"/>
      <c r="AM104" s="2068"/>
      <c r="AN104" s="2068"/>
      <c r="AO104" s="2068"/>
      <c r="AP104" s="2068"/>
      <c r="AQ104" s="2068"/>
    </row>
    <row r="105" spans="1:243" s="2055" customFormat="1" ht="15.75" customHeight="1" thickBot="1" x14ac:dyDescent="0.25">
      <c r="A105" s="2068"/>
      <c r="B105" s="2068"/>
      <c r="C105" s="2068"/>
      <c r="D105" s="2068"/>
      <c r="E105" s="2068"/>
      <c r="F105" s="2068"/>
      <c r="G105" s="2068"/>
      <c r="H105" s="2138"/>
      <c r="I105" s="2138"/>
      <c r="J105" s="2068"/>
      <c r="K105" s="2069"/>
      <c r="L105" s="2069"/>
      <c r="M105" s="2069"/>
      <c r="N105" s="2161"/>
      <c r="O105" s="2161"/>
      <c r="P105" s="2161"/>
      <c r="Q105" s="2161"/>
      <c r="R105" s="2161"/>
      <c r="S105" s="2161"/>
      <c r="T105" s="2161"/>
      <c r="U105" s="2162"/>
      <c r="V105" s="2162"/>
      <c r="W105" s="2163"/>
      <c r="X105" s="2163"/>
      <c r="Y105" s="2163"/>
      <c r="Z105" s="2163"/>
      <c r="AA105" s="2163"/>
      <c r="AB105" s="2163"/>
      <c r="AC105" s="2163"/>
      <c r="AD105" s="2163"/>
      <c r="AE105" s="1788"/>
      <c r="AF105" s="1788"/>
      <c r="AG105" s="1788"/>
      <c r="AH105" s="1788"/>
      <c r="AI105" s="1788"/>
      <c r="AJ105" s="1788"/>
      <c r="AK105" s="1788"/>
      <c r="AL105" s="1788"/>
      <c r="AM105" s="1788"/>
      <c r="AN105" s="1788"/>
      <c r="AO105" s="1788"/>
    </row>
    <row r="106" spans="1:243" s="2068" customFormat="1" ht="15.75" customHeight="1" thickBot="1" x14ac:dyDescent="0.25">
      <c r="A106" s="2055"/>
      <c r="B106" s="2055"/>
      <c r="C106" s="2064" t="s">
        <v>400</v>
      </c>
      <c r="D106" s="2065"/>
      <c r="E106" s="2055"/>
      <c r="F106" s="2055"/>
      <c r="G106" s="2055"/>
      <c r="H106" s="2055"/>
      <c r="I106" s="2055"/>
      <c r="J106" s="2055"/>
      <c r="K106" s="2161"/>
      <c r="L106" s="2161"/>
      <c r="M106" s="2161"/>
      <c r="N106" s="2067"/>
      <c r="O106" s="2069"/>
      <c r="P106" s="2069"/>
      <c r="Q106" s="2069"/>
      <c r="R106" s="2069"/>
      <c r="S106" s="2069"/>
      <c r="T106" s="2069"/>
      <c r="U106" s="829"/>
      <c r="V106" s="829"/>
      <c r="W106" s="828"/>
      <c r="X106" s="828"/>
      <c r="Y106" s="828"/>
      <c r="Z106" s="828"/>
      <c r="AC106" s="2164">
        <v>2</v>
      </c>
      <c r="AD106" s="2165">
        <v>3</v>
      </c>
      <c r="AE106" s="2164">
        <v>4</v>
      </c>
      <c r="AF106" s="2165">
        <v>5</v>
      </c>
      <c r="AG106" s="2164">
        <v>6</v>
      </c>
      <c r="AH106" s="2165">
        <v>7</v>
      </c>
      <c r="AI106" s="2164">
        <v>8</v>
      </c>
      <c r="AJ106" s="2165">
        <v>9</v>
      </c>
      <c r="AK106" s="2164">
        <v>10</v>
      </c>
      <c r="AL106" s="2165">
        <v>11</v>
      </c>
      <c r="AM106" s="2164">
        <v>12</v>
      </c>
      <c r="AN106" s="2165">
        <v>13</v>
      </c>
      <c r="AO106" s="2164">
        <v>14</v>
      </c>
      <c r="AP106" s="2165">
        <v>15</v>
      </c>
      <c r="AQ106" s="2164">
        <v>16</v>
      </c>
      <c r="AR106" s="2165">
        <v>17</v>
      </c>
      <c r="AS106" s="2164">
        <v>18</v>
      </c>
      <c r="AU106" s="2043"/>
      <c r="AV106" s="2043"/>
    </row>
    <row r="107" spans="1:243" s="2068" customFormat="1" ht="15.75" customHeight="1" thickBot="1" x14ac:dyDescent="0.25">
      <c r="B107" s="2043"/>
      <c r="C107" s="2043"/>
      <c r="D107" s="2296">
        <f>D109/33</f>
        <v>24.242424242424242</v>
      </c>
      <c r="E107" s="2166"/>
      <c r="F107" s="2043"/>
      <c r="G107" s="2043"/>
      <c r="H107" s="2549" t="s">
        <v>394</v>
      </c>
      <c r="I107" s="2550"/>
      <c r="J107" s="2067"/>
      <c r="K107" s="2067"/>
      <c r="L107" s="2067"/>
      <c r="M107" s="2067"/>
      <c r="N107" s="2167"/>
      <c r="O107" s="2168"/>
      <c r="P107" s="2069"/>
      <c r="Q107" s="2067"/>
      <c r="R107" s="2169">
        <v>1</v>
      </c>
      <c r="S107" s="2170"/>
      <c r="T107" s="818" t="s">
        <v>805</v>
      </c>
      <c r="U107" s="2171" t="s">
        <v>1020</v>
      </c>
      <c r="V107" s="818" t="s">
        <v>1022</v>
      </c>
      <c r="W107" s="818" t="s">
        <v>868</v>
      </c>
      <c r="AA107" s="2620" t="s">
        <v>795</v>
      </c>
      <c r="AB107" s="1815"/>
      <c r="AC107" s="2172" t="s">
        <v>747</v>
      </c>
      <c r="AD107" s="2172" t="s">
        <v>695</v>
      </c>
      <c r="AE107" s="2172" t="s">
        <v>373</v>
      </c>
      <c r="AF107" s="2172" t="s">
        <v>383</v>
      </c>
      <c r="AG107" s="2172" t="s">
        <v>374</v>
      </c>
      <c r="AH107" s="2172" t="s">
        <v>544</v>
      </c>
      <c r="AI107" s="732" t="s">
        <v>718</v>
      </c>
      <c r="AJ107" s="732" t="s">
        <v>696</v>
      </c>
      <c r="AK107" s="732" t="s">
        <v>973</v>
      </c>
      <c r="AL107" s="732" t="s">
        <v>1007</v>
      </c>
      <c r="AM107" s="732" t="s">
        <v>702</v>
      </c>
      <c r="AN107" s="831" t="s">
        <v>1050</v>
      </c>
      <c r="AO107" s="830" t="s">
        <v>1049</v>
      </c>
      <c r="AP107" s="734" t="s">
        <v>969</v>
      </c>
      <c r="AQ107" s="734" t="s">
        <v>970</v>
      </c>
      <c r="AR107" s="734" t="s">
        <v>974</v>
      </c>
      <c r="AS107" s="734" t="s">
        <v>971</v>
      </c>
      <c r="AV107" s="2043"/>
      <c r="AW107" s="2043"/>
      <c r="AX107" s="2043"/>
      <c r="AY107" s="2043"/>
    </row>
    <row r="108" spans="1:243" s="2043" customFormat="1" ht="15.75" customHeight="1" x14ac:dyDescent="0.2">
      <c r="A108" s="2068"/>
      <c r="B108" s="2043">
        <v>1</v>
      </c>
      <c r="C108" s="1740" t="s">
        <v>376</v>
      </c>
      <c r="D108" s="1740" t="s">
        <v>0</v>
      </c>
      <c r="E108" s="1740" t="s">
        <v>393</v>
      </c>
      <c r="F108" s="1740" t="s">
        <v>866</v>
      </c>
      <c r="G108" s="2070" t="s">
        <v>754</v>
      </c>
      <c r="H108" s="2070" t="s">
        <v>292</v>
      </c>
      <c r="I108" s="2070" t="s">
        <v>80</v>
      </c>
      <c r="J108" s="2168"/>
      <c r="K108" s="2168"/>
      <c r="L108" s="2068"/>
      <c r="M108" s="2168"/>
      <c r="N108" s="2069"/>
      <c r="O108" s="2094"/>
      <c r="P108" s="2069"/>
      <c r="Q108" s="2068"/>
      <c r="R108" s="2069">
        <v>2</v>
      </c>
      <c r="S108" s="2173" t="str">
        <f t="shared" ref="S108:S116" si="76">IF(C109=1,0,VLOOKUP(C109,$AD$45:$AF$67,3))</f>
        <v>Bezerro desmamados</v>
      </c>
      <c r="T108" s="2174">
        <f t="shared" ref="T108:T116" si="77">IF(C109=1,0,IF(OR(C109=2,C109=3,C109=4,C109=5,C109=6,C109=7,C109=8,C109=9,C109=10,C109=11,C109=12,C109=13,C109=14,C109=15,C109=16,C109=17,C109=18),G109,0))</f>
        <v>880000</v>
      </c>
      <c r="U108" s="2174">
        <f t="shared" ref="U108:U116" si="78">D109*E109</f>
        <v>144000</v>
      </c>
      <c r="V108" s="2174">
        <f t="shared" ref="V108:V116" si="79">IF(C109=1,0,U108*VLOOKUP(C109,B48:J65,9))</f>
        <v>72000</v>
      </c>
      <c r="W108" s="2174">
        <f>V108/15</f>
        <v>4800</v>
      </c>
      <c r="X108" s="2068"/>
      <c r="Y108" s="2068"/>
      <c r="AA108" s="2621"/>
      <c r="AB108" s="2079" t="str">
        <f t="shared" ref="AB108:AB116" si="80">IF(C109=1,0,VLOOKUP(C109,$AD$45:$AF$67,3))</f>
        <v>Bezerro desmamados</v>
      </c>
      <c r="AC108" s="2080">
        <f t="shared" ref="AC108:AC116" si="81">IF($C109=2,$D109,0)</f>
        <v>0</v>
      </c>
      <c r="AD108" s="2080">
        <f t="shared" ref="AD108:AD116" si="82">IF($C109=3,$D109,0)</f>
        <v>800</v>
      </c>
      <c r="AE108" s="2080">
        <f t="shared" ref="AE108:AE116" si="83">IF($C109=4,$D109,0)</f>
        <v>0</v>
      </c>
      <c r="AF108" s="2080">
        <f t="shared" ref="AF108:AF116" si="84">IF($C109=5,$D109,0)</f>
        <v>0</v>
      </c>
      <c r="AG108" s="2080">
        <f t="shared" ref="AG108:AG116" si="85">IF($C109=6,$D109,0)</f>
        <v>0</v>
      </c>
      <c r="AH108" s="2080">
        <f t="shared" ref="AH108:AH116" si="86">IF($C109=7,$D109,0)</f>
        <v>0</v>
      </c>
      <c r="AI108" s="2080">
        <f t="shared" ref="AI108:AI116" si="87">IF($C109=8,$D109,0)</f>
        <v>0</v>
      </c>
      <c r="AJ108" s="2080">
        <f t="shared" ref="AJ108:AJ116" si="88">IF($C109=9,$D109,0)</f>
        <v>0</v>
      </c>
      <c r="AK108" s="2080">
        <f t="shared" ref="AK108:AK116" si="89">IF($C109=10,$D109,0)</f>
        <v>0</v>
      </c>
      <c r="AL108" s="2080">
        <f t="shared" ref="AL108:AL116" si="90">IF($C109=11,$D109,0)</f>
        <v>0</v>
      </c>
      <c r="AM108" s="2080">
        <f t="shared" ref="AM108:AM116" si="91">IF($C109=12,$D109,0)</f>
        <v>0</v>
      </c>
      <c r="AN108" s="2080">
        <f t="shared" ref="AN108:AN116" si="92">IF($C109=13,$D109,0)</f>
        <v>0</v>
      </c>
      <c r="AO108" s="2080">
        <f t="shared" ref="AO108:AO116" si="93">IF($C109=14,$D109,0)</f>
        <v>0</v>
      </c>
      <c r="AP108" s="2080">
        <f t="shared" ref="AP108:AP116" si="94">IF($C109=15,$D109,0)</f>
        <v>0</v>
      </c>
      <c r="AQ108" s="2080">
        <f t="shared" ref="AQ108:AQ116" si="95">IF($C109=16,$D109,0)</f>
        <v>0</v>
      </c>
      <c r="AR108" s="2080">
        <f t="shared" ref="AR108:AR116" si="96">IF($C109=17,$D109,0)</f>
        <v>0</v>
      </c>
      <c r="AS108" s="2080">
        <f t="shared" ref="AS108:AS116" si="97">IF($C109=18,$D109,0)</f>
        <v>0</v>
      </c>
      <c r="AU108" s="2068"/>
      <c r="AV108" s="2068"/>
      <c r="AW108" s="2068"/>
      <c r="AX108" s="2068"/>
      <c r="AY108" s="2068"/>
      <c r="AZ108" s="2068"/>
      <c r="BA108" s="2068"/>
      <c r="BB108" s="2068"/>
      <c r="BC108" s="2068"/>
      <c r="BD108" s="2068"/>
      <c r="BE108" s="2068"/>
      <c r="BF108" s="2068"/>
      <c r="BG108" s="2068"/>
      <c r="BH108" s="2068"/>
      <c r="BI108" s="2068"/>
      <c r="BJ108" s="2068"/>
      <c r="BK108" s="2068"/>
      <c r="BL108" s="2068"/>
      <c r="BM108" s="2068"/>
      <c r="BN108" s="2068"/>
      <c r="BO108" s="2068"/>
      <c r="BP108" s="2068"/>
      <c r="BQ108" s="2068"/>
      <c r="BR108" s="2068"/>
      <c r="BS108" s="2068"/>
      <c r="BT108" s="2068"/>
      <c r="BU108" s="2068"/>
      <c r="BV108" s="2068"/>
      <c r="BW108" s="2068"/>
      <c r="BX108" s="2068"/>
      <c r="BY108" s="2068"/>
      <c r="BZ108" s="2068"/>
      <c r="CA108" s="2068"/>
      <c r="CB108" s="2068"/>
      <c r="CC108" s="2068"/>
      <c r="CD108" s="2068"/>
      <c r="CE108" s="2068"/>
      <c r="CF108" s="2068"/>
      <c r="CG108" s="2068"/>
      <c r="CH108" s="2068"/>
      <c r="CI108" s="2068"/>
      <c r="CJ108" s="2068"/>
      <c r="CK108" s="2068"/>
      <c r="CL108" s="2068"/>
      <c r="CM108" s="2068"/>
      <c r="CN108" s="2068"/>
      <c r="CO108" s="2068"/>
      <c r="CP108" s="2068"/>
      <c r="CQ108" s="2068"/>
      <c r="CR108" s="2068"/>
      <c r="CS108" s="2068"/>
      <c r="CT108" s="2068"/>
      <c r="CU108" s="2068"/>
      <c r="CV108" s="2068"/>
      <c r="CW108" s="2068"/>
      <c r="CX108" s="2068"/>
      <c r="CY108" s="2068"/>
      <c r="CZ108" s="2068"/>
      <c r="DA108" s="2068"/>
      <c r="DB108" s="2068"/>
      <c r="DC108" s="2068"/>
      <c r="DD108" s="2068"/>
      <c r="DE108" s="2068"/>
      <c r="DF108" s="2068"/>
      <c r="DG108" s="2068"/>
      <c r="DH108" s="2068"/>
      <c r="DI108" s="2068"/>
      <c r="DJ108" s="2068"/>
      <c r="DK108" s="2068"/>
      <c r="DL108" s="2068"/>
      <c r="DM108" s="2068"/>
      <c r="DN108" s="2068"/>
      <c r="DO108" s="2068"/>
      <c r="DP108" s="2068"/>
      <c r="DQ108" s="2068"/>
      <c r="DR108" s="2068"/>
      <c r="DS108" s="2068"/>
      <c r="DT108" s="2068"/>
      <c r="DU108" s="2068"/>
      <c r="DV108" s="2068"/>
      <c r="DW108" s="2068"/>
      <c r="DX108" s="2068"/>
      <c r="DY108" s="2068"/>
      <c r="DZ108" s="2068"/>
      <c r="EA108" s="2068"/>
      <c r="EB108" s="2068"/>
      <c r="EC108" s="2068"/>
      <c r="ED108" s="2068"/>
      <c r="EE108" s="2068"/>
      <c r="EF108" s="2068"/>
      <c r="EG108" s="2068"/>
      <c r="EH108" s="2068"/>
      <c r="EI108" s="2068"/>
      <c r="EJ108" s="2068"/>
      <c r="EK108" s="2068"/>
      <c r="EL108" s="2068"/>
      <c r="EM108" s="2068"/>
      <c r="EN108" s="2068"/>
      <c r="EO108" s="2068"/>
      <c r="EP108" s="2068"/>
      <c r="EQ108" s="2068"/>
      <c r="ER108" s="2068"/>
      <c r="ES108" s="2068"/>
      <c r="ET108" s="2068"/>
      <c r="EU108" s="2068"/>
      <c r="EV108" s="2068"/>
      <c r="EW108" s="2068"/>
      <c r="EX108" s="2068"/>
      <c r="EY108" s="2068"/>
      <c r="EZ108" s="2068"/>
      <c r="FA108" s="2068"/>
      <c r="FB108" s="2068"/>
      <c r="FC108" s="2068"/>
      <c r="FD108" s="2068"/>
      <c r="FE108" s="2068"/>
      <c r="FF108" s="2068"/>
      <c r="FG108" s="2068"/>
      <c r="FH108" s="2068"/>
      <c r="FI108" s="2068"/>
      <c r="FJ108" s="2068"/>
      <c r="FK108" s="2068"/>
      <c r="FL108" s="2068"/>
      <c r="FM108" s="2068"/>
      <c r="FN108" s="2068"/>
      <c r="FO108" s="2068"/>
      <c r="FP108" s="2068"/>
      <c r="FQ108" s="2068"/>
      <c r="FR108" s="2068"/>
      <c r="FS108" s="2068"/>
      <c r="FT108" s="2068"/>
      <c r="FU108" s="2068"/>
      <c r="FV108" s="2068"/>
      <c r="FW108" s="2068"/>
      <c r="FX108" s="2068"/>
      <c r="FY108" s="2068"/>
      <c r="FZ108" s="2068"/>
      <c r="GA108" s="2068"/>
      <c r="GB108" s="2068"/>
      <c r="GC108" s="2068"/>
      <c r="GD108" s="2068"/>
      <c r="GE108" s="2068"/>
      <c r="GF108" s="2068"/>
      <c r="GG108" s="2068"/>
      <c r="GH108" s="2068"/>
      <c r="GI108" s="2068"/>
      <c r="GJ108" s="2068"/>
      <c r="GK108" s="2068"/>
      <c r="GL108" s="2068"/>
      <c r="GM108" s="2068"/>
      <c r="GN108" s="2068"/>
      <c r="GO108" s="2068"/>
      <c r="GP108" s="2068"/>
      <c r="GQ108" s="2068"/>
      <c r="GR108" s="2068"/>
      <c r="GS108" s="2068"/>
      <c r="GT108" s="2068"/>
      <c r="GU108" s="2068"/>
      <c r="GV108" s="2068"/>
      <c r="GW108" s="2068"/>
      <c r="GX108" s="2068"/>
      <c r="GY108" s="2068"/>
      <c r="GZ108" s="2068"/>
      <c r="HA108" s="2068"/>
      <c r="HB108" s="2068"/>
      <c r="HC108" s="2068"/>
      <c r="HD108" s="2068"/>
      <c r="HE108" s="2068"/>
      <c r="HF108" s="2068"/>
      <c r="HG108" s="2068"/>
      <c r="HH108" s="2068"/>
      <c r="HI108" s="2068"/>
      <c r="HJ108" s="2068"/>
      <c r="HK108" s="2068"/>
      <c r="HL108" s="2068"/>
      <c r="HM108" s="2068"/>
      <c r="HN108" s="2068"/>
      <c r="HO108" s="2068"/>
      <c r="HP108" s="2068"/>
      <c r="HQ108" s="2068"/>
      <c r="HR108" s="2068"/>
      <c r="HS108" s="2068"/>
      <c r="HT108" s="2068"/>
      <c r="HU108" s="2068"/>
      <c r="HV108" s="2068"/>
      <c r="HW108" s="2068"/>
      <c r="HX108" s="2068"/>
      <c r="HY108" s="2068"/>
      <c r="HZ108" s="2068"/>
      <c r="IA108" s="2068"/>
      <c r="IB108" s="2068"/>
      <c r="IC108" s="2068"/>
      <c r="ID108" s="2068"/>
      <c r="IE108" s="2068"/>
      <c r="IF108" s="2068"/>
      <c r="IG108" s="2068"/>
      <c r="IH108" s="2068"/>
      <c r="II108" s="2068"/>
    </row>
    <row r="109" spans="1:243" s="2055" customFormat="1" ht="15.75" customHeight="1" thickBot="1" x14ac:dyDescent="0.25">
      <c r="A109" s="2068"/>
      <c r="B109" s="2043">
        <v>2</v>
      </c>
      <c r="C109" s="1815">
        <v>3</v>
      </c>
      <c r="D109" s="2279">
        <v>800</v>
      </c>
      <c r="E109" s="2176">
        <f t="shared" ref="E109:E117" si="98">IF(C109=1,0,VLOOKUP(C109,$B$26:$G$42,5))</f>
        <v>180</v>
      </c>
      <c r="F109" s="2177">
        <v>1100</v>
      </c>
      <c r="G109" s="2178">
        <f>F109*D109</f>
        <v>880000</v>
      </c>
      <c r="H109" s="2070">
        <v>1</v>
      </c>
      <c r="I109" s="2074">
        <v>1</v>
      </c>
      <c r="J109" s="2168"/>
      <c r="K109" s="2168"/>
      <c r="L109" s="2168"/>
      <c r="M109" s="2168"/>
      <c r="N109" s="2069"/>
      <c r="O109" s="2068"/>
      <c r="P109" s="2068"/>
      <c r="Q109" s="2068"/>
      <c r="R109" s="2069">
        <v>3</v>
      </c>
      <c r="S109" s="2079">
        <f t="shared" si="76"/>
        <v>0</v>
      </c>
      <c r="T109" s="2179">
        <f t="shared" si="77"/>
        <v>0</v>
      </c>
      <c r="U109" s="2174">
        <f t="shared" si="78"/>
        <v>0</v>
      </c>
      <c r="V109" s="2174">
        <f t="shared" si="79"/>
        <v>0</v>
      </c>
      <c r="W109" s="2174">
        <f t="shared" ref="W109:W116" si="99">V109/15</f>
        <v>0</v>
      </c>
      <c r="X109" s="2068"/>
      <c r="Y109" s="2068"/>
      <c r="Z109" s="2068"/>
      <c r="AA109" s="2621"/>
      <c r="AB109" s="2079">
        <f t="shared" si="80"/>
        <v>0</v>
      </c>
      <c r="AC109" s="2080">
        <f t="shared" si="81"/>
        <v>0</v>
      </c>
      <c r="AD109" s="2080">
        <f t="shared" si="82"/>
        <v>0</v>
      </c>
      <c r="AE109" s="2080">
        <f t="shared" si="83"/>
        <v>0</v>
      </c>
      <c r="AF109" s="2080">
        <f t="shared" si="84"/>
        <v>0</v>
      </c>
      <c r="AG109" s="2080">
        <f t="shared" si="85"/>
        <v>0</v>
      </c>
      <c r="AH109" s="2080">
        <f t="shared" si="86"/>
        <v>0</v>
      </c>
      <c r="AI109" s="2080">
        <f t="shared" si="87"/>
        <v>0</v>
      </c>
      <c r="AJ109" s="2080">
        <f t="shared" si="88"/>
        <v>0</v>
      </c>
      <c r="AK109" s="2080">
        <f t="shared" si="89"/>
        <v>0</v>
      </c>
      <c r="AL109" s="2080">
        <f t="shared" si="90"/>
        <v>0</v>
      </c>
      <c r="AM109" s="2080">
        <f t="shared" si="91"/>
        <v>0</v>
      </c>
      <c r="AN109" s="2080">
        <f t="shared" si="92"/>
        <v>0</v>
      </c>
      <c r="AO109" s="2080">
        <f t="shared" si="93"/>
        <v>0</v>
      </c>
      <c r="AP109" s="2080">
        <f t="shared" si="94"/>
        <v>0</v>
      </c>
      <c r="AQ109" s="2080">
        <f t="shared" si="95"/>
        <v>0</v>
      </c>
      <c r="AR109" s="2080">
        <f t="shared" si="96"/>
        <v>0</v>
      </c>
      <c r="AS109" s="2080">
        <f t="shared" si="97"/>
        <v>0</v>
      </c>
      <c r="AU109" s="2068"/>
      <c r="AV109" s="2068"/>
      <c r="AW109" s="2068"/>
      <c r="AX109" s="2068"/>
      <c r="AY109" s="2068"/>
      <c r="AZ109" s="2068"/>
      <c r="BA109" s="2068"/>
      <c r="BB109" s="2068"/>
      <c r="BC109" s="2068"/>
      <c r="BD109" s="2068"/>
      <c r="BE109" s="2068"/>
      <c r="BF109" s="2068"/>
      <c r="BG109" s="2068"/>
      <c r="BH109" s="2068"/>
      <c r="BI109" s="2068"/>
      <c r="BJ109" s="2068"/>
      <c r="BK109" s="2068"/>
      <c r="BL109" s="2068"/>
      <c r="BM109" s="2068"/>
      <c r="BN109" s="2068"/>
      <c r="BO109" s="2068"/>
      <c r="BP109" s="2068"/>
      <c r="BQ109" s="2068"/>
      <c r="BR109" s="2068"/>
      <c r="BS109" s="2068"/>
      <c r="BT109" s="2068"/>
      <c r="BU109" s="2068"/>
      <c r="BV109" s="2068"/>
      <c r="BW109" s="2068"/>
      <c r="BX109" s="2068"/>
      <c r="BY109" s="2068"/>
      <c r="BZ109" s="2068"/>
      <c r="CA109" s="2068"/>
      <c r="CB109" s="2068"/>
      <c r="CC109" s="2068"/>
      <c r="CD109" s="2068"/>
      <c r="CE109" s="2068"/>
      <c r="CF109" s="2068"/>
      <c r="CG109" s="2068"/>
      <c r="CH109" s="2068"/>
      <c r="CI109" s="2068"/>
      <c r="CJ109" s="2068"/>
      <c r="CK109" s="2068"/>
      <c r="CL109" s="2068"/>
      <c r="CM109" s="2068"/>
      <c r="CN109" s="2068"/>
      <c r="CO109" s="2068"/>
      <c r="CP109" s="2068"/>
      <c r="CQ109" s="2068"/>
      <c r="CR109" s="2068"/>
      <c r="CS109" s="2068"/>
      <c r="CT109" s="2068"/>
      <c r="CU109" s="2068"/>
      <c r="CV109" s="2068"/>
      <c r="CW109" s="2068"/>
      <c r="CX109" s="2068"/>
      <c r="CY109" s="2068"/>
      <c r="CZ109" s="2068"/>
      <c r="DA109" s="2068"/>
      <c r="DB109" s="2068"/>
      <c r="DC109" s="2068"/>
      <c r="DD109" s="2068"/>
      <c r="DE109" s="2068"/>
      <c r="DF109" s="2068"/>
      <c r="DG109" s="2068"/>
      <c r="DH109" s="2068"/>
      <c r="DI109" s="2068"/>
      <c r="DJ109" s="2068"/>
      <c r="DK109" s="2068"/>
      <c r="DL109" s="2068"/>
      <c r="DM109" s="2068"/>
      <c r="DN109" s="2068"/>
      <c r="DO109" s="2068"/>
      <c r="DP109" s="2068"/>
      <c r="DQ109" s="2068"/>
      <c r="DR109" s="2068"/>
      <c r="DS109" s="2068"/>
      <c r="DT109" s="2068"/>
      <c r="DU109" s="2068"/>
      <c r="DV109" s="2068"/>
      <c r="DW109" s="2068"/>
      <c r="DX109" s="2068"/>
      <c r="DY109" s="2068"/>
      <c r="DZ109" s="2068"/>
      <c r="EA109" s="2068"/>
      <c r="EB109" s="2068"/>
      <c r="EC109" s="2068"/>
      <c r="ED109" s="2068"/>
      <c r="EE109" s="2068"/>
      <c r="EF109" s="2068"/>
      <c r="EG109" s="2068"/>
      <c r="EH109" s="2068"/>
      <c r="EI109" s="2068"/>
      <c r="EJ109" s="2068"/>
      <c r="EK109" s="2068"/>
      <c r="EL109" s="2068"/>
      <c r="EM109" s="2068"/>
      <c r="EN109" s="2068"/>
      <c r="EO109" s="2068"/>
      <c r="EP109" s="2068"/>
      <c r="EQ109" s="2068"/>
      <c r="ER109" s="2068"/>
      <c r="ES109" s="2068"/>
      <c r="ET109" s="2068"/>
      <c r="EU109" s="2068"/>
      <c r="EV109" s="2068"/>
      <c r="EW109" s="2068"/>
      <c r="EX109" s="2068"/>
      <c r="EY109" s="2068"/>
      <c r="EZ109" s="2068"/>
      <c r="FA109" s="2068"/>
      <c r="FB109" s="2068"/>
      <c r="FC109" s="2068"/>
      <c r="FD109" s="2068"/>
      <c r="FE109" s="2068"/>
      <c r="FF109" s="2068"/>
      <c r="FG109" s="2068"/>
      <c r="FH109" s="2068"/>
      <c r="FI109" s="2068"/>
      <c r="FJ109" s="2068"/>
      <c r="FK109" s="2068"/>
      <c r="FL109" s="2068"/>
      <c r="FM109" s="2068"/>
      <c r="FN109" s="2068"/>
      <c r="FO109" s="2068"/>
      <c r="FP109" s="2068"/>
      <c r="FQ109" s="2068"/>
      <c r="FR109" s="2068"/>
      <c r="FS109" s="2068"/>
      <c r="FT109" s="2068"/>
      <c r="FU109" s="2068"/>
      <c r="FV109" s="2068"/>
      <c r="FW109" s="2068"/>
      <c r="FX109" s="2068"/>
      <c r="FY109" s="2068"/>
      <c r="FZ109" s="2068"/>
      <c r="GA109" s="2068"/>
      <c r="GB109" s="2068"/>
      <c r="GC109" s="2068"/>
      <c r="GD109" s="2068"/>
      <c r="GE109" s="2068"/>
      <c r="GF109" s="2068"/>
      <c r="GG109" s="2068"/>
      <c r="GH109" s="2068"/>
      <c r="GI109" s="2068"/>
      <c r="GJ109" s="2068"/>
      <c r="GK109" s="2068"/>
      <c r="GL109" s="2068"/>
      <c r="GM109" s="2068"/>
      <c r="GN109" s="2068"/>
      <c r="GO109" s="2068"/>
      <c r="GP109" s="2068"/>
      <c r="GQ109" s="2068"/>
      <c r="GR109" s="2068"/>
      <c r="GS109" s="2068"/>
      <c r="GT109" s="2068"/>
      <c r="GU109" s="2068"/>
      <c r="GV109" s="2068"/>
      <c r="GW109" s="2068"/>
      <c r="GX109" s="2068"/>
      <c r="GY109" s="2068"/>
      <c r="GZ109" s="2068"/>
      <c r="HA109" s="2068"/>
      <c r="HB109" s="2068"/>
      <c r="HC109" s="2068"/>
      <c r="HD109" s="2068"/>
      <c r="HE109" s="2068"/>
      <c r="HF109" s="2068"/>
      <c r="HG109" s="2068"/>
      <c r="HH109" s="2068"/>
      <c r="HI109" s="2068"/>
      <c r="HJ109" s="2068"/>
      <c r="HK109" s="2068"/>
      <c r="HL109" s="2068"/>
      <c r="HM109" s="2068"/>
      <c r="HN109" s="2068"/>
      <c r="HO109" s="2068"/>
      <c r="HP109" s="2068"/>
      <c r="HQ109" s="2068"/>
      <c r="HR109" s="2068"/>
      <c r="HS109" s="2068"/>
      <c r="HT109" s="2068"/>
      <c r="HU109" s="2068"/>
      <c r="HV109" s="2068"/>
      <c r="HW109" s="2068"/>
      <c r="HX109" s="2068"/>
      <c r="HY109" s="2068"/>
      <c r="HZ109" s="2068"/>
      <c r="IA109" s="2068"/>
      <c r="IB109" s="2068"/>
      <c r="IC109" s="2068"/>
      <c r="ID109" s="2068"/>
      <c r="IE109" s="2068"/>
      <c r="IF109" s="2068"/>
      <c r="IG109" s="2068"/>
      <c r="IH109" s="2068"/>
      <c r="II109" s="2068"/>
    </row>
    <row r="110" spans="1:243" s="2068" customFormat="1" ht="15.75" customHeight="1" x14ac:dyDescent="0.2">
      <c r="B110" s="2043">
        <v>3</v>
      </c>
      <c r="C110" s="1815">
        <v>1</v>
      </c>
      <c r="D110" s="2175"/>
      <c r="E110" s="2176">
        <f t="shared" si="98"/>
        <v>0</v>
      </c>
      <c r="F110" s="2177"/>
      <c r="G110" s="2178">
        <f t="shared" ref="G110:G117" si="100">F110*D110</f>
        <v>0</v>
      </c>
      <c r="H110" s="2180">
        <v>1</v>
      </c>
      <c r="I110" s="2181">
        <v>1</v>
      </c>
      <c r="J110" s="2168"/>
      <c r="K110" s="2168"/>
      <c r="L110" s="2168"/>
      <c r="M110" s="2168"/>
      <c r="N110" s="2069"/>
      <c r="Q110" s="2043"/>
      <c r="R110" s="2069">
        <v>4</v>
      </c>
      <c r="S110" s="2079">
        <f t="shared" si="76"/>
        <v>0</v>
      </c>
      <c r="T110" s="2179">
        <f t="shared" si="77"/>
        <v>0</v>
      </c>
      <c r="U110" s="2174">
        <f t="shared" si="78"/>
        <v>0</v>
      </c>
      <c r="V110" s="2174">
        <f t="shared" si="79"/>
        <v>0</v>
      </c>
      <c r="W110" s="2174">
        <f t="shared" si="99"/>
        <v>0</v>
      </c>
      <c r="AA110" s="2621"/>
      <c r="AB110" s="2079">
        <f t="shared" si="80"/>
        <v>0</v>
      </c>
      <c r="AC110" s="2080">
        <f t="shared" si="81"/>
        <v>0</v>
      </c>
      <c r="AD110" s="2080">
        <f t="shared" si="82"/>
        <v>0</v>
      </c>
      <c r="AE110" s="2080">
        <f t="shared" si="83"/>
        <v>0</v>
      </c>
      <c r="AF110" s="2080">
        <f t="shared" si="84"/>
        <v>0</v>
      </c>
      <c r="AG110" s="2080">
        <f t="shared" si="85"/>
        <v>0</v>
      </c>
      <c r="AH110" s="2080">
        <f t="shared" si="86"/>
        <v>0</v>
      </c>
      <c r="AI110" s="2080">
        <f t="shared" si="87"/>
        <v>0</v>
      </c>
      <c r="AJ110" s="2080">
        <f t="shared" si="88"/>
        <v>0</v>
      </c>
      <c r="AK110" s="2080">
        <f t="shared" si="89"/>
        <v>0</v>
      </c>
      <c r="AL110" s="2080">
        <f t="shared" si="90"/>
        <v>0</v>
      </c>
      <c r="AM110" s="2080">
        <f t="shared" si="91"/>
        <v>0</v>
      </c>
      <c r="AN110" s="2080">
        <f t="shared" si="92"/>
        <v>0</v>
      </c>
      <c r="AO110" s="2080">
        <f t="shared" si="93"/>
        <v>0</v>
      </c>
      <c r="AP110" s="2080">
        <f t="shared" si="94"/>
        <v>0</v>
      </c>
      <c r="AQ110" s="2080">
        <f t="shared" si="95"/>
        <v>0</v>
      </c>
      <c r="AR110" s="2080">
        <f t="shared" si="96"/>
        <v>0</v>
      </c>
      <c r="AS110" s="2080">
        <f t="shared" si="97"/>
        <v>0</v>
      </c>
    </row>
    <row r="111" spans="1:243" s="2043" customFormat="1" ht="15.75" customHeight="1" x14ac:dyDescent="0.2">
      <c r="A111" s="2068"/>
      <c r="B111" s="2043">
        <v>4</v>
      </c>
      <c r="C111" s="1815">
        <v>1</v>
      </c>
      <c r="D111" s="2175"/>
      <c r="E111" s="2176">
        <f t="shared" si="98"/>
        <v>0</v>
      </c>
      <c r="F111" s="2177"/>
      <c r="G111" s="2178">
        <f t="shared" si="100"/>
        <v>0</v>
      </c>
      <c r="H111" s="2181">
        <v>1</v>
      </c>
      <c r="I111" s="2181">
        <v>1</v>
      </c>
      <c r="J111" s="2168"/>
      <c r="K111" s="2182"/>
      <c r="L111" s="2068"/>
      <c r="M111" s="2068"/>
      <c r="N111" s="2094"/>
      <c r="R111" s="2094">
        <v>5</v>
      </c>
      <c r="S111" s="2079">
        <f t="shared" si="76"/>
        <v>0</v>
      </c>
      <c r="T111" s="2179">
        <f t="shared" si="77"/>
        <v>0</v>
      </c>
      <c r="U111" s="2174">
        <f t="shared" si="78"/>
        <v>0</v>
      </c>
      <c r="V111" s="2174">
        <f t="shared" si="79"/>
        <v>0</v>
      </c>
      <c r="W111" s="2174">
        <f t="shared" si="99"/>
        <v>0</v>
      </c>
      <c r="X111" s="2068"/>
      <c r="Y111" s="2068"/>
      <c r="AA111" s="2621"/>
      <c r="AB111" s="2079">
        <f t="shared" si="80"/>
        <v>0</v>
      </c>
      <c r="AC111" s="2080">
        <f t="shared" si="81"/>
        <v>0</v>
      </c>
      <c r="AD111" s="2080">
        <f t="shared" si="82"/>
        <v>0</v>
      </c>
      <c r="AE111" s="2080">
        <f t="shared" si="83"/>
        <v>0</v>
      </c>
      <c r="AF111" s="2080">
        <f t="shared" si="84"/>
        <v>0</v>
      </c>
      <c r="AG111" s="2080">
        <f t="shared" si="85"/>
        <v>0</v>
      </c>
      <c r="AH111" s="2080">
        <f t="shared" si="86"/>
        <v>0</v>
      </c>
      <c r="AI111" s="2080">
        <f t="shared" si="87"/>
        <v>0</v>
      </c>
      <c r="AJ111" s="2080">
        <f t="shared" si="88"/>
        <v>0</v>
      </c>
      <c r="AK111" s="2080">
        <f t="shared" si="89"/>
        <v>0</v>
      </c>
      <c r="AL111" s="2080">
        <f t="shared" si="90"/>
        <v>0</v>
      </c>
      <c r="AM111" s="2080">
        <f t="shared" si="91"/>
        <v>0</v>
      </c>
      <c r="AN111" s="2080">
        <f t="shared" si="92"/>
        <v>0</v>
      </c>
      <c r="AO111" s="2080">
        <f t="shared" si="93"/>
        <v>0</v>
      </c>
      <c r="AP111" s="2080">
        <f t="shared" si="94"/>
        <v>0</v>
      </c>
      <c r="AQ111" s="2080">
        <f t="shared" si="95"/>
        <v>0</v>
      </c>
      <c r="AR111" s="2080">
        <f t="shared" si="96"/>
        <v>0</v>
      </c>
      <c r="AS111" s="2080">
        <f t="shared" si="97"/>
        <v>0</v>
      </c>
      <c r="AU111" s="2068"/>
      <c r="AV111" s="2068"/>
      <c r="AW111" s="2068"/>
      <c r="AX111" s="2068"/>
      <c r="AY111" s="2068"/>
      <c r="AZ111" s="2068"/>
      <c r="BA111" s="2068"/>
      <c r="BB111" s="2068"/>
      <c r="BC111" s="2068"/>
      <c r="BD111" s="2068"/>
      <c r="BE111" s="2068"/>
      <c r="BF111" s="2068"/>
      <c r="BG111" s="2068"/>
      <c r="BH111" s="2068"/>
      <c r="BI111" s="2068"/>
      <c r="BJ111" s="2068"/>
      <c r="BK111" s="2068"/>
      <c r="BL111" s="2068"/>
      <c r="BM111" s="2068"/>
      <c r="BN111" s="2068"/>
      <c r="BO111" s="2068"/>
      <c r="BP111" s="2068"/>
      <c r="BQ111" s="2068"/>
      <c r="BR111" s="2068"/>
      <c r="BS111" s="2068"/>
      <c r="BT111" s="2068"/>
      <c r="BU111" s="2068"/>
      <c r="BV111" s="2068"/>
      <c r="BW111" s="2068"/>
      <c r="BX111" s="2068"/>
      <c r="BY111" s="2068"/>
      <c r="BZ111" s="2068"/>
      <c r="CA111" s="2068"/>
      <c r="CB111" s="2068"/>
      <c r="CC111" s="2068"/>
      <c r="CD111" s="2068"/>
      <c r="CE111" s="2068"/>
      <c r="CF111" s="2068"/>
      <c r="CG111" s="2068"/>
      <c r="CH111" s="2068"/>
      <c r="CI111" s="2068"/>
      <c r="CJ111" s="2068"/>
      <c r="CK111" s="2068"/>
      <c r="CL111" s="2068"/>
      <c r="CM111" s="2068"/>
      <c r="CN111" s="2068"/>
      <c r="CO111" s="2068"/>
      <c r="CP111" s="2068"/>
      <c r="CQ111" s="2068"/>
      <c r="CR111" s="2068"/>
      <c r="CS111" s="2068"/>
      <c r="CT111" s="2068"/>
      <c r="CU111" s="2068"/>
      <c r="CV111" s="2068"/>
      <c r="CW111" s="2068"/>
      <c r="CX111" s="2068"/>
      <c r="CY111" s="2068"/>
      <c r="CZ111" s="2068"/>
      <c r="DA111" s="2068"/>
      <c r="DB111" s="2068"/>
      <c r="DC111" s="2068"/>
      <c r="DD111" s="2068"/>
      <c r="DE111" s="2068"/>
      <c r="DF111" s="2068"/>
      <c r="DG111" s="2068"/>
      <c r="DH111" s="2068"/>
      <c r="DI111" s="2068"/>
      <c r="DJ111" s="2068"/>
      <c r="DK111" s="2068"/>
      <c r="DL111" s="2068"/>
      <c r="DM111" s="2068"/>
      <c r="DN111" s="2068"/>
      <c r="DO111" s="2068"/>
      <c r="DP111" s="2068"/>
      <c r="DQ111" s="2068"/>
      <c r="DR111" s="2068"/>
      <c r="DS111" s="2068"/>
      <c r="DT111" s="2068"/>
      <c r="DU111" s="2068"/>
      <c r="DV111" s="2068"/>
      <c r="DW111" s="2068"/>
      <c r="DX111" s="2068"/>
      <c r="DY111" s="2068"/>
      <c r="DZ111" s="2068"/>
      <c r="EA111" s="2068"/>
      <c r="EB111" s="2068"/>
      <c r="EC111" s="2068"/>
      <c r="ED111" s="2068"/>
      <c r="EE111" s="2068"/>
      <c r="EF111" s="2068"/>
      <c r="EG111" s="2068"/>
      <c r="EH111" s="2068"/>
      <c r="EI111" s="2068"/>
      <c r="EJ111" s="2068"/>
      <c r="EK111" s="2068"/>
      <c r="EL111" s="2068"/>
      <c r="EM111" s="2068"/>
      <c r="EN111" s="2068"/>
      <c r="EO111" s="2068"/>
      <c r="EP111" s="2068"/>
      <c r="EQ111" s="2068"/>
      <c r="ER111" s="2068"/>
      <c r="ES111" s="2068"/>
      <c r="ET111" s="2068"/>
      <c r="EU111" s="2068"/>
      <c r="EV111" s="2068"/>
      <c r="EW111" s="2068"/>
      <c r="EX111" s="2068"/>
      <c r="EY111" s="2068"/>
      <c r="EZ111" s="2068"/>
      <c r="FA111" s="2068"/>
      <c r="FB111" s="2068"/>
      <c r="FC111" s="2068"/>
      <c r="FD111" s="2068"/>
      <c r="FE111" s="2068"/>
      <c r="FF111" s="2068"/>
      <c r="FG111" s="2068"/>
      <c r="FH111" s="2068"/>
      <c r="FI111" s="2068"/>
      <c r="FJ111" s="2068"/>
      <c r="FK111" s="2068"/>
      <c r="FL111" s="2068"/>
      <c r="FM111" s="2068"/>
      <c r="FN111" s="2068"/>
      <c r="FO111" s="2068"/>
      <c r="FP111" s="2068"/>
      <c r="FQ111" s="2068"/>
      <c r="FR111" s="2068"/>
      <c r="FS111" s="2068"/>
      <c r="FT111" s="2068"/>
      <c r="FU111" s="2068"/>
      <c r="FV111" s="2068"/>
      <c r="FW111" s="2068"/>
      <c r="FX111" s="2068"/>
      <c r="FY111" s="2068"/>
      <c r="FZ111" s="2068"/>
      <c r="GA111" s="2068"/>
      <c r="GB111" s="2068"/>
      <c r="GC111" s="2068"/>
      <c r="GD111" s="2068"/>
      <c r="GE111" s="2068"/>
      <c r="GF111" s="2068"/>
      <c r="GG111" s="2068"/>
      <c r="GH111" s="2068"/>
      <c r="GI111" s="2068"/>
      <c r="GJ111" s="2068"/>
      <c r="GK111" s="2068"/>
      <c r="GL111" s="2068"/>
      <c r="GM111" s="2068"/>
      <c r="GN111" s="2068"/>
      <c r="GO111" s="2068"/>
      <c r="GP111" s="2068"/>
      <c r="GQ111" s="2068"/>
      <c r="GR111" s="2068"/>
      <c r="GS111" s="2068"/>
      <c r="GT111" s="2068"/>
      <c r="GU111" s="2068"/>
      <c r="GV111" s="2068"/>
      <c r="GW111" s="2068"/>
      <c r="GX111" s="2068"/>
      <c r="GY111" s="2068"/>
      <c r="GZ111" s="2068"/>
      <c r="HA111" s="2068"/>
      <c r="HB111" s="2068"/>
      <c r="HC111" s="2068"/>
      <c r="HD111" s="2068"/>
      <c r="HE111" s="2068"/>
      <c r="HF111" s="2068"/>
      <c r="HG111" s="2068"/>
      <c r="HH111" s="2068"/>
      <c r="HI111" s="2068"/>
      <c r="HJ111" s="2068"/>
      <c r="HK111" s="2068"/>
      <c r="HL111" s="2068"/>
      <c r="HM111" s="2068"/>
      <c r="HN111" s="2068"/>
      <c r="HO111" s="2068"/>
      <c r="HP111" s="2068"/>
      <c r="HQ111" s="2068"/>
      <c r="HR111" s="2068"/>
      <c r="HS111" s="2068"/>
      <c r="HT111" s="2068"/>
      <c r="HU111" s="2068"/>
      <c r="HV111" s="2068"/>
      <c r="HW111" s="2068"/>
      <c r="HX111" s="2068"/>
      <c r="HY111" s="2068"/>
      <c r="HZ111" s="2068"/>
      <c r="IA111" s="2068"/>
      <c r="IB111" s="2068"/>
      <c r="IC111" s="2068"/>
      <c r="ID111" s="2068"/>
      <c r="IE111" s="2068"/>
      <c r="IF111" s="2068"/>
      <c r="IG111" s="2068"/>
      <c r="IH111" s="2068"/>
      <c r="II111" s="2068"/>
    </row>
    <row r="112" spans="1:243" s="2043" customFormat="1" ht="15.75" customHeight="1" x14ac:dyDescent="0.2">
      <c r="A112" s="2068"/>
      <c r="B112" s="2043">
        <v>5</v>
      </c>
      <c r="C112" s="1815">
        <v>1</v>
      </c>
      <c r="D112" s="2175"/>
      <c r="E112" s="2176">
        <f t="shared" si="98"/>
        <v>0</v>
      </c>
      <c r="F112" s="2177"/>
      <c r="G112" s="2178">
        <f t="shared" si="100"/>
        <v>0</v>
      </c>
      <c r="H112" s="2181">
        <v>1</v>
      </c>
      <c r="I112" s="2181">
        <v>1</v>
      </c>
      <c r="J112" s="2168"/>
      <c r="K112" s="2183"/>
      <c r="N112" s="2094"/>
      <c r="R112" s="2094">
        <v>6</v>
      </c>
      <c r="S112" s="2079">
        <f t="shared" si="76"/>
        <v>0</v>
      </c>
      <c r="T112" s="2179">
        <f t="shared" si="77"/>
        <v>0</v>
      </c>
      <c r="U112" s="2174">
        <f t="shared" si="78"/>
        <v>0</v>
      </c>
      <c r="V112" s="2174">
        <f t="shared" si="79"/>
        <v>0</v>
      </c>
      <c r="W112" s="2174">
        <f t="shared" si="99"/>
        <v>0</v>
      </c>
      <c r="X112" s="2068"/>
      <c r="Y112" s="2068"/>
      <c r="AA112" s="2621"/>
      <c r="AB112" s="2079">
        <f t="shared" si="80"/>
        <v>0</v>
      </c>
      <c r="AC112" s="2080">
        <f t="shared" si="81"/>
        <v>0</v>
      </c>
      <c r="AD112" s="2080">
        <f t="shared" si="82"/>
        <v>0</v>
      </c>
      <c r="AE112" s="2080">
        <f t="shared" si="83"/>
        <v>0</v>
      </c>
      <c r="AF112" s="2080">
        <f t="shared" si="84"/>
        <v>0</v>
      </c>
      <c r="AG112" s="2080">
        <f t="shared" si="85"/>
        <v>0</v>
      </c>
      <c r="AH112" s="2080">
        <f t="shared" si="86"/>
        <v>0</v>
      </c>
      <c r="AI112" s="2080">
        <f t="shared" si="87"/>
        <v>0</v>
      </c>
      <c r="AJ112" s="2080">
        <f t="shared" si="88"/>
        <v>0</v>
      </c>
      <c r="AK112" s="2080">
        <f t="shared" si="89"/>
        <v>0</v>
      </c>
      <c r="AL112" s="2080">
        <f t="shared" si="90"/>
        <v>0</v>
      </c>
      <c r="AM112" s="2080">
        <f t="shared" si="91"/>
        <v>0</v>
      </c>
      <c r="AN112" s="2080">
        <f t="shared" si="92"/>
        <v>0</v>
      </c>
      <c r="AO112" s="2080">
        <f t="shared" si="93"/>
        <v>0</v>
      </c>
      <c r="AP112" s="2080">
        <f t="shared" si="94"/>
        <v>0</v>
      </c>
      <c r="AQ112" s="2080">
        <f t="shared" si="95"/>
        <v>0</v>
      </c>
      <c r="AR112" s="2080">
        <f t="shared" si="96"/>
        <v>0</v>
      </c>
      <c r="AS112" s="2080">
        <f t="shared" si="97"/>
        <v>0</v>
      </c>
      <c r="AU112" s="2068"/>
      <c r="AV112" s="2068"/>
      <c r="AW112" s="2068"/>
      <c r="AX112" s="2068"/>
      <c r="AY112" s="2068"/>
      <c r="AZ112" s="2068"/>
      <c r="BA112" s="2068"/>
      <c r="BB112" s="2068"/>
      <c r="BC112" s="2068"/>
      <c r="BD112" s="2068"/>
      <c r="BE112" s="2068"/>
      <c r="BF112" s="2068"/>
      <c r="BG112" s="2068"/>
      <c r="BH112" s="2068"/>
      <c r="BI112" s="2068"/>
      <c r="BJ112" s="2068"/>
      <c r="BK112" s="2068"/>
      <c r="BL112" s="2068"/>
      <c r="BM112" s="2068"/>
      <c r="BN112" s="2068"/>
      <c r="BO112" s="2068"/>
      <c r="BP112" s="2068"/>
      <c r="BQ112" s="2068"/>
      <c r="BR112" s="2068"/>
      <c r="BS112" s="2068"/>
      <c r="BT112" s="2068"/>
      <c r="BU112" s="2068"/>
      <c r="BV112" s="2068"/>
      <c r="BW112" s="2068"/>
      <c r="BX112" s="2068"/>
      <c r="BY112" s="2068"/>
      <c r="BZ112" s="2068"/>
      <c r="CA112" s="2068"/>
      <c r="CB112" s="2068"/>
      <c r="CC112" s="2068"/>
      <c r="CD112" s="2068"/>
      <c r="CE112" s="2068"/>
      <c r="CF112" s="2068"/>
      <c r="CG112" s="2068"/>
      <c r="CH112" s="2068"/>
      <c r="CI112" s="2068"/>
      <c r="CJ112" s="2068"/>
      <c r="CK112" s="2068"/>
      <c r="CL112" s="2068"/>
      <c r="CM112" s="2068"/>
      <c r="CN112" s="2068"/>
      <c r="CO112" s="2068"/>
      <c r="CP112" s="2068"/>
      <c r="CQ112" s="2068"/>
      <c r="CR112" s="2068"/>
      <c r="CS112" s="2068"/>
      <c r="CT112" s="2068"/>
      <c r="CU112" s="2068"/>
      <c r="CV112" s="2068"/>
      <c r="CW112" s="2068"/>
      <c r="CX112" s="2068"/>
      <c r="CY112" s="2068"/>
      <c r="CZ112" s="2068"/>
      <c r="DA112" s="2068"/>
      <c r="DB112" s="2068"/>
      <c r="DC112" s="2068"/>
      <c r="DD112" s="2068"/>
      <c r="DE112" s="2068"/>
      <c r="DF112" s="2068"/>
      <c r="DG112" s="2068"/>
      <c r="DH112" s="2068"/>
      <c r="DI112" s="2068"/>
      <c r="DJ112" s="2068"/>
      <c r="DK112" s="2068"/>
      <c r="DL112" s="2068"/>
      <c r="DM112" s="2068"/>
      <c r="DN112" s="2068"/>
      <c r="DO112" s="2068"/>
      <c r="DP112" s="2068"/>
      <c r="DQ112" s="2068"/>
      <c r="DR112" s="2068"/>
      <c r="DS112" s="2068"/>
      <c r="DT112" s="2068"/>
      <c r="DU112" s="2068"/>
      <c r="DV112" s="2068"/>
      <c r="DW112" s="2068"/>
      <c r="DX112" s="2068"/>
      <c r="DY112" s="2068"/>
      <c r="DZ112" s="2068"/>
      <c r="EA112" s="2068"/>
      <c r="EB112" s="2068"/>
      <c r="EC112" s="2068"/>
      <c r="ED112" s="2068"/>
      <c r="EE112" s="2068"/>
      <c r="EF112" s="2068"/>
      <c r="EG112" s="2068"/>
      <c r="EH112" s="2068"/>
      <c r="EI112" s="2068"/>
      <c r="EJ112" s="2068"/>
      <c r="EK112" s="2068"/>
      <c r="EL112" s="2068"/>
      <c r="EM112" s="2068"/>
      <c r="EN112" s="2068"/>
      <c r="EO112" s="2068"/>
      <c r="EP112" s="2068"/>
      <c r="EQ112" s="2068"/>
      <c r="ER112" s="2068"/>
      <c r="ES112" s="2068"/>
      <c r="ET112" s="2068"/>
      <c r="EU112" s="2068"/>
      <c r="EV112" s="2068"/>
      <c r="EW112" s="2068"/>
      <c r="EX112" s="2068"/>
      <c r="EY112" s="2068"/>
      <c r="EZ112" s="2068"/>
      <c r="FA112" s="2068"/>
      <c r="FB112" s="2068"/>
      <c r="FC112" s="2068"/>
      <c r="FD112" s="2068"/>
      <c r="FE112" s="2068"/>
      <c r="FF112" s="2068"/>
      <c r="FG112" s="2068"/>
      <c r="FH112" s="2068"/>
      <c r="FI112" s="2068"/>
      <c r="FJ112" s="2068"/>
      <c r="FK112" s="2068"/>
      <c r="FL112" s="2068"/>
      <c r="FM112" s="2068"/>
      <c r="FN112" s="2068"/>
      <c r="FO112" s="2068"/>
      <c r="FP112" s="2068"/>
      <c r="FQ112" s="2068"/>
      <c r="FR112" s="2068"/>
      <c r="FS112" s="2068"/>
      <c r="FT112" s="2068"/>
      <c r="FU112" s="2068"/>
      <c r="FV112" s="2068"/>
      <c r="FW112" s="2068"/>
      <c r="FX112" s="2068"/>
      <c r="FY112" s="2068"/>
      <c r="FZ112" s="2068"/>
      <c r="GA112" s="2068"/>
      <c r="GB112" s="2068"/>
      <c r="GC112" s="2068"/>
      <c r="GD112" s="2068"/>
      <c r="GE112" s="2068"/>
      <c r="GF112" s="2068"/>
      <c r="GG112" s="2068"/>
      <c r="GH112" s="2068"/>
      <c r="GI112" s="2068"/>
      <c r="GJ112" s="2068"/>
      <c r="GK112" s="2068"/>
      <c r="GL112" s="2068"/>
      <c r="GM112" s="2068"/>
      <c r="GN112" s="2068"/>
      <c r="GO112" s="2068"/>
      <c r="GP112" s="2068"/>
      <c r="GQ112" s="2068"/>
      <c r="GR112" s="2068"/>
      <c r="GS112" s="2068"/>
      <c r="GT112" s="2068"/>
      <c r="GU112" s="2068"/>
      <c r="GV112" s="2068"/>
      <c r="GW112" s="2068"/>
      <c r="GX112" s="2068"/>
      <c r="GY112" s="2068"/>
      <c r="GZ112" s="2068"/>
      <c r="HA112" s="2068"/>
      <c r="HB112" s="2068"/>
      <c r="HC112" s="2068"/>
      <c r="HD112" s="2068"/>
      <c r="HE112" s="2068"/>
      <c r="HF112" s="2068"/>
      <c r="HG112" s="2068"/>
      <c r="HH112" s="2068"/>
      <c r="HI112" s="2068"/>
      <c r="HJ112" s="2068"/>
      <c r="HK112" s="2068"/>
      <c r="HL112" s="2068"/>
      <c r="HM112" s="2068"/>
      <c r="HN112" s="2068"/>
      <c r="HO112" s="2068"/>
      <c r="HP112" s="2068"/>
      <c r="HQ112" s="2068"/>
      <c r="HR112" s="2068"/>
      <c r="HS112" s="2068"/>
      <c r="HT112" s="2068"/>
      <c r="HU112" s="2068"/>
      <c r="HV112" s="2068"/>
      <c r="HW112" s="2068"/>
      <c r="HX112" s="2068"/>
      <c r="HY112" s="2068"/>
      <c r="HZ112" s="2068"/>
      <c r="IA112" s="2068"/>
      <c r="IB112" s="2068"/>
      <c r="IC112" s="2068"/>
      <c r="ID112" s="2068"/>
      <c r="IE112" s="2068"/>
      <c r="IF112" s="2068"/>
      <c r="IG112" s="2068"/>
      <c r="IH112" s="2068"/>
      <c r="II112" s="2068"/>
    </row>
    <row r="113" spans="2:243" s="2043" customFormat="1" ht="15.75" customHeight="1" x14ac:dyDescent="0.2">
      <c r="B113" s="2043">
        <v>6</v>
      </c>
      <c r="C113" s="1815">
        <v>1</v>
      </c>
      <c r="D113" s="2175"/>
      <c r="E113" s="2176">
        <f t="shared" si="98"/>
        <v>0</v>
      </c>
      <c r="F113" s="2177"/>
      <c r="G113" s="2178">
        <f t="shared" si="100"/>
        <v>0</v>
      </c>
      <c r="H113" s="2181">
        <v>1</v>
      </c>
      <c r="I113" s="2181">
        <v>1</v>
      </c>
      <c r="J113" s="2168"/>
      <c r="K113" s="2168"/>
      <c r="L113" s="2168"/>
      <c r="M113" s="2168"/>
      <c r="N113" s="2094"/>
      <c r="R113" s="2094">
        <v>7</v>
      </c>
      <c r="S113" s="2079">
        <f t="shared" si="76"/>
        <v>0</v>
      </c>
      <c r="T113" s="2179">
        <f t="shared" si="77"/>
        <v>0</v>
      </c>
      <c r="U113" s="2174">
        <f t="shared" si="78"/>
        <v>0</v>
      </c>
      <c r="V113" s="2174">
        <f t="shared" si="79"/>
        <v>0</v>
      </c>
      <c r="W113" s="2174">
        <f t="shared" si="99"/>
        <v>0</v>
      </c>
      <c r="X113" s="2068"/>
      <c r="Y113" s="2068"/>
      <c r="AA113" s="2621"/>
      <c r="AB113" s="2079">
        <f t="shared" si="80"/>
        <v>0</v>
      </c>
      <c r="AC113" s="2080">
        <f t="shared" si="81"/>
        <v>0</v>
      </c>
      <c r="AD113" s="2080">
        <f t="shared" si="82"/>
        <v>0</v>
      </c>
      <c r="AE113" s="2080">
        <f t="shared" si="83"/>
        <v>0</v>
      </c>
      <c r="AF113" s="2080">
        <f t="shared" si="84"/>
        <v>0</v>
      </c>
      <c r="AG113" s="2080">
        <f t="shared" si="85"/>
        <v>0</v>
      </c>
      <c r="AH113" s="2080">
        <f t="shared" si="86"/>
        <v>0</v>
      </c>
      <c r="AI113" s="2080">
        <f t="shared" si="87"/>
        <v>0</v>
      </c>
      <c r="AJ113" s="2080">
        <f t="shared" si="88"/>
        <v>0</v>
      </c>
      <c r="AK113" s="2080">
        <f t="shared" si="89"/>
        <v>0</v>
      </c>
      <c r="AL113" s="2080">
        <f t="shared" si="90"/>
        <v>0</v>
      </c>
      <c r="AM113" s="2080">
        <f t="shared" si="91"/>
        <v>0</v>
      </c>
      <c r="AN113" s="2080">
        <f t="shared" si="92"/>
        <v>0</v>
      </c>
      <c r="AO113" s="2080">
        <f t="shared" si="93"/>
        <v>0</v>
      </c>
      <c r="AP113" s="2080">
        <f t="shared" si="94"/>
        <v>0</v>
      </c>
      <c r="AQ113" s="2080">
        <f t="shared" si="95"/>
        <v>0</v>
      </c>
      <c r="AR113" s="2080">
        <f t="shared" si="96"/>
        <v>0</v>
      </c>
      <c r="AS113" s="2080">
        <f t="shared" si="97"/>
        <v>0</v>
      </c>
      <c r="AV113" s="2068"/>
      <c r="AW113" s="2068"/>
      <c r="AX113" s="2068"/>
      <c r="AY113" s="2068"/>
      <c r="AZ113" s="2068"/>
      <c r="BA113" s="2068"/>
      <c r="BB113" s="2068"/>
      <c r="BC113" s="2068"/>
      <c r="BD113" s="2068"/>
      <c r="BE113" s="2068"/>
      <c r="BF113" s="2068"/>
      <c r="BG113" s="2068"/>
      <c r="BH113" s="2068"/>
      <c r="BI113" s="2068"/>
      <c r="BJ113" s="2068"/>
      <c r="BK113" s="2068"/>
      <c r="BL113" s="2068"/>
      <c r="BM113" s="2068"/>
      <c r="BN113" s="2068"/>
      <c r="BO113" s="2068"/>
      <c r="BP113" s="2068"/>
      <c r="BQ113" s="2068"/>
      <c r="BR113" s="2068"/>
      <c r="BS113" s="2068"/>
      <c r="BT113" s="2068"/>
      <c r="BU113" s="2068"/>
      <c r="BV113" s="2068"/>
      <c r="BW113" s="2068"/>
      <c r="BX113" s="2068"/>
      <c r="BY113" s="2068"/>
      <c r="BZ113" s="2068"/>
      <c r="CA113" s="2068"/>
      <c r="CB113" s="2068"/>
      <c r="CC113" s="2068"/>
      <c r="CD113" s="2068"/>
      <c r="CE113" s="2068"/>
      <c r="CF113" s="2068"/>
      <c r="CG113" s="2068"/>
      <c r="CH113" s="2068"/>
      <c r="CI113" s="2068"/>
      <c r="CJ113" s="2068"/>
      <c r="CK113" s="2068"/>
      <c r="CL113" s="2068"/>
      <c r="CM113" s="2068"/>
      <c r="CN113" s="2068"/>
      <c r="CO113" s="2068"/>
      <c r="CP113" s="2068"/>
      <c r="CQ113" s="2068"/>
      <c r="CR113" s="2068"/>
      <c r="CS113" s="2068"/>
      <c r="CT113" s="2068"/>
      <c r="CU113" s="2068"/>
      <c r="CV113" s="2068"/>
      <c r="CW113" s="2068"/>
      <c r="CX113" s="2068"/>
      <c r="CY113" s="2068"/>
      <c r="CZ113" s="2068"/>
      <c r="DA113" s="2068"/>
      <c r="DB113" s="2068"/>
      <c r="DC113" s="2068"/>
      <c r="DD113" s="2068"/>
      <c r="DE113" s="2068"/>
      <c r="DF113" s="2068"/>
      <c r="DG113" s="2068"/>
      <c r="DH113" s="2068"/>
      <c r="DI113" s="2068"/>
      <c r="DJ113" s="2068"/>
      <c r="DK113" s="2068"/>
      <c r="DL113" s="2068"/>
      <c r="DM113" s="2068"/>
      <c r="DN113" s="2068"/>
      <c r="DO113" s="2068"/>
      <c r="DP113" s="2068"/>
      <c r="DQ113" s="2068"/>
      <c r="DR113" s="2068"/>
      <c r="DS113" s="2068"/>
      <c r="DT113" s="2068"/>
      <c r="DU113" s="2068"/>
      <c r="DV113" s="2068"/>
      <c r="DW113" s="2068"/>
      <c r="DX113" s="2068"/>
      <c r="DY113" s="2068"/>
      <c r="DZ113" s="2068"/>
      <c r="EA113" s="2068"/>
      <c r="EB113" s="2068"/>
      <c r="EC113" s="2068"/>
      <c r="ED113" s="2068"/>
      <c r="EE113" s="2068"/>
      <c r="EF113" s="2068"/>
      <c r="EG113" s="2068"/>
      <c r="EH113" s="2068"/>
      <c r="EI113" s="2068"/>
      <c r="EJ113" s="2068"/>
      <c r="EK113" s="2068"/>
      <c r="EL113" s="2068"/>
      <c r="EM113" s="2068"/>
      <c r="EN113" s="2068"/>
      <c r="EO113" s="2068"/>
      <c r="EP113" s="2068"/>
      <c r="EQ113" s="2068"/>
      <c r="ER113" s="2068"/>
      <c r="ES113" s="2068"/>
      <c r="ET113" s="2068"/>
      <c r="EU113" s="2068"/>
      <c r="EV113" s="2068"/>
      <c r="EW113" s="2068"/>
      <c r="EX113" s="2068"/>
      <c r="EY113" s="2068"/>
      <c r="EZ113" s="2068"/>
      <c r="FA113" s="2068"/>
      <c r="FB113" s="2068"/>
      <c r="FC113" s="2068"/>
      <c r="FD113" s="2068"/>
      <c r="FE113" s="2068"/>
      <c r="FF113" s="2068"/>
      <c r="FG113" s="2068"/>
      <c r="FH113" s="2068"/>
      <c r="FI113" s="2068"/>
      <c r="FJ113" s="2068"/>
      <c r="FK113" s="2068"/>
      <c r="FL113" s="2068"/>
      <c r="FM113" s="2068"/>
      <c r="FN113" s="2068"/>
      <c r="FO113" s="2068"/>
      <c r="FP113" s="2068"/>
      <c r="FQ113" s="2068"/>
      <c r="FR113" s="2068"/>
      <c r="FS113" s="2068"/>
      <c r="FT113" s="2068"/>
      <c r="FU113" s="2068"/>
      <c r="FV113" s="2068"/>
      <c r="FW113" s="2068"/>
      <c r="FX113" s="2068"/>
      <c r="FY113" s="2068"/>
      <c r="FZ113" s="2068"/>
      <c r="GA113" s="2068"/>
      <c r="GB113" s="2068"/>
      <c r="GC113" s="2068"/>
      <c r="GD113" s="2068"/>
      <c r="GE113" s="2068"/>
      <c r="GF113" s="2068"/>
      <c r="GG113" s="2068"/>
      <c r="GH113" s="2068"/>
      <c r="GI113" s="2068"/>
      <c r="GJ113" s="2068"/>
      <c r="GK113" s="2068"/>
      <c r="GL113" s="2068"/>
      <c r="GM113" s="2068"/>
      <c r="GN113" s="2068"/>
      <c r="GO113" s="2068"/>
      <c r="GP113" s="2068"/>
      <c r="GQ113" s="2068"/>
      <c r="GR113" s="2068"/>
      <c r="GS113" s="2068"/>
      <c r="GT113" s="2068"/>
      <c r="GU113" s="2068"/>
      <c r="GV113" s="2068"/>
      <c r="GW113" s="2068"/>
      <c r="GX113" s="2068"/>
      <c r="GY113" s="2068"/>
      <c r="GZ113" s="2068"/>
      <c r="HA113" s="2068"/>
      <c r="HB113" s="2068"/>
      <c r="HC113" s="2068"/>
      <c r="HD113" s="2068"/>
      <c r="HE113" s="2068"/>
      <c r="HF113" s="2068"/>
      <c r="HG113" s="2068"/>
      <c r="HH113" s="2068"/>
      <c r="HI113" s="2068"/>
      <c r="HJ113" s="2068"/>
      <c r="HK113" s="2068"/>
      <c r="HL113" s="2068"/>
      <c r="HM113" s="2068"/>
      <c r="HN113" s="2068"/>
      <c r="HO113" s="2068"/>
      <c r="HP113" s="2068"/>
      <c r="HQ113" s="2068"/>
      <c r="HR113" s="2068"/>
      <c r="HS113" s="2068"/>
      <c r="HT113" s="2068"/>
      <c r="HU113" s="2068"/>
      <c r="HV113" s="2068"/>
      <c r="HW113" s="2068"/>
      <c r="HX113" s="2068"/>
      <c r="HY113" s="2068"/>
      <c r="HZ113" s="2068"/>
      <c r="IA113" s="2068"/>
      <c r="IB113" s="2068"/>
      <c r="IC113" s="2068"/>
      <c r="ID113" s="2068"/>
      <c r="IE113" s="2068"/>
      <c r="IF113" s="2068"/>
      <c r="IG113" s="2068"/>
      <c r="IH113" s="2068"/>
      <c r="II113" s="2068"/>
    </row>
    <row r="114" spans="2:243" s="2043" customFormat="1" ht="15.75" customHeight="1" x14ac:dyDescent="0.2">
      <c r="B114" s="2043">
        <v>7</v>
      </c>
      <c r="C114" s="1815">
        <v>1</v>
      </c>
      <c r="D114" s="2175"/>
      <c r="E114" s="2176">
        <f t="shared" si="98"/>
        <v>0</v>
      </c>
      <c r="F114" s="2177"/>
      <c r="G114" s="2178">
        <f t="shared" si="100"/>
        <v>0</v>
      </c>
      <c r="H114" s="2181">
        <v>1</v>
      </c>
      <c r="I114" s="2181">
        <v>1</v>
      </c>
      <c r="J114" s="2168"/>
      <c r="K114" s="2168"/>
      <c r="L114" s="2168"/>
      <c r="M114" s="2168"/>
      <c r="N114" s="2094"/>
      <c r="R114" s="2094">
        <v>8</v>
      </c>
      <c r="S114" s="2079">
        <f t="shared" si="76"/>
        <v>0</v>
      </c>
      <c r="T114" s="2179">
        <f t="shared" si="77"/>
        <v>0</v>
      </c>
      <c r="U114" s="2174">
        <f t="shared" si="78"/>
        <v>0</v>
      </c>
      <c r="V114" s="2174">
        <f t="shared" si="79"/>
        <v>0</v>
      </c>
      <c r="W114" s="2174">
        <f t="shared" si="99"/>
        <v>0</v>
      </c>
      <c r="Y114" s="2068"/>
      <c r="AA114" s="2621"/>
      <c r="AB114" s="2079">
        <f t="shared" si="80"/>
        <v>0</v>
      </c>
      <c r="AC114" s="2080">
        <f t="shared" si="81"/>
        <v>0</v>
      </c>
      <c r="AD114" s="2080">
        <f t="shared" si="82"/>
        <v>0</v>
      </c>
      <c r="AE114" s="2080">
        <f t="shared" si="83"/>
        <v>0</v>
      </c>
      <c r="AF114" s="2080">
        <f t="shared" si="84"/>
        <v>0</v>
      </c>
      <c r="AG114" s="2080">
        <f t="shared" si="85"/>
        <v>0</v>
      </c>
      <c r="AH114" s="2080">
        <f t="shared" si="86"/>
        <v>0</v>
      </c>
      <c r="AI114" s="2080">
        <f t="shared" si="87"/>
        <v>0</v>
      </c>
      <c r="AJ114" s="2080">
        <f t="shared" si="88"/>
        <v>0</v>
      </c>
      <c r="AK114" s="2080">
        <f t="shared" si="89"/>
        <v>0</v>
      </c>
      <c r="AL114" s="2080">
        <f t="shared" si="90"/>
        <v>0</v>
      </c>
      <c r="AM114" s="2080">
        <f t="shared" si="91"/>
        <v>0</v>
      </c>
      <c r="AN114" s="2080">
        <f t="shared" si="92"/>
        <v>0</v>
      </c>
      <c r="AO114" s="2080">
        <f t="shared" si="93"/>
        <v>0</v>
      </c>
      <c r="AP114" s="2080">
        <f t="shared" si="94"/>
        <v>0</v>
      </c>
      <c r="AQ114" s="2080">
        <f t="shared" si="95"/>
        <v>0</v>
      </c>
      <c r="AR114" s="2080">
        <f t="shared" si="96"/>
        <v>0</v>
      </c>
      <c r="AS114" s="2080">
        <f t="shared" si="97"/>
        <v>0</v>
      </c>
      <c r="AX114" s="2068"/>
      <c r="AY114" s="2068"/>
      <c r="AZ114" s="2068"/>
      <c r="BA114" s="2068"/>
      <c r="BB114" s="2068"/>
      <c r="BC114" s="2068"/>
      <c r="BD114" s="2068"/>
      <c r="BE114" s="2068"/>
      <c r="BF114" s="2068"/>
      <c r="BG114" s="2068"/>
      <c r="BH114" s="2068"/>
      <c r="BI114" s="2068"/>
      <c r="BJ114" s="2068"/>
      <c r="BK114" s="2068"/>
      <c r="BL114" s="2068"/>
      <c r="BM114" s="2068"/>
      <c r="BN114" s="2068"/>
      <c r="BO114" s="2068"/>
      <c r="BP114" s="2068"/>
      <c r="BQ114" s="2068"/>
      <c r="BR114" s="2068"/>
      <c r="BS114" s="2068"/>
      <c r="BT114" s="2068"/>
      <c r="BU114" s="2068"/>
      <c r="BV114" s="2068"/>
      <c r="BW114" s="2068"/>
      <c r="BX114" s="2068"/>
      <c r="BY114" s="2068"/>
      <c r="BZ114" s="2068"/>
      <c r="CA114" s="2068"/>
      <c r="CB114" s="2068"/>
      <c r="CC114" s="2068"/>
      <c r="CD114" s="2068"/>
      <c r="CE114" s="2068"/>
      <c r="CF114" s="2068"/>
      <c r="CG114" s="2068"/>
      <c r="CH114" s="2068"/>
      <c r="CI114" s="2068"/>
      <c r="CJ114" s="2068"/>
      <c r="CK114" s="2068"/>
      <c r="CL114" s="2068"/>
      <c r="CM114" s="2068"/>
      <c r="CN114" s="2068"/>
      <c r="CO114" s="2068"/>
      <c r="CP114" s="2068"/>
      <c r="CQ114" s="2068"/>
      <c r="CR114" s="2068"/>
      <c r="CS114" s="2068"/>
      <c r="CT114" s="2068"/>
      <c r="CU114" s="2068"/>
      <c r="CV114" s="2068"/>
      <c r="CW114" s="2068"/>
      <c r="CX114" s="2068"/>
      <c r="CY114" s="2068"/>
      <c r="CZ114" s="2068"/>
      <c r="DA114" s="2068"/>
      <c r="DB114" s="2068"/>
      <c r="DC114" s="2068"/>
      <c r="DD114" s="2068"/>
      <c r="DE114" s="2068"/>
      <c r="DF114" s="2068"/>
      <c r="DG114" s="2068"/>
      <c r="DH114" s="2068"/>
      <c r="DI114" s="2068"/>
      <c r="DJ114" s="2068"/>
      <c r="DK114" s="2068"/>
      <c r="DL114" s="2068"/>
      <c r="DM114" s="2068"/>
      <c r="DN114" s="2068"/>
      <c r="DO114" s="2068"/>
      <c r="DP114" s="2068"/>
      <c r="DQ114" s="2068"/>
      <c r="DR114" s="2068"/>
      <c r="DS114" s="2068"/>
      <c r="DT114" s="2068"/>
      <c r="DU114" s="2068"/>
      <c r="DV114" s="2068"/>
      <c r="DW114" s="2068"/>
      <c r="DX114" s="2068"/>
      <c r="DY114" s="2068"/>
      <c r="DZ114" s="2068"/>
      <c r="EA114" s="2068"/>
      <c r="EB114" s="2068"/>
      <c r="EC114" s="2068"/>
      <c r="ED114" s="2068"/>
      <c r="EE114" s="2068"/>
      <c r="EF114" s="2068"/>
      <c r="EG114" s="2068"/>
      <c r="EH114" s="2068"/>
      <c r="EI114" s="2068"/>
      <c r="EJ114" s="2068"/>
      <c r="EK114" s="2068"/>
      <c r="EL114" s="2068"/>
      <c r="EM114" s="2068"/>
      <c r="EN114" s="2068"/>
      <c r="EO114" s="2068"/>
      <c r="EP114" s="2068"/>
      <c r="EQ114" s="2068"/>
      <c r="ER114" s="2068"/>
      <c r="ES114" s="2068"/>
      <c r="ET114" s="2068"/>
      <c r="EU114" s="2068"/>
      <c r="EV114" s="2068"/>
      <c r="EW114" s="2068"/>
      <c r="EX114" s="2068"/>
      <c r="EY114" s="2068"/>
      <c r="EZ114" s="2068"/>
      <c r="FA114" s="2068"/>
      <c r="FB114" s="2068"/>
      <c r="FC114" s="2068"/>
      <c r="FD114" s="2068"/>
      <c r="FE114" s="2068"/>
      <c r="FF114" s="2068"/>
      <c r="FG114" s="2068"/>
      <c r="FH114" s="2068"/>
      <c r="FI114" s="2068"/>
      <c r="FJ114" s="2068"/>
      <c r="FK114" s="2068"/>
      <c r="FL114" s="2068"/>
      <c r="FM114" s="2068"/>
      <c r="FN114" s="2068"/>
      <c r="FO114" s="2068"/>
      <c r="FP114" s="2068"/>
      <c r="FQ114" s="2068"/>
      <c r="FR114" s="2068"/>
      <c r="FS114" s="2068"/>
      <c r="FT114" s="2068"/>
      <c r="FU114" s="2068"/>
      <c r="FV114" s="2068"/>
      <c r="FW114" s="2068"/>
      <c r="FX114" s="2068"/>
      <c r="FY114" s="2068"/>
      <c r="FZ114" s="2068"/>
      <c r="GA114" s="2068"/>
      <c r="GB114" s="2068"/>
      <c r="GC114" s="2068"/>
      <c r="GD114" s="2068"/>
      <c r="GE114" s="2068"/>
      <c r="GF114" s="2068"/>
      <c r="GG114" s="2068"/>
      <c r="GH114" s="2068"/>
      <c r="GI114" s="2068"/>
      <c r="GJ114" s="2068"/>
      <c r="GK114" s="2068"/>
      <c r="GL114" s="2068"/>
      <c r="GM114" s="2068"/>
      <c r="GN114" s="2068"/>
      <c r="GO114" s="2068"/>
      <c r="GP114" s="2068"/>
      <c r="GQ114" s="2068"/>
      <c r="GR114" s="2068"/>
      <c r="GS114" s="2068"/>
      <c r="GT114" s="2068"/>
      <c r="GU114" s="2068"/>
      <c r="GV114" s="2068"/>
      <c r="GW114" s="2068"/>
      <c r="GX114" s="2068"/>
      <c r="GY114" s="2068"/>
      <c r="GZ114" s="2068"/>
      <c r="HA114" s="2068"/>
      <c r="HB114" s="2068"/>
      <c r="HC114" s="2068"/>
      <c r="HD114" s="2068"/>
      <c r="HE114" s="2068"/>
      <c r="HF114" s="2068"/>
      <c r="HG114" s="2068"/>
      <c r="HH114" s="2068"/>
      <c r="HI114" s="2068"/>
      <c r="HJ114" s="2068"/>
      <c r="HK114" s="2068"/>
      <c r="HL114" s="2068"/>
      <c r="HM114" s="2068"/>
      <c r="HN114" s="2068"/>
      <c r="HO114" s="2068"/>
      <c r="HP114" s="2068"/>
      <c r="HQ114" s="2068"/>
      <c r="HR114" s="2068"/>
      <c r="HS114" s="2068"/>
      <c r="HT114" s="2068"/>
      <c r="HU114" s="2068"/>
      <c r="HV114" s="2068"/>
      <c r="HW114" s="2068"/>
      <c r="HX114" s="2068"/>
      <c r="HY114" s="2068"/>
      <c r="HZ114" s="2068"/>
      <c r="IA114" s="2068"/>
      <c r="IB114" s="2068"/>
      <c r="IC114" s="2068"/>
      <c r="ID114" s="2068"/>
      <c r="IE114" s="2068"/>
      <c r="IF114" s="2068"/>
      <c r="IG114" s="2068"/>
      <c r="IH114" s="2068"/>
      <c r="II114" s="2068"/>
    </row>
    <row r="115" spans="2:243" s="2043" customFormat="1" ht="15.75" customHeight="1" x14ac:dyDescent="0.2">
      <c r="B115" s="2043">
        <v>8</v>
      </c>
      <c r="C115" s="1815">
        <v>1</v>
      </c>
      <c r="D115" s="2175"/>
      <c r="E115" s="2176">
        <f t="shared" si="98"/>
        <v>0</v>
      </c>
      <c r="F115" s="2177"/>
      <c r="G115" s="2178">
        <f t="shared" si="100"/>
        <v>0</v>
      </c>
      <c r="H115" s="2181">
        <v>1</v>
      </c>
      <c r="I115" s="2181">
        <v>1</v>
      </c>
      <c r="J115" s="2168"/>
      <c r="K115" s="2168"/>
      <c r="L115" s="2168"/>
      <c r="M115" s="2168"/>
      <c r="N115" s="2094"/>
      <c r="R115" s="2094">
        <v>9</v>
      </c>
      <c r="S115" s="2079">
        <f t="shared" si="76"/>
        <v>0</v>
      </c>
      <c r="T115" s="2179">
        <f t="shared" si="77"/>
        <v>0</v>
      </c>
      <c r="U115" s="2179">
        <f t="shared" si="78"/>
        <v>0</v>
      </c>
      <c r="V115" s="2174">
        <f t="shared" si="79"/>
        <v>0</v>
      </c>
      <c r="W115" s="2179">
        <f t="shared" si="99"/>
        <v>0</v>
      </c>
      <c r="Y115" s="2068"/>
      <c r="AA115" s="2621"/>
      <c r="AB115" s="2079">
        <f t="shared" si="80"/>
        <v>0</v>
      </c>
      <c r="AC115" s="2080">
        <f t="shared" si="81"/>
        <v>0</v>
      </c>
      <c r="AD115" s="2080">
        <f t="shared" si="82"/>
        <v>0</v>
      </c>
      <c r="AE115" s="2080">
        <f t="shared" si="83"/>
        <v>0</v>
      </c>
      <c r="AF115" s="2080">
        <f t="shared" si="84"/>
        <v>0</v>
      </c>
      <c r="AG115" s="2080">
        <f t="shared" si="85"/>
        <v>0</v>
      </c>
      <c r="AH115" s="2080">
        <f t="shared" si="86"/>
        <v>0</v>
      </c>
      <c r="AI115" s="2080">
        <f t="shared" si="87"/>
        <v>0</v>
      </c>
      <c r="AJ115" s="2080">
        <f t="shared" si="88"/>
        <v>0</v>
      </c>
      <c r="AK115" s="2080">
        <f t="shared" si="89"/>
        <v>0</v>
      </c>
      <c r="AL115" s="2080">
        <f t="shared" si="90"/>
        <v>0</v>
      </c>
      <c r="AM115" s="2080">
        <f t="shared" si="91"/>
        <v>0</v>
      </c>
      <c r="AN115" s="2080">
        <f t="shared" si="92"/>
        <v>0</v>
      </c>
      <c r="AO115" s="2080">
        <f t="shared" si="93"/>
        <v>0</v>
      </c>
      <c r="AP115" s="2080">
        <f t="shared" si="94"/>
        <v>0</v>
      </c>
      <c r="AQ115" s="2080">
        <f t="shared" si="95"/>
        <v>0</v>
      </c>
      <c r="AR115" s="2080">
        <f t="shared" si="96"/>
        <v>0</v>
      </c>
      <c r="AS115" s="2080">
        <f t="shared" si="97"/>
        <v>0</v>
      </c>
      <c r="AX115" s="2068"/>
      <c r="AY115" s="2068"/>
      <c r="AZ115" s="2068"/>
      <c r="BA115" s="2068"/>
      <c r="BB115" s="2068"/>
      <c r="BC115" s="2068"/>
      <c r="BD115" s="2068"/>
      <c r="BE115" s="2068"/>
      <c r="BF115" s="2068"/>
      <c r="BG115" s="2068"/>
      <c r="BH115" s="2068"/>
      <c r="BI115" s="2068"/>
      <c r="BJ115" s="2068"/>
      <c r="BK115" s="2068"/>
      <c r="BL115" s="2068"/>
      <c r="BM115" s="2068"/>
      <c r="BN115" s="2068"/>
      <c r="BO115" s="2068"/>
      <c r="BP115" s="2068"/>
      <c r="BQ115" s="2068"/>
      <c r="BR115" s="2068"/>
      <c r="BS115" s="2068"/>
      <c r="BT115" s="2068"/>
      <c r="BU115" s="2068"/>
      <c r="BV115" s="2068"/>
      <c r="BW115" s="2068"/>
      <c r="BX115" s="2068"/>
      <c r="BY115" s="2068"/>
      <c r="BZ115" s="2068"/>
      <c r="CA115" s="2068"/>
      <c r="CB115" s="2068"/>
      <c r="CC115" s="2068"/>
      <c r="CD115" s="2068"/>
      <c r="CE115" s="2068"/>
      <c r="CF115" s="2068"/>
      <c r="CG115" s="2068"/>
      <c r="CH115" s="2068"/>
      <c r="CI115" s="2068"/>
      <c r="CJ115" s="2068"/>
      <c r="CK115" s="2068"/>
      <c r="CL115" s="2068"/>
      <c r="CM115" s="2068"/>
      <c r="CN115" s="2068"/>
      <c r="CO115" s="2068"/>
      <c r="CP115" s="2068"/>
      <c r="CQ115" s="2068"/>
      <c r="CR115" s="2068"/>
      <c r="CS115" s="2068"/>
      <c r="CT115" s="2068"/>
      <c r="CU115" s="2068"/>
      <c r="CV115" s="2068"/>
      <c r="CW115" s="2068"/>
      <c r="CX115" s="2068"/>
      <c r="CY115" s="2068"/>
      <c r="CZ115" s="2068"/>
      <c r="DA115" s="2068"/>
      <c r="DB115" s="2068"/>
      <c r="DC115" s="2068"/>
      <c r="DD115" s="2068"/>
      <c r="DE115" s="2068"/>
      <c r="DF115" s="2068"/>
      <c r="DG115" s="2068"/>
      <c r="DH115" s="2068"/>
      <c r="DI115" s="2068"/>
      <c r="DJ115" s="2068"/>
      <c r="DK115" s="2068"/>
      <c r="DL115" s="2068"/>
      <c r="DM115" s="2068"/>
      <c r="DN115" s="2068"/>
      <c r="DO115" s="2068"/>
      <c r="DP115" s="2068"/>
      <c r="DQ115" s="2068"/>
      <c r="DR115" s="2068"/>
      <c r="DS115" s="2068"/>
      <c r="DT115" s="2068"/>
      <c r="DU115" s="2068"/>
      <c r="DV115" s="2068"/>
      <c r="DW115" s="2068"/>
      <c r="DX115" s="2068"/>
      <c r="DY115" s="2068"/>
      <c r="DZ115" s="2068"/>
      <c r="EA115" s="2068"/>
      <c r="EB115" s="2068"/>
      <c r="EC115" s="2068"/>
      <c r="ED115" s="2068"/>
      <c r="EE115" s="2068"/>
      <c r="EF115" s="2068"/>
      <c r="EG115" s="2068"/>
      <c r="EH115" s="2068"/>
      <c r="EI115" s="2068"/>
      <c r="EJ115" s="2068"/>
      <c r="EK115" s="2068"/>
      <c r="EL115" s="2068"/>
      <c r="EM115" s="2068"/>
      <c r="EN115" s="2068"/>
      <c r="EO115" s="2068"/>
      <c r="EP115" s="2068"/>
      <c r="EQ115" s="2068"/>
      <c r="ER115" s="2068"/>
      <c r="ES115" s="2068"/>
      <c r="ET115" s="2068"/>
      <c r="EU115" s="2068"/>
      <c r="EV115" s="2068"/>
      <c r="EW115" s="2068"/>
      <c r="EX115" s="2068"/>
      <c r="EY115" s="2068"/>
      <c r="EZ115" s="2068"/>
      <c r="FA115" s="2068"/>
      <c r="FB115" s="2068"/>
      <c r="FC115" s="2068"/>
      <c r="FD115" s="2068"/>
      <c r="FE115" s="2068"/>
      <c r="FF115" s="2068"/>
      <c r="FG115" s="2068"/>
      <c r="FH115" s="2068"/>
      <c r="FI115" s="2068"/>
      <c r="FJ115" s="2068"/>
      <c r="FK115" s="2068"/>
      <c r="FL115" s="2068"/>
      <c r="FM115" s="2068"/>
      <c r="FN115" s="2068"/>
      <c r="FO115" s="2068"/>
      <c r="FP115" s="2068"/>
      <c r="FQ115" s="2068"/>
      <c r="FR115" s="2068"/>
      <c r="FS115" s="2068"/>
      <c r="FT115" s="2068"/>
      <c r="FU115" s="2068"/>
      <c r="FV115" s="2068"/>
      <c r="FW115" s="2068"/>
      <c r="FX115" s="2068"/>
      <c r="FY115" s="2068"/>
      <c r="FZ115" s="2068"/>
      <c r="GA115" s="2068"/>
      <c r="GB115" s="2068"/>
      <c r="GC115" s="2068"/>
      <c r="GD115" s="2068"/>
      <c r="GE115" s="2068"/>
      <c r="GF115" s="2068"/>
      <c r="GG115" s="2068"/>
      <c r="GH115" s="2068"/>
      <c r="GI115" s="2068"/>
      <c r="GJ115" s="2068"/>
      <c r="GK115" s="2068"/>
      <c r="GL115" s="2068"/>
      <c r="GM115" s="2068"/>
      <c r="GN115" s="2068"/>
      <c r="GO115" s="2068"/>
      <c r="GP115" s="2068"/>
      <c r="GQ115" s="2068"/>
      <c r="GR115" s="2068"/>
      <c r="GS115" s="2068"/>
      <c r="GT115" s="2068"/>
      <c r="GU115" s="2068"/>
      <c r="GV115" s="2068"/>
      <c r="GW115" s="2068"/>
      <c r="GX115" s="2068"/>
      <c r="GY115" s="2068"/>
      <c r="GZ115" s="2068"/>
      <c r="HA115" s="2068"/>
      <c r="HB115" s="2068"/>
      <c r="HC115" s="2068"/>
      <c r="HD115" s="2068"/>
      <c r="HE115" s="2068"/>
      <c r="HF115" s="2068"/>
      <c r="HG115" s="2068"/>
      <c r="HH115" s="2068"/>
      <c r="HI115" s="2068"/>
      <c r="HJ115" s="2068"/>
      <c r="HK115" s="2068"/>
      <c r="HL115" s="2068"/>
      <c r="HM115" s="2068"/>
      <c r="HN115" s="2068"/>
      <c r="HO115" s="2068"/>
      <c r="HP115" s="2068"/>
      <c r="HQ115" s="2068"/>
      <c r="HR115" s="2068"/>
      <c r="HS115" s="2068"/>
      <c r="HT115" s="2068"/>
      <c r="HU115" s="2068"/>
      <c r="HV115" s="2068"/>
      <c r="HW115" s="2068"/>
      <c r="HX115" s="2068"/>
      <c r="HY115" s="2068"/>
      <c r="HZ115" s="2068"/>
      <c r="IA115" s="2068"/>
      <c r="IB115" s="2068"/>
      <c r="IC115" s="2068"/>
      <c r="ID115" s="2068"/>
      <c r="IE115" s="2068"/>
      <c r="IF115" s="2068"/>
      <c r="IG115" s="2068"/>
      <c r="IH115" s="2068"/>
      <c r="II115" s="2068"/>
    </row>
    <row r="116" spans="2:243" s="2043" customFormat="1" ht="15.75" customHeight="1" thickBot="1" x14ac:dyDescent="0.25">
      <c r="B116" s="2043">
        <v>9</v>
      </c>
      <c r="C116" s="1815">
        <v>1</v>
      </c>
      <c r="D116" s="2175"/>
      <c r="E116" s="2176">
        <f t="shared" si="98"/>
        <v>0</v>
      </c>
      <c r="F116" s="2177"/>
      <c r="G116" s="2178">
        <f t="shared" si="100"/>
        <v>0</v>
      </c>
      <c r="H116" s="2181">
        <v>1</v>
      </c>
      <c r="I116" s="2181">
        <v>1</v>
      </c>
      <c r="J116" s="2168"/>
      <c r="K116" s="2168"/>
      <c r="L116" s="2168"/>
      <c r="M116" s="2168"/>
      <c r="N116" s="2094"/>
      <c r="R116" s="2094">
        <v>10</v>
      </c>
      <c r="S116" s="2184">
        <f t="shared" si="76"/>
        <v>0</v>
      </c>
      <c r="T116" s="2185">
        <f t="shared" si="77"/>
        <v>0</v>
      </c>
      <c r="U116" s="2186">
        <f t="shared" si="78"/>
        <v>0</v>
      </c>
      <c r="V116" s="2174">
        <f t="shared" si="79"/>
        <v>0</v>
      </c>
      <c r="W116" s="2186">
        <f t="shared" si="99"/>
        <v>0</v>
      </c>
      <c r="Y116" s="2068"/>
      <c r="AA116" s="2621"/>
      <c r="AB116" s="2071">
        <f t="shared" si="80"/>
        <v>0</v>
      </c>
      <c r="AC116" s="2109">
        <f t="shared" si="81"/>
        <v>0</v>
      </c>
      <c r="AD116" s="2109">
        <f t="shared" si="82"/>
        <v>0</v>
      </c>
      <c r="AE116" s="2109">
        <f t="shared" si="83"/>
        <v>0</v>
      </c>
      <c r="AF116" s="2109">
        <f t="shared" si="84"/>
        <v>0</v>
      </c>
      <c r="AG116" s="2109">
        <f t="shared" si="85"/>
        <v>0</v>
      </c>
      <c r="AH116" s="2109">
        <f t="shared" si="86"/>
        <v>0</v>
      </c>
      <c r="AI116" s="2109">
        <f t="shared" si="87"/>
        <v>0</v>
      </c>
      <c r="AJ116" s="2109">
        <f t="shared" si="88"/>
        <v>0</v>
      </c>
      <c r="AK116" s="2109">
        <f t="shared" si="89"/>
        <v>0</v>
      </c>
      <c r="AL116" s="2109">
        <f t="shared" si="90"/>
        <v>0</v>
      </c>
      <c r="AM116" s="2109">
        <f t="shared" si="91"/>
        <v>0</v>
      </c>
      <c r="AN116" s="2109">
        <f t="shared" si="92"/>
        <v>0</v>
      </c>
      <c r="AO116" s="2109">
        <f t="shared" si="93"/>
        <v>0</v>
      </c>
      <c r="AP116" s="2109">
        <f t="shared" si="94"/>
        <v>0</v>
      </c>
      <c r="AQ116" s="2109">
        <f t="shared" si="95"/>
        <v>0</v>
      </c>
      <c r="AR116" s="2109">
        <f t="shared" si="96"/>
        <v>0</v>
      </c>
      <c r="AS116" s="2109">
        <f t="shared" si="97"/>
        <v>0</v>
      </c>
      <c r="AX116" s="2068"/>
      <c r="AY116" s="2068"/>
      <c r="AZ116" s="2068"/>
      <c r="BA116" s="2068"/>
      <c r="BB116" s="2068"/>
      <c r="BC116" s="2068"/>
      <c r="BD116" s="2068"/>
      <c r="BE116" s="2068"/>
      <c r="BF116" s="2068"/>
      <c r="BG116" s="2068"/>
      <c r="BH116" s="2068"/>
      <c r="BI116" s="2068"/>
      <c r="BJ116" s="2068"/>
      <c r="BK116" s="2068"/>
      <c r="BL116" s="2068"/>
      <c r="BM116" s="2068"/>
      <c r="BN116" s="2068"/>
      <c r="BO116" s="2068"/>
      <c r="BP116" s="2068"/>
      <c r="BQ116" s="2068"/>
      <c r="BR116" s="2068"/>
      <c r="BS116" s="2068"/>
      <c r="BT116" s="2068"/>
      <c r="BU116" s="2068"/>
      <c r="BV116" s="2068"/>
      <c r="BW116" s="2068"/>
      <c r="BX116" s="2068"/>
      <c r="BY116" s="2068"/>
      <c r="BZ116" s="2068"/>
      <c r="CA116" s="2068"/>
      <c r="CB116" s="2068"/>
      <c r="CC116" s="2068"/>
      <c r="CD116" s="2068"/>
      <c r="CE116" s="2068"/>
      <c r="CF116" s="2068"/>
      <c r="CG116" s="2068"/>
      <c r="CH116" s="2068"/>
      <c r="CI116" s="2068"/>
      <c r="CJ116" s="2068"/>
      <c r="CK116" s="2068"/>
      <c r="CL116" s="2068"/>
      <c r="CM116" s="2068"/>
      <c r="CN116" s="2068"/>
      <c r="CO116" s="2068"/>
      <c r="CP116" s="2068"/>
      <c r="CQ116" s="2068"/>
      <c r="CR116" s="2068"/>
      <c r="CS116" s="2068"/>
      <c r="CT116" s="2068"/>
      <c r="CU116" s="2068"/>
      <c r="CV116" s="2068"/>
      <c r="CW116" s="2068"/>
      <c r="CX116" s="2068"/>
      <c r="CY116" s="2068"/>
      <c r="CZ116" s="2068"/>
      <c r="DA116" s="2068"/>
      <c r="DB116" s="2068"/>
      <c r="DC116" s="2068"/>
      <c r="DD116" s="2068"/>
      <c r="DE116" s="2068"/>
      <c r="DF116" s="2068"/>
      <c r="DG116" s="2068"/>
      <c r="DH116" s="2068"/>
      <c r="DI116" s="2068"/>
      <c r="DJ116" s="2068"/>
      <c r="DK116" s="2068"/>
      <c r="DL116" s="2068"/>
      <c r="DM116" s="2068"/>
      <c r="DN116" s="2068"/>
      <c r="DO116" s="2068"/>
      <c r="DP116" s="2068"/>
      <c r="DQ116" s="2068"/>
      <c r="DR116" s="2068"/>
      <c r="DS116" s="2068"/>
      <c r="DT116" s="2068"/>
      <c r="DU116" s="2068"/>
      <c r="DV116" s="2068"/>
      <c r="DW116" s="2068"/>
      <c r="DX116" s="2068"/>
      <c r="DY116" s="2068"/>
      <c r="DZ116" s="2068"/>
      <c r="EA116" s="2068"/>
      <c r="EB116" s="2068"/>
      <c r="EC116" s="2068"/>
      <c r="ED116" s="2068"/>
      <c r="EE116" s="2068"/>
      <c r="EF116" s="2068"/>
      <c r="EG116" s="2068"/>
      <c r="EH116" s="2068"/>
      <c r="EI116" s="2068"/>
      <c r="EJ116" s="2068"/>
      <c r="EK116" s="2068"/>
      <c r="EL116" s="2068"/>
      <c r="EM116" s="2068"/>
      <c r="EN116" s="2068"/>
      <c r="EO116" s="2068"/>
      <c r="EP116" s="2068"/>
      <c r="EQ116" s="2068"/>
      <c r="ER116" s="2068"/>
      <c r="ES116" s="2068"/>
      <c r="ET116" s="2068"/>
      <c r="EU116" s="2068"/>
      <c r="EV116" s="2068"/>
      <c r="EW116" s="2068"/>
      <c r="EX116" s="2068"/>
      <c r="EY116" s="2068"/>
      <c r="EZ116" s="2068"/>
      <c r="FA116" s="2068"/>
      <c r="FB116" s="2068"/>
      <c r="FC116" s="2068"/>
      <c r="FD116" s="2068"/>
      <c r="FE116" s="2068"/>
      <c r="FF116" s="2068"/>
      <c r="FG116" s="2068"/>
      <c r="FH116" s="2068"/>
      <c r="FI116" s="2068"/>
      <c r="FJ116" s="2068"/>
      <c r="FK116" s="2068"/>
      <c r="FL116" s="2068"/>
      <c r="FM116" s="2068"/>
      <c r="FN116" s="2068"/>
      <c r="FO116" s="2068"/>
      <c r="FP116" s="2068"/>
      <c r="FQ116" s="2068"/>
      <c r="FR116" s="2068"/>
      <c r="FS116" s="2068"/>
      <c r="FT116" s="2068"/>
      <c r="FU116" s="2068"/>
      <c r="FV116" s="2068"/>
      <c r="FW116" s="2068"/>
      <c r="FX116" s="2068"/>
      <c r="FY116" s="2068"/>
      <c r="FZ116" s="2068"/>
      <c r="GA116" s="2068"/>
      <c r="GB116" s="2068"/>
      <c r="GC116" s="2068"/>
      <c r="GD116" s="2068"/>
      <c r="GE116" s="2068"/>
      <c r="GF116" s="2068"/>
      <c r="GG116" s="2068"/>
      <c r="GH116" s="2068"/>
      <c r="GI116" s="2068"/>
      <c r="GJ116" s="2068"/>
      <c r="GK116" s="2068"/>
      <c r="GL116" s="2068"/>
      <c r="GM116" s="2068"/>
      <c r="GN116" s="2068"/>
      <c r="GO116" s="2068"/>
      <c r="GP116" s="2068"/>
      <c r="GQ116" s="2068"/>
      <c r="GR116" s="2068"/>
      <c r="GS116" s="2068"/>
      <c r="GT116" s="2068"/>
      <c r="GU116" s="2068"/>
      <c r="GV116" s="2068"/>
      <c r="GW116" s="2068"/>
      <c r="GX116" s="2068"/>
      <c r="GY116" s="2068"/>
      <c r="GZ116" s="2068"/>
      <c r="HA116" s="2068"/>
      <c r="HB116" s="2068"/>
      <c r="HC116" s="2068"/>
      <c r="HD116" s="2068"/>
      <c r="HE116" s="2068"/>
      <c r="HF116" s="2068"/>
      <c r="HG116" s="2068"/>
      <c r="HH116" s="2068"/>
      <c r="HI116" s="2068"/>
      <c r="HJ116" s="2068"/>
      <c r="HK116" s="2068"/>
      <c r="HL116" s="2068"/>
      <c r="HM116" s="2068"/>
      <c r="HN116" s="2068"/>
      <c r="HO116" s="2068"/>
      <c r="HP116" s="2068"/>
      <c r="HQ116" s="2068"/>
      <c r="HR116" s="2068"/>
      <c r="HS116" s="2068"/>
      <c r="HT116" s="2068"/>
      <c r="HU116" s="2068"/>
      <c r="HV116" s="2068"/>
      <c r="HW116" s="2068"/>
      <c r="HX116" s="2068"/>
      <c r="HY116" s="2068"/>
      <c r="HZ116" s="2068"/>
      <c r="IA116" s="2068"/>
      <c r="IB116" s="2068"/>
      <c r="IC116" s="2068"/>
      <c r="ID116" s="2068"/>
      <c r="IE116" s="2068"/>
      <c r="IF116" s="2068"/>
      <c r="IG116" s="2068"/>
      <c r="IH116" s="2068"/>
      <c r="II116" s="2068"/>
    </row>
    <row r="117" spans="2:243" s="2043" customFormat="1" ht="15.75" customHeight="1" thickTop="1" thickBot="1" x14ac:dyDescent="0.25">
      <c r="B117" s="2043">
        <v>10</v>
      </c>
      <c r="C117" s="2100">
        <v>1</v>
      </c>
      <c r="D117" s="2187"/>
      <c r="E117" s="2188">
        <f t="shared" si="98"/>
        <v>0</v>
      </c>
      <c r="F117" s="2189"/>
      <c r="G117" s="2190">
        <f t="shared" si="100"/>
        <v>0</v>
      </c>
      <c r="H117" s="2181">
        <v>1</v>
      </c>
      <c r="I117" s="2181">
        <v>1</v>
      </c>
      <c r="J117" s="2168"/>
      <c r="K117" s="2168"/>
      <c r="L117" s="2168"/>
      <c r="M117" s="2168"/>
      <c r="R117" s="2094"/>
      <c r="T117" s="2191">
        <f>SUM(T108:T116)</f>
        <v>880000</v>
      </c>
      <c r="U117" s="2114">
        <f>SUM(U108:U116)</f>
        <v>144000</v>
      </c>
      <c r="V117" s="2114"/>
      <c r="W117" s="2192">
        <f>SUM(W108:W116)</f>
        <v>4800</v>
      </c>
      <c r="Y117" s="2068"/>
      <c r="AA117" s="2622"/>
      <c r="AB117" s="2193" t="s">
        <v>2</v>
      </c>
      <c r="AC117" s="2118">
        <f>SUM(AC108:AC116)</f>
        <v>0</v>
      </c>
      <c r="AD117" s="2118">
        <f t="shared" ref="AD117:AS117" si="101">SUM(AD108:AD116)</f>
        <v>800</v>
      </c>
      <c r="AE117" s="2118">
        <f t="shared" si="101"/>
        <v>0</v>
      </c>
      <c r="AF117" s="2118">
        <f t="shared" si="101"/>
        <v>0</v>
      </c>
      <c r="AG117" s="2118">
        <f t="shared" si="101"/>
        <v>0</v>
      </c>
      <c r="AH117" s="2118">
        <f t="shared" si="101"/>
        <v>0</v>
      </c>
      <c r="AI117" s="2118">
        <f t="shared" si="101"/>
        <v>0</v>
      </c>
      <c r="AJ117" s="2118">
        <f t="shared" si="101"/>
        <v>0</v>
      </c>
      <c r="AK117" s="2118">
        <f t="shared" si="101"/>
        <v>0</v>
      </c>
      <c r="AL117" s="2118">
        <f t="shared" si="101"/>
        <v>0</v>
      </c>
      <c r="AM117" s="2118">
        <f t="shared" si="101"/>
        <v>0</v>
      </c>
      <c r="AN117" s="2118">
        <f t="shared" si="101"/>
        <v>0</v>
      </c>
      <c r="AO117" s="2118">
        <f t="shared" si="101"/>
        <v>0</v>
      </c>
      <c r="AP117" s="2118">
        <f t="shared" si="101"/>
        <v>0</v>
      </c>
      <c r="AQ117" s="2118">
        <f t="shared" si="101"/>
        <v>0</v>
      </c>
      <c r="AR117" s="2118">
        <f t="shared" si="101"/>
        <v>0</v>
      </c>
      <c r="AS117" s="2118">
        <f t="shared" si="101"/>
        <v>0</v>
      </c>
      <c r="AX117" s="2068"/>
      <c r="AY117" s="2068"/>
      <c r="AZ117" s="2068"/>
      <c r="BA117" s="2068"/>
      <c r="BB117" s="2068"/>
      <c r="BC117" s="2068"/>
      <c r="BD117" s="2068"/>
      <c r="BE117" s="2068"/>
      <c r="BF117" s="2068"/>
      <c r="BG117" s="2068"/>
      <c r="BH117" s="2068"/>
      <c r="BI117" s="2068"/>
      <c r="BJ117" s="2068"/>
      <c r="BK117" s="2068"/>
      <c r="BL117" s="2068"/>
      <c r="BM117" s="2068"/>
      <c r="BN117" s="2068"/>
      <c r="BO117" s="2068"/>
      <c r="BP117" s="2068"/>
      <c r="BQ117" s="2068"/>
      <c r="BR117" s="2068"/>
      <c r="BS117" s="2068"/>
      <c r="BT117" s="2068"/>
      <c r="BU117" s="2068"/>
      <c r="BV117" s="2068"/>
      <c r="BW117" s="2068"/>
      <c r="BX117" s="2068"/>
      <c r="BY117" s="2068"/>
      <c r="BZ117" s="2068"/>
      <c r="CA117" s="2068"/>
      <c r="CB117" s="2068"/>
      <c r="CC117" s="2068"/>
      <c r="CD117" s="2068"/>
      <c r="CE117" s="2068"/>
      <c r="CF117" s="2068"/>
      <c r="CG117" s="2068"/>
      <c r="CH117" s="2068"/>
      <c r="CI117" s="2068"/>
      <c r="CJ117" s="2068"/>
      <c r="CK117" s="2068"/>
      <c r="CL117" s="2068"/>
      <c r="CM117" s="2068"/>
      <c r="CN117" s="2068"/>
      <c r="CO117" s="2068"/>
      <c r="CP117" s="2068"/>
      <c r="CQ117" s="2068"/>
      <c r="CR117" s="2068"/>
      <c r="CS117" s="2068"/>
      <c r="CT117" s="2068"/>
      <c r="CU117" s="2068"/>
      <c r="CV117" s="2068"/>
      <c r="CW117" s="2068"/>
      <c r="CX117" s="2068"/>
      <c r="CY117" s="2068"/>
      <c r="CZ117" s="2068"/>
      <c r="DA117" s="2068"/>
      <c r="DB117" s="2068"/>
      <c r="DC117" s="2068"/>
      <c r="DD117" s="2068"/>
      <c r="DE117" s="2068"/>
      <c r="DF117" s="2068"/>
      <c r="DG117" s="2068"/>
      <c r="DH117" s="2068"/>
      <c r="DI117" s="2068"/>
      <c r="DJ117" s="2068"/>
      <c r="DK117" s="2068"/>
      <c r="DL117" s="2068"/>
      <c r="DM117" s="2068"/>
      <c r="DN117" s="2068"/>
      <c r="DO117" s="2068"/>
      <c r="DP117" s="2068"/>
      <c r="DQ117" s="2068"/>
      <c r="DR117" s="2068"/>
      <c r="DS117" s="2068"/>
      <c r="DT117" s="2068"/>
      <c r="DU117" s="2068"/>
      <c r="DV117" s="2068"/>
      <c r="DW117" s="2068"/>
      <c r="DX117" s="2068"/>
      <c r="DY117" s="2068"/>
      <c r="DZ117" s="2068"/>
      <c r="EA117" s="2068"/>
      <c r="EB117" s="2068"/>
      <c r="EC117" s="2068"/>
      <c r="ED117" s="2068"/>
      <c r="EE117" s="2068"/>
      <c r="EF117" s="2068"/>
      <c r="EG117" s="2068"/>
      <c r="EH117" s="2068"/>
      <c r="EI117" s="2068"/>
      <c r="EJ117" s="2068"/>
      <c r="EK117" s="2068"/>
      <c r="EL117" s="2068"/>
      <c r="EM117" s="2068"/>
      <c r="EN117" s="2068"/>
      <c r="EO117" s="2068"/>
      <c r="EP117" s="2068"/>
      <c r="EQ117" s="2068"/>
      <c r="ER117" s="2068"/>
      <c r="ES117" s="2068"/>
      <c r="ET117" s="2068"/>
      <c r="EU117" s="2068"/>
      <c r="EV117" s="2068"/>
      <c r="EW117" s="2068"/>
      <c r="EX117" s="2068"/>
      <c r="EY117" s="2068"/>
      <c r="EZ117" s="2068"/>
      <c r="FA117" s="2068"/>
      <c r="FB117" s="2068"/>
      <c r="FC117" s="2068"/>
      <c r="FD117" s="2068"/>
      <c r="FE117" s="2068"/>
      <c r="FF117" s="2068"/>
      <c r="FG117" s="2068"/>
      <c r="FH117" s="2068"/>
      <c r="FI117" s="2068"/>
      <c r="FJ117" s="2068"/>
      <c r="FK117" s="2068"/>
      <c r="FL117" s="2068"/>
      <c r="FM117" s="2068"/>
      <c r="FN117" s="2068"/>
      <c r="FO117" s="2068"/>
      <c r="FP117" s="2068"/>
      <c r="FQ117" s="2068"/>
      <c r="FR117" s="2068"/>
      <c r="FS117" s="2068"/>
      <c r="FT117" s="2068"/>
      <c r="FU117" s="2068"/>
      <c r="FV117" s="2068"/>
      <c r="FW117" s="2068"/>
      <c r="FX117" s="2068"/>
      <c r="FY117" s="2068"/>
      <c r="FZ117" s="2068"/>
      <c r="GA117" s="2068"/>
      <c r="GB117" s="2068"/>
      <c r="GC117" s="2068"/>
      <c r="GD117" s="2068"/>
      <c r="GE117" s="2068"/>
      <c r="GF117" s="2068"/>
      <c r="GG117" s="2068"/>
      <c r="GH117" s="2068"/>
      <c r="GI117" s="2068"/>
      <c r="GJ117" s="2068"/>
      <c r="GK117" s="2068"/>
      <c r="GL117" s="2068"/>
      <c r="GM117" s="2068"/>
      <c r="GN117" s="2068"/>
      <c r="GO117" s="2068"/>
      <c r="GP117" s="2068"/>
      <c r="GQ117" s="2068"/>
      <c r="GR117" s="2068"/>
      <c r="GS117" s="2068"/>
      <c r="GT117" s="2068"/>
      <c r="GU117" s="2068"/>
      <c r="GV117" s="2068"/>
      <c r="GW117" s="2068"/>
      <c r="GX117" s="2068"/>
      <c r="GY117" s="2068"/>
      <c r="GZ117" s="2068"/>
      <c r="HA117" s="2068"/>
      <c r="HB117" s="2068"/>
      <c r="HC117" s="2068"/>
      <c r="HD117" s="2068"/>
      <c r="HE117" s="2068"/>
      <c r="HF117" s="2068"/>
      <c r="HG117" s="2068"/>
      <c r="HH117" s="2068"/>
      <c r="HI117" s="2068"/>
      <c r="HJ117" s="2068"/>
      <c r="HK117" s="2068"/>
      <c r="HL117" s="2068"/>
      <c r="HM117" s="2068"/>
      <c r="HN117" s="2068"/>
      <c r="HO117" s="2068"/>
      <c r="HP117" s="2068"/>
      <c r="HQ117" s="2068"/>
      <c r="HR117" s="2068"/>
      <c r="HS117" s="2068"/>
      <c r="HT117" s="2068"/>
      <c r="HU117" s="2068"/>
      <c r="HV117" s="2068"/>
      <c r="HW117" s="2068"/>
      <c r="HX117" s="2068"/>
      <c r="HY117" s="2068"/>
      <c r="HZ117" s="2068"/>
      <c r="IA117" s="2068"/>
      <c r="IB117" s="2068"/>
      <c r="IC117" s="2068"/>
      <c r="ID117" s="2068"/>
      <c r="IE117" s="2068"/>
      <c r="IF117" s="2068"/>
      <c r="IG117" s="2068"/>
      <c r="IH117" s="2068"/>
      <c r="II117" s="2068"/>
    </row>
    <row r="118" spans="2:243" s="2043" customFormat="1" ht="15.75" customHeight="1" x14ac:dyDescent="0.2">
      <c r="C118" s="2120" t="s">
        <v>2</v>
      </c>
      <c r="D118" s="2194">
        <f>SUMIF(C109:C117,"&gt;1",D109:D117)</f>
        <v>800</v>
      </c>
      <c r="E118" s="2195"/>
      <c r="F118" s="2123"/>
      <c r="G118" s="2196">
        <f>SUM(G109:G117)</f>
        <v>880000</v>
      </c>
      <c r="H118" s="2197"/>
      <c r="J118" s="2094"/>
      <c r="K118" s="2094"/>
      <c r="L118" s="2094"/>
      <c r="M118" s="2094"/>
      <c r="R118" s="2094"/>
      <c r="T118" s="2198"/>
      <c r="U118" s="2199"/>
      <c r="V118" s="2200"/>
      <c r="Y118" s="2068"/>
      <c r="Z118" s="2094"/>
      <c r="AA118" s="2094"/>
      <c r="AB118" s="2094"/>
      <c r="AC118" s="2094"/>
      <c r="AD118" s="2069"/>
      <c r="AE118" s="2068"/>
      <c r="AF118" s="2068"/>
      <c r="AG118" s="2068"/>
      <c r="AH118" s="2068"/>
      <c r="AI118" s="2068"/>
      <c r="AJ118" s="2201"/>
      <c r="AK118" s="2201"/>
      <c r="AL118" s="2201"/>
      <c r="AM118" s="2201"/>
      <c r="AN118" s="2201"/>
      <c r="AO118" s="2201"/>
      <c r="AP118" s="2202"/>
      <c r="AQ118" s="2203"/>
      <c r="AR118" s="2203"/>
      <c r="AS118" s="2201"/>
      <c r="AT118" s="2201"/>
      <c r="AU118" s="2203"/>
      <c r="AV118" s="2068"/>
      <c r="AX118" s="2068"/>
      <c r="AY118" s="2068"/>
      <c r="AZ118" s="2068"/>
      <c r="BA118" s="2068"/>
      <c r="BB118" s="2068"/>
      <c r="BC118" s="2068"/>
      <c r="BD118" s="2068"/>
      <c r="BE118" s="2068"/>
      <c r="BF118" s="2068"/>
      <c r="BG118" s="2068"/>
      <c r="BH118" s="2068"/>
      <c r="BI118" s="2068"/>
      <c r="BJ118" s="2068"/>
      <c r="BK118" s="2068"/>
      <c r="BL118" s="2068"/>
      <c r="BM118" s="2068"/>
      <c r="BN118" s="2068"/>
      <c r="BO118" s="2068"/>
      <c r="BP118" s="2068"/>
      <c r="BQ118" s="2068"/>
      <c r="BR118" s="2068"/>
      <c r="BS118" s="2068"/>
      <c r="BT118" s="2068"/>
      <c r="BU118" s="2068"/>
      <c r="BV118" s="2068"/>
      <c r="BW118" s="2068"/>
      <c r="BX118" s="2068"/>
      <c r="BY118" s="2068"/>
      <c r="BZ118" s="2068"/>
      <c r="CA118" s="2068"/>
      <c r="CB118" s="2068"/>
      <c r="CC118" s="2068"/>
      <c r="CD118" s="2068"/>
      <c r="CE118" s="2068"/>
      <c r="CF118" s="2068"/>
      <c r="CG118" s="2068"/>
      <c r="CH118" s="2068"/>
      <c r="CI118" s="2068"/>
      <c r="CJ118" s="2068"/>
      <c r="CK118" s="2068"/>
      <c r="CL118" s="2068"/>
      <c r="CM118" s="2068"/>
      <c r="CN118" s="2068"/>
      <c r="CO118" s="2068"/>
      <c r="CP118" s="2068"/>
      <c r="CQ118" s="2068"/>
      <c r="CR118" s="2068"/>
      <c r="CS118" s="2068"/>
      <c r="CT118" s="2068"/>
      <c r="CU118" s="2068"/>
      <c r="CV118" s="2068"/>
      <c r="CW118" s="2068"/>
      <c r="CX118" s="2068"/>
      <c r="CY118" s="2068"/>
      <c r="CZ118" s="2068"/>
      <c r="DA118" s="2068"/>
      <c r="DB118" s="2068"/>
      <c r="DC118" s="2068"/>
      <c r="DD118" s="2068"/>
      <c r="DE118" s="2068"/>
      <c r="DF118" s="2068"/>
      <c r="DG118" s="2068"/>
      <c r="DH118" s="2068"/>
      <c r="DI118" s="2068"/>
      <c r="DJ118" s="2068"/>
      <c r="DK118" s="2068"/>
      <c r="DL118" s="2068"/>
      <c r="DM118" s="2068"/>
      <c r="DN118" s="2068"/>
      <c r="DO118" s="2068"/>
      <c r="DP118" s="2068"/>
      <c r="DQ118" s="2068"/>
      <c r="DR118" s="2068"/>
      <c r="DS118" s="2068"/>
      <c r="DT118" s="2068"/>
      <c r="DU118" s="2068"/>
      <c r="DV118" s="2068"/>
      <c r="DW118" s="2068"/>
      <c r="DX118" s="2068"/>
      <c r="DY118" s="2068"/>
      <c r="DZ118" s="2068"/>
      <c r="EA118" s="2068"/>
      <c r="EB118" s="2068"/>
      <c r="EC118" s="2068"/>
      <c r="ED118" s="2068"/>
      <c r="EE118" s="2068"/>
      <c r="EF118" s="2068"/>
      <c r="EG118" s="2068"/>
      <c r="EH118" s="2068"/>
      <c r="EI118" s="2068"/>
      <c r="EJ118" s="2068"/>
      <c r="EK118" s="2068"/>
      <c r="EL118" s="2068"/>
      <c r="EM118" s="2068"/>
      <c r="EN118" s="2068"/>
      <c r="EO118" s="2068"/>
      <c r="EP118" s="2068"/>
      <c r="EQ118" s="2068"/>
      <c r="ER118" s="2068"/>
      <c r="ES118" s="2068"/>
      <c r="ET118" s="2068"/>
      <c r="EU118" s="2068"/>
      <c r="EV118" s="2068"/>
      <c r="EW118" s="2068"/>
      <c r="EX118" s="2068"/>
      <c r="EY118" s="2068"/>
      <c r="EZ118" s="2068"/>
      <c r="FA118" s="2068"/>
      <c r="FB118" s="2068"/>
      <c r="FC118" s="2068"/>
      <c r="FD118" s="2068"/>
      <c r="FE118" s="2068"/>
      <c r="FF118" s="2068"/>
      <c r="FG118" s="2068"/>
      <c r="FH118" s="2068"/>
      <c r="FI118" s="2068"/>
      <c r="FJ118" s="2068"/>
      <c r="FK118" s="2068"/>
      <c r="FL118" s="2068"/>
      <c r="FM118" s="2068"/>
      <c r="FN118" s="2068"/>
      <c r="FO118" s="2068"/>
      <c r="FP118" s="2068"/>
      <c r="FQ118" s="2068"/>
      <c r="FR118" s="2068"/>
      <c r="FS118" s="2068"/>
      <c r="FT118" s="2068"/>
      <c r="FU118" s="2068"/>
      <c r="FV118" s="2068"/>
      <c r="FW118" s="2068"/>
      <c r="FX118" s="2068"/>
      <c r="FY118" s="2068"/>
      <c r="FZ118" s="2068"/>
      <c r="GA118" s="2068"/>
      <c r="GB118" s="2068"/>
      <c r="GC118" s="2068"/>
      <c r="GD118" s="2068"/>
      <c r="GE118" s="2068"/>
      <c r="GF118" s="2068"/>
      <c r="GG118" s="2068"/>
      <c r="GH118" s="2068"/>
      <c r="GI118" s="2068"/>
      <c r="GJ118" s="2068"/>
      <c r="GK118" s="2068"/>
      <c r="GL118" s="2068"/>
      <c r="GM118" s="2068"/>
      <c r="GN118" s="2068"/>
      <c r="GO118" s="2068"/>
      <c r="GP118" s="2068"/>
      <c r="GQ118" s="2068"/>
      <c r="GR118" s="2068"/>
      <c r="GS118" s="2068"/>
      <c r="GT118" s="2068"/>
      <c r="GU118" s="2068"/>
      <c r="GV118" s="2068"/>
      <c r="GW118" s="2068"/>
      <c r="GX118" s="2068"/>
      <c r="GY118" s="2068"/>
      <c r="GZ118" s="2068"/>
      <c r="HA118" s="2068"/>
      <c r="HB118" s="2068"/>
      <c r="HC118" s="2068"/>
      <c r="HD118" s="2068"/>
      <c r="HE118" s="2068"/>
      <c r="HF118" s="2068"/>
      <c r="HG118" s="2068"/>
      <c r="HH118" s="2068"/>
      <c r="HI118" s="2068"/>
      <c r="HJ118" s="2068"/>
      <c r="HK118" s="2068"/>
      <c r="HL118" s="2068"/>
      <c r="HM118" s="2068"/>
      <c r="HN118" s="2068"/>
      <c r="HO118" s="2068"/>
      <c r="HP118" s="2068"/>
      <c r="HQ118" s="2068"/>
      <c r="HR118" s="2068"/>
      <c r="HS118" s="2068"/>
      <c r="HT118" s="2068"/>
      <c r="HU118" s="2068"/>
      <c r="HV118" s="2068"/>
      <c r="HW118" s="2068"/>
      <c r="HX118" s="2068"/>
      <c r="HY118" s="2068"/>
      <c r="HZ118" s="2068"/>
      <c r="IA118" s="2068"/>
      <c r="IB118" s="2068"/>
      <c r="IC118" s="2068"/>
      <c r="ID118" s="2068"/>
      <c r="IE118" s="2068"/>
      <c r="IF118" s="2068"/>
      <c r="IG118" s="2068"/>
      <c r="IH118" s="2068"/>
      <c r="II118" s="2068"/>
    </row>
    <row r="119" spans="2:243" s="2043" customFormat="1" ht="15.75" customHeight="1" x14ac:dyDescent="0.2">
      <c r="K119" s="2094"/>
      <c r="L119" s="2094"/>
      <c r="M119" s="2094"/>
      <c r="N119" s="2094"/>
      <c r="R119" s="2094"/>
      <c r="T119" s="797"/>
      <c r="U119" s="2068"/>
      <c r="V119" s="2200"/>
      <c r="Y119" s="2068"/>
      <c r="Z119" s="2094"/>
      <c r="AA119" s="2094"/>
      <c r="AB119" s="2094"/>
      <c r="AC119" s="2094"/>
      <c r="AD119" s="736"/>
      <c r="AE119" s="736"/>
      <c r="AF119" s="736"/>
      <c r="AG119" s="736"/>
      <c r="AH119" s="736"/>
      <c r="AI119" s="736"/>
      <c r="AJ119" s="2068"/>
      <c r="AK119" s="2068"/>
      <c r="AL119" s="2068"/>
      <c r="AM119" s="2068"/>
      <c r="AN119" s="2068"/>
      <c r="AO119" s="2068"/>
      <c r="AP119" s="2068"/>
      <c r="AQ119" s="2068"/>
      <c r="AR119" s="2068"/>
      <c r="AS119" s="2068"/>
      <c r="AT119" s="2068"/>
      <c r="AU119" s="737"/>
      <c r="AV119" s="737"/>
      <c r="AW119" s="737"/>
      <c r="AX119" s="737"/>
      <c r="AY119" s="737"/>
      <c r="AZ119" s="2068"/>
      <c r="BA119" s="2068"/>
      <c r="BB119" s="2068"/>
      <c r="BC119" s="2068"/>
      <c r="BD119" s="2068"/>
      <c r="BE119" s="2068"/>
      <c r="BF119" s="2068"/>
      <c r="BG119" s="2068"/>
      <c r="BH119" s="2068"/>
      <c r="BI119" s="2068"/>
      <c r="BJ119" s="2068"/>
      <c r="BK119" s="2068"/>
      <c r="BL119" s="2068"/>
      <c r="BM119" s="2068"/>
      <c r="BN119" s="2068"/>
      <c r="BO119" s="2068"/>
      <c r="BP119" s="2068"/>
      <c r="BQ119" s="2068"/>
      <c r="BR119" s="2068"/>
      <c r="BS119" s="2068"/>
      <c r="BT119" s="2068"/>
      <c r="BU119" s="2068"/>
      <c r="BV119" s="2068"/>
      <c r="BW119" s="2068"/>
      <c r="BX119" s="2068"/>
      <c r="BY119" s="2068"/>
      <c r="BZ119" s="2068"/>
      <c r="CA119" s="2068"/>
      <c r="CB119" s="2068"/>
      <c r="CC119" s="2068"/>
      <c r="CD119" s="2068"/>
      <c r="CE119" s="2068"/>
      <c r="CF119" s="2068"/>
      <c r="CG119" s="2068"/>
      <c r="CH119" s="2068"/>
      <c r="CI119" s="2068"/>
      <c r="CJ119" s="2068"/>
      <c r="CK119" s="2068"/>
      <c r="CL119" s="2068"/>
      <c r="CM119" s="2068"/>
      <c r="CN119" s="2068"/>
      <c r="CO119" s="2068"/>
      <c r="CP119" s="2068"/>
      <c r="CQ119" s="2068"/>
      <c r="CR119" s="2068"/>
      <c r="CS119" s="2068"/>
      <c r="CT119" s="2068"/>
      <c r="CU119" s="2068"/>
      <c r="CV119" s="2068"/>
      <c r="CW119" s="2068"/>
      <c r="CX119" s="2068"/>
      <c r="CY119" s="2068"/>
      <c r="CZ119" s="2068"/>
      <c r="DA119" s="2068"/>
      <c r="DB119" s="2068"/>
      <c r="DC119" s="2068"/>
      <c r="DD119" s="2068"/>
      <c r="DE119" s="2068"/>
      <c r="DF119" s="2068"/>
      <c r="DG119" s="2068"/>
      <c r="DH119" s="2068"/>
      <c r="DI119" s="2068"/>
      <c r="DJ119" s="2068"/>
      <c r="DK119" s="2068"/>
      <c r="DL119" s="2068"/>
      <c r="DM119" s="2068"/>
      <c r="DN119" s="2068"/>
      <c r="DO119" s="2068"/>
      <c r="DP119" s="2068"/>
      <c r="DQ119" s="2068"/>
      <c r="DR119" s="2068"/>
      <c r="DS119" s="2068"/>
      <c r="DT119" s="2068"/>
      <c r="DU119" s="2068"/>
      <c r="DV119" s="2068"/>
      <c r="DW119" s="2068"/>
      <c r="DX119" s="2068"/>
      <c r="DY119" s="2068"/>
      <c r="DZ119" s="2068"/>
      <c r="EA119" s="2068"/>
      <c r="EB119" s="2068"/>
      <c r="EC119" s="2068"/>
      <c r="ED119" s="2068"/>
      <c r="EE119" s="2068"/>
      <c r="EF119" s="2068"/>
      <c r="EG119" s="2068"/>
      <c r="EH119" s="2068"/>
      <c r="EI119" s="2068"/>
      <c r="EJ119" s="2068"/>
      <c r="EK119" s="2068"/>
      <c r="EL119" s="2068"/>
      <c r="EM119" s="2068"/>
      <c r="EN119" s="2068"/>
      <c r="EO119" s="2068"/>
      <c r="EP119" s="2068"/>
      <c r="EQ119" s="2068"/>
      <c r="ER119" s="2068"/>
      <c r="ES119" s="2068"/>
      <c r="ET119" s="2068"/>
      <c r="EU119" s="2068"/>
      <c r="EV119" s="2068"/>
      <c r="EW119" s="2068"/>
      <c r="EX119" s="2068"/>
      <c r="EY119" s="2068"/>
      <c r="EZ119" s="2068"/>
      <c r="FA119" s="2068"/>
      <c r="FB119" s="2068"/>
      <c r="FC119" s="2068"/>
      <c r="FD119" s="2068"/>
      <c r="FE119" s="2068"/>
      <c r="FF119" s="2068"/>
      <c r="FG119" s="2068"/>
      <c r="FH119" s="2068"/>
      <c r="FI119" s="2068"/>
      <c r="FJ119" s="2068"/>
      <c r="FK119" s="2068"/>
      <c r="FL119" s="2068"/>
      <c r="FM119" s="2068"/>
      <c r="FN119" s="2068"/>
      <c r="FO119" s="2068"/>
      <c r="FP119" s="2068"/>
      <c r="FQ119" s="2068"/>
      <c r="FR119" s="2068"/>
      <c r="FS119" s="2068"/>
      <c r="FT119" s="2068"/>
      <c r="FU119" s="2068"/>
      <c r="FV119" s="2068"/>
      <c r="FW119" s="2068"/>
      <c r="FX119" s="2068"/>
      <c r="FY119" s="2068"/>
      <c r="FZ119" s="2068"/>
      <c r="GA119" s="2068"/>
      <c r="GB119" s="2068"/>
      <c r="GC119" s="2068"/>
      <c r="GD119" s="2068"/>
      <c r="GE119" s="2068"/>
      <c r="GF119" s="2068"/>
      <c r="GG119" s="2068"/>
      <c r="GH119" s="2068"/>
      <c r="GI119" s="2068"/>
      <c r="GJ119" s="2068"/>
      <c r="GK119" s="2068"/>
      <c r="GL119" s="2068"/>
      <c r="GM119" s="2068"/>
      <c r="GN119" s="2068"/>
      <c r="GO119" s="2068"/>
      <c r="GP119" s="2068"/>
      <c r="GQ119" s="2068"/>
      <c r="GR119" s="2068"/>
      <c r="GS119" s="2068"/>
      <c r="GT119" s="2068"/>
      <c r="GU119" s="2068"/>
      <c r="GV119" s="2068"/>
      <c r="GW119" s="2068"/>
      <c r="GX119" s="2068"/>
      <c r="GY119" s="2068"/>
      <c r="GZ119" s="2068"/>
      <c r="HA119" s="2068"/>
      <c r="HB119" s="2068"/>
      <c r="HC119" s="2068"/>
      <c r="HD119" s="2068"/>
      <c r="HE119" s="2068"/>
      <c r="HF119" s="2068"/>
      <c r="HG119" s="2068"/>
      <c r="HH119" s="2068"/>
      <c r="HI119" s="2068"/>
      <c r="HJ119" s="2068"/>
      <c r="HK119" s="2068"/>
      <c r="HL119" s="2068"/>
      <c r="HM119" s="2068"/>
      <c r="HN119" s="2068"/>
      <c r="HO119" s="2068"/>
      <c r="HP119" s="2068"/>
      <c r="HQ119" s="2068"/>
      <c r="HR119" s="2068"/>
      <c r="HS119" s="2068"/>
      <c r="HT119" s="2068"/>
      <c r="HU119" s="2068"/>
      <c r="HV119" s="2068"/>
      <c r="HW119" s="2068"/>
      <c r="HX119" s="2068"/>
      <c r="HY119" s="2068"/>
      <c r="HZ119" s="2068"/>
      <c r="IA119" s="2068"/>
      <c r="IB119" s="2068"/>
      <c r="IC119" s="2068"/>
      <c r="ID119" s="2068"/>
      <c r="IE119" s="2068"/>
      <c r="IF119" s="2068"/>
      <c r="IG119" s="2068"/>
      <c r="IH119" s="2068"/>
      <c r="II119" s="2068"/>
    </row>
    <row r="120" spans="2:243" s="2043" customFormat="1" ht="15.75" customHeight="1" x14ac:dyDescent="0.2">
      <c r="K120" s="2094"/>
      <c r="L120" s="2094"/>
      <c r="M120" s="2094"/>
      <c r="N120" s="2094"/>
      <c r="R120" s="2094"/>
      <c r="T120" s="797"/>
      <c r="U120" s="2068"/>
      <c r="V120" s="2200"/>
      <c r="Z120" s="2094"/>
      <c r="AA120" s="2069"/>
      <c r="AB120" s="2069"/>
      <c r="AC120" s="2069"/>
      <c r="AD120" s="829"/>
      <c r="AE120" s="829"/>
      <c r="AF120" s="828"/>
      <c r="AG120" s="828"/>
      <c r="AH120" s="828"/>
      <c r="AI120" s="2201"/>
      <c r="AJ120" s="2068"/>
      <c r="AK120" s="2068"/>
      <c r="AL120" s="2068"/>
      <c r="AM120" s="2068"/>
      <c r="AN120" s="2068"/>
      <c r="AO120" s="2068"/>
      <c r="AP120" s="2068"/>
      <c r="AQ120" s="2068"/>
      <c r="AR120" s="2068"/>
      <c r="AS120" s="2068"/>
      <c r="AT120" s="2068"/>
      <c r="AU120" s="2068"/>
      <c r="AV120" s="2068"/>
      <c r="AW120" s="2068"/>
      <c r="AX120" s="2068"/>
      <c r="AY120" s="2068"/>
      <c r="AZ120" s="2068"/>
      <c r="BA120" s="2068"/>
      <c r="BB120" s="2068"/>
      <c r="BC120" s="2068"/>
      <c r="BD120" s="2068"/>
      <c r="BE120" s="2068"/>
      <c r="BF120" s="2068"/>
      <c r="BG120" s="2068"/>
      <c r="BH120" s="2068"/>
      <c r="BI120" s="2068"/>
      <c r="BJ120" s="2068"/>
      <c r="BK120" s="2068"/>
      <c r="BL120" s="2068"/>
      <c r="BM120" s="2068"/>
      <c r="BN120" s="2068"/>
      <c r="BO120" s="2068"/>
      <c r="BP120" s="2068"/>
      <c r="BQ120" s="2068"/>
      <c r="BR120" s="2068"/>
      <c r="BS120" s="2068"/>
      <c r="BT120" s="2068"/>
      <c r="BU120" s="2068"/>
      <c r="BV120" s="2068"/>
      <c r="BW120" s="2068"/>
      <c r="BX120" s="2068"/>
      <c r="BY120" s="2068"/>
      <c r="BZ120" s="2068"/>
      <c r="CA120" s="2068"/>
      <c r="CB120" s="2068"/>
      <c r="CC120" s="2068"/>
      <c r="CD120" s="2068"/>
      <c r="CE120" s="2068"/>
      <c r="CF120" s="2068"/>
      <c r="CG120" s="2068"/>
      <c r="CH120" s="2068"/>
      <c r="CI120" s="2068"/>
      <c r="CJ120" s="2068"/>
      <c r="CK120" s="2068"/>
      <c r="CL120" s="2068"/>
      <c r="CM120" s="2068"/>
      <c r="CN120" s="2068"/>
      <c r="CO120" s="2068"/>
      <c r="CP120" s="2068"/>
      <c r="CQ120" s="2068"/>
      <c r="CR120" s="2068"/>
      <c r="CS120" s="2068"/>
      <c r="CT120" s="2068"/>
      <c r="CU120" s="2068"/>
      <c r="CV120" s="2068"/>
      <c r="CW120" s="2068"/>
      <c r="CX120" s="2068"/>
      <c r="CY120" s="2068"/>
      <c r="CZ120" s="2068"/>
      <c r="DA120" s="2068"/>
      <c r="DB120" s="2068"/>
      <c r="DC120" s="2068"/>
      <c r="DD120" s="2068"/>
      <c r="DE120" s="2068"/>
      <c r="DF120" s="2068"/>
      <c r="DG120" s="2068"/>
      <c r="DH120" s="2068"/>
      <c r="DI120" s="2068"/>
      <c r="DJ120" s="2068"/>
      <c r="DK120" s="2068"/>
      <c r="DL120" s="2068"/>
      <c r="DM120" s="2068"/>
      <c r="DN120" s="2068"/>
      <c r="DO120" s="2068"/>
      <c r="DP120" s="2068"/>
      <c r="DQ120" s="2068"/>
      <c r="DR120" s="2068"/>
      <c r="DS120" s="2068"/>
      <c r="DT120" s="2068"/>
      <c r="DU120" s="2068"/>
      <c r="DV120" s="2068"/>
      <c r="DW120" s="2068"/>
      <c r="DX120" s="2068"/>
      <c r="DY120" s="2068"/>
      <c r="DZ120" s="2068"/>
      <c r="EA120" s="2068"/>
      <c r="EB120" s="2068"/>
      <c r="EC120" s="2068"/>
      <c r="ED120" s="2068"/>
      <c r="EE120" s="2068"/>
      <c r="EF120" s="2068"/>
      <c r="EG120" s="2068"/>
      <c r="EH120" s="2068"/>
      <c r="EI120" s="2068"/>
      <c r="EJ120" s="2068"/>
      <c r="EK120" s="2068"/>
      <c r="EL120" s="2068"/>
      <c r="EM120" s="2068"/>
      <c r="EN120" s="2068"/>
      <c r="EO120" s="2068"/>
      <c r="EP120" s="2068"/>
      <c r="EQ120" s="2068"/>
      <c r="ER120" s="2068"/>
      <c r="ES120" s="2068"/>
      <c r="ET120" s="2068"/>
      <c r="EU120" s="2068"/>
      <c r="EV120" s="2068"/>
      <c r="EW120" s="2068"/>
      <c r="EX120" s="2068"/>
      <c r="EY120" s="2068"/>
      <c r="EZ120" s="2068"/>
      <c r="FA120" s="2068"/>
      <c r="FB120" s="2068"/>
      <c r="FC120" s="2068"/>
      <c r="FD120" s="2068"/>
      <c r="FE120" s="2068"/>
      <c r="FF120" s="2068"/>
      <c r="FG120" s="2068"/>
      <c r="FH120" s="2068"/>
      <c r="FI120" s="2068"/>
      <c r="FJ120" s="2068"/>
      <c r="FK120" s="2068"/>
      <c r="FL120" s="2068"/>
      <c r="FM120" s="2068"/>
      <c r="FN120" s="2068"/>
      <c r="FO120" s="2068"/>
      <c r="FP120" s="2068"/>
      <c r="FQ120" s="2068"/>
      <c r="FR120" s="2068"/>
      <c r="FS120" s="2068"/>
      <c r="FT120" s="2068"/>
      <c r="FU120" s="2068"/>
      <c r="FV120" s="2068"/>
      <c r="FW120" s="2068"/>
      <c r="FX120" s="2068"/>
      <c r="FY120" s="2068"/>
      <c r="FZ120" s="2068"/>
      <c r="GA120" s="2068"/>
      <c r="GB120" s="2068"/>
      <c r="GC120" s="2068"/>
      <c r="GD120" s="2068"/>
      <c r="GE120" s="2068"/>
      <c r="GF120" s="2068"/>
      <c r="GG120" s="2068"/>
      <c r="GH120" s="2068"/>
      <c r="GI120" s="2068"/>
      <c r="GJ120" s="2068"/>
      <c r="GK120" s="2068"/>
      <c r="GL120" s="2068"/>
      <c r="GM120" s="2068"/>
      <c r="GN120" s="2068"/>
      <c r="GO120" s="2068"/>
      <c r="GP120" s="2068"/>
      <c r="GQ120" s="2068"/>
      <c r="GR120" s="2068"/>
      <c r="GS120" s="2068"/>
      <c r="GT120" s="2068"/>
      <c r="GU120" s="2068"/>
      <c r="GV120" s="2068"/>
      <c r="GW120" s="2068"/>
      <c r="GX120" s="2068"/>
      <c r="GY120" s="2068"/>
      <c r="GZ120" s="2068"/>
      <c r="HA120" s="2068"/>
      <c r="HB120" s="2068"/>
      <c r="HC120" s="2068"/>
      <c r="HD120" s="2068"/>
      <c r="HE120" s="2068"/>
      <c r="HF120" s="2068"/>
      <c r="HG120" s="2068"/>
      <c r="HH120" s="2068"/>
      <c r="HI120" s="2068"/>
      <c r="HJ120" s="2068"/>
      <c r="HK120" s="2068"/>
      <c r="HL120" s="2068"/>
      <c r="HM120" s="2068"/>
      <c r="HN120" s="2068"/>
      <c r="HO120" s="2068"/>
      <c r="HP120" s="2068"/>
      <c r="HQ120" s="2068"/>
      <c r="HR120" s="2068"/>
      <c r="HS120" s="2068"/>
      <c r="HT120" s="2068"/>
      <c r="HU120" s="2068"/>
      <c r="HV120" s="2068"/>
      <c r="HW120" s="2068"/>
      <c r="HX120" s="2068"/>
      <c r="HY120" s="2068"/>
      <c r="HZ120" s="2068"/>
      <c r="IA120" s="2068"/>
      <c r="IB120" s="2068"/>
      <c r="IC120" s="2068"/>
      <c r="ID120" s="2068"/>
      <c r="IE120" s="2068"/>
      <c r="IF120" s="2068"/>
      <c r="IG120" s="2068"/>
      <c r="IH120" s="2068"/>
      <c r="II120" s="2068"/>
    </row>
    <row r="121" spans="2:243" s="2043" customFormat="1" ht="15.75" customHeight="1" thickBot="1" x14ac:dyDescent="0.25">
      <c r="C121" s="2131" t="s">
        <v>1280</v>
      </c>
      <c r="G121" s="2094"/>
      <c r="H121" s="2094"/>
      <c r="I121" s="2094"/>
      <c r="J121" s="2094"/>
      <c r="K121" s="2094"/>
      <c r="L121" s="2094"/>
      <c r="M121" s="2094"/>
      <c r="N121" s="2094"/>
      <c r="R121" s="2094"/>
      <c r="S121" s="2618" t="s">
        <v>1220</v>
      </c>
      <c r="T121" s="2619"/>
      <c r="U121" s="2068"/>
      <c r="V121" s="2094"/>
      <c r="Z121" s="2094"/>
      <c r="AA121" s="2069"/>
      <c r="AB121" s="2069"/>
      <c r="AC121" s="2069"/>
      <c r="AD121" s="2068"/>
      <c r="AE121" s="2068"/>
      <c r="AF121" s="2068"/>
      <c r="AG121" s="2068"/>
      <c r="AH121" s="2068"/>
      <c r="AI121" s="2068"/>
      <c r="AJ121" s="2068"/>
      <c r="AK121" s="2068"/>
      <c r="AL121" s="2068"/>
      <c r="AM121" s="2068"/>
      <c r="AN121" s="2068"/>
      <c r="AO121" s="2068"/>
      <c r="AP121" s="2068"/>
      <c r="AQ121" s="2068"/>
      <c r="AR121" s="2068"/>
      <c r="AS121" s="2068"/>
      <c r="AT121" s="2068"/>
      <c r="AU121" s="2068"/>
      <c r="AV121" s="2068"/>
      <c r="AW121" s="2068"/>
      <c r="AX121" s="2068"/>
      <c r="AY121" s="2068"/>
      <c r="AZ121" s="2068"/>
      <c r="BA121" s="2068"/>
      <c r="BB121" s="2068"/>
      <c r="BC121" s="2068"/>
      <c r="BD121" s="2068"/>
      <c r="BE121" s="2068"/>
      <c r="BF121" s="2068"/>
      <c r="BG121" s="2068"/>
    </row>
    <row r="122" spans="2:243" s="2043" customFormat="1" ht="14.25" customHeight="1" thickBot="1" x14ac:dyDescent="0.25">
      <c r="C122" s="2204" t="s">
        <v>53</v>
      </c>
      <c r="D122" s="1740" t="s">
        <v>42</v>
      </c>
      <c r="E122" s="1740" t="s">
        <v>472</v>
      </c>
      <c r="F122" s="1740" t="s">
        <v>53</v>
      </c>
      <c r="G122" s="2204" t="s">
        <v>75</v>
      </c>
      <c r="I122" s="2205" t="s">
        <v>989</v>
      </c>
      <c r="J122" s="2552" t="s">
        <v>990</v>
      </c>
      <c r="K122" s="2553"/>
      <c r="L122" s="2094"/>
      <c r="M122" s="2094"/>
      <c r="R122" s="2094"/>
      <c r="S122" s="2173">
        <f>VLOOKUP(F123,$R$107:$S$116,2)</f>
        <v>0</v>
      </c>
      <c r="T122" s="1129">
        <f>G123</f>
        <v>0</v>
      </c>
      <c r="U122" s="2068"/>
      <c r="V122" s="2094"/>
      <c r="AA122" s="2068"/>
      <c r="AB122" s="2068"/>
      <c r="AC122" s="2068"/>
      <c r="AD122" s="2068"/>
      <c r="AE122" s="2068"/>
      <c r="AF122" s="2068"/>
      <c r="AG122" s="2068"/>
      <c r="AH122" s="2068"/>
      <c r="AI122" s="2068"/>
      <c r="AJ122" s="2068"/>
      <c r="AK122" s="2068"/>
      <c r="AL122" s="2068"/>
      <c r="AM122" s="2068"/>
      <c r="AN122" s="2068"/>
      <c r="AO122" s="2068"/>
      <c r="AP122" s="2068"/>
      <c r="AQ122" s="2068"/>
      <c r="AR122" s="2068"/>
      <c r="AS122" s="2068"/>
      <c r="AT122" s="2068"/>
      <c r="AU122" s="2068"/>
      <c r="AV122" s="2068"/>
      <c r="AW122" s="2068"/>
      <c r="AX122" s="2068"/>
      <c r="AY122" s="2068"/>
      <c r="AZ122" s="2068"/>
      <c r="BA122" s="2068"/>
      <c r="BB122" s="2068"/>
      <c r="BC122" s="2068"/>
      <c r="BD122" s="2068"/>
      <c r="BE122" s="2068"/>
      <c r="BF122" s="2068"/>
      <c r="BG122" s="2068"/>
    </row>
    <row r="123" spans="2:243" s="2043" customFormat="1" ht="14.25" customHeight="1" thickBot="1" x14ac:dyDescent="0.25">
      <c r="C123" s="2043">
        <v>1</v>
      </c>
      <c r="D123" s="2140">
        <f>VLOOKUP(C123,Dados!$A$14:$AV$81,48)</f>
        <v>0</v>
      </c>
      <c r="E123" s="2297"/>
      <c r="F123" s="2079">
        <v>1</v>
      </c>
      <c r="G123" s="2178">
        <f>IF(OR(C123=1,F123=1),0,IF(OR(C123=2,C123=3),VLOOKUP(F123,$B$109:$G$117,3)*E123,IF(OR(C123=4,C123=5),VLOOKUP(F123,$B$109:$G$117,6)*E123)))</f>
        <v>0</v>
      </c>
      <c r="I123" s="2206">
        <f>E66</f>
        <v>1559.386107654321</v>
      </c>
      <c r="J123" s="2557">
        <f ca="1">E22</f>
        <v>1.5924838072727143</v>
      </c>
      <c r="K123" s="2558"/>
      <c r="R123" s="2094"/>
      <c r="S123" s="2079">
        <f>VLOOKUP(F124,$R$107:$S$116,2)</f>
        <v>0</v>
      </c>
      <c r="T123" s="1128">
        <f>G124</f>
        <v>0</v>
      </c>
      <c r="U123" s="2068"/>
      <c r="V123" s="2094"/>
      <c r="AA123" s="2068"/>
      <c r="AB123" s="2068"/>
      <c r="AC123" s="2068"/>
      <c r="AD123" s="2068"/>
      <c r="AE123" s="2068"/>
      <c r="AF123" s="2068"/>
      <c r="AG123" s="2068"/>
      <c r="AH123" s="2068"/>
      <c r="AI123" s="2068"/>
      <c r="AJ123" s="2068"/>
      <c r="AK123" s="2068"/>
      <c r="AL123" s="2068"/>
      <c r="AM123" s="2068"/>
      <c r="AN123" s="2068"/>
      <c r="AO123" s="2068"/>
      <c r="AP123" s="2068"/>
      <c r="AQ123" s="2068"/>
      <c r="AR123" s="2068"/>
      <c r="AS123" s="2068"/>
      <c r="AT123" s="2068"/>
      <c r="AU123" s="2068"/>
      <c r="AV123" s="2068"/>
      <c r="AW123" s="2068"/>
      <c r="AX123" s="2068"/>
      <c r="AY123" s="2068"/>
      <c r="AZ123" s="2068"/>
      <c r="BA123" s="2068"/>
      <c r="BB123" s="2068"/>
      <c r="BC123" s="2068"/>
      <c r="BD123" s="2068"/>
      <c r="BE123" s="2068"/>
      <c r="BF123" s="2068"/>
      <c r="BG123" s="2068"/>
    </row>
    <row r="124" spans="2:243" s="2043" customFormat="1" ht="14.25" customHeight="1" x14ac:dyDescent="0.2">
      <c r="C124" s="2043">
        <v>1</v>
      </c>
      <c r="D124" s="2140">
        <f>VLOOKUP(C124,Dados!$A$14:$AV$81,48)</f>
        <v>0</v>
      </c>
      <c r="E124" s="2280"/>
      <c r="F124" s="2079">
        <v>1</v>
      </c>
      <c r="G124" s="2178">
        <f>IF(OR(C124=1,F124=1),0,IF(OR(C124=2,C124=3),VLOOKUP(F124,$B$109:$G$117,3)*E124,IF(OR(C124=4,C124=5),VLOOKUP(F124,$B$109:$G$117,6)*E124)))</f>
        <v>0</v>
      </c>
      <c r="J124" s="2094"/>
      <c r="K124" s="2094"/>
      <c r="R124" s="1709"/>
      <c r="S124" s="2079">
        <f>VLOOKUP(F125,$R$107:$S$116,2)</f>
        <v>0</v>
      </c>
      <c r="T124" s="1128">
        <f>G125</f>
        <v>0</v>
      </c>
      <c r="U124" s="2068"/>
      <c r="V124" s="2094"/>
      <c r="AA124" s="2068"/>
      <c r="AB124" s="2068"/>
      <c r="AC124" s="2068"/>
      <c r="AD124" s="2068"/>
      <c r="AE124" s="2068"/>
      <c r="AF124" s="2068"/>
      <c r="AG124" s="2068"/>
      <c r="AH124" s="2068"/>
      <c r="AI124" s="2068"/>
      <c r="AJ124" s="2068"/>
      <c r="AK124" s="2068"/>
      <c r="AL124" s="2068"/>
      <c r="AM124" s="2068"/>
      <c r="AN124" s="2068"/>
      <c r="AO124" s="2068"/>
      <c r="AP124" s="2068"/>
      <c r="AQ124" s="2068"/>
      <c r="AR124" s="2068"/>
      <c r="AS124" s="2068"/>
      <c r="AT124" s="2068"/>
      <c r="AU124" s="2068"/>
      <c r="AV124" s="2068"/>
      <c r="AW124" s="2068"/>
      <c r="AX124" s="2068"/>
      <c r="AY124" s="2068"/>
      <c r="AZ124" s="2068"/>
      <c r="BA124" s="2068"/>
      <c r="BB124" s="2068"/>
      <c r="BC124" s="2068"/>
      <c r="BD124" s="2068"/>
      <c r="BE124" s="2068"/>
      <c r="BF124" s="2068"/>
      <c r="BG124" s="2068"/>
    </row>
    <row r="125" spans="2:243" s="2043" customFormat="1" ht="14.25" customHeight="1" thickBot="1" x14ac:dyDescent="0.25">
      <c r="C125" s="2043">
        <v>1</v>
      </c>
      <c r="D125" s="2140">
        <f>VLOOKUP(C125,Dados!$A$14:$AV$81,48)</f>
        <v>0</v>
      </c>
      <c r="E125" s="2141"/>
      <c r="F125" s="2079">
        <v>1</v>
      </c>
      <c r="G125" s="2178">
        <f>IF(OR(C125=1,F125=1),0,IF(OR(C125=2,C125=3),VLOOKUP(F125,$B$109:$G$117,3)*E125,IF(OR(C125=4,C125=5),VLOOKUP(F125,$B$109:$G$117,6)*E125)))</f>
        <v>0</v>
      </c>
      <c r="J125" s="2094"/>
      <c r="K125" s="2094"/>
      <c r="R125" s="1709"/>
      <c r="S125" s="2071">
        <f>VLOOKUP(F126,$R$107:$S$116,2)</f>
        <v>0</v>
      </c>
      <c r="T125" s="1130">
        <f>G126</f>
        <v>0</v>
      </c>
      <c r="U125" s="2068"/>
      <c r="V125" s="2094"/>
      <c r="AA125" s="2068"/>
      <c r="AB125" s="2068"/>
      <c r="AC125" s="2068"/>
      <c r="AD125" s="2068"/>
      <c r="AE125" s="2068"/>
      <c r="AF125" s="2068"/>
      <c r="AG125" s="2068"/>
      <c r="AH125" s="2068"/>
      <c r="AI125" s="2068"/>
      <c r="AJ125" s="2068"/>
      <c r="AK125" s="2068"/>
      <c r="AL125" s="2068"/>
      <c r="AM125" s="2068"/>
      <c r="AN125" s="2068"/>
      <c r="AO125" s="2068"/>
      <c r="AP125" s="2068"/>
      <c r="AQ125" s="2068"/>
      <c r="AR125" s="2068"/>
      <c r="AS125" s="2068"/>
      <c r="AT125" s="2068"/>
      <c r="AU125" s="2068"/>
      <c r="AV125" s="2068"/>
    </row>
    <row r="126" spans="2:243" s="2043" customFormat="1" ht="14.25" customHeight="1" x14ac:dyDescent="0.2">
      <c r="C126" s="2151">
        <v>1</v>
      </c>
      <c r="D126" s="2140">
        <f>VLOOKUP(C126,Dados!$A$14:$AV$81,48)</f>
        <v>0</v>
      </c>
      <c r="E126" s="2141"/>
      <c r="F126" s="2079">
        <v>1</v>
      </c>
      <c r="G126" s="2178">
        <f>IF(OR(C126=1,F126=1),0,IF(OR(C126=2,C126=3),VLOOKUP(F126,$B$109:$G$117,3)*E126,IF(OR(C126=4,C126=5),VLOOKUP(F126,$B$109:$G$117,6)*E126)))</f>
        <v>0</v>
      </c>
      <c r="J126" s="2094"/>
      <c r="K126" s="2094"/>
      <c r="R126" s="1709"/>
      <c r="S126" s="2095" t="s">
        <v>2</v>
      </c>
      <c r="T126" s="1127">
        <f>SUM(T122:T125)</f>
        <v>0</v>
      </c>
      <c r="U126" s="2068"/>
      <c r="V126" s="2094"/>
      <c r="AA126" s="2069"/>
      <c r="AB126" s="2069"/>
      <c r="AC126" s="2069"/>
      <c r="AD126" s="2069"/>
      <c r="AE126" s="2069"/>
      <c r="AF126" s="2068"/>
      <c r="AG126" s="2068"/>
      <c r="AH126" s="2068"/>
      <c r="AI126" s="2068"/>
      <c r="AJ126" s="2068"/>
      <c r="AK126" s="2068"/>
      <c r="AL126" s="2068"/>
      <c r="AM126" s="2068"/>
      <c r="AN126" s="2068"/>
      <c r="AO126" s="2068"/>
      <c r="AP126" s="2068"/>
      <c r="AQ126" s="2068"/>
      <c r="AR126" s="2068"/>
      <c r="AS126" s="2068"/>
      <c r="AT126" s="2068"/>
      <c r="AU126" s="2068"/>
      <c r="AV126" s="2068"/>
    </row>
    <row r="127" spans="2:243" s="2043" customFormat="1" ht="14.25" customHeight="1" x14ac:dyDescent="0.2">
      <c r="C127" s="2207" t="s">
        <v>77</v>
      </c>
      <c r="D127" s="2129"/>
      <c r="E127" s="2208"/>
      <c r="G127" s="2196">
        <f>SUM(G123:G126)</f>
        <v>0</v>
      </c>
      <c r="J127" s="2094"/>
      <c r="K127" s="2094"/>
      <c r="R127" s="1709"/>
      <c r="T127" s="797"/>
      <c r="U127" s="2068"/>
      <c r="V127" s="2094"/>
      <c r="AA127" s="2069"/>
      <c r="AB127" s="2069"/>
      <c r="AC127" s="2069"/>
      <c r="AD127" s="2069"/>
      <c r="AE127" s="2069"/>
      <c r="AF127" s="2068"/>
      <c r="AG127" s="2068"/>
      <c r="AH127" s="2068"/>
      <c r="AI127" s="2068"/>
      <c r="AJ127" s="2068"/>
      <c r="AK127" s="2068"/>
      <c r="AL127" s="2068"/>
      <c r="AM127" s="2068"/>
      <c r="AN127" s="2068"/>
      <c r="AO127" s="2068"/>
      <c r="AP127" s="2068"/>
      <c r="AQ127" s="2068"/>
      <c r="AR127" s="2068"/>
      <c r="AS127" s="2068"/>
      <c r="AT127" s="2068"/>
      <c r="AU127" s="2068"/>
      <c r="AV127" s="2068"/>
    </row>
    <row r="128" spans="2:243" s="2043" customFormat="1" ht="14.25" customHeight="1" x14ac:dyDescent="0.2">
      <c r="K128" s="2094"/>
      <c r="R128" s="1709"/>
      <c r="T128" s="797"/>
      <c r="U128" s="2068"/>
      <c r="V128" s="2094"/>
      <c r="AA128" s="2209"/>
      <c r="AB128" s="2209"/>
      <c r="AC128" s="2209"/>
      <c r="AD128" s="2069"/>
      <c r="AE128" s="2069"/>
      <c r="AF128" s="2068"/>
      <c r="AG128" s="2068"/>
      <c r="AH128" s="2068"/>
      <c r="AI128" s="2068"/>
      <c r="AJ128" s="2068"/>
      <c r="AK128" s="2068"/>
      <c r="AL128" s="2068"/>
      <c r="AM128" s="2068"/>
      <c r="AN128" s="2068"/>
      <c r="AO128" s="2068"/>
      <c r="AP128" s="2068"/>
      <c r="AQ128" s="2068"/>
      <c r="AR128" s="2068"/>
      <c r="AS128" s="2068"/>
      <c r="AT128" s="2068"/>
      <c r="AU128" s="2068"/>
      <c r="AV128" s="2068"/>
    </row>
    <row r="129" spans="11:48" s="2043" customFormat="1" ht="14.25" customHeight="1" x14ac:dyDescent="0.2">
      <c r="K129" s="2094"/>
      <c r="R129" s="1709"/>
      <c r="T129" s="797"/>
      <c r="U129" s="2068"/>
      <c r="V129" s="2094"/>
      <c r="AA129" s="2210"/>
      <c r="AB129" s="2210"/>
      <c r="AC129" s="2210"/>
      <c r="AD129" s="2069"/>
      <c r="AE129" s="2069"/>
      <c r="AF129" s="2068"/>
      <c r="AG129" s="2068"/>
      <c r="AH129" s="2068"/>
      <c r="AI129" s="2068"/>
      <c r="AJ129" s="2068"/>
      <c r="AK129" s="2068"/>
      <c r="AL129" s="2068"/>
      <c r="AM129" s="2068"/>
      <c r="AN129" s="2068"/>
      <c r="AO129" s="2068"/>
      <c r="AP129" s="2068"/>
      <c r="AQ129" s="2068"/>
      <c r="AR129" s="2068"/>
      <c r="AS129" s="2068"/>
      <c r="AT129" s="2068"/>
      <c r="AU129" s="2068"/>
      <c r="AV129" s="2068"/>
    </row>
    <row r="130" spans="11:48" s="2043" customFormat="1" ht="14.25" customHeight="1" thickBot="1" x14ac:dyDescent="0.25">
      <c r="K130" s="2094"/>
      <c r="R130" s="1709"/>
      <c r="T130" s="797"/>
      <c r="U130" s="2068"/>
      <c r="V130" s="2094"/>
      <c r="AA130" s="2094"/>
      <c r="AB130" s="2094"/>
      <c r="AC130" s="2094"/>
      <c r="AD130" s="2069"/>
      <c r="AE130" s="2069"/>
      <c r="AF130" s="2068"/>
      <c r="AG130" s="2068"/>
      <c r="AH130" s="2068"/>
      <c r="AI130" s="2068"/>
      <c r="AJ130" s="2068"/>
      <c r="AK130" s="2068"/>
      <c r="AL130" s="2068"/>
      <c r="AM130" s="2068"/>
      <c r="AN130" s="2068"/>
      <c r="AO130" s="2068"/>
      <c r="AP130" s="2068"/>
      <c r="AQ130" s="2068"/>
      <c r="AR130" s="2068"/>
      <c r="AS130" s="2068"/>
      <c r="AT130" s="2068"/>
      <c r="AU130" s="2068"/>
      <c r="AV130" s="2068"/>
    </row>
    <row r="131" spans="11:48" s="2043" customFormat="1" ht="14.25" customHeight="1" thickBot="1" x14ac:dyDescent="0.25">
      <c r="K131" s="2094"/>
      <c r="R131" s="2094"/>
      <c r="S131" s="2559" t="s">
        <v>1219</v>
      </c>
      <c r="T131" s="2560"/>
      <c r="U131" s="2560"/>
      <c r="V131" s="2560"/>
      <c r="W131" s="2560"/>
      <c r="X131" s="2560"/>
      <c r="Y131" s="2560"/>
      <c r="Z131" s="2560"/>
      <c r="AA131" s="2561"/>
      <c r="AB131" s="2211"/>
      <c r="AC131" s="2211"/>
      <c r="AD131" s="2068"/>
      <c r="AE131" s="2068"/>
      <c r="AF131" s="2068"/>
      <c r="AG131" s="2068"/>
      <c r="AH131" s="2068"/>
      <c r="AI131" s="2068"/>
      <c r="AJ131" s="2068"/>
      <c r="AK131" s="2068"/>
      <c r="AL131" s="2068"/>
      <c r="AM131" s="2068"/>
      <c r="AN131" s="2068"/>
      <c r="AO131" s="2068"/>
      <c r="AP131" s="2068"/>
      <c r="AQ131" s="2068"/>
      <c r="AR131" s="2068"/>
      <c r="AS131" s="2068"/>
      <c r="AT131" s="2068"/>
      <c r="AU131" s="2068"/>
      <c r="AV131" s="2068"/>
    </row>
    <row r="132" spans="11:48" s="2043" customFormat="1" ht="14.25" customHeight="1" thickBot="1" x14ac:dyDescent="0.25">
      <c r="K132" s="2094"/>
      <c r="R132" s="2094"/>
      <c r="S132" s="2212"/>
      <c r="T132" s="2055"/>
      <c r="U132" s="2055"/>
      <c r="V132" s="2562" t="s">
        <v>1312</v>
      </c>
      <c r="W132" s="2552" t="s">
        <v>1235</v>
      </c>
      <c r="X132" s="2553"/>
      <c r="Y132" s="2213" t="s">
        <v>1262</v>
      </c>
      <c r="Z132" s="2213" t="s">
        <v>1264</v>
      </c>
      <c r="AA132" s="2214"/>
      <c r="AB132" s="2213"/>
      <c r="AC132" s="2213"/>
      <c r="AD132" s="2068"/>
      <c r="AE132" s="2068"/>
      <c r="AF132" s="2068"/>
      <c r="AG132" s="2068"/>
      <c r="AH132" s="2068"/>
      <c r="AI132" s="2068"/>
      <c r="AJ132" s="2068"/>
      <c r="AK132" s="2068"/>
      <c r="AL132" s="2068"/>
      <c r="AM132" s="2068"/>
      <c r="AN132" s="2068"/>
      <c r="AO132" s="2068"/>
      <c r="AP132" s="2068"/>
      <c r="AQ132" s="2068"/>
      <c r="AR132" s="2068"/>
      <c r="AS132" s="2068"/>
      <c r="AT132" s="2068"/>
      <c r="AU132" s="2068"/>
      <c r="AV132" s="2068"/>
    </row>
    <row r="133" spans="11:48" s="2043" customFormat="1" ht="14.25" customHeight="1" thickBot="1" x14ac:dyDescent="0.25">
      <c r="K133" s="2094"/>
      <c r="R133" s="2094"/>
      <c r="S133" s="2215" t="s">
        <v>53</v>
      </c>
      <c r="T133" s="2216" t="s">
        <v>1260</v>
      </c>
      <c r="U133" s="2217" t="s">
        <v>1261</v>
      </c>
      <c r="V133" s="2563"/>
      <c r="W133" s="2218" t="s">
        <v>946</v>
      </c>
      <c r="X133" s="2219" t="s">
        <v>795</v>
      </c>
      <c r="Y133" s="2220" t="s">
        <v>2</v>
      </c>
      <c r="Z133" s="2221" t="s">
        <v>2</v>
      </c>
      <c r="AA133" s="2222" t="s">
        <v>1263</v>
      </c>
      <c r="AB133" s="2223"/>
      <c r="AC133" s="2223"/>
      <c r="AD133" s="2068"/>
      <c r="AE133" s="2068"/>
      <c r="AF133" s="2068"/>
      <c r="AG133" s="2068"/>
      <c r="AH133" s="2068"/>
      <c r="AI133" s="2068"/>
      <c r="AJ133" s="2068"/>
      <c r="AK133" s="2068"/>
      <c r="AL133" s="2068"/>
      <c r="AM133" s="2068"/>
      <c r="AN133" s="2068"/>
      <c r="AO133" s="2068"/>
      <c r="AP133" s="2068"/>
      <c r="AQ133" s="2068"/>
      <c r="AR133" s="2068"/>
      <c r="AS133" s="2068"/>
      <c r="AT133" s="2068"/>
      <c r="AU133" s="2068"/>
      <c r="AV133" s="2068"/>
    </row>
    <row r="134" spans="11:48" s="2043" customFormat="1" ht="14.25" customHeight="1" thickTop="1" x14ac:dyDescent="0.2">
      <c r="K134" s="2094"/>
      <c r="R134" s="2094">
        <v>2</v>
      </c>
      <c r="S134" s="2224" t="str">
        <f t="shared" ref="S134:S150" si="102">C26</f>
        <v>Bezerro em aleitamento</v>
      </c>
      <c r="T134" s="2225">
        <f>SUMIF($C$109:$C$117,"=2",$D$109:$D$117)</f>
        <v>0</v>
      </c>
      <c r="U134" s="2226">
        <f t="shared" ref="U134:U150" si="103">E49</f>
        <v>0</v>
      </c>
      <c r="V134" s="2227" t="e">
        <f>SUMIF($C$109:$C$117,"=2",$G$109:$G$117)/SUMIF($C$109:$C$117,"=2",$D$109:$D$117)</f>
        <v>#DIV/0!</v>
      </c>
      <c r="W134" s="2228" t="e">
        <f>SUMIF($S$94:$S$102,"Bezerro em aleitamento",$T$94:$T$102)/(SUMIF($C$79:$C$89,"=2",$D$79:$D$89))</f>
        <v>#DIV/0!</v>
      </c>
      <c r="X134" s="2229" t="e">
        <f>SUMIF($S$122:$S$125,"Bezerro em aleitamento",$T$122:$T$125)/(SUMIF($C$109:$C$117,"=2",$D$109:$D$117))</f>
        <v>#DIV/0!</v>
      </c>
      <c r="Y134" s="2230">
        <f>IF(AND(AC117=0,AC89=0),0,SUM(V134:X134))</f>
        <v>0</v>
      </c>
      <c r="Z134" s="2231">
        <f>Y134*T134</f>
        <v>0</v>
      </c>
      <c r="AA134" s="2232">
        <f>IF(T134=0,Y134,IF(T134=0,"-",Z134/U138))</f>
        <v>0</v>
      </c>
      <c r="AB134" s="2233"/>
      <c r="AC134" s="2233"/>
      <c r="AD134" s="2068"/>
      <c r="AE134" s="2068"/>
      <c r="AF134" s="2068"/>
      <c r="AG134" s="2068"/>
      <c r="AH134" s="2068"/>
      <c r="AI134" s="2068"/>
      <c r="AJ134" s="2068"/>
      <c r="AK134" s="2068"/>
      <c r="AL134" s="2068"/>
      <c r="AM134" s="2068"/>
      <c r="AN134" s="2068"/>
      <c r="AO134" s="2068"/>
      <c r="AP134" s="2068"/>
      <c r="AQ134" s="2068"/>
      <c r="AR134" s="2068"/>
      <c r="AS134" s="2068"/>
      <c r="AT134" s="2068"/>
      <c r="AU134" s="2068"/>
      <c r="AV134" s="2068"/>
    </row>
    <row r="135" spans="11:48" s="2043" customFormat="1" ht="14.25" customHeight="1" x14ac:dyDescent="0.2">
      <c r="K135" s="2094"/>
      <c r="R135" s="2094">
        <v>3</v>
      </c>
      <c r="S135" s="2234" t="str">
        <f t="shared" si="102"/>
        <v>Bezerro desmamados</v>
      </c>
      <c r="T135" s="2235">
        <f>SUMIF($C$109:$C$117,"=3",$D$109:$D$117)</f>
        <v>800</v>
      </c>
      <c r="U135" s="2236">
        <f t="shared" si="103"/>
        <v>793.33333333333337</v>
      </c>
      <c r="V135" s="2237">
        <f>SUMIF($C$109:$C$117,"=3",$G$109:$G$117)/SUMIF($C$109:$C$117,"=3",$D$109:$D$117)</f>
        <v>1100</v>
      </c>
      <c r="W135" s="2238" t="e">
        <f>SUMIF($S$94:$S$102,"Bezerro desmamados",$T$94:$T$102)/(SUMIF($C$79:$C$89,"=3",$D$79:$D$89))</f>
        <v>#DIV/0!</v>
      </c>
      <c r="X135" s="2239">
        <f>SUMIF($S$122:$S$125,"Bezerro desmamados",$T$122:$T$125)/((SUMIF($C$109:$C$117,"=3",$D$109:$D$117)))</f>
        <v>0</v>
      </c>
      <c r="Y135" s="2240">
        <f>IF(AND(AD117=0,AD89=0),0,SUMIF(V135:X135,"&gt;0",V135:X135))</f>
        <v>1100</v>
      </c>
      <c r="Z135" s="2241">
        <f>Y135*T135</f>
        <v>880000</v>
      </c>
      <c r="AA135" s="2242">
        <f>IF(T135=0,Y135,IF(T135=0,"-",Z135/U138))</f>
        <v>1145.1515793575854</v>
      </c>
      <c r="AB135" s="2233"/>
      <c r="AC135" s="2233"/>
      <c r="AD135" s="2068"/>
      <c r="AE135" s="2068"/>
      <c r="AF135" s="2068"/>
      <c r="AG135" s="2068"/>
      <c r="AH135" s="2068"/>
      <c r="AI135" s="2068"/>
      <c r="AJ135" s="2068"/>
      <c r="AK135" s="2068"/>
      <c r="AL135" s="2068"/>
      <c r="AM135" s="2068"/>
      <c r="AN135" s="2068"/>
      <c r="AO135" s="2068"/>
      <c r="AP135" s="2068"/>
      <c r="AQ135" s="2068"/>
      <c r="AR135" s="2068"/>
      <c r="AS135" s="2068"/>
      <c r="AT135" s="2068"/>
      <c r="AU135" s="2068"/>
      <c r="AV135" s="2068"/>
    </row>
    <row r="136" spans="11:48" s="2043" customFormat="1" ht="14.25" customHeight="1" x14ac:dyDescent="0.2">
      <c r="K136" s="2094"/>
      <c r="R136" s="2094">
        <v>4</v>
      </c>
      <c r="S136" s="2234" t="str">
        <f t="shared" si="102"/>
        <v>Garrotes</v>
      </c>
      <c r="T136" s="2235">
        <f>SUMIF($C$109:$C$117,"=4",$D$109:$D$117)</f>
        <v>0</v>
      </c>
      <c r="U136" s="2236">
        <f t="shared" si="103"/>
        <v>782.75555555555559</v>
      </c>
      <c r="V136" s="2237" t="e">
        <f>SUMIF($C$109:$C$117,"=4",$G$109:$G$117)/SUMIF($C$109:$C$117,"=4",$D$109:$D$117)</f>
        <v>#DIV/0!</v>
      </c>
      <c r="W136" s="2238" t="e">
        <f>SUMIF($S$94:$S$102,"Garrotes",$T$94:$T$102)/(SUMIF($C$79:$C$89,"=4",$D$79:$D$89))</f>
        <v>#DIV/0!</v>
      </c>
      <c r="X136" s="2239" t="e">
        <f>SUMIF($S$122:$S$125,"Garrotes",$T$122:$T$125)/((SUMIF($C$109:$C$117,"=4",$D$109:$D$117)))</f>
        <v>#DIV/0!</v>
      </c>
      <c r="Y136" s="2240">
        <f>IF(AND(AE117=0,AE89=0),0,SUMIF(V136:X136,"&gt;0",V136:X136))</f>
        <v>0</v>
      </c>
      <c r="Z136" s="2241">
        <f t="shared" ref="Z136:Z150" si="104">Y136*T136</f>
        <v>0</v>
      </c>
      <c r="AA136" s="2242">
        <f>IF(T136=0,Y136,IF(T136=0,"-",Z136/U138))</f>
        <v>0</v>
      </c>
      <c r="AB136" s="2233"/>
      <c r="AC136" s="2233"/>
    </row>
    <row r="137" spans="11:48" s="2043" customFormat="1" ht="14.25" customHeight="1" x14ac:dyDescent="0.2">
      <c r="K137" s="2094"/>
      <c r="R137" s="2094">
        <v>5</v>
      </c>
      <c r="S137" s="2234" t="str">
        <f t="shared" si="102"/>
        <v>Boi magro</v>
      </c>
      <c r="T137" s="2235">
        <f>SUMIF($C$109:$C$117,"=5",$D$109:$D$117)</f>
        <v>0</v>
      </c>
      <c r="U137" s="2236">
        <f t="shared" si="103"/>
        <v>772.31881481481491</v>
      </c>
      <c r="V137" s="2237" t="e">
        <f>SUMIF($C$109:$C$117,"=5",$G$109:$G$117)/SUMIF($C$109:$C$117,"=5",$D$109:$D$117)</f>
        <v>#DIV/0!</v>
      </c>
      <c r="W137" s="2238" t="e">
        <f>SUMIF($S$94:$S$102,"Boi magro",$T$94:$T$102)/(SUMIF($C$79:$C$89,"=5",$D$79:$D$89))</f>
        <v>#DIV/0!</v>
      </c>
      <c r="X137" s="2239" t="e">
        <f>SUMIF($S$122:$S$125,"Boi magro",$T$122:$T$125)/((SUMIF($C$109:$C$117,"=5",$D$109:$D$117)))</f>
        <v>#DIV/0!</v>
      </c>
      <c r="Y137" s="2240">
        <f>IF(AND(AF117=0,AF89=0),0,SUMIF(V137:X137,"&gt;0",V137:X137))</f>
        <v>0</v>
      </c>
      <c r="Z137" s="2241">
        <f t="shared" si="104"/>
        <v>0</v>
      </c>
      <c r="AA137" s="2242">
        <f>IF(T137=0,Y137,IF(T137=0,"-",Z137/U138))</f>
        <v>0</v>
      </c>
      <c r="AB137" s="2233"/>
      <c r="AC137" s="2233"/>
    </row>
    <row r="138" spans="11:48" s="2043" customFormat="1" ht="14.25" customHeight="1" thickBot="1" x14ac:dyDescent="0.25">
      <c r="R138" s="2094">
        <v>6</v>
      </c>
      <c r="S138" s="2243" t="str">
        <f t="shared" si="102"/>
        <v>Boi gordo</v>
      </c>
      <c r="T138" s="2244">
        <f>SUMIF($C$109:$C$117,"=6",$D$109:$D$117)</f>
        <v>0</v>
      </c>
      <c r="U138" s="2245">
        <f t="shared" si="103"/>
        <v>768.45722074074081</v>
      </c>
      <c r="V138" s="2246" t="e">
        <f>SUMIF($C$109:$C$117,"=6",$G$109:$G$117)/SUMIF($C$109:$C$117,"=6",$D$109:$D$117)</f>
        <v>#DIV/0!</v>
      </c>
      <c r="W138" s="2247">
        <f>SUMIF($S$94:$S$102,"Boi gordo",$T$94:$T$102)/(SUMIF($C$79:$C$89,"=6",$D$79:$D$89))</f>
        <v>33</v>
      </c>
      <c r="X138" s="2248" t="e">
        <f>SUMIF($S$122:$S$125,"Boi gordo",$T$122:$T$125)/((SUMIF($C$109:$C$117,"=6",$D$109:$D$117)))</f>
        <v>#DIV/0!</v>
      </c>
      <c r="Y138" s="2249">
        <f>IF(AND(AG117=0,AG89=0),0,SUMIF(V138:X138,"&gt;0",V138:X138))</f>
        <v>33</v>
      </c>
      <c r="Z138" s="2250">
        <f>Y138*U138</f>
        <v>25359.088284444446</v>
      </c>
      <c r="AA138" s="2251">
        <f>IF(T138=0,Y138,IF(T138=0,"-",Z138/U138))</f>
        <v>33</v>
      </c>
      <c r="AB138" s="2233"/>
      <c r="AC138" s="2233"/>
    </row>
    <row r="139" spans="11:48" s="2043" customFormat="1" ht="14.25" customHeight="1" thickTop="1" thickBot="1" x14ac:dyDescent="0.25">
      <c r="R139" s="2094">
        <v>7</v>
      </c>
      <c r="S139" s="2252" t="str">
        <f t="shared" si="102"/>
        <v>Touro</v>
      </c>
      <c r="T139" s="2253">
        <f>SUMIF($C$109:$C$117,"=7",$D$109:$D$117)</f>
        <v>0</v>
      </c>
      <c r="U139" s="2254">
        <f t="shared" si="103"/>
        <v>0</v>
      </c>
      <c r="V139" s="2255" t="e">
        <f>SUMIF($C$109:$C$117,"=7",$G$109:$G$117)/SUMIF($C$109:$C$117,"=7",$D$109:$D$117)</f>
        <v>#DIV/0!</v>
      </c>
      <c r="W139" s="2256" t="e">
        <f>SUMIF($S$94:$S$102,"Touro",$T$94:$T$102)/(SUMIF($C$79:$C$89,"=7",$D$79:$D$89))</f>
        <v>#DIV/0!</v>
      </c>
      <c r="X139" s="2257" t="e">
        <f>SUMIF($S$122:$S$125,"Touro",$T$122:$T$125)/((SUMIF($C$109:$C$117,"=7",$D$109:$D$117)))</f>
        <v>#DIV/0!</v>
      </c>
      <c r="Y139" s="2258">
        <f>IF(AND(AH117=0,AH89=0),0,SUMIF(V139:X139,"&gt;0",V139:X139))</f>
        <v>0</v>
      </c>
      <c r="Z139" s="2259">
        <f t="shared" si="104"/>
        <v>0</v>
      </c>
      <c r="AA139" s="2260">
        <f>IF(T139=0,Y139,IF(T139=0,"-",Z139/U139))</f>
        <v>0</v>
      </c>
      <c r="AB139" s="2233"/>
      <c r="AC139" s="2233"/>
    </row>
    <row r="140" spans="11:48" s="2043" customFormat="1" ht="14.25" customHeight="1" thickTop="1" x14ac:dyDescent="0.2">
      <c r="R140" s="2094">
        <v>8</v>
      </c>
      <c r="S140" s="2224" t="str">
        <f t="shared" si="102"/>
        <v>Bezerras em aleitamento</v>
      </c>
      <c r="T140" s="2225">
        <f>SUMIF($C$109:$C$117,"=8",$D$109:$D$117)</f>
        <v>0</v>
      </c>
      <c r="U140" s="2226">
        <f t="shared" si="103"/>
        <v>0</v>
      </c>
      <c r="V140" s="2227" t="e">
        <f>SUMIF($C$109:$C$117,"=8",$G$109:$G$117)/SUMIF($C$109:$C$117,"=8",$D$109:$D$117)</f>
        <v>#DIV/0!</v>
      </c>
      <c r="W140" s="2228" t="e">
        <f>SUMIF($S$94:$S$102,"Bezerras em aleitamento",$T$94:$T$102)/(SUMIF($C$79:$C$89,"=8",$D$79:$D$89))</f>
        <v>#DIV/0!</v>
      </c>
      <c r="X140" s="2229" t="e">
        <f>SUMIF($S$122:$S$125,"Bezerras em aleitamento",$T$122:$T$125)/((SUMIF($C$109:$C$117,"=8",$D$109:$D$117)))</f>
        <v>#DIV/0!</v>
      </c>
      <c r="Y140" s="2230">
        <f>IF(AND(AI117=0,AI89=0),0,SUMIF(V140:X140,"&gt;0",V140:X140))</f>
        <v>0</v>
      </c>
      <c r="Z140" s="2231">
        <f t="shared" si="104"/>
        <v>0</v>
      </c>
      <c r="AA140" s="2232">
        <f>IF(T140=0,Y140,IF(T140=0,"-",Z140/U143))</f>
        <v>0</v>
      </c>
      <c r="AB140" s="2233"/>
      <c r="AC140" s="2233"/>
    </row>
    <row r="141" spans="11:48" s="2043" customFormat="1" ht="14.25" customHeight="1" x14ac:dyDescent="0.2">
      <c r="R141" s="2094">
        <v>9</v>
      </c>
      <c r="S141" s="2234" t="str">
        <f t="shared" si="102"/>
        <v>Bezerras desmamadas</v>
      </c>
      <c r="T141" s="2235">
        <f>SUMIF($C$109:$C$117,"=9",$D$109:$D$117)</f>
        <v>0</v>
      </c>
      <c r="U141" s="2236">
        <f t="shared" si="103"/>
        <v>0</v>
      </c>
      <c r="V141" s="2237" t="e">
        <f>SUMIF($C$109:$C$117,"=9",$G$109:$G$117)/SUMIF($C$109:$C$117,"=9",$D$109:$D$117)</f>
        <v>#DIV/0!</v>
      </c>
      <c r="W141" s="2238" t="e">
        <f>SUMIF($S$94:$S$102,"Bezerras desmamadas",$T$94:$T$102)/(SUMIF($C$79:$C$89,"=9",$D$79:$D$89))</f>
        <v>#DIV/0!</v>
      </c>
      <c r="X141" s="2239" t="e">
        <f>SUMIF($S$122:$S$125,"Bezerras desmamadas",$T$122:$T$125)/((SUMIF($C$109:$C$117,"=9",$D$109:$D$117)))</f>
        <v>#DIV/0!</v>
      </c>
      <c r="Y141" s="2240">
        <f>IF(AND(AJ117=0,AJ89=0),0,SUMIF(V141:X141,"&gt;0",V141:X141))</f>
        <v>0</v>
      </c>
      <c r="Z141" s="2241">
        <f t="shared" si="104"/>
        <v>0</v>
      </c>
      <c r="AA141" s="2242">
        <f>IF(T141=0,Y141,IF(T141=0,"-",Z141/U143))</f>
        <v>0</v>
      </c>
      <c r="AB141" s="2233"/>
      <c r="AC141" s="2233"/>
    </row>
    <row r="142" spans="11:48" s="2043" customFormat="1" x14ac:dyDescent="0.2">
      <c r="R142" s="2094">
        <v>10</v>
      </c>
      <c r="S142" s="2234" t="str">
        <f t="shared" si="102"/>
        <v>Novilhas sobreano</v>
      </c>
      <c r="T142" s="2235">
        <f>SUMIF($C$109:$C$117,"=10",$D$109:$D$117)</f>
        <v>0</v>
      </c>
      <c r="U142" s="2236">
        <f t="shared" si="103"/>
        <v>0</v>
      </c>
      <c r="V142" s="2237" t="e">
        <f>SUMIF($C$109:$C$117,"=10",$G$109:$G$117)/SUMIF($C$109:$C$117,"=10",$D$109:$D$117)</f>
        <v>#DIV/0!</v>
      </c>
      <c r="W142" s="2238" t="e">
        <f>SUMIF($S$94:$S$102,"Novilhas sobreano",$T$94:$T$102)/(SUMIF($C$79:$C$89,"=10",$D$79:$D$89))</f>
        <v>#DIV/0!</v>
      </c>
      <c r="X142" s="2239" t="e">
        <f>SUMIF($S$122:$S$125,"Novilhas sobreano",$T$122:$T$125)/((SUMIF($C$109:$C$117,"=10",$D$109:$D$117)))</f>
        <v>#DIV/0!</v>
      </c>
      <c r="Y142" s="2240">
        <f>IF(AND(AK117=0,AK89=0),0,SUMIF(V142:X142,"&gt;0",V142:X142))</f>
        <v>0</v>
      </c>
      <c r="Z142" s="2241">
        <f t="shared" si="104"/>
        <v>0</v>
      </c>
      <c r="AA142" s="2242">
        <f>IF(T142=0,Y142,IF(T142=0,"-",Z142/U143))</f>
        <v>0</v>
      </c>
      <c r="AB142" s="2233"/>
      <c r="AC142" s="2233"/>
    </row>
    <row r="143" spans="11:48" s="2043" customFormat="1" x14ac:dyDescent="0.2">
      <c r="R143" s="2094">
        <v>11</v>
      </c>
      <c r="S143" s="2234" t="str">
        <f t="shared" si="102"/>
        <v>Novilhas preenhe</v>
      </c>
      <c r="T143" s="2235">
        <f>SUMIF($C$109:$C$117,"=11",$D$109:$D$117)</f>
        <v>0</v>
      </c>
      <c r="U143" s="2236">
        <f t="shared" si="103"/>
        <v>0</v>
      </c>
      <c r="V143" s="2237" t="e">
        <f>SUMIF($C$109:$C$117,"=11",$G$109:$G$117)/SUMIF($C$109:$C$117,"=11",$D$109:$D$117)</f>
        <v>#DIV/0!</v>
      </c>
      <c r="W143" s="2238" t="e">
        <f>SUMIF($S$94:$S$102,"Novilhas preenhe",$T$94:$T$102)/(SUMIF($C$79:$C$89,"=11",$D$79:$D$89))</f>
        <v>#DIV/0!</v>
      </c>
      <c r="X143" s="2239" t="e">
        <f>SUMIF($S$122:$S$125,"Novilhas preenhe",$T$122:$T$125)/((SUMIF($C$109:$C$117,"=11",$D$109:$D$117)))</f>
        <v>#DIV/0!</v>
      </c>
      <c r="Y143" s="2240">
        <f>IF(AND(AL117=0,AL89=0),0,SUMIF(V143:X143,"&gt;0",V143:X143))</f>
        <v>0</v>
      </c>
      <c r="Z143" s="2241">
        <f t="shared" si="104"/>
        <v>0</v>
      </c>
      <c r="AA143" s="2242">
        <f>IF(T143=0,Y143,IF(T143=0,"-",Z143/U143))</f>
        <v>0</v>
      </c>
      <c r="AB143" s="2233"/>
      <c r="AC143" s="2233"/>
    </row>
    <row r="144" spans="11:48" s="2043" customFormat="1" x14ac:dyDescent="0.2">
      <c r="R144" s="2094">
        <v>12</v>
      </c>
      <c r="S144" s="2234" t="str">
        <f t="shared" si="102"/>
        <v>Vacas primíparas</v>
      </c>
      <c r="T144" s="2235">
        <f>SUMIF($C$109:$C$117,"=12",$D$109:$D$117)</f>
        <v>0</v>
      </c>
      <c r="U144" s="2236">
        <f t="shared" si="103"/>
        <v>0</v>
      </c>
      <c r="V144" s="2237" t="e">
        <f>SUMIF($C$109:$C$117,"=12",$G$109:$G$117)/SUMIF($C$109:$C$117,"=12",$D$109:$D$117)</f>
        <v>#DIV/0!</v>
      </c>
      <c r="W144" s="2238" t="e">
        <f>SUMIF($S$94:$S$102,"Vacas primíparas",$T$94:$T$102)/(SUMIF($C$79:$C$89,"=12",$D$79:$D$89))</f>
        <v>#DIV/0!</v>
      </c>
      <c r="X144" s="2239" t="e">
        <f>SUMIF($S$122:$S$125,"Vacas primíparas",$T$122:$T$125)/((SUMIF($C$109:$C$117,"=12",$D$109:$D$117)))</f>
        <v>#DIV/0!</v>
      </c>
      <c r="Y144" s="2240">
        <f>IF(AND(AM117=0,AM89=0),0,SUMIF(V144:X144,"&gt;0",V144:X144))</f>
        <v>0</v>
      </c>
      <c r="Z144" s="2241">
        <f t="shared" si="104"/>
        <v>0</v>
      </c>
      <c r="AA144" s="2242">
        <f>IF(T144=0,Y144,IF(T144=0,"-",Z144/U144))</f>
        <v>0</v>
      </c>
      <c r="AB144" s="2233"/>
      <c r="AC144" s="2233"/>
    </row>
    <row r="145" spans="18:29" s="2043" customFormat="1" x14ac:dyDescent="0.2">
      <c r="R145" s="2094">
        <v>13</v>
      </c>
      <c r="S145" s="2234" t="str">
        <f t="shared" si="102"/>
        <v>Vacas multiparas</v>
      </c>
      <c r="T145" s="2235">
        <f>SUMIF($C$109:$C$117,"=13",$D$109:$D$117)</f>
        <v>0</v>
      </c>
      <c r="U145" s="2236">
        <f t="shared" si="103"/>
        <v>0</v>
      </c>
      <c r="V145" s="2237" t="e">
        <f>SUMIF($C$109:$C$117,"=13",$G$109:$G$117)/SUMIF($C$109:$C$117,"=13",$D$109:$D$117)</f>
        <v>#DIV/0!</v>
      </c>
      <c r="W145" s="2238" t="e">
        <f>SUMIF($S$94:$S$102,"Vacas multíparas",$T$94:$T$102)/(SUMIF($C$79:$C$89,"=13",$D$79:$D$89))</f>
        <v>#DIV/0!</v>
      </c>
      <c r="X145" s="2239" t="e">
        <f>SUMIF($S$122:$S$125,"Vacas multíparas",$T$122:$T$125)/((SUMIF($C$109:$C$117,"=13",$D$109:$D$117)))</f>
        <v>#DIV/0!</v>
      </c>
      <c r="Y145" s="2240">
        <f>IF(AND(AN117=0,AN89=0),0,SUMIF(V145:X145,"&gt;0",V145:X145))</f>
        <v>0</v>
      </c>
      <c r="Z145" s="2241">
        <f t="shared" si="104"/>
        <v>0</v>
      </c>
      <c r="AA145" s="2242">
        <f>IF(T145=0,Y145,IF(T145=0,"-",Z145/U145))</f>
        <v>0</v>
      </c>
      <c r="AB145" s="2233"/>
      <c r="AC145" s="2233"/>
    </row>
    <row r="146" spans="18:29" s="2043" customFormat="1" ht="13.5" thickBot="1" x14ac:dyDescent="0.25">
      <c r="R146" s="2094">
        <v>14</v>
      </c>
      <c r="S146" s="2243" t="str">
        <f t="shared" si="102"/>
        <v>Vacas solteiras secas</v>
      </c>
      <c r="T146" s="2244">
        <f>SUMIF($C$109:$C$117,"=14",$D$109:$D$117)</f>
        <v>0</v>
      </c>
      <c r="U146" s="2245">
        <f t="shared" si="103"/>
        <v>0</v>
      </c>
      <c r="V146" s="2246" t="e">
        <f>SUMIF($C$109:$C$117,"=14",$G$109:$G$117)/SUMIF($C$109:$C$117,"=14",$D$109:$D$117)</f>
        <v>#DIV/0!</v>
      </c>
      <c r="W146" s="2247" t="e">
        <f>SUMIF($S$94:$S$102,"Vacas solteiras secas",$T$94:$T$102)/(SUMIF($C$79:$C$89,"=14",$D$79:$D$89))</f>
        <v>#DIV/0!</v>
      </c>
      <c r="X146" s="2248" t="e">
        <f>SUMIF($S$122:$S$125,"Vacas solteiras secas",$T$122:$T$125)/((SUMIF($C$109:$C$117,"=14",$D$109:$D$117)))</f>
        <v>#DIV/0!</v>
      </c>
      <c r="Y146" s="2249">
        <f>IF(AND(AO117=0,AO89=0),0,SUMIF(V146:X146,"&gt;0",V146:X146))</f>
        <v>0</v>
      </c>
      <c r="Z146" s="2250">
        <f t="shared" si="104"/>
        <v>0</v>
      </c>
      <c r="AA146" s="2251">
        <f>IF(T146=0,Y146,IF(T146=0,"-",Z146/U146))</f>
        <v>0</v>
      </c>
      <c r="AB146" s="2233"/>
      <c r="AC146" s="2233"/>
    </row>
    <row r="147" spans="18:29" s="2043" customFormat="1" ht="13.5" thickTop="1" x14ac:dyDescent="0.2">
      <c r="R147" s="2094">
        <v>15</v>
      </c>
      <c r="S147" s="2261" t="str">
        <f t="shared" si="102"/>
        <v>Bezerras em aleitamento (Engorda)</v>
      </c>
      <c r="T147" s="2262">
        <f>SUMIF($C$109:$C$117,"=15",$D$109:$D$117)</f>
        <v>0</v>
      </c>
      <c r="U147" s="2263">
        <f t="shared" si="103"/>
        <v>0</v>
      </c>
      <c r="V147" s="2264" t="e">
        <f>SUMIF($C$109:$C$117,"=15",$G$109:$G$117)/SUMIF($C$109:$C$117,"=15",$D$109:$D$117)</f>
        <v>#DIV/0!</v>
      </c>
      <c r="W147" s="2265" t="e">
        <f>SUMIF($S$94:$S$102,"Bezerras em aleitamento (Engorda)",$T$94:$T$102)/(SUMIF($C$79:$C$89,"=15",$D$79:$D$89))</f>
        <v>#DIV/0!</v>
      </c>
      <c r="X147" s="2266" t="e">
        <f>SUMIF($S$122:$S$125,"Bezerras em aleitamento (Engorda)",$T$122:$T$125)/((SUMIF($C$109:$C$117,"=15",$D$109:$D$117)))</f>
        <v>#DIV/0!</v>
      </c>
      <c r="Y147" s="1308">
        <f>IF(AND(AP117=0,AP89=0),0,SUMIF(V147:X147,"&gt;0",V147:X147))</f>
        <v>0</v>
      </c>
      <c r="Z147" s="2267">
        <f t="shared" si="104"/>
        <v>0</v>
      </c>
      <c r="AA147" s="1305">
        <f>IF(T147=0,Y147,IF(T147=0,"-",Z147/U150))</f>
        <v>0</v>
      </c>
      <c r="AB147" s="2233"/>
      <c r="AC147" s="2233"/>
    </row>
    <row r="148" spans="18:29" s="2043" customFormat="1" x14ac:dyDescent="0.2">
      <c r="R148" s="2094">
        <v>16</v>
      </c>
      <c r="S148" s="2234" t="str">
        <f t="shared" si="102"/>
        <v>Bezerras desmamadas (Engorda)</v>
      </c>
      <c r="T148" s="2235">
        <f>SUMIF($C$109:$C$117,"=16",$D$109:$D$117)</f>
        <v>0</v>
      </c>
      <c r="U148" s="2236">
        <f t="shared" si="103"/>
        <v>0</v>
      </c>
      <c r="V148" s="2237" t="e">
        <f>SUMIF($C$109:$C$117,"=16",$G$109:$G$117)/SUMIF($C$109:$C$117,"=16",$D$109:$D$117)</f>
        <v>#DIV/0!</v>
      </c>
      <c r="W148" s="2238" t="e">
        <f>SUMIF($S$94:$S$102,"Bezerras desmamadas (Engorda)",$T$94:$T$102)/(SUMIF($C$79:$C$89,"=16",$D$79:$D$89))</f>
        <v>#DIV/0!</v>
      </c>
      <c r="X148" s="2239" t="e">
        <f>SUMIF($S$122:$S$125,"Bezerras desmamadas (Engorda)",$T$122:$T$125)/((SUMIF($C$109:$C$117,"=16",$D$109:$D$117)))</f>
        <v>#DIV/0!</v>
      </c>
      <c r="Y148" s="2240">
        <f>IF(AND(AQ117=0,AQ89=0),0,SUMIF(V148:X148,"&gt;0",V148:X148))</f>
        <v>0</v>
      </c>
      <c r="Z148" s="2241">
        <f t="shared" si="104"/>
        <v>0</v>
      </c>
      <c r="AA148" s="2242">
        <f>IF(T148=0,Y148,IF(T148=0,"-",Z148/U150))</f>
        <v>0</v>
      </c>
      <c r="AB148" s="2233"/>
      <c r="AC148" s="2233"/>
    </row>
    <row r="149" spans="18:29" s="2043" customFormat="1" x14ac:dyDescent="0.2">
      <c r="R149" s="2094">
        <v>17</v>
      </c>
      <c r="S149" s="2234" t="str">
        <f t="shared" si="102"/>
        <v>Novilhas sobreano (Engorda)</v>
      </c>
      <c r="T149" s="2235">
        <f>SUMIF($C$109:$C$117,"=17",$D$109:$D$117)</f>
        <v>0</v>
      </c>
      <c r="U149" s="2236">
        <f t="shared" si="103"/>
        <v>0</v>
      </c>
      <c r="V149" s="2237" t="e">
        <f>SUMIF($C$109:$C$117,"=17",$G$109:$G$117)/SUMIF($C$109:$C$117,"=17",$D$109:$D$117)</f>
        <v>#DIV/0!</v>
      </c>
      <c r="W149" s="2238" t="e">
        <f>SUMIF($S$94:$S$102,"Novilhas sobreano (Engorda)",$T$94:$T$102)/(SUMIF($C$79:$C$89,"=17",$D$79:$D$89))</f>
        <v>#DIV/0!</v>
      </c>
      <c r="X149" s="2239" t="e">
        <f>SUMIF($S$122:$S$125,"Novilhas sobreano (Engorda)",$T$122:$T$125)/((SUMIF($C$109:$C$117,"=17",$D$109:$D$117)))</f>
        <v>#DIV/0!</v>
      </c>
      <c r="Y149" s="2240">
        <f>IF(AND(AR117=0,AR89=0),0,SUMIF(V149:X149,"&gt;0",V149:X149))</f>
        <v>0</v>
      </c>
      <c r="Z149" s="2241">
        <f t="shared" si="104"/>
        <v>0</v>
      </c>
      <c r="AA149" s="2242">
        <f>IF(T149=0,Y149,IF(T149=0,"-",Z149/U150))</f>
        <v>0</v>
      </c>
      <c r="AB149" s="2233"/>
      <c r="AC149" s="2233"/>
    </row>
    <row r="150" spans="18:29" s="2043" customFormat="1" ht="13.5" thickBot="1" x14ac:dyDescent="0.25">
      <c r="R150" s="2094">
        <v>18</v>
      </c>
      <c r="S150" s="2268" t="str">
        <f t="shared" si="102"/>
        <v>Vaca (Engorda)</v>
      </c>
      <c r="T150" s="2269">
        <f>SUMIF($C$109:$C$117,"=18",$D$109:$D$117)</f>
        <v>0</v>
      </c>
      <c r="U150" s="2270">
        <f t="shared" si="103"/>
        <v>0</v>
      </c>
      <c r="V150" s="2271" t="e">
        <f>SUMIF($C$109:$C$117,"=18",$G$109:$G$117)/SUMIF($C$109:$C$117,"=18",$D$109:$D$117)</f>
        <v>#DIV/0!</v>
      </c>
      <c r="W150" s="2272" t="e">
        <f>SUMIF($S$94:$S$102,"Vaca (Engorda)",$T$94:$T$102)/(SUMIF($C$79:$C$89,"=18",$D$79:$D$89))</f>
        <v>#DIV/0!</v>
      </c>
      <c r="X150" s="2273" t="e">
        <f>SUMIF($S$122:$S$125,"Vaca (Engorda)",$T$122:$T$125)/((SUMIF($C$109:$C$117,"=18",$D$109:$D$117)))</f>
        <v>#DIV/0!</v>
      </c>
      <c r="Y150" s="2274">
        <f>IF(AND(AS117=0,AS89=0),0,SUMIF(V150:X150,"&gt;0",V150:X150))</f>
        <v>0</v>
      </c>
      <c r="Z150" s="2275">
        <f t="shared" si="104"/>
        <v>0</v>
      </c>
      <c r="AA150" s="2276">
        <f>IF(T150=0,Y150,IF(T150=0,"-",Z150/U150))</f>
        <v>0</v>
      </c>
      <c r="AB150" s="2233"/>
      <c r="AC150" s="2233"/>
    </row>
    <row r="151" spans="18:29" s="2043" customFormat="1" x14ac:dyDescent="0.2"/>
    <row r="152" spans="18:29" s="2043" customFormat="1" x14ac:dyDescent="0.2"/>
    <row r="153" spans="18:29" s="2043" customFormat="1" x14ac:dyDescent="0.2"/>
    <row r="154" spans="18:29" s="2043" customFormat="1" x14ac:dyDescent="0.2"/>
    <row r="155" spans="18:29" s="2043" customFormat="1" x14ac:dyDescent="0.2"/>
    <row r="156" spans="18:29" s="2043" customFormat="1" x14ac:dyDescent="0.2"/>
    <row r="157" spans="18:29" s="2043" customFormat="1" x14ac:dyDescent="0.2"/>
    <row r="158" spans="18:29" s="2043" customFormat="1" x14ac:dyDescent="0.2"/>
    <row r="159" spans="18:29" s="2043" customFormat="1" x14ac:dyDescent="0.2"/>
    <row r="160" spans="18:29" s="2043" customFormat="1" x14ac:dyDescent="0.2"/>
    <row r="161" s="2043" customFormat="1" x14ac:dyDescent="0.2"/>
    <row r="162" s="2043" customFormat="1" x14ac:dyDescent="0.2"/>
    <row r="163" s="2043" customFormat="1" x14ac:dyDescent="0.2"/>
    <row r="164" s="2043" customFormat="1" x14ac:dyDescent="0.2"/>
    <row r="165" s="2043" customFormat="1" x14ac:dyDescent="0.2"/>
    <row r="166" s="2043" customFormat="1" x14ac:dyDescent="0.2"/>
    <row r="167" s="2043" customFormat="1" x14ac:dyDescent="0.2"/>
    <row r="168" s="2043" customFormat="1" x14ac:dyDescent="0.2"/>
    <row r="169" s="2043" customFormat="1" x14ac:dyDescent="0.2"/>
    <row r="170" s="2043" customFormat="1" x14ac:dyDescent="0.2"/>
    <row r="171" s="2043" customFormat="1" x14ac:dyDescent="0.2"/>
    <row r="172" s="2043" customFormat="1" x14ac:dyDescent="0.2"/>
    <row r="173" s="2043" customFormat="1" x14ac:dyDescent="0.2"/>
    <row r="174" s="2043" customFormat="1" x14ac:dyDescent="0.2"/>
    <row r="175" s="2043" customFormat="1" x14ac:dyDescent="0.2"/>
    <row r="176" s="2043" customFormat="1" x14ac:dyDescent="0.2"/>
    <row r="177" s="2043" customFormat="1" x14ac:dyDescent="0.2"/>
    <row r="178" s="2043" customFormat="1" x14ac:dyDescent="0.2"/>
    <row r="179" s="2043" customFormat="1" x14ac:dyDescent="0.2"/>
    <row r="180" s="2043" customFormat="1" x14ac:dyDescent="0.2"/>
    <row r="181" s="2043" customFormat="1" x14ac:dyDescent="0.2"/>
    <row r="182" s="2043" customFormat="1" x14ac:dyDescent="0.2"/>
    <row r="183" s="2043" customFormat="1" x14ac:dyDescent="0.2"/>
    <row r="184" s="2043" customFormat="1" x14ac:dyDescent="0.2"/>
    <row r="185" s="2043" customFormat="1" x14ac:dyDescent="0.2"/>
    <row r="186" s="2043" customFormat="1" x14ac:dyDescent="0.2"/>
    <row r="187" s="2043" customFormat="1" x14ac:dyDescent="0.2"/>
    <row r="188" s="2043" customFormat="1" x14ac:dyDescent="0.2"/>
    <row r="189" s="2043" customFormat="1" x14ac:dyDescent="0.2"/>
    <row r="190" s="2043" customFormat="1" x14ac:dyDescent="0.2"/>
    <row r="191" s="2043" customFormat="1" x14ac:dyDescent="0.2"/>
    <row r="192" s="2043" customFormat="1" x14ac:dyDescent="0.2"/>
    <row r="193" s="2043" customFormat="1" x14ac:dyDescent="0.2"/>
    <row r="194" s="2043" customFormat="1" x14ac:dyDescent="0.2"/>
    <row r="195" s="2043" customFormat="1" x14ac:dyDescent="0.2"/>
    <row r="196" s="2043" customFormat="1" x14ac:dyDescent="0.2"/>
    <row r="197" s="2043" customFormat="1" x14ac:dyDescent="0.2"/>
    <row r="198" s="2043" customFormat="1" x14ac:dyDescent="0.2"/>
    <row r="199" s="2043" customFormat="1" x14ac:dyDescent="0.2"/>
    <row r="200" s="2043" customFormat="1" x14ac:dyDescent="0.2"/>
    <row r="201" s="2043" customFormat="1" x14ac:dyDescent="0.2"/>
    <row r="202" s="2043" customFormat="1" x14ac:dyDescent="0.2"/>
    <row r="203" s="2043" customFormat="1" x14ac:dyDescent="0.2"/>
    <row r="204" s="2043" customFormat="1" x14ac:dyDescent="0.2"/>
    <row r="205" s="2043" customFormat="1" x14ac:dyDescent="0.2"/>
    <row r="206" s="2043" customFormat="1" x14ac:dyDescent="0.2"/>
    <row r="207" s="2043" customFormat="1" x14ac:dyDescent="0.2"/>
    <row r="208" s="2043" customFormat="1" x14ac:dyDescent="0.2"/>
    <row r="209" s="2043" customFormat="1" x14ac:dyDescent="0.2"/>
    <row r="210" s="2043" customFormat="1" x14ac:dyDescent="0.2"/>
    <row r="211" s="2043" customFormat="1" x14ac:dyDescent="0.2"/>
    <row r="212" s="2043" customFormat="1" x14ac:dyDescent="0.2"/>
    <row r="213" s="2043" customFormat="1" x14ac:dyDescent="0.2"/>
    <row r="214" s="2043" customFormat="1" x14ac:dyDescent="0.2"/>
    <row r="215" s="2043" customFormat="1" x14ac:dyDescent="0.2"/>
    <row r="216" s="2043" customFormat="1" x14ac:dyDescent="0.2"/>
    <row r="217" s="2043" customFormat="1" x14ac:dyDescent="0.2"/>
    <row r="218" s="2043" customFormat="1" x14ac:dyDescent="0.2"/>
    <row r="219" s="2043" customFormat="1" x14ac:dyDescent="0.2"/>
    <row r="220" s="2043" customFormat="1" x14ac:dyDescent="0.2"/>
    <row r="221" s="2043" customFormat="1" x14ac:dyDescent="0.2"/>
    <row r="222" s="2043" customFormat="1" x14ac:dyDescent="0.2"/>
    <row r="223" s="2043" customFormat="1" x14ac:dyDescent="0.2"/>
    <row r="224" s="2043" customFormat="1" x14ac:dyDescent="0.2"/>
    <row r="225" s="2043" customFormat="1" x14ac:dyDescent="0.2"/>
    <row r="226" s="2043" customFormat="1" x14ac:dyDescent="0.2"/>
    <row r="227" s="2043" customFormat="1" x14ac:dyDescent="0.2"/>
    <row r="228" s="2043" customFormat="1" x14ac:dyDescent="0.2"/>
    <row r="229" s="2043" customFormat="1" x14ac:dyDescent="0.2"/>
    <row r="230" s="2043" customFormat="1" x14ac:dyDescent="0.2"/>
    <row r="231" s="2043" customFormat="1" x14ac:dyDescent="0.2"/>
    <row r="232" s="2043" customFormat="1" x14ac:dyDescent="0.2"/>
    <row r="233" s="2043" customFormat="1" x14ac:dyDescent="0.2"/>
    <row r="234" s="2043" customFormat="1" x14ac:dyDescent="0.2"/>
    <row r="235" s="2043" customFormat="1" x14ac:dyDescent="0.2"/>
    <row r="236" s="2043" customFormat="1" x14ac:dyDescent="0.2"/>
    <row r="237" s="2043" customFormat="1" x14ac:dyDescent="0.2"/>
    <row r="238" s="2043" customFormat="1" x14ac:dyDescent="0.2"/>
    <row r="239" s="2043" customFormat="1" x14ac:dyDescent="0.2"/>
    <row r="240" s="2043" customFormat="1" x14ac:dyDescent="0.2"/>
    <row r="241" s="2043" customFormat="1" x14ac:dyDescent="0.2"/>
    <row r="242" s="2043" customFormat="1" x14ac:dyDescent="0.2"/>
    <row r="243" s="2043" customFormat="1" x14ac:dyDescent="0.2"/>
    <row r="244" s="2043" customFormat="1" x14ac:dyDescent="0.2"/>
    <row r="245" s="2043" customFormat="1" x14ac:dyDescent="0.2"/>
    <row r="246" s="2043" customFormat="1" x14ac:dyDescent="0.2"/>
    <row r="247" s="2043" customFormat="1" x14ac:dyDescent="0.2"/>
    <row r="248" s="2043" customFormat="1" x14ac:dyDescent="0.2"/>
    <row r="249" s="2043" customFormat="1" x14ac:dyDescent="0.2"/>
    <row r="250" s="2043" customFormat="1" x14ac:dyDescent="0.2"/>
    <row r="251" s="2043" customFormat="1" x14ac:dyDescent="0.2"/>
    <row r="252" s="2043" customFormat="1" x14ac:dyDescent="0.2"/>
    <row r="253" s="2043" customFormat="1" x14ac:dyDescent="0.2"/>
    <row r="254" s="2043" customFormat="1" x14ac:dyDescent="0.2"/>
    <row r="255" s="2043" customFormat="1" x14ac:dyDescent="0.2"/>
    <row r="256" s="2043" customFormat="1" x14ac:dyDescent="0.2"/>
    <row r="257" s="2043" customFormat="1" x14ac:dyDescent="0.2"/>
    <row r="258" s="2043" customFormat="1" x14ac:dyDescent="0.2"/>
    <row r="259" s="2043" customFormat="1" x14ac:dyDescent="0.2"/>
    <row r="260" s="2043" customFormat="1" x14ac:dyDescent="0.2"/>
    <row r="261" s="2043" customFormat="1" x14ac:dyDescent="0.2"/>
    <row r="262" s="2043" customFormat="1" x14ac:dyDescent="0.2"/>
    <row r="263" s="2043" customFormat="1" x14ac:dyDescent="0.2"/>
    <row r="264" s="2043" customFormat="1" x14ac:dyDescent="0.2"/>
    <row r="265" s="2043" customFormat="1" x14ac:dyDescent="0.2"/>
    <row r="266" s="2043" customFormat="1" x14ac:dyDescent="0.2"/>
    <row r="267" s="2043" customFormat="1" x14ac:dyDescent="0.2"/>
    <row r="268" s="2043" customFormat="1" x14ac:dyDescent="0.2"/>
    <row r="269" s="2043" customFormat="1" x14ac:dyDescent="0.2"/>
    <row r="270" s="2043" customFormat="1" x14ac:dyDescent="0.2"/>
    <row r="271" s="2043" customFormat="1" x14ac:dyDescent="0.2"/>
    <row r="272" s="2043" customFormat="1" x14ac:dyDescent="0.2"/>
    <row r="273" s="2043" customFormat="1" x14ac:dyDescent="0.2"/>
    <row r="274" s="2043" customFormat="1" x14ac:dyDescent="0.2"/>
    <row r="275" s="2043" customFormat="1" x14ac:dyDescent="0.2"/>
    <row r="276" s="2043" customFormat="1" x14ac:dyDescent="0.2"/>
    <row r="277" s="2043" customFormat="1" x14ac:dyDescent="0.2"/>
    <row r="278" s="2043" customFormat="1" x14ac:dyDescent="0.2"/>
    <row r="279" s="2043" customFormat="1" x14ac:dyDescent="0.2"/>
    <row r="280" s="2043" customFormat="1" x14ac:dyDescent="0.2"/>
    <row r="281" s="2043" customFormat="1" x14ac:dyDescent="0.2"/>
    <row r="282" s="2043" customFormat="1" x14ac:dyDescent="0.2"/>
    <row r="283" s="2043" customFormat="1" x14ac:dyDescent="0.2"/>
    <row r="284" s="2043" customFormat="1" x14ac:dyDescent="0.2"/>
    <row r="285" s="2043" customFormat="1" x14ac:dyDescent="0.2"/>
    <row r="286" s="2043" customFormat="1" x14ac:dyDescent="0.2"/>
    <row r="287" s="2043" customFormat="1" x14ac:dyDescent="0.2"/>
    <row r="288" s="2043" customFormat="1" x14ac:dyDescent="0.2"/>
    <row r="289" s="2043" customFormat="1" x14ac:dyDescent="0.2"/>
    <row r="290" s="2043" customFormat="1" x14ac:dyDescent="0.2"/>
    <row r="291" s="2043" customFormat="1" x14ac:dyDescent="0.2"/>
    <row r="292" s="2043" customFormat="1" x14ac:dyDescent="0.2"/>
    <row r="293" s="2043" customFormat="1" x14ac:dyDescent="0.2"/>
    <row r="294" s="2043" customFormat="1" x14ac:dyDescent="0.2"/>
    <row r="295" s="2043" customFormat="1" x14ac:dyDescent="0.2"/>
    <row r="296" s="2043" customFormat="1" x14ac:dyDescent="0.2"/>
    <row r="297" s="2043" customFormat="1" x14ac:dyDescent="0.2"/>
    <row r="298" s="2043" customFormat="1" x14ac:dyDescent="0.2"/>
    <row r="299" s="2043" customFormat="1" x14ac:dyDescent="0.2"/>
    <row r="300" s="2043" customFormat="1" x14ac:dyDescent="0.2"/>
    <row r="301" s="2043" customFormat="1" x14ac:dyDescent="0.2"/>
    <row r="302" s="2043" customFormat="1" x14ac:dyDescent="0.2"/>
    <row r="303" s="2043" customFormat="1" x14ac:dyDescent="0.2"/>
    <row r="304" s="2043" customFormat="1" x14ac:dyDescent="0.2"/>
    <row r="305" s="2043" customFormat="1" x14ac:dyDescent="0.2"/>
    <row r="306" s="2043" customFormat="1" x14ac:dyDescent="0.2"/>
    <row r="307" s="2043" customFormat="1" x14ac:dyDescent="0.2"/>
    <row r="308" s="2043" customFormat="1" x14ac:dyDescent="0.2"/>
    <row r="309" s="2043" customFormat="1" x14ac:dyDescent="0.2"/>
    <row r="310" s="2043" customFormat="1" x14ac:dyDescent="0.2"/>
    <row r="311" s="2043" customFormat="1" x14ac:dyDescent="0.2"/>
    <row r="312" s="2043" customFormat="1" x14ac:dyDescent="0.2"/>
    <row r="313" s="2043" customFormat="1" x14ac:dyDescent="0.2"/>
    <row r="314" s="2043" customFormat="1" x14ac:dyDescent="0.2"/>
    <row r="315" s="2043" customFormat="1" x14ac:dyDescent="0.2"/>
    <row r="316" s="2043" customFormat="1" x14ac:dyDescent="0.2"/>
    <row r="317" s="2043" customFormat="1" x14ac:dyDescent="0.2"/>
    <row r="318" s="2043" customFormat="1" x14ac:dyDescent="0.2"/>
    <row r="319" s="2043" customFormat="1" x14ac:dyDescent="0.2"/>
    <row r="320" s="2043" customFormat="1" x14ac:dyDescent="0.2"/>
    <row r="321" s="2043" customFormat="1" x14ac:dyDescent="0.2"/>
    <row r="322" s="2043" customFormat="1" x14ac:dyDescent="0.2"/>
    <row r="323" s="2043" customFormat="1" x14ac:dyDescent="0.2"/>
    <row r="324" s="2043" customFormat="1" x14ac:dyDescent="0.2"/>
    <row r="325" s="2043" customFormat="1" x14ac:dyDescent="0.2"/>
    <row r="326" s="2043" customFormat="1" x14ac:dyDescent="0.2"/>
    <row r="327" s="2043" customFormat="1" x14ac:dyDescent="0.2"/>
    <row r="328" s="2043" customFormat="1" x14ac:dyDescent="0.2"/>
    <row r="329" s="2043" customFormat="1" x14ac:dyDescent="0.2"/>
    <row r="330" s="2043" customFormat="1" x14ac:dyDescent="0.2"/>
    <row r="331" s="2043" customFormat="1" x14ac:dyDescent="0.2"/>
    <row r="332" s="2043" customFormat="1" x14ac:dyDescent="0.2"/>
    <row r="333" s="2043" customFormat="1" x14ac:dyDescent="0.2"/>
    <row r="334" s="2043" customFormat="1" x14ac:dyDescent="0.2"/>
    <row r="335" s="2043" customFormat="1" x14ac:dyDescent="0.2"/>
    <row r="336" s="2043" customFormat="1" x14ac:dyDescent="0.2"/>
    <row r="337" s="2043" customFormat="1" x14ac:dyDescent="0.2"/>
    <row r="338" s="2043" customFormat="1" x14ac:dyDescent="0.2"/>
    <row r="339" s="2043" customFormat="1" x14ac:dyDescent="0.2"/>
    <row r="340" s="2043" customFormat="1" x14ac:dyDescent="0.2"/>
    <row r="341" s="2043" customFormat="1" x14ac:dyDescent="0.2"/>
    <row r="342" s="2043" customFormat="1" x14ac:dyDescent="0.2"/>
    <row r="343" s="2043" customFormat="1" x14ac:dyDescent="0.2"/>
    <row r="344" s="2043" customFormat="1" x14ac:dyDescent="0.2"/>
    <row r="345" s="2043" customFormat="1" x14ac:dyDescent="0.2"/>
    <row r="346" s="2043" customFormat="1" x14ac:dyDescent="0.2"/>
    <row r="347" s="2043" customFormat="1" x14ac:dyDescent="0.2"/>
    <row r="348" s="2043" customFormat="1" x14ac:dyDescent="0.2"/>
    <row r="349" s="2043" customFormat="1" x14ac:dyDescent="0.2"/>
    <row r="350" s="2043" customFormat="1" x14ac:dyDescent="0.2"/>
    <row r="351" s="2043" customFormat="1" x14ac:dyDescent="0.2"/>
    <row r="352" s="2043" customFormat="1" x14ac:dyDescent="0.2"/>
    <row r="353" s="2043" customFormat="1" x14ac:dyDescent="0.2"/>
    <row r="354" s="2043" customFormat="1" x14ac:dyDescent="0.2"/>
    <row r="355" s="2043" customFormat="1" x14ac:dyDescent="0.2"/>
    <row r="356" s="2043" customFormat="1" x14ac:dyDescent="0.2"/>
    <row r="357" s="2043" customFormat="1" x14ac:dyDescent="0.2"/>
    <row r="358" s="2043" customFormat="1" x14ac:dyDescent="0.2"/>
    <row r="359" s="2043" customFormat="1" x14ac:dyDescent="0.2"/>
    <row r="360" s="2043" customFormat="1" x14ac:dyDescent="0.2"/>
    <row r="361" s="2043" customFormat="1" x14ac:dyDescent="0.2"/>
    <row r="362" s="2043" customFormat="1" x14ac:dyDescent="0.2"/>
    <row r="363" s="2043" customFormat="1" x14ac:dyDescent="0.2"/>
    <row r="364" s="2043" customFormat="1" x14ac:dyDescent="0.2"/>
    <row r="365" s="2043" customFormat="1" x14ac:dyDescent="0.2"/>
    <row r="366" s="2043" customFormat="1" x14ac:dyDescent="0.2"/>
    <row r="367" s="2043" customFormat="1" x14ac:dyDescent="0.2"/>
    <row r="368" s="2043" customFormat="1" x14ac:dyDescent="0.2"/>
    <row r="369" s="2043" customFormat="1" x14ac:dyDescent="0.2"/>
    <row r="370" s="2043" customFormat="1" x14ac:dyDescent="0.2"/>
    <row r="371" s="2043" customFormat="1" x14ac:dyDescent="0.2"/>
    <row r="372" s="2043" customFormat="1" x14ac:dyDescent="0.2"/>
    <row r="373" s="2043" customFormat="1" x14ac:dyDescent="0.2"/>
    <row r="374" s="2043" customFormat="1" x14ac:dyDescent="0.2"/>
    <row r="375" s="2043" customFormat="1" x14ac:dyDescent="0.2"/>
    <row r="376" s="2043" customFormat="1" x14ac:dyDescent="0.2"/>
    <row r="377" s="2043" customFormat="1" x14ac:dyDescent="0.2"/>
    <row r="378" s="2043" customFormat="1" x14ac:dyDescent="0.2"/>
    <row r="379" s="2043" customFormat="1" x14ac:dyDescent="0.2"/>
    <row r="380" s="2043" customFormat="1" x14ac:dyDescent="0.2"/>
    <row r="381" s="2043" customFormat="1" x14ac:dyDescent="0.2"/>
    <row r="382" s="2043" customFormat="1" x14ac:dyDescent="0.2"/>
    <row r="383" s="2043" customFormat="1" x14ac:dyDescent="0.2"/>
    <row r="384" s="2043" customFormat="1" x14ac:dyDescent="0.2"/>
    <row r="385" s="2043" customFormat="1" x14ac:dyDescent="0.2"/>
    <row r="386" s="2043" customFormat="1" x14ac:dyDescent="0.2"/>
    <row r="387" s="2043" customFormat="1" x14ac:dyDescent="0.2"/>
    <row r="388" s="2043" customFormat="1" x14ac:dyDescent="0.2"/>
    <row r="389" s="2043" customFormat="1" x14ac:dyDescent="0.2"/>
    <row r="390" s="2043" customFormat="1" x14ac:dyDescent="0.2"/>
    <row r="391" s="2043" customFormat="1" x14ac:dyDescent="0.2"/>
    <row r="392" s="2043" customFormat="1" x14ac:dyDescent="0.2"/>
    <row r="393" s="2043" customFormat="1" x14ac:dyDescent="0.2"/>
    <row r="394" s="2043" customFormat="1" x14ac:dyDescent="0.2"/>
    <row r="395" s="2043" customFormat="1" x14ac:dyDescent="0.2"/>
    <row r="396" s="2043" customFormat="1" x14ac:dyDescent="0.2"/>
    <row r="397" s="2043" customFormat="1" x14ac:dyDescent="0.2"/>
    <row r="398" s="2043" customFormat="1" x14ac:dyDescent="0.2"/>
    <row r="399" s="2043" customFormat="1" x14ac:dyDescent="0.2"/>
    <row r="400" s="2043" customFormat="1" x14ac:dyDescent="0.2"/>
    <row r="401" s="2043" customFormat="1" x14ac:dyDescent="0.2"/>
    <row r="402" s="2043" customFormat="1" x14ac:dyDescent="0.2"/>
    <row r="403" s="2043" customFormat="1" x14ac:dyDescent="0.2"/>
    <row r="404" s="2043" customFormat="1" x14ac:dyDescent="0.2"/>
    <row r="405" s="2043" customFormat="1" x14ac:dyDescent="0.2"/>
    <row r="406" s="2043" customFormat="1" x14ac:dyDescent="0.2"/>
    <row r="407" s="2043" customFormat="1" x14ac:dyDescent="0.2"/>
    <row r="408" s="2043" customFormat="1" x14ac:dyDescent="0.2"/>
    <row r="409" s="2043" customFormat="1" x14ac:dyDescent="0.2"/>
    <row r="410" s="2043" customFormat="1" x14ac:dyDescent="0.2"/>
    <row r="411" s="2043" customFormat="1" x14ac:dyDescent="0.2"/>
    <row r="412" s="2043" customFormat="1" x14ac:dyDescent="0.2"/>
    <row r="413" s="2043" customFormat="1" x14ac:dyDescent="0.2"/>
    <row r="414" s="2043" customFormat="1" x14ac:dyDescent="0.2"/>
    <row r="415" s="2043" customFormat="1" x14ac:dyDescent="0.2"/>
    <row r="416" s="2043" customFormat="1" x14ac:dyDescent="0.2"/>
    <row r="417" s="2043" customFormat="1" x14ac:dyDescent="0.2"/>
    <row r="418" s="2043" customFormat="1" x14ac:dyDescent="0.2"/>
    <row r="419" s="2043" customFormat="1" x14ac:dyDescent="0.2"/>
    <row r="420" s="2043" customFormat="1" x14ac:dyDescent="0.2"/>
    <row r="421" s="2043" customFormat="1" x14ac:dyDescent="0.2"/>
    <row r="422" s="2043" customFormat="1" x14ac:dyDescent="0.2"/>
    <row r="423" s="2043" customFormat="1" x14ac:dyDescent="0.2"/>
    <row r="424" s="2043" customFormat="1" x14ac:dyDescent="0.2"/>
    <row r="425" s="2043" customFormat="1" x14ac:dyDescent="0.2"/>
    <row r="426" s="2043" customFormat="1" x14ac:dyDescent="0.2"/>
    <row r="427" s="2043" customFormat="1" x14ac:dyDescent="0.2"/>
    <row r="428" s="2043" customFormat="1" x14ac:dyDescent="0.2"/>
    <row r="429" s="2043" customFormat="1" x14ac:dyDescent="0.2"/>
    <row r="430" s="2043" customFormat="1" x14ac:dyDescent="0.2"/>
    <row r="431" s="2043" customFormat="1" x14ac:dyDescent="0.2"/>
    <row r="432" s="2043" customFormat="1" x14ac:dyDescent="0.2"/>
    <row r="433" s="2043" customFormat="1" x14ac:dyDescent="0.2"/>
    <row r="434" s="2043" customFormat="1" x14ac:dyDescent="0.2"/>
    <row r="435" s="2043" customFormat="1" x14ac:dyDescent="0.2"/>
    <row r="436" s="2043" customFormat="1" x14ac:dyDescent="0.2"/>
    <row r="437" s="2043" customFormat="1" x14ac:dyDescent="0.2"/>
    <row r="438" s="2043" customFormat="1" x14ac:dyDescent="0.2"/>
    <row r="439" s="2043" customFormat="1" x14ac:dyDescent="0.2"/>
    <row r="440" s="2043" customFormat="1" x14ac:dyDescent="0.2"/>
    <row r="441" s="2043" customFormat="1" x14ac:dyDescent="0.2"/>
    <row r="442" s="2043" customFormat="1" x14ac:dyDescent="0.2"/>
    <row r="443" s="2043" customFormat="1" x14ac:dyDescent="0.2"/>
    <row r="444" s="2043" customFormat="1" x14ac:dyDescent="0.2"/>
    <row r="445" s="2043" customFormat="1" x14ac:dyDescent="0.2"/>
    <row r="446" s="2043" customFormat="1" x14ac:dyDescent="0.2"/>
    <row r="447" s="2043" customFormat="1" x14ac:dyDescent="0.2"/>
    <row r="448" s="2043" customFormat="1" x14ac:dyDescent="0.2"/>
    <row r="449" s="2043" customFormat="1" x14ac:dyDescent="0.2"/>
    <row r="450" s="2043" customFormat="1" x14ac:dyDescent="0.2"/>
    <row r="451" s="2043" customFormat="1" x14ac:dyDescent="0.2"/>
    <row r="452" s="2043" customFormat="1" x14ac:dyDescent="0.2"/>
    <row r="453" s="2043" customFormat="1" x14ac:dyDescent="0.2"/>
    <row r="454" s="2043" customFormat="1" x14ac:dyDescent="0.2"/>
    <row r="455" s="2043" customFormat="1" x14ac:dyDescent="0.2"/>
    <row r="456" s="2043" customFormat="1" x14ac:dyDescent="0.2"/>
    <row r="457" s="2043" customFormat="1" x14ac:dyDescent="0.2"/>
    <row r="458" s="2043" customFormat="1" x14ac:dyDescent="0.2"/>
    <row r="459" s="2043" customFormat="1" x14ac:dyDescent="0.2"/>
    <row r="460" s="2043" customFormat="1" x14ac:dyDescent="0.2"/>
    <row r="461" s="2043" customFormat="1" x14ac:dyDescent="0.2"/>
    <row r="462" s="2043" customFormat="1" x14ac:dyDescent="0.2"/>
    <row r="463" s="2043" customFormat="1" x14ac:dyDescent="0.2"/>
    <row r="464" s="2043" customFormat="1" x14ac:dyDescent="0.2"/>
    <row r="465" s="2043" customFormat="1" x14ac:dyDescent="0.2"/>
    <row r="466" s="2043" customFormat="1" x14ac:dyDescent="0.2"/>
    <row r="467" s="2043" customFormat="1" x14ac:dyDescent="0.2"/>
    <row r="468" s="2043" customFormat="1" x14ac:dyDescent="0.2"/>
    <row r="469" s="2043" customFormat="1" x14ac:dyDescent="0.2"/>
    <row r="470" s="2043" customFormat="1" x14ac:dyDescent="0.2"/>
    <row r="471" s="2043" customFormat="1" x14ac:dyDescent="0.2"/>
    <row r="472" s="2043" customFormat="1" x14ac:dyDescent="0.2"/>
    <row r="473" s="2043" customFormat="1" x14ac:dyDescent="0.2"/>
    <row r="474" s="2043" customFormat="1" x14ac:dyDescent="0.2"/>
    <row r="475" s="2043" customFormat="1" x14ac:dyDescent="0.2"/>
    <row r="476" s="2043" customFormat="1" x14ac:dyDescent="0.2"/>
    <row r="477" s="2043" customFormat="1" x14ac:dyDescent="0.2"/>
    <row r="478" s="2043" customFormat="1" x14ac:dyDescent="0.2"/>
    <row r="479" s="2043" customFormat="1" x14ac:dyDescent="0.2"/>
    <row r="480" s="2043" customFormat="1" x14ac:dyDescent="0.2"/>
    <row r="481" s="2043" customFormat="1" x14ac:dyDescent="0.2"/>
    <row r="482" s="2043" customFormat="1" x14ac:dyDescent="0.2"/>
    <row r="483" s="2043" customFormat="1" x14ac:dyDescent="0.2"/>
    <row r="484" s="2043" customFormat="1" x14ac:dyDescent="0.2"/>
    <row r="485" s="2043" customFormat="1" x14ac:dyDescent="0.2"/>
    <row r="486" s="2043" customFormat="1" x14ac:dyDescent="0.2"/>
    <row r="487" s="2043" customFormat="1" x14ac:dyDescent="0.2"/>
    <row r="488" s="2043" customFormat="1" x14ac:dyDescent="0.2"/>
    <row r="489" s="2043" customFormat="1" x14ac:dyDescent="0.2"/>
    <row r="490" s="2043" customFormat="1" x14ac:dyDescent="0.2"/>
    <row r="491" s="2043" customFormat="1" x14ac:dyDescent="0.2"/>
    <row r="492" s="2043" customFormat="1" x14ac:dyDescent="0.2"/>
    <row r="493" s="2043" customFormat="1" x14ac:dyDescent="0.2"/>
    <row r="494" s="2043" customFormat="1" x14ac:dyDescent="0.2"/>
    <row r="495" s="2043" customFormat="1" x14ac:dyDescent="0.2"/>
    <row r="496" s="2043" customFormat="1" x14ac:dyDescent="0.2"/>
    <row r="497" s="2043" customFormat="1" x14ac:dyDescent="0.2"/>
    <row r="498" s="2043" customFormat="1" x14ac:dyDescent="0.2"/>
    <row r="499" s="2043" customFormat="1" x14ac:dyDescent="0.2"/>
    <row r="500" s="2043" customFormat="1" x14ac:dyDescent="0.2"/>
    <row r="501" s="2043" customFormat="1" x14ac:dyDescent="0.2"/>
    <row r="502" s="2043" customFormat="1" x14ac:dyDescent="0.2"/>
    <row r="503" s="2043" customFormat="1" x14ac:dyDescent="0.2"/>
    <row r="504" s="2043" customFormat="1" x14ac:dyDescent="0.2"/>
    <row r="505" s="2043" customFormat="1" x14ac:dyDescent="0.2"/>
    <row r="506" s="2043" customFormat="1" x14ac:dyDescent="0.2"/>
    <row r="507" s="2043" customFormat="1" x14ac:dyDescent="0.2"/>
    <row r="508" s="2043" customFormat="1" x14ac:dyDescent="0.2"/>
    <row r="509" s="2043" customFormat="1" x14ac:dyDescent="0.2"/>
    <row r="510" s="2043" customFormat="1" x14ac:dyDescent="0.2"/>
    <row r="511" s="2043" customFormat="1" x14ac:dyDescent="0.2"/>
    <row r="512" s="2043" customFormat="1" x14ac:dyDescent="0.2"/>
    <row r="513" s="2043" customFormat="1" x14ac:dyDescent="0.2"/>
    <row r="514" s="2043" customFormat="1" x14ac:dyDescent="0.2"/>
    <row r="515" s="2043" customFormat="1" x14ac:dyDescent="0.2"/>
    <row r="516" s="2043" customFormat="1" x14ac:dyDescent="0.2"/>
    <row r="517" s="2043" customFormat="1" x14ac:dyDescent="0.2"/>
    <row r="518" s="2043" customFormat="1" x14ac:dyDescent="0.2"/>
    <row r="519" s="2043" customFormat="1" x14ac:dyDescent="0.2"/>
    <row r="520" s="2043" customFormat="1" x14ac:dyDescent="0.2"/>
    <row r="521" s="2043" customFormat="1" x14ac:dyDescent="0.2"/>
    <row r="522" s="2043" customFormat="1" x14ac:dyDescent="0.2"/>
    <row r="523" s="2043" customFormat="1" x14ac:dyDescent="0.2"/>
    <row r="524" s="2043" customFormat="1" x14ac:dyDescent="0.2"/>
    <row r="525" s="2043" customFormat="1" x14ac:dyDescent="0.2"/>
    <row r="526" s="2043" customFormat="1" x14ac:dyDescent="0.2"/>
    <row r="527" s="2043" customFormat="1" x14ac:dyDescent="0.2"/>
    <row r="528" s="2043" customFormat="1" x14ac:dyDescent="0.2"/>
    <row r="529" s="2043" customFormat="1" x14ac:dyDescent="0.2"/>
    <row r="530" s="2043" customFormat="1" x14ac:dyDescent="0.2"/>
    <row r="531" s="2043" customFormat="1" x14ac:dyDescent="0.2"/>
    <row r="532" s="2043" customFormat="1" x14ac:dyDescent="0.2"/>
    <row r="533" s="2043" customFormat="1" x14ac:dyDescent="0.2"/>
    <row r="534" s="2043" customFormat="1" x14ac:dyDescent="0.2"/>
    <row r="535" s="2043" customFormat="1" x14ac:dyDescent="0.2"/>
    <row r="536" s="2043" customFormat="1" x14ac:dyDescent="0.2"/>
    <row r="537" s="2043" customFormat="1" x14ac:dyDescent="0.2"/>
    <row r="538" s="2043" customFormat="1" x14ac:dyDescent="0.2"/>
    <row r="539" s="2043" customFormat="1" x14ac:dyDescent="0.2"/>
    <row r="540" s="2043" customFormat="1" x14ac:dyDescent="0.2"/>
    <row r="541" s="2043" customFormat="1" x14ac:dyDescent="0.2"/>
    <row r="542" s="2043" customFormat="1" x14ac:dyDescent="0.2"/>
    <row r="543" s="2043" customFormat="1" x14ac:dyDescent="0.2"/>
    <row r="544" s="2043" customFormat="1" x14ac:dyDescent="0.2"/>
    <row r="545" s="2043" customFormat="1" x14ac:dyDescent="0.2"/>
    <row r="546" s="2043" customFormat="1" x14ac:dyDescent="0.2"/>
    <row r="547" s="2043" customFormat="1" x14ac:dyDescent="0.2"/>
    <row r="548" s="2043" customFormat="1" x14ac:dyDescent="0.2"/>
    <row r="549" s="2043" customFormat="1" x14ac:dyDescent="0.2"/>
    <row r="550" s="2043" customFormat="1" x14ac:dyDescent="0.2"/>
    <row r="551" s="2043" customFormat="1" x14ac:dyDescent="0.2"/>
    <row r="552" s="2043" customFormat="1" x14ac:dyDescent="0.2"/>
    <row r="553" s="2043" customFormat="1" x14ac:dyDescent="0.2"/>
    <row r="554" s="2043" customFormat="1" x14ac:dyDescent="0.2"/>
    <row r="555" s="2043" customFormat="1" x14ac:dyDescent="0.2"/>
    <row r="556" s="2043" customFormat="1" x14ac:dyDescent="0.2"/>
    <row r="557" s="2043" customFormat="1" x14ac:dyDescent="0.2"/>
    <row r="558" s="2043" customFormat="1" x14ac:dyDescent="0.2"/>
    <row r="559" s="2043" customFormat="1" x14ac:dyDescent="0.2"/>
    <row r="560" s="2043" customFormat="1" x14ac:dyDescent="0.2"/>
    <row r="561" s="2043" customFormat="1" x14ac:dyDescent="0.2"/>
    <row r="562" s="2043" customFormat="1" x14ac:dyDescent="0.2"/>
    <row r="563" s="2043" customFormat="1" x14ac:dyDescent="0.2"/>
    <row r="564" s="2043" customFormat="1" x14ac:dyDescent="0.2"/>
    <row r="565" s="2043" customFormat="1" x14ac:dyDescent="0.2"/>
    <row r="566" s="2043" customFormat="1" x14ac:dyDescent="0.2"/>
    <row r="567" s="2043" customFormat="1" x14ac:dyDescent="0.2"/>
    <row r="568" s="2043" customFormat="1" x14ac:dyDescent="0.2"/>
    <row r="569" s="2043" customFormat="1" x14ac:dyDescent="0.2"/>
    <row r="570" s="2043" customFormat="1" x14ac:dyDescent="0.2"/>
    <row r="571" s="2043" customFormat="1" x14ac:dyDescent="0.2"/>
    <row r="572" s="2043" customFormat="1" x14ac:dyDescent="0.2"/>
    <row r="573" s="2043" customFormat="1" x14ac:dyDescent="0.2"/>
    <row r="574" s="2043" customFormat="1" x14ac:dyDescent="0.2"/>
    <row r="575" s="2043" customFormat="1" x14ac:dyDescent="0.2"/>
    <row r="576" s="2043" customFormat="1" x14ac:dyDescent="0.2"/>
    <row r="577" s="2043" customFormat="1" x14ac:dyDescent="0.2"/>
    <row r="578" s="2043" customFormat="1" x14ac:dyDescent="0.2"/>
    <row r="579" s="2043" customFormat="1" x14ac:dyDescent="0.2"/>
    <row r="580" s="2043" customFormat="1" x14ac:dyDescent="0.2"/>
    <row r="581" s="2043" customFormat="1" x14ac:dyDescent="0.2"/>
    <row r="582" s="2043" customFormat="1" x14ac:dyDescent="0.2"/>
    <row r="583" s="2043" customFormat="1" x14ac:dyDescent="0.2"/>
    <row r="584" s="2043" customFormat="1" x14ac:dyDescent="0.2"/>
    <row r="585" s="2043" customFormat="1" x14ac:dyDescent="0.2"/>
    <row r="586" s="2043" customFormat="1" x14ac:dyDescent="0.2"/>
    <row r="587" s="2043" customFormat="1" x14ac:dyDescent="0.2"/>
    <row r="588" s="2043" customFormat="1" x14ac:dyDescent="0.2"/>
    <row r="589" s="2043" customFormat="1" x14ac:dyDescent="0.2"/>
    <row r="590" s="2043" customFormat="1" x14ac:dyDescent="0.2"/>
    <row r="591" s="2043" customFormat="1" x14ac:dyDescent="0.2"/>
    <row r="592" s="2043" customFormat="1" x14ac:dyDescent="0.2"/>
    <row r="593" s="2043" customFormat="1" x14ac:dyDescent="0.2"/>
    <row r="594" s="2043" customFormat="1" x14ac:dyDescent="0.2"/>
    <row r="595" s="2043" customFormat="1" x14ac:dyDescent="0.2"/>
    <row r="596" s="2043" customFormat="1" x14ac:dyDescent="0.2"/>
    <row r="597" s="2043" customFormat="1" x14ac:dyDescent="0.2"/>
    <row r="598" s="2043" customFormat="1" x14ac:dyDescent="0.2"/>
    <row r="599" s="2043" customFormat="1" x14ac:dyDescent="0.2"/>
    <row r="600" s="2043" customFormat="1" x14ac:dyDescent="0.2"/>
    <row r="601" s="2043" customFormat="1" x14ac:dyDescent="0.2"/>
    <row r="602" s="2043" customFormat="1" x14ac:dyDescent="0.2"/>
    <row r="603" s="2043" customFormat="1" x14ac:dyDescent="0.2"/>
    <row r="604" s="2043" customFormat="1" x14ac:dyDescent="0.2"/>
    <row r="605" s="2043" customFormat="1" x14ac:dyDescent="0.2"/>
    <row r="606" s="2043" customFormat="1" x14ac:dyDescent="0.2"/>
    <row r="607" s="2043" customFormat="1" x14ac:dyDescent="0.2"/>
    <row r="608" s="2043" customFormat="1" x14ac:dyDescent="0.2"/>
    <row r="609" s="2043" customFormat="1" x14ac:dyDescent="0.2"/>
    <row r="610" s="2043" customFormat="1" x14ac:dyDescent="0.2"/>
    <row r="611" s="2043" customFormat="1" x14ac:dyDescent="0.2"/>
    <row r="612" s="2043" customFormat="1" x14ac:dyDescent="0.2"/>
    <row r="613" s="2043" customFormat="1" x14ac:dyDescent="0.2"/>
    <row r="614" s="2043" customFormat="1" x14ac:dyDescent="0.2"/>
    <row r="615" s="2043" customFormat="1" x14ac:dyDescent="0.2"/>
    <row r="616" s="2043" customFormat="1" x14ac:dyDescent="0.2"/>
    <row r="617" s="2043" customFormat="1" x14ac:dyDescent="0.2"/>
    <row r="618" s="2043" customFormat="1" x14ac:dyDescent="0.2"/>
    <row r="619" s="2043" customFormat="1" x14ac:dyDescent="0.2"/>
    <row r="620" s="2043" customFormat="1" x14ac:dyDescent="0.2"/>
    <row r="621" s="2043" customFormat="1" x14ac:dyDescent="0.2"/>
    <row r="622" s="2043" customFormat="1" x14ac:dyDescent="0.2"/>
    <row r="623" s="2043" customFormat="1" x14ac:dyDescent="0.2"/>
    <row r="624" s="2043" customFormat="1" x14ac:dyDescent="0.2"/>
    <row r="625" s="2043" customFormat="1" x14ac:dyDescent="0.2"/>
    <row r="626" s="2043" customFormat="1" x14ac:dyDescent="0.2"/>
    <row r="627" s="2043" customFormat="1" x14ac:dyDescent="0.2"/>
    <row r="628" s="2043" customFormat="1" x14ac:dyDescent="0.2"/>
    <row r="629" s="2043" customFormat="1" x14ac:dyDescent="0.2"/>
    <row r="630" s="2043" customFormat="1" x14ac:dyDescent="0.2"/>
    <row r="631" s="2043" customFormat="1" x14ac:dyDescent="0.2"/>
    <row r="632" s="2043" customFormat="1" x14ac:dyDescent="0.2"/>
    <row r="633" s="2043" customFormat="1" x14ac:dyDescent="0.2"/>
    <row r="634" s="2043" customFormat="1" x14ac:dyDescent="0.2"/>
    <row r="635" s="2043" customFormat="1" x14ac:dyDescent="0.2"/>
    <row r="636" s="2043" customFormat="1" x14ac:dyDescent="0.2"/>
    <row r="637" s="2043" customFormat="1" x14ac:dyDescent="0.2"/>
    <row r="638" s="2043" customFormat="1" x14ac:dyDescent="0.2"/>
    <row r="639" s="2043" customFormat="1" x14ac:dyDescent="0.2"/>
    <row r="640" s="2043" customFormat="1" x14ac:dyDescent="0.2"/>
    <row r="641" s="2043" customFormat="1" x14ac:dyDescent="0.2"/>
    <row r="642" s="2043" customFormat="1" x14ac:dyDescent="0.2"/>
    <row r="643" s="2043" customFormat="1" x14ac:dyDescent="0.2"/>
    <row r="644" s="2043" customFormat="1" x14ac:dyDescent="0.2"/>
    <row r="645" s="2043" customFormat="1" x14ac:dyDescent="0.2"/>
    <row r="646" s="2043" customFormat="1" x14ac:dyDescent="0.2"/>
    <row r="647" s="2043" customFormat="1" x14ac:dyDescent="0.2"/>
    <row r="648" s="2043" customFormat="1" x14ac:dyDescent="0.2"/>
    <row r="649" s="2043" customFormat="1" x14ac:dyDescent="0.2"/>
    <row r="650" s="2043" customFormat="1" x14ac:dyDescent="0.2"/>
    <row r="651" s="2043" customFormat="1" x14ac:dyDescent="0.2"/>
    <row r="652" s="2043" customFormat="1" x14ac:dyDescent="0.2"/>
    <row r="653" s="2043" customFormat="1" x14ac:dyDescent="0.2"/>
    <row r="654" s="2043" customFormat="1" x14ac:dyDescent="0.2"/>
    <row r="655" s="2043" customFormat="1" x14ac:dyDescent="0.2"/>
    <row r="656" s="2043" customFormat="1" x14ac:dyDescent="0.2"/>
    <row r="657" s="2043" customFormat="1" x14ac:dyDescent="0.2"/>
    <row r="658" s="2043" customFormat="1" x14ac:dyDescent="0.2"/>
    <row r="659" s="2043" customFormat="1" x14ac:dyDescent="0.2"/>
    <row r="660" s="2043" customFormat="1" x14ac:dyDescent="0.2"/>
    <row r="661" s="2043" customFormat="1" x14ac:dyDescent="0.2"/>
    <row r="662" s="2043" customFormat="1" x14ac:dyDescent="0.2"/>
    <row r="663" s="2043" customFormat="1" x14ac:dyDescent="0.2"/>
    <row r="664" s="2043" customFormat="1" x14ac:dyDescent="0.2"/>
    <row r="665" s="2043" customFormat="1" x14ac:dyDescent="0.2"/>
    <row r="666" s="2043" customFormat="1" x14ac:dyDescent="0.2"/>
    <row r="667" s="2043" customFormat="1" x14ac:dyDescent="0.2"/>
    <row r="668" s="2043" customFormat="1" x14ac:dyDescent="0.2"/>
    <row r="669" s="2043" customFormat="1" x14ac:dyDescent="0.2"/>
    <row r="670" s="2043" customFormat="1" x14ac:dyDescent="0.2"/>
    <row r="671" s="2043" customFormat="1" x14ac:dyDescent="0.2"/>
    <row r="672" s="2043" customFormat="1" x14ac:dyDescent="0.2"/>
    <row r="673" s="2043" customFormat="1" x14ac:dyDescent="0.2"/>
    <row r="674" s="2043" customFormat="1" x14ac:dyDescent="0.2"/>
    <row r="675" s="2043" customFormat="1" x14ac:dyDescent="0.2"/>
    <row r="676" s="2043" customFormat="1" x14ac:dyDescent="0.2"/>
    <row r="677" s="2043" customFormat="1" x14ac:dyDescent="0.2"/>
    <row r="678" s="2043" customFormat="1" x14ac:dyDescent="0.2"/>
    <row r="679" s="2043" customFormat="1" x14ac:dyDescent="0.2"/>
    <row r="680" s="2043" customFormat="1" x14ac:dyDescent="0.2"/>
    <row r="681" s="2043" customFormat="1" x14ac:dyDescent="0.2"/>
    <row r="682" s="2043" customFormat="1" x14ac:dyDescent="0.2"/>
    <row r="683" s="2043" customFormat="1" x14ac:dyDescent="0.2"/>
    <row r="684" s="2043" customFormat="1" x14ac:dyDescent="0.2"/>
    <row r="685" s="2043" customFormat="1" x14ac:dyDescent="0.2"/>
    <row r="686" s="2043" customFormat="1" x14ac:dyDescent="0.2"/>
    <row r="687" s="2043" customFormat="1" x14ac:dyDescent="0.2"/>
    <row r="688" s="2043" customFormat="1" x14ac:dyDescent="0.2"/>
    <row r="689" s="2043" customFormat="1" x14ac:dyDescent="0.2"/>
    <row r="690" s="2043" customFormat="1" x14ac:dyDescent="0.2"/>
    <row r="691" s="2043" customFormat="1" x14ac:dyDescent="0.2"/>
    <row r="692" s="2043" customFormat="1" x14ac:dyDescent="0.2"/>
    <row r="693" s="2043" customFormat="1" x14ac:dyDescent="0.2"/>
    <row r="694" s="2043" customFormat="1" x14ac:dyDescent="0.2"/>
    <row r="695" s="2043" customFormat="1" x14ac:dyDescent="0.2"/>
    <row r="696" s="2043" customFormat="1" x14ac:dyDescent="0.2"/>
    <row r="697" s="2043" customFormat="1" x14ac:dyDescent="0.2"/>
    <row r="698" s="2043" customFormat="1" x14ac:dyDescent="0.2"/>
    <row r="699" s="2043" customFormat="1" x14ac:dyDescent="0.2"/>
    <row r="700" s="2043" customFormat="1" x14ac:dyDescent="0.2"/>
    <row r="701" s="2043" customFormat="1" x14ac:dyDescent="0.2"/>
    <row r="702" s="2043" customFormat="1" x14ac:dyDescent="0.2"/>
    <row r="703" s="2043" customFormat="1" x14ac:dyDescent="0.2"/>
    <row r="704" s="2043" customFormat="1" x14ac:dyDescent="0.2"/>
    <row r="705" s="2043" customFormat="1" x14ac:dyDescent="0.2"/>
    <row r="706" s="2043" customFormat="1" x14ac:dyDescent="0.2"/>
    <row r="707" s="2043" customFormat="1" x14ac:dyDescent="0.2"/>
    <row r="708" s="2043" customFormat="1" x14ac:dyDescent="0.2"/>
    <row r="709" s="2043" customFormat="1" x14ac:dyDescent="0.2"/>
    <row r="710" s="2043" customFormat="1" x14ac:dyDescent="0.2"/>
    <row r="711" s="2043" customFormat="1" x14ac:dyDescent="0.2"/>
    <row r="712" s="2043" customFormat="1" x14ac:dyDescent="0.2"/>
    <row r="713" s="2043" customFormat="1" x14ac:dyDescent="0.2"/>
    <row r="714" s="2043" customFormat="1" x14ac:dyDescent="0.2"/>
    <row r="715" s="2043" customFormat="1" x14ac:dyDescent="0.2"/>
    <row r="716" s="2043" customFormat="1" x14ac:dyDescent="0.2"/>
    <row r="717" s="2043" customFormat="1" x14ac:dyDescent="0.2"/>
    <row r="718" s="2043" customFormat="1" x14ac:dyDescent="0.2"/>
    <row r="719" s="2043" customFormat="1" x14ac:dyDescent="0.2"/>
    <row r="720" s="2043" customFormat="1" x14ac:dyDescent="0.2"/>
    <row r="721" s="2043" customFormat="1" x14ac:dyDescent="0.2"/>
    <row r="722" s="2043" customFormat="1" x14ac:dyDescent="0.2"/>
    <row r="723" s="2043" customFormat="1" x14ac:dyDescent="0.2"/>
    <row r="724" s="2043" customFormat="1" x14ac:dyDescent="0.2"/>
    <row r="725" s="2043" customFormat="1" x14ac:dyDescent="0.2"/>
    <row r="726" s="2043" customFormat="1" x14ac:dyDescent="0.2"/>
    <row r="727" s="2043" customFormat="1" x14ac:dyDescent="0.2"/>
    <row r="728" s="2043" customFormat="1" x14ac:dyDescent="0.2"/>
    <row r="729" s="2043" customFormat="1" x14ac:dyDescent="0.2"/>
    <row r="730" s="2043" customFormat="1" x14ac:dyDescent="0.2"/>
    <row r="731" s="2043" customFormat="1" x14ac:dyDescent="0.2"/>
    <row r="732" s="2043" customFormat="1" x14ac:dyDescent="0.2"/>
    <row r="733" s="2043" customFormat="1" x14ac:dyDescent="0.2"/>
    <row r="734" s="2043" customFormat="1" x14ac:dyDescent="0.2"/>
    <row r="735" s="2043" customFormat="1" x14ac:dyDescent="0.2"/>
    <row r="736" s="2043" customFormat="1" x14ac:dyDescent="0.2"/>
    <row r="737" s="2043" customFormat="1" x14ac:dyDescent="0.2"/>
    <row r="738" s="2043" customFormat="1" x14ac:dyDescent="0.2"/>
    <row r="739" s="2043" customFormat="1" x14ac:dyDescent="0.2"/>
    <row r="740" s="2043" customFormat="1" x14ac:dyDescent="0.2"/>
    <row r="741" s="2043" customFormat="1" x14ac:dyDescent="0.2"/>
    <row r="742" s="2043" customFormat="1" x14ac:dyDescent="0.2"/>
    <row r="743" s="2043" customFormat="1" x14ac:dyDescent="0.2"/>
    <row r="744" s="2043" customFormat="1" x14ac:dyDescent="0.2"/>
    <row r="745" s="2043" customFormat="1" x14ac:dyDescent="0.2"/>
    <row r="746" s="2043" customFormat="1" x14ac:dyDescent="0.2"/>
    <row r="747" s="2043" customFormat="1" x14ac:dyDescent="0.2"/>
    <row r="748" s="2043" customFormat="1" x14ac:dyDescent="0.2"/>
    <row r="749" s="2043" customFormat="1" x14ac:dyDescent="0.2"/>
    <row r="750" s="2043" customFormat="1" x14ac:dyDescent="0.2"/>
    <row r="751" s="2043" customFormat="1" x14ac:dyDescent="0.2"/>
    <row r="752" s="2043" customFormat="1" x14ac:dyDescent="0.2"/>
    <row r="753" s="2043" customFormat="1" x14ac:dyDescent="0.2"/>
    <row r="754" s="2043" customFormat="1" x14ac:dyDescent="0.2"/>
    <row r="755" s="2043" customFormat="1" x14ac:dyDescent="0.2"/>
    <row r="756" s="2043" customFormat="1" x14ac:dyDescent="0.2"/>
    <row r="757" s="2043" customFormat="1" x14ac:dyDescent="0.2"/>
    <row r="758" s="2043" customFormat="1" x14ac:dyDescent="0.2"/>
    <row r="759" s="2043" customFormat="1" x14ac:dyDescent="0.2"/>
    <row r="760" s="2043" customFormat="1" x14ac:dyDescent="0.2"/>
    <row r="761" s="2043" customFormat="1" x14ac:dyDescent="0.2"/>
    <row r="762" s="2043" customFormat="1" x14ac:dyDescent="0.2"/>
    <row r="763" s="2043" customFormat="1" x14ac:dyDescent="0.2"/>
    <row r="764" s="2043" customFormat="1" x14ac:dyDescent="0.2"/>
    <row r="765" s="2043" customFormat="1" x14ac:dyDescent="0.2"/>
    <row r="766" s="2043" customFormat="1" x14ac:dyDescent="0.2"/>
    <row r="767" s="2043" customFormat="1" x14ac:dyDescent="0.2"/>
    <row r="768" s="2043" customFormat="1" x14ac:dyDescent="0.2"/>
    <row r="769" s="2043" customFormat="1" x14ac:dyDescent="0.2"/>
    <row r="770" s="2043" customFormat="1" x14ac:dyDescent="0.2"/>
    <row r="771" s="2043" customFormat="1" x14ac:dyDescent="0.2"/>
    <row r="772" s="2043" customFormat="1" x14ac:dyDescent="0.2"/>
    <row r="773" s="2043" customFormat="1" x14ac:dyDescent="0.2"/>
    <row r="774" s="2043" customFormat="1" x14ac:dyDescent="0.2"/>
    <row r="775" s="2043" customFormat="1" x14ac:dyDescent="0.2"/>
    <row r="776" s="2043" customFormat="1" x14ac:dyDescent="0.2"/>
    <row r="777" s="2043" customFormat="1" x14ac:dyDescent="0.2"/>
    <row r="778" s="2043" customFormat="1" x14ac:dyDescent="0.2"/>
    <row r="779" s="2043" customFormat="1" x14ac:dyDescent="0.2"/>
    <row r="780" s="2043" customFormat="1" x14ac:dyDescent="0.2"/>
    <row r="781" s="2043" customFormat="1" x14ac:dyDescent="0.2"/>
    <row r="782" s="2043" customFormat="1" x14ac:dyDescent="0.2"/>
    <row r="783" s="2043" customFormat="1" x14ac:dyDescent="0.2"/>
    <row r="784" s="2043" customFormat="1" x14ac:dyDescent="0.2"/>
    <row r="785" s="2043" customFormat="1" x14ac:dyDescent="0.2"/>
    <row r="786" s="2043" customFormat="1" x14ac:dyDescent="0.2"/>
    <row r="787" s="2043" customFormat="1" x14ac:dyDescent="0.2"/>
    <row r="788" s="2043" customFormat="1" x14ac:dyDescent="0.2"/>
    <row r="789" s="2043" customFormat="1" x14ac:dyDescent="0.2"/>
    <row r="790" s="2043" customFormat="1" x14ac:dyDescent="0.2"/>
    <row r="791" s="2043" customFormat="1" x14ac:dyDescent="0.2"/>
    <row r="792" s="2043" customFormat="1" x14ac:dyDescent="0.2"/>
    <row r="793" s="2043" customFormat="1" x14ac:dyDescent="0.2"/>
    <row r="794" s="2043" customFormat="1" x14ac:dyDescent="0.2"/>
    <row r="795" s="2043" customFormat="1" x14ac:dyDescent="0.2"/>
    <row r="796" s="2043" customFormat="1" x14ac:dyDescent="0.2"/>
    <row r="797" s="2043" customFormat="1" x14ac:dyDescent="0.2"/>
    <row r="798" s="2043" customFormat="1" x14ac:dyDescent="0.2"/>
    <row r="799" s="2043" customFormat="1" x14ac:dyDescent="0.2"/>
    <row r="800" s="2043" customFormat="1" x14ac:dyDescent="0.2"/>
    <row r="801" s="2043" customFormat="1" x14ac:dyDescent="0.2"/>
    <row r="802" s="2043" customFormat="1" x14ac:dyDescent="0.2"/>
    <row r="803" s="2043" customFormat="1" x14ac:dyDescent="0.2"/>
    <row r="804" s="2043" customFormat="1" x14ac:dyDescent="0.2"/>
    <row r="805" s="2043" customFormat="1" x14ac:dyDescent="0.2"/>
    <row r="806" s="2043" customFormat="1" x14ac:dyDescent="0.2"/>
    <row r="807" s="2043" customFormat="1" x14ac:dyDescent="0.2"/>
    <row r="808" s="2043" customFormat="1" x14ac:dyDescent="0.2"/>
    <row r="809" s="2043" customFormat="1" x14ac:dyDescent="0.2"/>
    <row r="810" s="2043" customFormat="1" x14ac:dyDescent="0.2"/>
    <row r="811" s="2043" customFormat="1" x14ac:dyDescent="0.2"/>
    <row r="812" s="2043" customFormat="1" x14ac:dyDescent="0.2"/>
    <row r="813" s="2043" customFormat="1" x14ac:dyDescent="0.2"/>
    <row r="814" s="2043" customFormat="1" x14ac:dyDescent="0.2"/>
    <row r="815" s="2043" customFormat="1" x14ac:dyDescent="0.2"/>
    <row r="816" s="2043" customFormat="1" x14ac:dyDescent="0.2"/>
    <row r="817" s="2043" customFormat="1" x14ac:dyDescent="0.2"/>
    <row r="818" s="2043" customFormat="1" x14ac:dyDescent="0.2"/>
    <row r="819" s="2043" customFormat="1" x14ac:dyDescent="0.2"/>
    <row r="820" s="2043" customFormat="1" x14ac:dyDescent="0.2"/>
    <row r="821" s="2043" customFormat="1" x14ac:dyDescent="0.2"/>
    <row r="822" s="2043" customFormat="1" x14ac:dyDescent="0.2"/>
    <row r="823" s="2043" customFormat="1" x14ac:dyDescent="0.2"/>
    <row r="824" s="2043" customFormat="1" x14ac:dyDescent="0.2"/>
    <row r="825" s="2043" customFormat="1" x14ac:dyDescent="0.2"/>
    <row r="826" s="2043" customFormat="1" x14ac:dyDescent="0.2"/>
    <row r="827" s="2043" customFormat="1" x14ac:dyDescent="0.2"/>
    <row r="828" s="2043" customFormat="1" x14ac:dyDescent="0.2"/>
    <row r="829" s="2043" customFormat="1" x14ac:dyDescent="0.2"/>
    <row r="830" s="2043" customFormat="1" x14ac:dyDescent="0.2"/>
    <row r="831" s="2043" customFormat="1" x14ac:dyDescent="0.2"/>
    <row r="832" s="2043" customFormat="1" x14ac:dyDescent="0.2"/>
    <row r="833" s="2043" customFormat="1" x14ac:dyDescent="0.2"/>
    <row r="834" s="2043" customFormat="1" x14ac:dyDescent="0.2"/>
    <row r="835" s="2043" customFormat="1" x14ac:dyDescent="0.2"/>
    <row r="836" s="2043" customFormat="1" x14ac:dyDescent="0.2"/>
    <row r="837" s="2043" customFormat="1" x14ac:dyDescent="0.2"/>
    <row r="838" s="2043" customFormat="1" x14ac:dyDescent="0.2"/>
    <row r="839" s="2043" customFormat="1" x14ac:dyDescent="0.2"/>
    <row r="840" s="2043" customFormat="1" x14ac:dyDescent="0.2"/>
    <row r="841" s="2043" customFormat="1" x14ac:dyDescent="0.2"/>
    <row r="842" s="2043" customFormat="1" x14ac:dyDescent="0.2"/>
    <row r="843" s="2043" customFormat="1" x14ac:dyDescent="0.2"/>
    <row r="844" s="2043" customFormat="1" x14ac:dyDescent="0.2"/>
    <row r="845" s="2043" customFormat="1" x14ac:dyDescent="0.2"/>
    <row r="846" s="2043" customFormat="1" x14ac:dyDescent="0.2"/>
    <row r="847" s="2043" customFormat="1" x14ac:dyDescent="0.2"/>
    <row r="848" s="2043" customFormat="1" x14ac:dyDescent="0.2"/>
    <row r="849" s="2043" customFormat="1" x14ac:dyDescent="0.2"/>
    <row r="850" s="2043" customFormat="1" x14ac:dyDescent="0.2"/>
    <row r="851" s="2043" customFormat="1" x14ac:dyDescent="0.2"/>
    <row r="852" s="2043" customFormat="1" x14ac:dyDescent="0.2"/>
    <row r="853" s="2043" customFormat="1" x14ac:dyDescent="0.2"/>
    <row r="854" s="2043" customFormat="1" x14ac:dyDescent="0.2"/>
    <row r="855" s="2043" customFormat="1" x14ac:dyDescent="0.2"/>
    <row r="856" s="2043" customFormat="1" x14ac:dyDescent="0.2"/>
    <row r="857" s="2043" customFormat="1" x14ac:dyDescent="0.2"/>
    <row r="858" s="2043" customFormat="1" x14ac:dyDescent="0.2"/>
    <row r="859" s="2043" customFormat="1" x14ac:dyDescent="0.2"/>
    <row r="860" s="2043" customFormat="1" x14ac:dyDescent="0.2"/>
    <row r="861" s="2043" customFormat="1" x14ac:dyDescent="0.2"/>
    <row r="862" s="2043" customFormat="1" x14ac:dyDescent="0.2"/>
    <row r="863" s="2043" customFormat="1" x14ac:dyDescent="0.2"/>
    <row r="864" s="2043" customFormat="1" x14ac:dyDescent="0.2"/>
    <row r="865" s="2043" customFormat="1" x14ac:dyDescent="0.2"/>
    <row r="866" s="2043" customFormat="1" x14ac:dyDescent="0.2"/>
    <row r="867" s="2043" customFormat="1" x14ac:dyDescent="0.2"/>
    <row r="868" s="2043" customFormat="1" x14ac:dyDescent="0.2"/>
    <row r="869" s="2043" customFormat="1" x14ac:dyDescent="0.2"/>
    <row r="870" s="2043" customFormat="1" x14ac:dyDescent="0.2"/>
    <row r="871" s="2043" customFormat="1" x14ac:dyDescent="0.2"/>
    <row r="872" s="2043" customFormat="1" x14ac:dyDescent="0.2"/>
    <row r="873" s="2043" customFormat="1" x14ac:dyDescent="0.2"/>
    <row r="874" s="2043" customFormat="1" x14ac:dyDescent="0.2"/>
    <row r="875" s="2043" customFormat="1" x14ac:dyDescent="0.2"/>
    <row r="876" s="2043" customFormat="1" x14ac:dyDescent="0.2"/>
    <row r="877" s="2043" customFormat="1" x14ac:dyDescent="0.2"/>
    <row r="878" s="2043" customFormat="1" x14ac:dyDescent="0.2"/>
    <row r="879" s="2043" customFormat="1" x14ac:dyDescent="0.2"/>
    <row r="880" s="2043" customFormat="1" x14ac:dyDescent="0.2"/>
    <row r="881" s="2043" customFormat="1" x14ac:dyDescent="0.2"/>
    <row r="882" s="2043" customFormat="1" x14ac:dyDescent="0.2"/>
    <row r="883" s="2043" customFormat="1" x14ac:dyDescent="0.2"/>
    <row r="884" s="2043" customFormat="1" x14ac:dyDescent="0.2"/>
    <row r="885" s="2043" customFormat="1" x14ac:dyDescent="0.2"/>
    <row r="886" s="2043" customFormat="1" x14ac:dyDescent="0.2"/>
    <row r="887" s="2043" customFormat="1" x14ac:dyDescent="0.2"/>
    <row r="888" s="2043" customFormat="1" x14ac:dyDescent="0.2"/>
    <row r="889" s="2043" customFormat="1" x14ac:dyDescent="0.2"/>
    <row r="890" s="2043" customFormat="1" x14ac:dyDescent="0.2"/>
    <row r="891" s="2043" customFormat="1" x14ac:dyDescent="0.2"/>
    <row r="892" s="2043" customFormat="1" x14ac:dyDescent="0.2"/>
    <row r="893" s="2043" customFormat="1" x14ac:dyDescent="0.2"/>
    <row r="894" s="2043" customFormat="1" x14ac:dyDescent="0.2"/>
    <row r="895" s="2043" customFormat="1" x14ac:dyDescent="0.2"/>
    <row r="896" s="2043" customFormat="1" x14ac:dyDescent="0.2"/>
    <row r="897" s="2043" customFormat="1" x14ac:dyDescent="0.2"/>
    <row r="898" s="2043" customFormat="1" x14ac:dyDescent="0.2"/>
    <row r="899" s="2043" customFormat="1" x14ac:dyDescent="0.2"/>
    <row r="900" s="2043" customFormat="1" x14ac:dyDescent="0.2"/>
    <row r="901" s="2043" customFormat="1" x14ac:dyDescent="0.2"/>
    <row r="902" s="2043" customFormat="1" x14ac:dyDescent="0.2"/>
    <row r="903" s="2043" customFormat="1" x14ac:dyDescent="0.2"/>
    <row r="904" s="2043" customFormat="1" x14ac:dyDescent="0.2"/>
    <row r="905" s="2043" customFormat="1" x14ac:dyDescent="0.2"/>
    <row r="906" s="2043" customFormat="1" x14ac:dyDescent="0.2"/>
    <row r="907" s="2043" customFormat="1" x14ac:dyDescent="0.2"/>
    <row r="908" s="2043" customFormat="1" x14ac:dyDescent="0.2"/>
    <row r="909" s="2043" customFormat="1" x14ac:dyDescent="0.2"/>
    <row r="910" s="2043" customFormat="1" x14ac:dyDescent="0.2"/>
    <row r="911" s="2043" customFormat="1" x14ac:dyDescent="0.2"/>
    <row r="912" s="2043" customFormat="1" x14ac:dyDescent="0.2"/>
    <row r="913" s="2043" customFormat="1" x14ac:dyDescent="0.2"/>
    <row r="914" s="2043" customFormat="1" x14ac:dyDescent="0.2"/>
    <row r="915" s="2043" customFormat="1" x14ac:dyDescent="0.2"/>
    <row r="916" s="2043" customFormat="1" x14ac:dyDescent="0.2"/>
    <row r="917" s="2043" customFormat="1" x14ac:dyDescent="0.2"/>
    <row r="918" s="2043" customFormat="1" x14ac:dyDescent="0.2"/>
    <row r="919" s="2043" customFormat="1" x14ac:dyDescent="0.2"/>
    <row r="920" s="2043" customFormat="1" x14ac:dyDescent="0.2"/>
    <row r="921" s="2043" customFormat="1" x14ac:dyDescent="0.2"/>
    <row r="922" s="2043" customFormat="1" x14ac:dyDescent="0.2"/>
    <row r="923" s="2043" customFormat="1" x14ac:dyDescent="0.2"/>
    <row r="924" s="2043" customFormat="1" x14ac:dyDescent="0.2"/>
    <row r="925" s="2043" customFormat="1" x14ac:dyDescent="0.2"/>
    <row r="926" s="2043" customFormat="1" x14ac:dyDescent="0.2"/>
    <row r="927" s="2043" customFormat="1" x14ac:dyDescent="0.2"/>
    <row r="928" s="2043" customFormat="1" x14ac:dyDescent="0.2"/>
    <row r="929" s="2043" customFormat="1" x14ac:dyDescent="0.2"/>
    <row r="930" s="2043" customFormat="1" x14ac:dyDescent="0.2"/>
    <row r="931" s="2043" customFormat="1" x14ac:dyDescent="0.2"/>
    <row r="932" s="2043" customFormat="1" x14ac:dyDescent="0.2"/>
    <row r="933" s="2043" customFormat="1" x14ac:dyDescent="0.2"/>
    <row r="934" s="2043" customFormat="1" x14ac:dyDescent="0.2"/>
    <row r="935" s="2043" customFormat="1" x14ac:dyDescent="0.2"/>
    <row r="936" s="2043" customFormat="1" x14ac:dyDescent="0.2"/>
    <row r="937" s="2043" customFormat="1" x14ac:dyDescent="0.2"/>
    <row r="938" s="2043" customFormat="1" x14ac:dyDescent="0.2"/>
    <row r="939" s="2043" customFormat="1" x14ac:dyDescent="0.2"/>
    <row r="940" s="2043" customFormat="1" x14ac:dyDescent="0.2"/>
    <row r="941" s="2043" customFormat="1" x14ac:dyDescent="0.2"/>
    <row r="942" s="2043" customFormat="1" x14ac:dyDescent="0.2"/>
    <row r="943" s="2043" customFormat="1" x14ac:dyDescent="0.2"/>
    <row r="944" s="2043" customFormat="1" x14ac:dyDescent="0.2"/>
    <row r="945" s="2043" customFormat="1" x14ac:dyDescent="0.2"/>
    <row r="946" s="2043" customFormat="1" x14ac:dyDescent="0.2"/>
    <row r="947" s="2043" customFormat="1" x14ac:dyDescent="0.2"/>
    <row r="948" s="2043" customFormat="1" x14ac:dyDescent="0.2"/>
    <row r="949" s="2043" customFormat="1" x14ac:dyDescent="0.2"/>
    <row r="950" s="2043" customFormat="1" x14ac:dyDescent="0.2"/>
    <row r="951" s="2043" customFormat="1" x14ac:dyDescent="0.2"/>
    <row r="952" s="2043" customFormat="1" x14ac:dyDescent="0.2"/>
    <row r="953" s="2043" customFormat="1" x14ac:dyDescent="0.2"/>
    <row r="954" s="2043" customFormat="1" x14ac:dyDescent="0.2"/>
    <row r="955" s="2043" customFormat="1" x14ac:dyDescent="0.2"/>
    <row r="956" s="2043" customFormat="1" x14ac:dyDescent="0.2"/>
    <row r="957" s="2043" customFormat="1" x14ac:dyDescent="0.2"/>
    <row r="958" s="2043" customFormat="1" x14ac:dyDescent="0.2"/>
    <row r="959" s="2043" customFormat="1" x14ac:dyDescent="0.2"/>
    <row r="960" s="2043" customFormat="1" x14ac:dyDescent="0.2"/>
    <row r="961" s="2043" customFormat="1" x14ac:dyDescent="0.2"/>
    <row r="962" s="2043" customFormat="1" x14ac:dyDescent="0.2"/>
    <row r="963" s="2043" customFormat="1" x14ac:dyDescent="0.2"/>
    <row r="964" s="2043" customFormat="1" x14ac:dyDescent="0.2"/>
    <row r="965" s="2043" customFormat="1" x14ac:dyDescent="0.2"/>
    <row r="966" s="2043" customFormat="1" x14ac:dyDescent="0.2"/>
    <row r="967" s="2043" customFormat="1" x14ac:dyDescent="0.2"/>
    <row r="968" s="2043" customFormat="1" x14ac:dyDescent="0.2"/>
    <row r="969" s="2043" customFormat="1" x14ac:dyDescent="0.2"/>
    <row r="970" s="2043" customFormat="1" x14ac:dyDescent="0.2"/>
    <row r="971" s="2043" customFormat="1" x14ac:dyDescent="0.2"/>
    <row r="972" s="2043" customFormat="1" x14ac:dyDescent="0.2"/>
    <row r="973" s="2043" customFormat="1" x14ac:dyDescent="0.2"/>
    <row r="974" s="2043" customFormat="1" x14ac:dyDescent="0.2"/>
    <row r="975" s="2043" customFormat="1" x14ac:dyDescent="0.2"/>
    <row r="976" s="2043" customFormat="1" x14ac:dyDescent="0.2"/>
    <row r="977" s="2043" customFormat="1" x14ac:dyDescent="0.2"/>
    <row r="978" s="2043" customFormat="1" x14ac:dyDescent="0.2"/>
    <row r="979" s="2043" customFormat="1" x14ac:dyDescent="0.2"/>
    <row r="980" s="2043" customFormat="1" x14ac:dyDescent="0.2"/>
    <row r="981" s="2043" customFormat="1" x14ac:dyDescent="0.2"/>
    <row r="982" s="2043" customFormat="1" x14ac:dyDescent="0.2"/>
    <row r="983" s="2043" customFormat="1" x14ac:dyDescent="0.2"/>
    <row r="984" s="2043" customFormat="1" x14ac:dyDescent="0.2"/>
    <row r="985" s="2043" customFormat="1" x14ac:dyDescent="0.2"/>
    <row r="986" s="2043" customFormat="1" x14ac:dyDescent="0.2"/>
    <row r="987" s="2043" customFormat="1" x14ac:dyDescent="0.2"/>
    <row r="988" s="2043" customFormat="1" x14ac:dyDescent="0.2"/>
    <row r="989" s="2043" customFormat="1" x14ac:dyDescent="0.2"/>
    <row r="990" s="2043" customFormat="1" x14ac:dyDescent="0.2"/>
    <row r="991" s="2043" customFormat="1" x14ac:dyDescent="0.2"/>
    <row r="992" s="2043" customFormat="1" x14ac:dyDescent="0.2"/>
    <row r="993" s="2043" customFormat="1" x14ac:dyDescent="0.2"/>
    <row r="994" s="2043" customFormat="1" x14ac:dyDescent="0.2"/>
    <row r="995" s="2043" customFormat="1" x14ac:dyDescent="0.2"/>
    <row r="996" s="2043" customFormat="1" x14ac:dyDescent="0.2"/>
    <row r="997" s="2043" customFormat="1" x14ac:dyDescent="0.2"/>
    <row r="998" s="2043" customFormat="1" x14ac:dyDescent="0.2"/>
    <row r="999" s="2043" customFormat="1" x14ac:dyDescent="0.2"/>
    <row r="1000" s="2043" customFormat="1" x14ac:dyDescent="0.2"/>
    <row r="1001" s="2043" customFormat="1" x14ac:dyDescent="0.2"/>
    <row r="1002" s="2043" customFormat="1" x14ac:dyDescent="0.2"/>
    <row r="1003" s="2043" customFormat="1" x14ac:dyDescent="0.2"/>
    <row r="1004" s="2043" customFormat="1" x14ac:dyDescent="0.2"/>
    <row r="1005" s="2043" customFormat="1" x14ac:dyDescent="0.2"/>
    <row r="1006" s="2043" customFormat="1" x14ac:dyDescent="0.2"/>
    <row r="1007" s="2043" customFormat="1" x14ac:dyDescent="0.2"/>
    <row r="1008" s="2043" customFormat="1" x14ac:dyDescent="0.2"/>
    <row r="1009" s="2043" customFormat="1" x14ac:dyDescent="0.2"/>
    <row r="1010" s="2043" customFormat="1" x14ac:dyDescent="0.2"/>
    <row r="1011" s="2043" customFormat="1" x14ac:dyDescent="0.2"/>
    <row r="1012" s="2043" customFormat="1" x14ac:dyDescent="0.2"/>
    <row r="1013" s="2043" customFormat="1" x14ac:dyDescent="0.2"/>
    <row r="1014" s="2043" customFormat="1" x14ac:dyDescent="0.2"/>
    <row r="1015" s="2043" customFormat="1" x14ac:dyDescent="0.2"/>
    <row r="1016" s="2043" customFormat="1" x14ac:dyDescent="0.2"/>
    <row r="1017" s="2043" customFormat="1" x14ac:dyDescent="0.2"/>
    <row r="1018" s="2043" customFormat="1" x14ac:dyDescent="0.2"/>
    <row r="1019" s="2043" customFormat="1" x14ac:dyDescent="0.2"/>
    <row r="1020" s="2043" customFormat="1" x14ac:dyDescent="0.2"/>
    <row r="1021" s="2043" customFormat="1" x14ac:dyDescent="0.2"/>
    <row r="1022" s="2043" customFormat="1" x14ac:dyDescent="0.2"/>
    <row r="1023" s="2043" customFormat="1" x14ac:dyDescent="0.2"/>
    <row r="1024" s="2043" customFormat="1" x14ac:dyDescent="0.2"/>
    <row r="1025" s="2043" customFormat="1" x14ac:dyDescent="0.2"/>
    <row r="1026" s="2043" customFormat="1" x14ac:dyDescent="0.2"/>
    <row r="1027" s="2043" customFormat="1" x14ac:dyDescent="0.2"/>
    <row r="1028" s="2043" customFormat="1" x14ac:dyDescent="0.2"/>
    <row r="1029" s="2043" customFormat="1" x14ac:dyDescent="0.2"/>
    <row r="1030" s="2043" customFormat="1" x14ac:dyDescent="0.2"/>
    <row r="1031" s="2043" customFormat="1" x14ac:dyDescent="0.2"/>
    <row r="1032" s="2043" customFormat="1" x14ac:dyDescent="0.2"/>
    <row r="1033" s="2043" customFormat="1" x14ac:dyDescent="0.2"/>
    <row r="1034" s="2043" customFormat="1" x14ac:dyDescent="0.2"/>
    <row r="1035" s="2043" customFormat="1" x14ac:dyDescent="0.2"/>
    <row r="1036" s="2043" customFormat="1" x14ac:dyDescent="0.2"/>
    <row r="1037" s="2043" customFormat="1" x14ac:dyDescent="0.2"/>
    <row r="1038" s="2043" customFormat="1" x14ac:dyDescent="0.2"/>
    <row r="1039" s="2043" customFormat="1" x14ac:dyDescent="0.2"/>
    <row r="1040" s="2043" customFormat="1" x14ac:dyDescent="0.2"/>
    <row r="1041" s="2043" customFormat="1" x14ac:dyDescent="0.2"/>
    <row r="1042" s="2043" customFormat="1" x14ac:dyDescent="0.2"/>
    <row r="1043" s="2043" customFormat="1" x14ac:dyDescent="0.2"/>
    <row r="1044" s="2043" customFormat="1" x14ac:dyDescent="0.2"/>
    <row r="1045" s="2043" customFormat="1" x14ac:dyDescent="0.2"/>
    <row r="1046" s="2043" customFormat="1" x14ac:dyDescent="0.2"/>
    <row r="1047" s="2043" customFormat="1" x14ac:dyDescent="0.2"/>
    <row r="1048" s="2043" customFormat="1" x14ac:dyDescent="0.2"/>
    <row r="1049" s="2043" customFormat="1" x14ac:dyDescent="0.2"/>
    <row r="1050" s="2043" customFormat="1" x14ac:dyDescent="0.2"/>
    <row r="1051" s="2043" customFormat="1" x14ac:dyDescent="0.2"/>
    <row r="1052" s="2043" customFormat="1" x14ac:dyDescent="0.2"/>
    <row r="1053" s="2043" customFormat="1" x14ac:dyDescent="0.2"/>
    <row r="1054" s="2043" customFormat="1" x14ac:dyDescent="0.2"/>
    <row r="1055" s="2043" customFormat="1" x14ac:dyDescent="0.2"/>
    <row r="1056" s="2043" customFormat="1" x14ac:dyDescent="0.2"/>
    <row r="1057" s="2043" customFormat="1" x14ac:dyDescent="0.2"/>
    <row r="1058" s="2043" customFormat="1" x14ac:dyDescent="0.2"/>
    <row r="1059" s="2043" customFormat="1" x14ac:dyDescent="0.2"/>
    <row r="1060" s="2043" customFormat="1" x14ac:dyDescent="0.2"/>
    <row r="1061" s="2043" customFormat="1" x14ac:dyDescent="0.2"/>
    <row r="1062" s="2043" customFormat="1" x14ac:dyDescent="0.2"/>
    <row r="1063" s="2043" customFormat="1" x14ac:dyDescent="0.2"/>
    <row r="1064" s="2043" customFormat="1" x14ac:dyDescent="0.2"/>
    <row r="1065" s="2043" customFormat="1" x14ac:dyDescent="0.2"/>
    <row r="1066" s="2043" customFormat="1" x14ac:dyDescent="0.2"/>
    <row r="1067" s="2043" customFormat="1" x14ac:dyDescent="0.2"/>
    <row r="1068" s="2043" customFormat="1" x14ac:dyDescent="0.2"/>
    <row r="1069" s="2043" customFormat="1" x14ac:dyDescent="0.2"/>
    <row r="1070" s="2043" customFormat="1" x14ac:dyDescent="0.2"/>
    <row r="1071" s="2043" customFormat="1" x14ac:dyDescent="0.2"/>
    <row r="1072" s="2043" customFormat="1" x14ac:dyDescent="0.2"/>
    <row r="1073" s="2043" customFormat="1" x14ac:dyDescent="0.2"/>
    <row r="1074" s="2043" customFormat="1" x14ac:dyDescent="0.2"/>
    <row r="1075" s="2043" customFormat="1" x14ac:dyDescent="0.2"/>
    <row r="1076" s="2043" customFormat="1" x14ac:dyDescent="0.2"/>
    <row r="1077" s="2043" customFormat="1" x14ac:dyDescent="0.2"/>
    <row r="1078" s="2043" customFormat="1" x14ac:dyDescent="0.2"/>
    <row r="1079" s="2043" customFormat="1" x14ac:dyDescent="0.2"/>
    <row r="1080" s="2043" customFormat="1" x14ac:dyDescent="0.2"/>
    <row r="1081" s="2043" customFormat="1" x14ac:dyDescent="0.2"/>
    <row r="1082" s="2043" customFormat="1" x14ac:dyDescent="0.2"/>
    <row r="1083" s="2043" customFormat="1" x14ac:dyDescent="0.2"/>
    <row r="1084" s="2043" customFormat="1" x14ac:dyDescent="0.2"/>
    <row r="1085" s="2043" customFormat="1" x14ac:dyDescent="0.2"/>
    <row r="1086" s="2043" customFormat="1" x14ac:dyDescent="0.2"/>
    <row r="1087" s="2043" customFormat="1" x14ac:dyDescent="0.2"/>
    <row r="1088" s="2043" customFormat="1" x14ac:dyDescent="0.2"/>
    <row r="1089" s="2043" customFormat="1" x14ac:dyDescent="0.2"/>
    <row r="1090" s="2043" customFormat="1" x14ac:dyDescent="0.2"/>
    <row r="1091" s="2043" customFormat="1" x14ac:dyDescent="0.2"/>
    <row r="1092" s="2043" customFormat="1" x14ac:dyDescent="0.2"/>
    <row r="1093" s="2043" customFormat="1" x14ac:dyDescent="0.2"/>
    <row r="1094" s="2043" customFormat="1" x14ac:dyDescent="0.2"/>
    <row r="1095" s="2043" customFormat="1" x14ac:dyDescent="0.2"/>
    <row r="1096" s="2043" customFormat="1" x14ac:dyDescent="0.2"/>
    <row r="1097" s="2043" customFormat="1" x14ac:dyDescent="0.2"/>
    <row r="1098" s="2043" customFormat="1" x14ac:dyDescent="0.2"/>
    <row r="1099" s="2043" customFormat="1" x14ac:dyDescent="0.2"/>
    <row r="1100" s="2043" customFormat="1" x14ac:dyDescent="0.2"/>
    <row r="1101" s="2043" customFormat="1" x14ac:dyDescent="0.2"/>
    <row r="1102" s="2043" customFormat="1" x14ac:dyDescent="0.2"/>
    <row r="1103" s="2043" customFormat="1" x14ac:dyDescent="0.2"/>
    <row r="1104" s="2043" customFormat="1" x14ac:dyDescent="0.2"/>
    <row r="1105" s="2043" customFormat="1" x14ac:dyDescent="0.2"/>
    <row r="1106" s="2043" customFormat="1" x14ac:dyDescent="0.2"/>
    <row r="1107" s="2043" customFormat="1" x14ac:dyDescent="0.2"/>
    <row r="1108" s="2043" customFormat="1" x14ac:dyDescent="0.2"/>
    <row r="1109" s="2043" customFormat="1" x14ac:dyDescent="0.2"/>
    <row r="1110" s="2043" customFormat="1" x14ac:dyDescent="0.2"/>
    <row r="1111" s="2043" customFormat="1" x14ac:dyDescent="0.2"/>
    <row r="1112" s="2043" customFormat="1" x14ac:dyDescent="0.2"/>
    <row r="1113" s="2043" customFormat="1" x14ac:dyDescent="0.2"/>
    <row r="1114" s="2043" customFormat="1" x14ac:dyDescent="0.2"/>
    <row r="1115" s="2043" customFormat="1" x14ac:dyDescent="0.2"/>
    <row r="1116" s="2043" customFormat="1" x14ac:dyDescent="0.2"/>
    <row r="1117" s="2043" customFormat="1" x14ac:dyDescent="0.2"/>
    <row r="1118" s="2043" customFormat="1" x14ac:dyDescent="0.2"/>
    <row r="1119" s="2043" customFormat="1" x14ac:dyDescent="0.2"/>
    <row r="1120" s="2043" customFormat="1" x14ac:dyDescent="0.2"/>
    <row r="1121" s="2043" customFormat="1" x14ac:dyDescent="0.2"/>
    <row r="1122" s="2043" customFormat="1" x14ac:dyDescent="0.2"/>
    <row r="1123" s="2043" customFormat="1" x14ac:dyDescent="0.2"/>
    <row r="1124" s="2043" customFormat="1" x14ac:dyDescent="0.2"/>
    <row r="1125" s="2043" customFormat="1" x14ac:dyDescent="0.2"/>
    <row r="1126" s="2043" customFormat="1" x14ac:dyDescent="0.2"/>
    <row r="1127" s="2043" customFormat="1" x14ac:dyDescent="0.2"/>
    <row r="1128" s="2043" customFormat="1" x14ac:dyDescent="0.2"/>
    <row r="1129" s="2043" customFormat="1" x14ac:dyDescent="0.2"/>
    <row r="1130" s="2043" customFormat="1" x14ac:dyDescent="0.2"/>
    <row r="1131" s="2043" customFormat="1" x14ac:dyDescent="0.2"/>
    <row r="1132" s="2043" customFormat="1" x14ac:dyDescent="0.2"/>
    <row r="1133" s="2043" customFormat="1" x14ac:dyDescent="0.2"/>
    <row r="1134" s="2043" customFormat="1" x14ac:dyDescent="0.2"/>
    <row r="1135" s="2043" customFormat="1" x14ac:dyDescent="0.2"/>
    <row r="1136" s="2043" customFormat="1" x14ac:dyDescent="0.2"/>
    <row r="1137" s="2043" customFormat="1" x14ac:dyDescent="0.2"/>
    <row r="1138" s="2043" customFormat="1" x14ac:dyDescent="0.2"/>
    <row r="1139" s="2043" customFormat="1" x14ac:dyDescent="0.2"/>
    <row r="1140" s="2043" customFormat="1" x14ac:dyDescent="0.2"/>
    <row r="1141" s="2043" customFormat="1" x14ac:dyDescent="0.2"/>
    <row r="1142" s="2043" customFormat="1" x14ac:dyDescent="0.2"/>
    <row r="1143" s="2043" customFormat="1" x14ac:dyDescent="0.2"/>
    <row r="1144" s="2043" customFormat="1" x14ac:dyDescent="0.2"/>
    <row r="1145" s="2043" customFormat="1" x14ac:dyDescent="0.2"/>
    <row r="1146" s="2043" customFormat="1" x14ac:dyDescent="0.2"/>
    <row r="1147" s="2043" customFormat="1" x14ac:dyDescent="0.2"/>
    <row r="1148" s="2043" customFormat="1" x14ac:dyDescent="0.2"/>
    <row r="1149" s="2043" customFormat="1" x14ac:dyDescent="0.2"/>
    <row r="1150" s="2043" customFormat="1" x14ac:dyDescent="0.2"/>
    <row r="1151" s="2043" customFormat="1" x14ac:dyDescent="0.2"/>
    <row r="1152" s="2043" customFormat="1" x14ac:dyDescent="0.2"/>
    <row r="1153" s="2043" customFormat="1" x14ac:dyDescent="0.2"/>
    <row r="1154" s="2043" customFormat="1" x14ac:dyDescent="0.2"/>
    <row r="1155" s="2043" customFormat="1" x14ac:dyDescent="0.2"/>
    <row r="1156" s="2043" customFormat="1" x14ac:dyDescent="0.2"/>
    <row r="1157" s="2043" customFormat="1" x14ac:dyDescent="0.2"/>
    <row r="1158" s="2043" customFormat="1" x14ac:dyDescent="0.2"/>
    <row r="1159" s="2043" customFormat="1" x14ac:dyDescent="0.2"/>
    <row r="1160" s="2043" customFormat="1" x14ac:dyDescent="0.2"/>
    <row r="1161" s="2043" customFormat="1" x14ac:dyDescent="0.2"/>
    <row r="1162" s="2043" customFormat="1" x14ac:dyDescent="0.2"/>
    <row r="1163" s="2043" customFormat="1" x14ac:dyDescent="0.2"/>
    <row r="1164" s="2043" customFormat="1" x14ac:dyDescent="0.2"/>
    <row r="1165" s="2043" customFormat="1" x14ac:dyDescent="0.2"/>
    <row r="1166" s="2043" customFormat="1" x14ac:dyDescent="0.2"/>
    <row r="1167" s="2043" customFormat="1" x14ac:dyDescent="0.2"/>
    <row r="1168" s="2043" customFormat="1" x14ac:dyDescent="0.2"/>
    <row r="1169" s="2043" customFormat="1" x14ac:dyDescent="0.2"/>
    <row r="1170" s="2043" customFormat="1" x14ac:dyDescent="0.2"/>
    <row r="1171" s="2043" customFormat="1" x14ac:dyDescent="0.2"/>
    <row r="1172" s="2043" customFormat="1" x14ac:dyDescent="0.2"/>
    <row r="1173" s="2043" customFormat="1" x14ac:dyDescent="0.2"/>
    <row r="1174" s="2043" customFormat="1" x14ac:dyDescent="0.2"/>
    <row r="1175" s="2043" customFormat="1" x14ac:dyDescent="0.2"/>
    <row r="1176" s="2043" customFormat="1" x14ac:dyDescent="0.2"/>
    <row r="1177" s="2043" customFormat="1" x14ac:dyDescent="0.2"/>
    <row r="1178" s="2043" customFormat="1" x14ac:dyDescent="0.2"/>
    <row r="1179" s="2043" customFormat="1" x14ac:dyDescent="0.2"/>
    <row r="1180" s="2043" customFormat="1" x14ac:dyDescent="0.2"/>
    <row r="1181" s="2043" customFormat="1" x14ac:dyDescent="0.2"/>
    <row r="1182" s="2043" customFormat="1" x14ac:dyDescent="0.2"/>
    <row r="1183" s="2043" customFormat="1" x14ac:dyDescent="0.2"/>
    <row r="1184" s="2043" customFormat="1" x14ac:dyDescent="0.2"/>
    <row r="1185" s="2043" customFormat="1" x14ac:dyDescent="0.2"/>
    <row r="1186" s="2043" customFormat="1" x14ac:dyDescent="0.2"/>
    <row r="1187" s="2043" customFormat="1" x14ac:dyDescent="0.2"/>
    <row r="1188" s="2043" customFormat="1" x14ac:dyDescent="0.2"/>
    <row r="1189" s="2043" customFormat="1" x14ac:dyDescent="0.2"/>
    <row r="1190" s="2043" customFormat="1" x14ac:dyDescent="0.2"/>
    <row r="1191" s="2043" customFormat="1" x14ac:dyDescent="0.2"/>
    <row r="1192" s="2043" customFormat="1" x14ac:dyDescent="0.2"/>
    <row r="1193" s="2043" customFormat="1" x14ac:dyDescent="0.2"/>
    <row r="1194" s="2043" customFormat="1" x14ac:dyDescent="0.2"/>
    <row r="1195" s="2043" customFormat="1" x14ac:dyDescent="0.2"/>
    <row r="1196" s="2043" customFormat="1" x14ac:dyDescent="0.2"/>
    <row r="1197" s="2043" customFormat="1" x14ac:dyDescent="0.2"/>
    <row r="1198" s="2043" customFormat="1" x14ac:dyDescent="0.2"/>
    <row r="1199" s="2043" customFormat="1" x14ac:dyDescent="0.2"/>
    <row r="1200" s="2043" customFormat="1" x14ac:dyDescent="0.2"/>
    <row r="1201" s="2043" customFormat="1" x14ac:dyDescent="0.2"/>
    <row r="1202" s="2043" customFormat="1" x14ac:dyDescent="0.2"/>
    <row r="1203" s="2043" customFormat="1" x14ac:dyDescent="0.2"/>
    <row r="1204" s="2043" customFormat="1" x14ac:dyDescent="0.2"/>
    <row r="1205" s="2043" customFormat="1" x14ac:dyDescent="0.2"/>
    <row r="1206" s="2043" customFormat="1" x14ac:dyDescent="0.2"/>
    <row r="1207" s="2043" customFormat="1" x14ac:dyDescent="0.2"/>
    <row r="1208" s="2043" customFormat="1" x14ac:dyDescent="0.2"/>
    <row r="1209" s="2043" customFormat="1" x14ac:dyDescent="0.2"/>
    <row r="1210" s="2043" customFormat="1" x14ac:dyDescent="0.2"/>
    <row r="1211" s="2043" customFormat="1" x14ac:dyDescent="0.2"/>
    <row r="1212" s="2043" customFormat="1" x14ac:dyDescent="0.2"/>
    <row r="1213" s="2043" customFormat="1" x14ac:dyDescent="0.2"/>
    <row r="1214" s="2043" customFormat="1" x14ac:dyDescent="0.2"/>
    <row r="1215" s="2043" customFormat="1" x14ac:dyDescent="0.2"/>
    <row r="1216" s="2043" customFormat="1" x14ac:dyDescent="0.2"/>
    <row r="1217" s="2043" customFormat="1" x14ac:dyDescent="0.2"/>
    <row r="1218" s="2043" customFormat="1" x14ac:dyDescent="0.2"/>
    <row r="1219" s="2043" customFormat="1" x14ac:dyDescent="0.2"/>
    <row r="1220" s="2043" customFormat="1" x14ac:dyDescent="0.2"/>
    <row r="1221" s="2043" customFormat="1" x14ac:dyDescent="0.2"/>
    <row r="1222" s="2043" customFormat="1" x14ac:dyDescent="0.2"/>
    <row r="1223" s="2043" customFormat="1" x14ac:dyDescent="0.2"/>
    <row r="1224" s="2043" customFormat="1" x14ac:dyDescent="0.2"/>
    <row r="1225" s="2043" customFormat="1" x14ac:dyDescent="0.2"/>
    <row r="1226" s="2043" customFormat="1" x14ac:dyDescent="0.2"/>
    <row r="1227" s="2043" customFormat="1" x14ac:dyDescent="0.2"/>
    <row r="1228" s="2043" customFormat="1" x14ac:dyDescent="0.2"/>
    <row r="1229" s="2043" customFormat="1" x14ac:dyDescent="0.2"/>
    <row r="1230" s="2043" customFormat="1" x14ac:dyDescent="0.2"/>
    <row r="1231" s="2043" customFormat="1" x14ac:dyDescent="0.2"/>
    <row r="1232" s="2043" customFormat="1" x14ac:dyDescent="0.2"/>
    <row r="1233" s="2043" customFormat="1" x14ac:dyDescent="0.2"/>
    <row r="1234" s="2043" customFormat="1" x14ac:dyDescent="0.2"/>
    <row r="1235" s="2043" customFormat="1" x14ac:dyDescent="0.2"/>
    <row r="1236" s="2043" customFormat="1" x14ac:dyDescent="0.2"/>
    <row r="1237" s="2043" customFormat="1" x14ac:dyDescent="0.2"/>
    <row r="1238" s="2043" customFormat="1" x14ac:dyDescent="0.2"/>
    <row r="1239" s="2043" customFormat="1" x14ac:dyDescent="0.2"/>
    <row r="1240" s="2043" customFormat="1" x14ac:dyDescent="0.2"/>
    <row r="1241" s="2043" customFormat="1" x14ac:dyDescent="0.2"/>
    <row r="1242" s="2043" customFormat="1" x14ac:dyDescent="0.2"/>
    <row r="1243" s="2043" customFormat="1" x14ac:dyDescent="0.2"/>
    <row r="1244" s="2043" customFormat="1" x14ac:dyDescent="0.2"/>
    <row r="1245" s="2043" customFormat="1" x14ac:dyDescent="0.2"/>
    <row r="1246" s="2043" customFormat="1" x14ac:dyDescent="0.2"/>
    <row r="1247" s="2043" customFormat="1" x14ac:dyDescent="0.2"/>
    <row r="1248" s="2043" customFormat="1" x14ac:dyDescent="0.2"/>
    <row r="1249" s="2043" customFormat="1" x14ac:dyDescent="0.2"/>
    <row r="1250" s="2043" customFormat="1" x14ac:dyDescent="0.2"/>
    <row r="1251" s="2043" customFormat="1" x14ac:dyDescent="0.2"/>
    <row r="1252" s="2043" customFormat="1" x14ac:dyDescent="0.2"/>
    <row r="1253" s="2043" customFormat="1" x14ac:dyDescent="0.2"/>
    <row r="1254" s="2043" customFormat="1" x14ac:dyDescent="0.2"/>
    <row r="1255" s="2043" customFormat="1" x14ac:dyDescent="0.2"/>
    <row r="1256" s="2043" customFormat="1" x14ac:dyDescent="0.2"/>
    <row r="1257" s="2043" customFormat="1" x14ac:dyDescent="0.2"/>
    <row r="1258" s="2043" customFormat="1" x14ac:dyDescent="0.2"/>
    <row r="1259" s="2043" customFormat="1" x14ac:dyDescent="0.2"/>
    <row r="1260" s="2043" customFormat="1" x14ac:dyDescent="0.2"/>
    <row r="1261" s="2043" customFormat="1" x14ac:dyDescent="0.2"/>
    <row r="1262" s="2043" customFormat="1" x14ac:dyDescent="0.2"/>
    <row r="1263" s="2043" customFormat="1" x14ac:dyDescent="0.2"/>
    <row r="1264" s="2043" customFormat="1" x14ac:dyDescent="0.2"/>
    <row r="1265" s="2043" customFormat="1" x14ac:dyDescent="0.2"/>
    <row r="1266" s="2043" customFormat="1" x14ac:dyDescent="0.2"/>
    <row r="1267" s="2043" customFormat="1" x14ac:dyDescent="0.2"/>
    <row r="1268" s="2043" customFormat="1" x14ac:dyDescent="0.2"/>
    <row r="1269" s="2043" customFormat="1" x14ac:dyDescent="0.2"/>
    <row r="1270" s="2043" customFormat="1" x14ac:dyDescent="0.2"/>
    <row r="1271" s="2043" customFormat="1" x14ac:dyDescent="0.2"/>
    <row r="1272" s="2043" customFormat="1" x14ac:dyDescent="0.2"/>
    <row r="1273" s="2043" customFormat="1" x14ac:dyDescent="0.2"/>
    <row r="1274" s="2043" customFormat="1" x14ac:dyDescent="0.2"/>
    <row r="1275" s="2043" customFormat="1" x14ac:dyDescent="0.2"/>
    <row r="1276" s="2043" customFormat="1" x14ac:dyDescent="0.2"/>
    <row r="1277" s="2043" customFormat="1" x14ac:dyDescent="0.2"/>
    <row r="1278" s="2043" customFormat="1" x14ac:dyDescent="0.2"/>
    <row r="1279" s="2043" customFormat="1" x14ac:dyDescent="0.2"/>
    <row r="1280" s="2043" customFormat="1" x14ac:dyDescent="0.2"/>
    <row r="1281" s="2043" customFormat="1" x14ac:dyDescent="0.2"/>
    <row r="1282" s="2043" customFormat="1" x14ac:dyDescent="0.2"/>
    <row r="1283" s="2043" customFormat="1" x14ac:dyDescent="0.2"/>
    <row r="1284" s="2043" customFormat="1" x14ac:dyDescent="0.2"/>
    <row r="1285" s="2043" customFormat="1" x14ac:dyDescent="0.2"/>
    <row r="1286" s="2043" customFormat="1" x14ac:dyDescent="0.2"/>
    <row r="1287" s="2043" customFormat="1" x14ac:dyDescent="0.2"/>
    <row r="1288" s="2043" customFormat="1" x14ac:dyDescent="0.2"/>
    <row r="1289" s="2043" customFormat="1" x14ac:dyDescent="0.2"/>
    <row r="1290" s="2043" customFormat="1" x14ac:dyDescent="0.2"/>
    <row r="1291" s="2043" customFormat="1" x14ac:dyDescent="0.2"/>
    <row r="1292" s="2043" customFormat="1" x14ac:dyDescent="0.2"/>
    <row r="1293" s="2043" customFormat="1" x14ac:dyDescent="0.2"/>
    <row r="1294" s="2043" customFormat="1" x14ac:dyDescent="0.2"/>
    <row r="1295" s="2043" customFormat="1" x14ac:dyDescent="0.2"/>
    <row r="1296" s="2043" customFormat="1" x14ac:dyDescent="0.2"/>
    <row r="1297" s="2043" customFormat="1" x14ac:dyDescent="0.2"/>
    <row r="1298" s="2043" customFormat="1" x14ac:dyDescent="0.2"/>
    <row r="1299" s="2043" customFormat="1" x14ac:dyDescent="0.2"/>
    <row r="1300" s="2043" customFormat="1" x14ac:dyDescent="0.2"/>
    <row r="1301" s="2043" customFormat="1" x14ac:dyDescent="0.2"/>
    <row r="1302" s="2043" customFormat="1" x14ac:dyDescent="0.2"/>
    <row r="1303" s="2043" customFormat="1" x14ac:dyDescent="0.2"/>
    <row r="1304" s="2043" customFormat="1" x14ac:dyDescent="0.2"/>
    <row r="1305" s="2043" customFormat="1" x14ac:dyDescent="0.2"/>
    <row r="1306" s="2043" customFormat="1" x14ac:dyDescent="0.2"/>
    <row r="1307" s="2043" customFormat="1" x14ac:dyDescent="0.2"/>
    <row r="1308" s="2043" customFormat="1" x14ac:dyDescent="0.2"/>
    <row r="1309" s="2043" customFormat="1" x14ac:dyDescent="0.2"/>
    <row r="1310" s="2043" customFormat="1" x14ac:dyDescent="0.2"/>
    <row r="1311" s="2043" customFormat="1" x14ac:dyDescent="0.2"/>
    <row r="1312" s="2043" customFormat="1" x14ac:dyDescent="0.2"/>
    <row r="1313" s="2043" customFormat="1" x14ac:dyDescent="0.2"/>
    <row r="1314" s="2043" customFormat="1" x14ac:dyDescent="0.2"/>
    <row r="1315" s="2043" customFormat="1" x14ac:dyDescent="0.2"/>
    <row r="1316" s="2043" customFormat="1" x14ac:dyDescent="0.2"/>
    <row r="1317" s="2043" customFormat="1" x14ac:dyDescent="0.2"/>
    <row r="1318" s="2043" customFormat="1" x14ac:dyDescent="0.2"/>
    <row r="1319" s="2043" customFormat="1" x14ac:dyDescent="0.2"/>
    <row r="1320" s="2043" customFormat="1" x14ac:dyDescent="0.2"/>
    <row r="1321" s="2043" customFormat="1" x14ac:dyDescent="0.2"/>
    <row r="1322" s="2043" customFormat="1" x14ac:dyDescent="0.2"/>
    <row r="1323" s="2043" customFormat="1" x14ac:dyDescent="0.2"/>
    <row r="1324" s="2043" customFormat="1" x14ac:dyDescent="0.2"/>
    <row r="1325" s="2043" customFormat="1" x14ac:dyDescent="0.2"/>
    <row r="1326" s="2043" customFormat="1" x14ac:dyDescent="0.2"/>
    <row r="1327" s="2043" customFormat="1" x14ac:dyDescent="0.2"/>
    <row r="1328" s="2043" customFormat="1" x14ac:dyDescent="0.2"/>
    <row r="1329" s="2043" customFormat="1" x14ac:dyDescent="0.2"/>
    <row r="1330" s="2043" customFormat="1" x14ac:dyDescent="0.2"/>
    <row r="1331" s="2043" customFormat="1" x14ac:dyDescent="0.2"/>
    <row r="1332" s="2043" customFormat="1" x14ac:dyDescent="0.2"/>
    <row r="1333" s="2043" customFormat="1" x14ac:dyDescent="0.2"/>
    <row r="1334" s="2043" customFormat="1" x14ac:dyDescent="0.2"/>
    <row r="1335" s="2043" customFormat="1" x14ac:dyDescent="0.2"/>
    <row r="1336" s="2043" customFormat="1" x14ac:dyDescent="0.2"/>
    <row r="1337" s="2043" customFormat="1" x14ac:dyDescent="0.2"/>
    <row r="1338" s="2043" customFormat="1" x14ac:dyDescent="0.2"/>
    <row r="1339" s="2043" customFormat="1" x14ac:dyDescent="0.2"/>
    <row r="1340" s="2043" customFormat="1" x14ac:dyDescent="0.2"/>
    <row r="1341" s="2043" customFormat="1" x14ac:dyDescent="0.2"/>
    <row r="1342" s="2043" customFormat="1" x14ac:dyDescent="0.2"/>
    <row r="1343" s="2043" customFormat="1" x14ac:dyDescent="0.2"/>
    <row r="1344" s="2043" customFormat="1" x14ac:dyDescent="0.2"/>
    <row r="1345" s="2043" customFormat="1" x14ac:dyDescent="0.2"/>
    <row r="1346" s="2043" customFormat="1" x14ac:dyDescent="0.2"/>
    <row r="1347" s="2043" customFormat="1" x14ac:dyDescent="0.2"/>
    <row r="1348" s="2043" customFormat="1" x14ac:dyDescent="0.2"/>
    <row r="1349" s="2043" customFormat="1" x14ac:dyDescent="0.2"/>
    <row r="1350" s="2043" customFormat="1" x14ac:dyDescent="0.2"/>
    <row r="1351" s="2043" customFormat="1" x14ac:dyDescent="0.2"/>
    <row r="1352" s="2043" customFormat="1" x14ac:dyDescent="0.2"/>
    <row r="1353" s="2043" customFormat="1" x14ac:dyDescent="0.2"/>
    <row r="1354" s="2043" customFormat="1" x14ac:dyDescent="0.2"/>
    <row r="1355" s="2043" customFormat="1" x14ac:dyDescent="0.2"/>
    <row r="1356" s="2043" customFormat="1" x14ac:dyDescent="0.2"/>
    <row r="1357" s="2043" customFormat="1" x14ac:dyDescent="0.2"/>
    <row r="1358" s="2043" customFormat="1" x14ac:dyDescent="0.2"/>
    <row r="1359" s="2043" customFormat="1" x14ac:dyDescent="0.2"/>
    <row r="1360" s="2043" customFormat="1" x14ac:dyDescent="0.2"/>
    <row r="1361" s="2043" customFormat="1" x14ac:dyDescent="0.2"/>
    <row r="1362" s="2043" customFormat="1" x14ac:dyDescent="0.2"/>
    <row r="1363" s="2043" customFormat="1" x14ac:dyDescent="0.2"/>
    <row r="1364" s="2043" customFormat="1" x14ac:dyDescent="0.2"/>
    <row r="1365" s="2043" customFormat="1" x14ac:dyDescent="0.2"/>
    <row r="1366" s="2043" customFormat="1" x14ac:dyDescent="0.2"/>
    <row r="1367" s="2043" customFormat="1" x14ac:dyDescent="0.2"/>
    <row r="1368" s="2043" customFormat="1" x14ac:dyDescent="0.2"/>
    <row r="1369" s="2043" customFormat="1" x14ac:dyDescent="0.2"/>
    <row r="1370" s="2043" customFormat="1" x14ac:dyDescent="0.2"/>
    <row r="1371" s="2043" customFormat="1" x14ac:dyDescent="0.2"/>
    <row r="1372" s="2043" customFormat="1" x14ac:dyDescent="0.2"/>
    <row r="1373" s="2043" customFormat="1" x14ac:dyDescent="0.2"/>
    <row r="1374" s="2043" customFormat="1" x14ac:dyDescent="0.2"/>
    <row r="1375" s="2043" customFormat="1" x14ac:dyDescent="0.2"/>
    <row r="1376" s="2043" customFormat="1" x14ac:dyDescent="0.2"/>
    <row r="1377" s="2043" customFormat="1" x14ac:dyDescent="0.2"/>
    <row r="1378" s="2043" customFormat="1" x14ac:dyDescent="0.2"/>
    <row r="1379" s="2043" customFormat="1" x14ac:dyDescent="0.2"/>
    <row r="1380" s="2043" customFormat="1" x14ac:dyDescent="0.2"/>
    <row r="1381" s="2043" customFormat="1" x14ac:dyDescent="0.2"/>
    <row r="1382" s="2043" customFormat="1" x14ac:dyDescent="0.2"/>
    <row r="1383" s="2043" customFormat="1" x14ac:dyDescent="0.2"/>
    <row r="1384" s="2043" customFormat="1" x14ac:dyDescent="0.2"/>
    <row r="1385" s="2043" customFormat="1" x14ac:dyDescent="0.2"/>
    <row r="1386" s="2043" customFormat="1" x14ac:dyDescent="0.2"/>
    <row r="1387" s="2043" customFormat="1" x14ac:dyDescent="0.2"/>
    <row r="1388" s="2043" customFormat="1" x14ac:dyDescent="0.2"/>
    <row r="1389" s="2043" customFormat="1" x14ac:dyDescent="0.2"/>
    <row r="1390" s="2043" customFormat="1" x14ac:dyDescent="0.2"/>
    <row r="1391" s="2043" customFormat="1" x14ac:dyDescent="0.2"/>
    <row r="1392" s="2043" customFormat="1" x14ac:dyDescent="0.2"/>
    <row r="1393" s="2043" customFormat="1" x14ac:dyDescent="0.2"/>
    <row r="1394" s="2043" customFormat="1" x14ac:dyDescent="0.2"/>
    <row r="1395" s="2043" customFormat="1" x14ac:dyDescent="0.2"/>
    <row r="1396" s="2043" customFormat="1" x14ac:dyDescent="0.2"/>
    <row r="1397" s="2043" customFormat="1" x14ac:dyDescent="0.2"/>
    <row r="1398" s="2043" customFormat="1" x14ac:dyDescent="0.2"/>
    <row r="1399" s="2043" customFormat="1" x14ac:dyDescent="0.2"/>
    <row r="1400" s="2043" customFormat="1" x14ac:dyDescent="0.2"/>
    <row r="1401" s="2043" customFormat="1" x14ac:dyDescent="0.2"/>
    <row r="1402" s="2043" customFormat="1" x14ac:dyDescent="0.2"/>
    <row r="1403" s="2043" customFormat="1" x14ac:dyDescent="0.2"/>
    <row r="1404" s="2043" customFormat="1" x14ac:dyDescent="0.2"/>
    <row r="1405" s="2043" customFormat="1" x14ac:dyDescent="0.2"/>
    <row r="1406" s="2043" customFormat="1" x14ac:dyDescent="0.2"/>
    <row r="1407" s="2043" customFormat="1" x14ac:dyDescent="0.2"/>
    <row r="1408" s="2043" customFormat="1" x14ac:dyDescent="0.2"/>
    <row r="1409" s="2043" customFormat="1" x14ac:dyDescent="0.2"/>
    <row r="1410" s="2043" customFormat="1" x14ac:dyDescent="0.2"/>
    <row r="1411" s="2043" customFormat="1" x14ac:dyDescent="0.2"/>
    <row r="1412" s="2043" customFormat="1" x14ac:dyDescent="0.2"/>
    <row r="1413" s="2043" customFormat="1" x14ac:dyDescent="0.2"/>
    <row r="1414" s="2043" customFormat="1" x14ac:dyDescent="0.2"/>
    <row r="1415" s="2043" customFormat="1" x14ac:dyDescent="0.2"/>
    <row r="1416" s="2043" customFormat="1" x14ac:dyDescent="0.2"/>
    <row r="1417" s="2043" customFormat="1" x14ac:dyDescent="0.2"/>
    <row r="1418" s="2043" customFormat="1" x14ac:dyDescent="0.2"/>
    <row r="1419" s="2043" customFormat="1" x14ac:dyDescent="0.2"/>
    <row r="1420" s="2043" customFormat="1" x14ac:dyDescent="0.2"/>
    <row r="1421" s="2043" customFormat="1" x14ac:dyDescent="0.2"/>
    <row r="1422" s="2043" customFormat="1" x14ac:dyDescent="0.2"/>
    <row r="1423" s="2043" customFormat="1" x14ac:dyDescent="0.2"/>
    <row r="1424" s="2043" customFormat="1" x14ac:dyDescent="0.2"/>
    <row r="1425" s="2043" customFormat="1" x14ac:dyDescent="0.2"/>
    <row r="1426" s="2043" customFormat="1" x14ac:dyDescent="0.2"/>
    <row r="1427" s="2043" customFormat="1" x14ac:dyDescent="0.2"/>
    <row r="1428" s="2043" customFormat="1" x14ac:dyDescent="0.2"/>
    <row r="1429" s="2043" customFormat="1" x14ac:dyDescent="0.2"/>
    <row r="1430" s="2043" customFormat="1" x14ac:dyDescent="0.2"/>
    <row r="1431" s="2043" customFormat="1" x14ac:dyDescent="0.2"/>
    <row r="1432" s="2043" customFormat="1" x14ac:dyDescent="0.2"/>
    <row r="1433" s="2043" customFormat="1" x14ac:dyDescent="0.2"/>
    <row r="1434" s="2043" customFormat="1" x14ac:dyDescent="0.2"/>
    <row r="1435" s="2043" customFormat="1" x14ac:dyDescent="0.2"/>
    <row r="1436" s="2043" customFormat="1" x14ac:dyDescent="0.2"/>
    <row r="1437" s="2043" customFormat="1" x14ac:dyDescent="0.2"/>
    <row r="1438" s="2043" customFormat="1" x14ac:dyDescent="0.2"/>
    <row r="1439" s="2043" customFormat="1" x14ac:dyDescent="0.2"/>
    <row r="1440" s="2043" customFormat="1" x14ac:dyDescent="0.2"/>
    <row r="1441" s="2043" customFormat="1" x14ac:dyDescent="0.2"/>
    <row r="1442" s="2043" customFormat="1" x14ac:dyDescent="0.2"/>
    <row r="1443" s="2043" customFormat="1" x14ac:dyDescent="0.2"/>
    <row r="1444" s="2043" customFormat="1" x14ac:dyDescent="0.2"/>
    <row r="1445" s="2043" customFormat="1" x14ac:dyDescent="0.2"/>
    <row r="1446" s="2043" customFormat="1" x14ac:dyDescent="0.2"/>
    <row r="1447" s="2043" customFormat="1" x14ac:dyDescent="0.2"/>
    <row r="1448" s="2043" customFormat="1" x14ac:dyDescent="0.2"/>
    <row r="1449" s="2043" customFormat="1" x14ac:dyDescent="0.2"/>
    <row r="1450" s="2043" customFormat="1" x14ac:dyDescent="0.2"/>
    <row r="1451" s="2043" customFormat="1" x14ac:dyDescent="0.2"/>
    <row r="1452" s="2043" customFormat="1" x14ac:dyDescent="0.2"/>
    <row r="1453" s="2043" customFormat="1" x14ac:dyDescent="0.2"/>
    <row r="1454" s="2043" customFormat="1" x14ac:dyDescent="0.2"/>
    <row r="1455" s="2043" customFormat="1" x14ac:dyDescent="0.2"/>
    <row r="1456" s="2043" customFormat="1" x14ac:dyDescent="0.2"/>
    <row r="1457" s="2043" customFormat="1" x14ac:dyDescent="0.2"/>
    <row r="1458" s="2043" customFormat="1" x14ac:dyDescent="0.2"/>
    <row r="1459" s="2043" customFormat="1" x14ac:dyDescent="0.2"/>
    <row r="1460" s="2043" customFormat="1" x14ac:dyDescent="0.2"/>
    <row r="1461" s="2043" customFormat="1" x14ac:dyDescent="0.2"/>
    <row r="1462" s="2043" customFormat="1" x14ac:dyDescent="0.2"/>
    <row r="1463" s="2043" customFormat="1" x14ac:dyDescent="0.2"/>
    <row r="1464" s="2043" customFormat="1" x14ac:dyDescent="0.2"/>
    <row r="1465" s="2043" customFormat="1" x14ac:dyDescent="0.2"/>
    <row r="1466" s="2043" customFormat="1" x14ac:dyDescent="0.2"/>
    <row r="1467" s="2043" customFormat="1" x14ac:dyDescent="0.2"/>
    <row r="1468" s="2043" customFormat="1" x14ac:dyDescent="0.2"/>
    <row r="1469" s="2043" customFormat="1" x14ac:dyDescent="0.2"/>
    <row r="1470" s="2043" customFormat="1" x14ac:dyDescent="0.2"/>
    <row r="1471" s="2043" customFormat="1" x14ac:dyDescent="0.2"/>
    <row r="1472" s="2043" customFormat="1" x14ac:dyDescent="0.2"/>
    <row r="1473" s="2043" customFormat="1" x14ac:dyDescent="0.2"/>
    <row r="1474" s="2043" customFormat="1" x14ac:dyDescent="0.2"/>
    <row r="1475" s="2043" customFormat="1" x14ac:dyDescent="0.2"/>
    <row r="1476" s="2043" customFormat="1" x14ac:dyDescent="0.2"/>
    <row r="1477" s="2043" customFormat="1" x14ac:dyDescent="0.2"/>
    <row r="1478" s="2043" customFormat="1" x14ac:dyDescent="0.2"/>
    <row r="1479" s="2043" customFormat="1" x14ac:dyDescent="0.2"/>
    <row r="1480" s="2043" customFormat="1" x14ac:dyDescent="0.2"/>
    <row r="1481" s="2043" customFormat="1" x14ac:dyDescent="0.2"/>
    <row r="1482" s="2043" customFormat="1" x14ac:dyDescent="0.2"/>
    <row r="1483" s="2043" customFormat="1" x14ac:dyDescent="0.2"/>
    <row r="1484" s="2043" customFormat="1" x14ac:dyDescent="0.2"/>
    <row r="1485" s="2043" customFormat="1" x14ac:dyDescent="0.2"/>
    <row r="1486" s="2043" customFormat="1" x14ac:dyDescent="0.2"/>
    <row r="1487" s="2043" customFormat="1" x14ac:dyDescent="0.2"/>
    <row r="1488" s="2043" customFormat="1" x14ac:dyDescent="0.2"/>
    <row r="1489" s="2043" customFormat="1" x14ac:dyDescent="0.2"/>
    <row r="1490" s="2043" customFormat="1" x14ac:dyDescent="0.2"/>
    <row r="1491" s="2043" customFormat="1" x14ac:dyDescent="0.2"/>
    <row r="1492" s="2043" customFormat="1" x14ac:dyDescent="0.2"/>
    <row r="1493" s="2043" customFormat="1" x14ac:dyDescent="0.2"/>
    <row r="1494" s="2043" customFormat="1" x14ac:dyDescent="0.2"/>
    <row r="1495" s="2043" customFormat="1" x14ac:dyDescent="0.2"/>
    <row r="1496" s="2043" customFormat="1" x14ac:dyDescent="0.2"/>
    <row r="1497" s="2043" customFormat="1" x14ac:dyDescent="0.2"/>
    <row r="1498" s="2043" customFormat="1" x14ac:dyDescent="0.2"/>
    <row r="1499" s="2043" customFormat="1" x14ac:dyDescent="0.2"/>
    <row r="1500" s="2043" customFormat="1" x14ac:dyDescent="0.2"/>
    <row r="1501" s="2043" customFormat="1" x14ac:dyDescent="0.2"/>
    <row r="1502" s="2043" customFormat="1" x14ac:dyDescent="0.2"/>
    <row r="1503" s="2043" customFormat="1" x14ac:dyDescent="0.2"/>
    <row r="1504" s="2043" customFormat="1" x14ac:dyDescent="0.2"/>
    <row r="1505" s="2043" customFormat="1" x14ac:dyDescent="0.2"/>
    <row r="1506" s="2043" customFormat="1" x14ac:dyDescent="0.2"/>
    <row r="1507" s="2043" customFormat="1" x14ac:dyDescent="0.2"/>
    <row r="1508" s="2043" customFormat="1" x14ac:dyDescent="0.2"/>
    <row r="1509" s="2043" customFormat="1" x14ac:dyDescent="0.2"/>
    <row r="1510" s="2043" customFormat="1" x14ac:dyDescent="0.2"/>
    <row r="1511" s="2043" customFormat="1" x14ac:dyDescent="0.2"/>
    <row r="1512" s="2043" customFormat="1" x14ac:dyDescent="0.2"/>
    <row r="1513" s="2043" customFormat="1" x14ac:dyDescent="0.2"/>
    <row r="1514" s="2043" customFormat="1" x14ac:dyDescent="0.2"/>
    <row r="1515" s="2043" customFormat="1" x14ac:dyDescent="0.2"/>
    <row r="1516" s="2043" customFormat="1" x14ac:dyDescent="0.2"/>
    <row r="1517" s="2043" customFormat="1" x14ac:dyDescent="0.2"/>
    <row r="1518" s="2043" customFormat="1" x14ac:dyDescent="0.2"/>
    <row r="1519" s="2043" customFormat="1" x14ac:dyDescent="0.2"/>
    <row r="1520" s="2043" customFormat="1" x14ac:dyDescent="0.2"/>
    <row r="1521" s="2043" customFormat="1" x14ac:dyDescent="0.2"/>
    <row r="1522" s="2043" customFormat="1" x14ac:dyDescent="0.2"/>
    <row r="1523" s="2043" customFormat="1" x14ac:dyDescent="0.2"/>
    <row r="1524" s="2043" customFormat="1" x14ac:dyDescent="0.2"/>
    <row r="1525" s="2043" customFormat="1" x14ac:dyDescent="0.2"/>
    <row r="1526" s="2043" customFormat="1" x14ac:dyDescent="0.2"/>
    <row r="1527" s="2043" customFormat="1" x14ac:dyDescent="0.2"/>
    <row r="1528" s="2043" customFormat="1" x14ac:dyDescent="0.2"/>
    <row r="1529" s="2043" customFormat="1" x14ac:dyDescent="0.2"/>
    <row r="1530" s="2043" customFormat="1" x14ac:dyDescent="0.2"/>
    <row r="1531" s="2043" customFormat="1" x14ac:dyDescent="0.2"/>
    <row r="1532" s="2043" customFormat="1" x14ac:dyDescent="0.2"/>
    <row r="1533" s="2043" customFormat="1" x14ac:dyDescent="0.2"/>
    <row r="1534" s="2043" customFormat="1" x14ac:dyDescent="0.2"/>
    <row r="1535" s="2043" customFormat="1" x14ac:dyDescent="0.2"/>
    <row r="1536" s="2043" customFormat="1" x14ac:dyDescent="0.2"/>
    <row r="1537" s="2043" customFormat="1" x14ac:dyDescent="0.2"/>
    <row r="1538" s="2043" customFormat="1" x14ac:dyDescent="0.2"/>
    <row r="1539" s="2043" customFormat="1" x14ac:dyDescent="0.2"/>
    <row r="1540" s="2043" customFormat="1" x14ac:dyDescent="0.2"/>
    <row r="1541" s="2043" customFormat="1" x14ac:dyDescent="0.2"/>
    <row r="1542" s="2043" customFormat="1" x14ac:dyDescent="0.2"/>
    <row r="1543" s="2043" customFormat="1" x14ac:dyDescent="0.2"/>
    <row r="1544" s="2043" customFormat="1" x14ac:dyDescent="0.2"/>
    <row r="1545" s="2043" customFormat="1" x14ac:dyDescent="0.2"/>
    <row r="1546" s="2043" customFormat="1" x14ac:dyDescent="0.2"/>
    <row r="1547" s="2043" customFormat="1" x14ac:dyDescent="0.2"/>
    <row r="1548" s="2043" customFormat="1" x14ac:dyDescent="0.2"/>
    <row r="1549" s="2043" customFormat="1" x14ac:dyDescent="0.2"/>
    <row r="1550" s="2043" customFormat="1" x14ac:dyDescent="0.2"/>
    <row r="1551" s="2043" customFormat="1" x14ac:dyDescent="0.2"/>
    <row r="1552" s="2043" customFormat="1" x14ac:dyDescent="0.2"/>
    <row r="1553" s="2043" customFormat="1" x14ac:dyDescent="0.2"/>
    <row r="1554" s="2043" customFormat="1" x14ac:dyDescent="0.2"/>
    <row r="1555" s="2043" customFormat="1" x14ac:dyDescent="0.2"/>
    <row r="1556" s="2043" customFormat="1" x14ac:dyDescent="0.2"/>
    <row r="1557" s="2043" customFormat="1" x14ac:dyDescent="0.2"/>
    <row r="1558" s="2043" customFormat="1" x14ac:dyDescent="0.2"/>
    <row r="1559" s="2043" customFormat="1" x14ac:dyDescent="0.2"/>
    <row r="1560" s="2043" customFormat="1" x14ac:dyDescent="0.2"/>
    <row r="1561" s="2043" customFormat="1" x14ac:dyDescent="0.2"/>
    <row r="1562" s="2043" customFormat="1" x14ac:dyDescent="0.2"/>
    <row r="1563" s="2043" customFormat="1" x14ac:dyDescent="0.2"/>
    <row r="1564" s="2043" customFormat="1" x14ac:dyDescent="0.2"/>
    <row r="1565" s="2043" customFormat="1" x14ac:dyDescent="0.2"/>
    <row r="1566" s="2043" customFormat="1" x14ac:dyDescent="0.2"/>
    <row r="1567" s="2043" customFormat="1" x14ac:dyDescent="0.2"/>
    <row r="1568" s="2043" customFormat="1" x14ac:dyDescent="0.2"/>
    <row r="1569" s="2043" customFormat="1" x14ac:dyDescent="0.2"/>
    <row r="1570" s="2043" customFormat="1" x14ac:dyDescent="0.2"/>
    <row r="1571" s="2043" customFormat="1" x14ac:dyDescent="0.2"/>
    <row r="1572" s="2043" customFormat="1" x14ac:dyDescent="0.2"/>
    <row r="1573" s="2043" customFormat="1" x14ac:dyDescent="0.2"/>
    <row r="1574" s="2043" customFormat="1" x14ac:dyDescent="0.2"/>
    <row r="1575" s="2043" customFormat="1" x14ac:dyDescent="0.2"/>
    <row r="1576" s="2043" customFormat="1" x14ac:dyDescent="0.2"/>
    <row r="1577" s="2043" customFormat="1" x14ac:dyDescent="0.2"/>
    <row r="1578" s="2043" customFormat="1" x14ac:dyDescent="0.2"/>
    <row r="1579" s="2043" customFormat="1" x14ac:dyDescent="0.2"/>
    <row r="1580" s="2043" customFormat="1" x14ac:dyDescent="0.2"/>
    <row r="1581" s="2043" customFormat="1" x14ac:dyDescent="0.2"/>
    <row r="1582" s="2043" customFormat="1" x14ac:dyDescent="0.2"/>
    <row r="1583" s="2043" customFormat="1" x14ac:dyDescent="0.2"/>
    <row r="1584" s="2043" customFormat="1" x14ac:dyDescent="0.2"/>
    <row r="1585" s="2043" customFormat="1" x14ac:dyDescent="0.2"/>
    <row r="1586" s="2043" customFormat="1" x14ac:dyDescent="0.2"/>
    <row r="1587" s="2043" customFormat="1" x14ac:dyDescent="0.2"/>
    <row r="1588" s="2043" customFormat="1" x14ac:dyDescent="0.2"/>
    <row r="1589" s="2043" customFormat="1" x14ac:dyDescent="0.2"/>
    <row r="1590" s="2043" customFormat="1" x14ac:dyDescent="0.2"/>
    <row r="1591" s="2043" customFormat="1" x14ac:dyDescent="0.2"/>
    <row r="1592" s="2043" customFormat="1" x14ac:dyDescent="0.2"/>
    <row r="1593" s="2043" customFormat="1" x14ac:dyDescent="0.2"/>
    <row r="1594" s="2043" customFormat="1" x14ac:dyDescent="0.2"/>
    <row r="1595" s="2043" customFormat="1" x14ac:dyDescent="0.2"/>
    <row r="1596" s="2043" customFormat="1" x14ac:dyDescent="0.2"/>
    <row r="1597" s="2043" customFormat="1" x14ac:dyDescent="0.2"/>
    <row r="1598" s="2043" customFormat="1" x14ac:dyDescent="0.2"/>
    <row r="1599" s="2043" customFormat="1" x14ac:dyDescent="0.2"/>
    <row r="1600" s="2043" customFormat="1" x14ac:dyDescent="0.2"/>
    <row r="1601" s="2043" customFormat="1" x14ac:dyDescent="0.2"/>
    <row r="1602" s="2043" customFormat="1" x14ac:dyDescent="0.2"/>
    <row r="1603" s="2043" customFormat="1" x14ac:dyDescent="0.2"/>
    <row r="1604" s="2043" customFormat="1" x14ac:dyDescent="0.2"/>
    <row r="1605" s="2043" customFormat="1" x14ac:dyDescent="0.2"/>
    <row r="1606" s="2043" customFormat="1" x14ac:dyDescent="0.2"/>
    <row r="1607" s="2043" customFormat="1" x14ac:dyDescent="0.2"/>
    <row r="1608" s="2043" customFormat="1" x14ac:dyDescent="0.2"/>
    <row r="1609" s="2043" customFormat="1" x14ac:dyDescent="0.2"/>
    <row r="1610" s="2043" customFormat="1" x14ac:dyDescent="0.2"/>
    <row r="1611" s="2043" customFormat="1" x14ac:dyDescent="0.2"/>
    <row r="1612" s="2043" customFormat="1" x14ac:dyDescent="0.2"/>
    <row r="1613" s="2043" customFormat="1" x14ac:dyDescent="0.2"/>
    <row r="1614" s="2043" customFormat="1" x14ac:dyDescent="0.2"/>
    <row r="1615" s="2043" customFormat="1" x14ac:dyDescent="0.2"/>
    <row r="1616" s="2043" customFormat="1" x14ac:dyDescent="0.2"/>
    <row r="1617" s="2043" customFormat="1" x14ac:dyDescent="0.2"/>
    <row r="1618" s="2043" customFormat="1" x14ac:dyDescent="0.2"/>
    <row r="1619" s="2043" customFormat="1" x14ac:dyDescent="0.2"/>
    <row r="1620" s="2043" customFormat="1" x14ac:dyDescent="0.2"/>
    <row r="1621" s="2043" customFormat="1" x14ac:dyDescent="0.2"/>
    <row r="1622" s="2043" customFormat="1" x14ac:dyDescent="0.2"/>
    <row r="1623" s="2043" customFormat="1" x14ac:dyDescent="0.2"/>
    <row r="1624" s="2043" customFormat="1" x14ac:dyDescent="0.2"/>
    <row r="1625" s="2043" customFormat="1" x14ac:dyDescent="0.2"/>
    <row r="1626" s="2043" customFormat="1" x14ac:dyDescent="0.2"/>
    <row r="1627" s="2043" customFormat="1" x14ac:dyDescent="0.2"/>
    <row r="1628" s="2043" customFormat="1" x14ac:dyDescent="0.2"/>
    <row r="1629" s="2043" customFormat="1" x14ac:dyDescent="0.2"/>
    <row r="1630" s="2043" customFormat="1" x14ac:dyDescent="0.2"/>
    <row r="1631" s="2043" customFormat="1" x14ac:dyDescent="0.2"/>
    <row r="1632" s="2043" customFormat="1" x14ac:dyDescent="0.2"/>
    <row r="1633" s="2043" customFormat="1" x14ac:dyDescent="0.2"/>
    <row r="1634" s="2043" customFormat="1" x14ac:dyDescent="0.2"/>
    <row r="1635" s="2043" customFormat="1" x14ac:dyDescent="0.2"/>
    <row r="1636" s="2043" customFormat="1" x14ac:dyDescent="0.2"/>
    <row r="1637" s="2043" customFormat="1" x14ac:dyDescent="0.2"/>
    <row r="1638" s="2043" customFormat="1" x14ac:dyDescent="0.2"/>
    <row r="1639" s="2043" customFormat="1" x14ac:dyDescent="0.2"/>
    <row r="1640" s="2043" customFormat="1" x14ac:dyDescent="0.2"/>
    <row r="1641" s="2043" customFormat="1" x14ac:dyDescent="0.2"/>
    <row r="1642" s="2043" customFormat="1" x14ac:dyDescent="0.2"/>
    <row r="1643" s="2043" customFormat="1" x14ac:dyDescent="0.2"/>
    <row r="1644" s="2043" customFormat="1" x14ac:dyDescent="0.2"/>
    <row r="1645" s="2043" customFormat="1" x14ac:dyDescent="0.2"/>
    <row r="1646" s="2043" customFormat="1" x14ac:dyDescent="0.2"/>
    <row r="1647" s="2043" customFormat="1" x14ac:dyDescent="0.2"/>
    <row r="1648" s="2043" customFormat="1" x14ac:dyDescent="0.2"/>
    <row r="1649" s="2043" customFormat="1" x14ac:dyDescent="0.2"/>
    <row r="1650" s="2043" customFormat="1" x14ac:dyDescent="0.2"/>
    <row r="1651" s="2043" customFormat="1" x14ac:dyDescent="0.2"/>
    <row r="1652" s="2043" customFormat="1" x14ac:dyDescent="0.2"/>
    <row r="1653" s="2043" customFormat="1" x14ac:dyDescent="0.2"/>
    <row r="1654" s="2043" customFormat="1" x14ac:dyDescent="0.2"/>
    <row r="1655" s="2043" customFormat="1" x14ac:dyDescent="0.2"/>
    <row r="1656" s="2043" customFormat="1" x14ac:dyDescent="0.2"/>
    <row r="1657" s="2043" customFormat="1" x14ac:dyDescent="0.2"/>
    <row r="1658" s="2043" customFormat="1" x14ac:dyDescent="0.2"/>
    <row r="1659" s="2043" customFormat="1" x14ac:dyDescent="0.2"/>
    <row r="1660" s="2043" customFormat="1" x14ac:dyDescent="0.2"/>
    <row r="1661" s="2043" customFormat="1" x14ac:dyDescent="0.2"/>
    <row r="1662" s="2043" customFormat="1" x14ac:dyDescent="0.2"/>
    <row r="1663" s="2043" customFormat="1" x14ac:dyDescent="0.2"/>
    <row r="1664" s="2043" customFormat="1" x14ac:dyDescent="0.2"/>
    <row r="1665" s="2043" customFormat="1" x14ac:dyDescent="0.2"/>
    <row r="1666" s="2043" customFormat="1" x14ac:dyDescent="0.2"/>
    <row r="1667" s="2043" customFormat="1" x14ac:dyDescent="0.2"/>
    <row r="1668" s="2043" customFormat="1" x14ac:dyDescent="0.2"/>
    <row r="1669" s="2043" customFormat="1" x14ac:dyDescent="0.2"/>
    <row r="1670" s="2043" customFormat="1" x14ac:dyDescent="0.2"/>
    <row r="1671" s="2043" customFormat="1" x14ac:dyDescent="0.2"/>
    <row r="1672" s="2043" customFormat="1" x14ac:dyDescent="0.2"/>
    <row r="1673" s="2043" customFormat="1" x14ac:dyDescent="0.2"/>
    <row r="1674" s="2043" customFormat="1" x14ac:dyDescent="0.2"/>
    <row r="1675" s="2043" customFormat="1" x14ac:dyDescent="0.2"/>
    <row r="1676" s="2043" customFormat="1" x14ac:dyDescent="0.2"/>
    <row r="1677" s="2043" customFormat="1" x14ac:dyDescent="0.2"/>
    <row r="1678" s="2043" customFormat="1" x14ac:dyDescent="0.2"/>
    <row r="1679" s="2043" customFormat="1" x14ac:dyDescent="0.2"/>
    <row r="1680" s="2043" customFormat="1" x14ac:dyDescent="0.2"/>
    <row r="1681" s="2043" customFormat="1" x14ac:dyDescent="0.2"/>
    <row r="1682" s="2043" customFormat="1" x14ac:dyDescent="0.2"/>
    <row r="1683" s="2043" customFormat="1" x14ac:dyDescent="0.2"/>
    <row r="1684" s="2043" customFormat="1" x14ac:dyDescent="0.2"/>
    <row r="1685" s="2043" customFormat="1" x14ac:dyDescent="0.2"/>
    <row r="1686" s="2043" customFormat="1" x14ac:dyDescent="0.2"/>
    <row r="1687" s="2043" customFormat="1" x14ac:dyDescent="0.2"/>
    <row r="1688" s="2043" customFormat="1" x14ac:dyDescent="0.2"/>
    <row r="1689" s="2043" customFormat="1" x14ac:dyDescent="0.2"/>
    <row r="1690" s="2043" customFormat="1" x14ac:dyDescent="0.2"/>
    <row r="1691" s="2043" customFormat="1" x14ac:dyDescent="0.2"/>
    <row r="1692" s="2043" customFormat="1" x14ac:dyDescent="0.2"/>
    <row r="1693" s="2043" customFormat="1" x14ac:dyDescent="0.2"/>
    <row r="1694" s="2043" customFormat="1" x14ac:dyDescent="0.2"/>
    <row r="1695" s="2043" customFormat="1" x14ac:dyDescent="0.2"/>
    <row r="1696" s="2043" customFormat="1" x14ac:dyDescent="0.2"/>
    <row r="1697" s="2043" customFormat="1" x14ac:dyDescent="0.2"/>
    <row r="1698" s="2043" customFormat="1" x14ac:dyDescent="0.2"/>
    <row r="1699" s="2043" customFormat="1" x14ac:dyDescent="0.2"/>
    <row r="1700" s="2043" customFormat="1" x14ac:dyDescent="0.2"/>
    <row r="1701" s="2043" customFormat="1" x14ac:dyDescent="0.2"/>
    <row r="1702" s="2043" customFormat="1" x14ac:dyDescent="0.2"/>
    <row r="1703" s="2043" customFormat="1" x14ac:dyDescent="0.2"/>
    <row r="1704" s="2043" customFormat="1" x14ac:dyDescent="0.2"/>
    <row r="1705" s="2043" customFormat="1" x14ac:dyDescent="0.2"/>
    <row r="1706" s="2043" customFormat="1" x14ac:dyDescent="0.2"/>
    <row r="1707" s="2043" customFormat="1" x14ac:dyDescent="0.2"/>
    <row r="1708" s="2043" customFormat="1" x14ac:dyDescent="0.2"/>
    <row r="1709" s="2043" customFormat="1" x14ac:dyDescent="0.2"/>
    <row r="1710" s="2043" customFormat="1" x14ac:dyDescent="0.2"/>
    <row r="1711" s="2043" customFormat="1" x14ac:dyDescent="0.2"/>
    <row r="1712" s="2043" customFormat="1" x14ac:dyDescent="0.2"/>
    <row r="1713" s="2043" customFormat="1" x14ac:dyDescent="0.2"/>
    <row r="1714" s="2043" customFormat="1" x14ac:dyDescent="0.2"/>
    <row r="1715" s="2043" customFormat="1" x14ac:dyDescent="0.2"/>
    <row r="1716" s="2043" customFormat="1" x14ac:dyDescent="0.2"/>
    <row r="1717" s="2043" customFormat="1" x14ac:dyDescent="0.2"/>
    <row r="1718" s="2043" customFormat="1" x14ac:dyDescent="0.2"/>
    <row r="1719" s="2043" customFormat="1" x14ac:dyDescent="0.2"/>
    <row r="1720" s="2043" customFormat="1" x14ac:dyDescent="0.2"/>
    <row r="1721" s="2043" customFormat="1" x14ac:dyDescent="0.2"/>
    <row r="1722" s="2043" customFormat="1" x14ac:dyDescent="0.2"/>
    <row r="1723" s="2043" customFormat="1" x14ac:dyDescent="0.2"/>
    <row r="1724" s="2043" customFormat="1" x14ac:dyDescent="0.2"/>
    <row r="1725" s="2043" customFormat="1" x14ac:dyDescent="0.2"/>
    <row r="1726" s="2043" customFormat="1" x14ac:dyDescent="0.2"/>
    <row r="1727" s="2043" customFormat="1" x14ac:dyDescent="0.2"/>
    <row r="1728" s="2043" customFormat="1" x14ac:dyDescent="0.2"/>
    <row r="1729" s="2043" customFormat="1" x14ac:dyDescent="0.2"/>
    <row r="1730" s="2043" customFormat="1" x14ac:dyDescent="0.2"/>
    <row r="1731" s="2043" customFormat="1" x14ac:dyDescent="0.2"/>
    <row r="1732" s="2043" customFormat="1" x14ac:dyDescent="0.2"/>
    <row r="1733" s="2043" customFormat="1" x14ac:dyDescent="0.2"/>
    <row r="1734" s="2043" customFormat="1" x14ac:dyDescent="0.2"/>
    <row r="1735" s="2043" customFormat="1" x14ac:dyDescent="0.2"/>
    <row r="1736" s="2043" customFormat="1" x14ac:dyDescent="0.2"/>
    <row r="1737" s="2043" customFormat="1" x14ac:dyDescent="0.2"/>
    <row r="1738" s="2043" customFormat="1" x14ac:dyDescent="0.2"/>
    <row r="1739" s="2043" customFormat="1" x14ac:dyDescent="0.2"/>
    <row r="1740" s="2043" customFormat="1" x14ac:dyDescent="0.2"/>
    <row r="1741" s="2043" customFormat="1" x14ac:dyDescent="0.2"/>
    <row r="1742" s="2043" customFormat="1" x14ac:dyDescent="0.2"/>
    <row r="1743" s="2043" customFormat="1" x14ac:dyDescent="0.2"/>
    <row r="1744" s="2043" customFormat="1" x14ac:dyDescent="0.2"/>
    <row r="1745" s="2043" customFormat="1" x14ac:dyDescent="0.2"/>
    <row r="1746" s="2043" customFormat="1" x14ac:dyDescent="0.2"/>
    <row r="1747" s="2043" customFormat="1" x14ac:dyDescent="0.2"/>
    <row r="1748" s="2043" customFormat="1" x14ac:dyDescent="0.2"/>
    <row r="1749" s="2043" customFormat="1" x14ac:dyDescent="0.2"/>
    <row r="1750" s="2043" customFormat="1" x14ac:dyDescent="0.2"/>
    <row r="1751" s="2043" customFormat="1" x14ac:dyDescent="0.2"/>
    <row r="1752" s="2043" customFormat="1" x14ac:dyDescent="0.2"/>
    <row r="1753" s="2043" customFormat="1" x14ac:dyDescent="0.2"/>
    <row r="1754" s="2043" customFormat="1" x14ac:dyDescent="0.2"/>
    <row r="1755" s="2043" customFormat="1" x14ac:dyDescent="0.2"/>
    <row r="1756" s="2043" customFormat="1" x14ac:dyDescent="0.2"/>
    <row r="1757" s="2043" customFormat="1" x14ac:dyDescent="0.2"/>
    <row r="1758" s="2043" customFormat="1" x14ac:dyDescent="0.2"/>
    <row r="1759" s="2043" customFormat="1" x14ac:dyDescent="0.2"/>
    <row r="1760" s="2043" customFormat="1" x14ac:dyDescent="0.2"/>
    <row r="1761" s="2043" customFormat="1" x14ac:dyDescent="0.2"/>
    <row r="1762" s="2043" customFormat="1" x14ac:dyDescent="0.2"/>
    <row r="1763" s="2043" customFormat="1" x14ac:dyDescent="0.2"/>
    <row r="1764" s="2043" customFormat="1" x14ac:dyDescent="0.2"/>
    <row r="1765" s="2043" customFormat="1" x14ac:dyDescent="0.2"/>
    <row r="1766" s="2043" customFormat="1" x14ac:dyDescent="0.2"/>
    <row r="1767" s="2043" customFormat="1" x14ac:dyDescent="0.2"/>
    <row r="1768" s="2043" customFormat="1" x14ac:dyDescent="0.2"/>
    <row r="1769" s="2043" customFormat="1" x14ac:dyDescent="0.2"/>
    <row r="1770" s="2043" customFormat="1" x14ac:dyDescent="0.2"/>
    <row r="1771" s="2043" customFormat="1" x14ac:dyDescent="0.2"/>
    <row r="1772" s="2043" customFormat="1" x14ac:dyDescent="0.2"/>
    <row r="1773" s="2043" customFormat="1" x14ac:dyDescent="0.2"/>
    <row r="1774" s="2043" customFormat="1" x14ac:dyDescent="0.2"/>
    <row r="1775" s="2043" customFormat="1" x14ac:dyDescent="0.2"/>
    <row r="1776" s="2043" customFormat="1" x14ac:dyDescent="0.2"/>
    <row r="1777" s="2043" customFormat="1" x14ac:dyDescent="0.2"/>
    <row r="1778" s="2043" customFormat="1" x14ac:dyDescent="0.2"/>
    <row r="1779" s="2043" customFormat="1" x14ac:dyDescent="0.2"/>
    <row r="1780" s="2043" customFormat="1" x14ac:dyDescent="0.2"/>
    <row r="1781" s="2043" customFormat="1" x14ac:dyDescent="0.2"/>
    <row r="1782" s="2043" customFormat="1" x14ac:dyDescent="0.2"/>
    <row r="1783" s="2043" customFormat="1" x14ac:dyDescent="0.2"/>
    <row r="1784" s="2043" customFormat="1" x14ac:dyDescent="0.2"/>
    <row r="1785" s="2043" customFormat="1" x14ac:dyDescent="0.2"/>
    <row r="1786" s="2043" customFormat="1" x14ac:dyDescent="0.2"/>
    <row r="1787" s="2043" customFormat="1" x14ac:dyDescent="0.2"/>
    <row r="1788" s="2043" customFormat="1" x14ac:dyDescent="0.2"/>
    <row r="1789" s="2043" customFormat="1" x14ac:dyDescent="0.2"/>
    <row r="1790" s="2043" customFormat="1" x14ac:dyDescent="0.2"/>
    <row r="1791" s="2043" customFormat="1" x14ac:dyDescent="0.2"/>
    <row r="1792" s="2043" customFormat="1" x14ac:dyDescent="0.2"/>
    <row r="1793" s="2043" customFormat="1" x14ac:dyDescent="0.2"/>
    <row r="1794" s="2043" customFormat="1" x14ac:dyDescent="0.2"/>
    <row r="1795" s="2043" customFormat="1" x14ac:dyDescent="0.2"/>
    <row r="1796" s="2043" customFormat="1" x14ac:dyDescent="0.2"/>
    <row r="1797" s="2043" customFormat="1" x14ac:dyDescent="0.2"/>
    <row r="1798" s="2043" customFormat="1" x14ac:dyDescent="0.2"/>
    <row r="1799" s="2043" customFormat="1" x14ac:dyDescent="0.2"/>
    <row r="1800" s="2043" customFormat="1" x14ac:dyDescent="0.2"/>
    <row r="1801" s="2043" customFormat="1" x14ac:dyDescent="0.2"/>
    <row r="1802" s="2043" customFormat="1" x14ac:dyDescent="0.2"/>
    <row r="1803" s="2043" customFormat="1" x14ac:dyDescent="0.2"/>
    <row r="1804" s="2043" customFormat="1" x14ac:dyDescent="0.2"/>
    <row r="1805" s="2043" customFormat="1" x14ac:dyDescent="0.2"/>
    <row r="1806" s="2043" customFormat="1" x14ac:dyDescent="0.2"/>
    <row r="1807" s="2043" customFormat="1" x14ac:dyDescent="0.2"/>
    <row r="1808" s="2043" customFormat="1" x14ac:dyDescent="0.2"/>
    <row r="1809" s="2043" customFormat="1" x14ac:dyDescent="0.2"/>
    <row r="1810" s="2043" customFormat="1" x14ac:dyDescent="0.2"/>
    <row r="1811" s="2043" customFormat="1" x14ac:dyDescent="0.2"/>
    <row r="1812" s="2043" customFormat="1" x14ac:dyDescent="0.2"/>
    <row r="1813" s="2043" customFormat="1" x14ac:dyDescent="0.2"/>
    <row r="1814" s="2043" customFormat="1" x14ac:dyDescent="0.2"/>
    <row r="1815" s="2043" customFormat="1" x14ac:dyDescent="0.2"/>
    <row r="1816" s="2043" customFormat="1" x14ac:dyDescent="0.2"/>
    <row r="1817" s="2043" customFormat="1" x14ac:dyDescent="0.2"/>
    <row r="1818" s="2043" customFormat="1" x14ac:dyDescent="0.2"/>
    <row r="1819" s="2043" customFormat="1" x14ac:dyDescent="0.2"/>
    <row r="1820" s="2043" customFormat="1" x14ac:dyDescent="0.2"/>
    <row r="1821" s="2043" customFormat="1" x14ac:dyDescent="0.2"/>
    <row r="1822" s="2043" customFormat="1" x14ac:dyDescent="0.2"/>
    <row r="1823" s="2043" customFormat="1" x14ac:dyDescent="0.2"/>
    <row r="1824" s="2043" customFormat="1" x14ac:dyDescent="0.2"/>
    <row r="1825" s="2043" customFormat="1" x14ac:dyDescent="0.2"/>
    <row r="1826" s="2043" customFormat="1" x14ac:dyDescent="0.2"/>
    <row r="1827" s="2043" customFormat="1" x14ac:dyDescent="0.2"/>
    <row r="1828" s="2043" customFormat="1" x14ac:dyDescent="0.2"/>
    <row r="1829" s="2043" customFormat="1" x14ac:dyDescent="0.2"/>
    <row r="1830" s="2043" customFormat="1" x14ac:dyDescent="0.2"/>
    <row r="1831" s="2043" customFormat="1" x14ac:dyDescent="0.2"/>
    <row r="1832" s="2043" customFormat="1" x14ac:dyDescent="0.2"/>
    <row r="1833" s="2043" customFormat="1" x14ac:dyDescent="0.2"/>
    <row r="1834" s="2043" customFormat="1" x14ac:dyDescent="0.2"/>
    <row r="1835" s="2043" customFormat="1" x14ac:dyDescent="0.2"/>
    <row r="1836" s="2043" customFormat="1" x14ac:dyDescent="0.2"/>
    <row r="1837" s="2043" customFormat="1" x14ac:dyDescent="0.2"/>
    <row r="1838" s="2043" customFormat="1" x14ac:dyDescent="0.2"/>
    <row r="1839" s="2043" customFormat="1" x14ac:dyDescent="0.2"/>
    <row r="1840" s="2043" customFormat="1" x14ac:dyDescent="0.2"/>
    <row r="1841" s="2043" customFormat="1" x14ac:dyDescent="0.2"/>
    <row r="1842" s="2043" customFormat="1" x14ac:dyDescent="0.2"/>
    <row r="1843" s="2043" customFormat="1" x14ac:dyDescent="0.2"/>
    <row r="1844" s="2043" customFormat="1" x14ac:dyDescent="0.2"/>
    <row r="1845" s="2043" customFormat="1" x14ac:dyDescent="0.2"/>
    <row r="1846" s="2043" customFormat="1" x14ac:dyDescent="0.2"/>
    <row r="1847" s="2043" customFormat="1" x14ac:dyDescent="0.2"/>
    <row r="1848" s="2043" customFormat="1" x14ac:dyDescent="0.2"/>
    <row r="1849" s="2043" customFormat="1" x14ac:dyDescent="0.2"/>
    <row r="1850" s="2043" customFormat="1" x14ac:dyDescent="0.2"/>
    <row r="1851" s="2043" customFormat="1" x14ac:dyDescent="0.2"/>
    <row r="1852" s="2043" customFormat="1" x14ac:dyDescent="0.2"/>
    <row r="1853" s="2043" customFormat="1" x14ac:dyDescent="0.2"/>
    <row r="1854" s="2043" customFormat="1" x14ac:dyDescent="0.2"/>
    <row r="1855" s="2043" customFormat="1" x14ac:dyDescent="0.2"/>
    <row r="1856" s="2043" customFormat="1" x14ac:dyDescent="0.2"/>
    <row r="1857" s="2043" customFormat="1" x14ac:dyDescent="0.2"/>
    <row r="1858" s="2043" customFormat="1" x14ac:dyDescent="0.2"/>
    <row r="1859" s="2043" customFormat="1" x14ac:dyDescent="0.2"/>
    <row r="1860" s="2043" customFormat="1" x14ac:dyDescent="0.2"/>
    <row r="1861" s="2043" customFormat="1" x14ac:dyDescent="0.2"/>
    <row r="1862" s="2043" customFormat="1" x14ac:dyDescent="0.2"/>
    <row r="1863" s="2043" customFormat="1" x14ac:dyDescent="0.2"/>
    <row r="1864" s="2043" customFormat="1" x14ac:dyDescent="0.2"/>
    <row r="1865" s="2043" customFormat="1" x14ac:dyDescent="0.2"/>
    <row r="1866" s="2043" customFormat="1" x14ac:dyDescent="0.2"/>
    <row r="1867" s="2043" customFormat="1" x14ac:dyDescent="0.2"/>
    <row r="1868" s="2043" customFormat="1" x14ac:dyDescent="0.2"/>
    <row r="1869" s="2043" customFormat="1" x14ac:dyDescent="0.2"/>
    <row r="1870" s="2043" customFormat="1" x14ac:dyDescent="0.2"/>
    <row r="1871" s="2043" customFormat="1" x14ac:dyDescent="0.2"/>
    <row r="1872" s="2043" customFormat="1" x14ac:dyDescent="0.2"/>
    <row r="1873" s="2043" customFormat="1" x14ac:dyDescent="0.2"/>
    <row r="1874" s="2043" customFormat="1" x14ac:dyDescent="0.2"/>
    <row r="1875" s="2043" customFormat="1" x14ac:dyDescent="0.2"/>
    <row r="1876" s="2043" customFormat="1" x14ac:dyDescent="0.2"/>
    <row r="1877" s="2043" customFormat="1" x14ac:dyDescent="0.2"/>
    <row r="1878" s="2043" customFormat="1" x14ac:dyDescent="0.2"/>
    <row r="1879" s="2043" customFormat="1" x14ac:dyDescent="0.2"/>
    <row r="1880" s="2043" customFormat="1" x14ac:dyDescent="0.2"/>
    <row r="1881" s="2043" customFormat="1" x14ac:dyDescent="0.2"/>
    <row r="1882" s="2043" customFormat="1" x14ac:dyDescent="0.2"/>
    <row r="1883" s="2043" customFormat="1" x14ac:dyDescent="0.2"/>
    <row r="1884" s="2043" customFormat="1" x14ac:dyDescent="0.2"/>
    <row r="1885" s="2043" customFormat="1" x14ac:dyDescent="0.2"/>
    <row r="1886" s="2043" customFormat="1" x14ac:dyDescent="0.2"/>
    <row r="1887" s="2043" customFormat="1" x14ac:dyDescent="0.2"/>
    <row r="1888" s="2043" customFormat="1" x14ac:dyDescent="0.2"/>
    <row r="1889" s="2043" customFormat="1" x14ac:dyDescent="0.2"/>
    <row r="1890" s="2043" customFormat="1" x14ac:dyDescent="0.2"/>
    <row r="1891" s="2043" customFormat="1" x14ac:dyDescent="0.2"/>
    <row r="1892" s="2043" customFormat="1" x14ac:dyDescent="0.2"/>
    <row r="1893" s="2043" customFormat="1" x14ac:dyDescent="0.2"/>
    <row r="1894" s="2043" customFormat="1" x14ac:dyDescent="0.2"/>
    <row r="1895" s="2043" customFormat="1" x14ac:dyDescent="0.2"/>
    <row r="1896" s="2043" customFormat="1" x14ac:dyDescent="0.2"/>
    <row r="1897" s="2043" customFormat="1" x14ac:dyDescent="0.2"/>
    <row r="1898" s="2043" customFormat="1" x14ac:dyDescent="0.2"/>
    <row r="1899" s="2043" customFormat="1" x14ac:dyDescent="0.2"/>
    <row r="1900" s="2043" customFormat="1" x14ac:dyDescent="0.2"/>
    <row r="1901" s="2043" customFormat="1" x14ac:dyDescent="0.2"/>
    <row r="1902" s="2043" customFormat="1" x14ac:dyDescent="0.2"/>
    <row r="1903" s="2043" customFormat="1" x14ac:dyDescent="0.2"/>
    <row r="1904" s="2043" customFormat="1" x14ac:dyDescent="0.2"/>
    <row r="1905" s="2043" customFormat="1" x14ac:dyDescent="0.2"/>
    <row r="1906" s="2043" customFormat="1" x14ac:dyDescent="0.2"/>
    <row r="1907" s="2043" customFormat="1" x14ac:dyDescent="0.2"/>
    <row r="1908" s="2043" customFormat="1" x14ac:dyDescent="0.2"/>
    <row r="1909" s="2043" customFormat="1" x14ac:dyDescent="0.2"/>
    <row r="1910" s="2043" customFormat="1" x14ac:dyDescent="0.2"/>
    <row r="1911" s="2043" customFormat="1" x14ac:dyDescent="0.2"/>
    <row r="1912" s="2043" customFormat="1" x14ac:dyDescent="0.2"/>
    <row r="1913" s="2043" customFormat="1" x14ac:dyDescent="0.2"/>
    <row r="1914" s="2043" customFormat="1" x14ac:dyDescent="0.2"/>
    <row r="1915" s="2043" customFormat="1" x14ac:dyDescent="0.2"/>
    <row r="1916" s="2043" customFormat="1" x14ac:dyDescent="0.2"/>
    <row r="1917" s="2043" customFormat="1" x14ac:dyDescent="0.2"/>
    <row r="1918" s="2043" customFormat="1" x14ac:dyDescent="0.2"/>
    <row r="1919" s="2043" customFormat="1" x14ac:dyDescent="0.2"/>
    <row r="1920" s="2043" customFormat="1" x14ac:dyDescent="0.2"/>
    <row r="1921" s="2043" customFormat="1" x14ac:dyDescent="0.2"/>
    <row r="1922" s="2043" customFormat="1" x14ac:dyDescent="0.2"/>
    <row r="1923" s="2043" customFormat="1" x14ac:dyDescent="0.2"/>
    <row r="1924" s="2043" customFormat="1" x14ac:dyDescent="0.2"/>
    <row r="1925" s="2043" customFormat="1" x14ac:dyDescent="0.2"/>
    <row r="1926" s="2043" customFormat="1" x14ac:dyDescent="0.2"/>
    <row r="1927" s="2043" customFormat="1" x14ac:dyDescent="0.2"/>
    <row r="1928" s="2043" customFormat="1" x14ac:dyDescent="0.2"/>
    <row r="1929" s="2043" customFormat="1" x14ac:dyDescent="0.2"/>
    <row r="1930" s="2043" customFormat="1" x14ac:dyDescent="0.2"/>
    <row r="1931" s="2043" customFormat="1" x14ac:dyDescent="0.2"/>
    <row r="1932" s="2043" customFormat="1" x14ac:dyDescent="0.2"/>
    <row r="1933" s="2043" customFormat="1" x14ac:dyDescent="0.2"/>
    <row r="1934" s="2043" customFormat="1" x14ac:dyDescent="0.2"/>
    <row r="1935" s="2043" customFormat="1" x14ac:dyDescent="0.2"/>
    <row r="1936" s="2043" customFormat="1" x14ac:dyDescent="0.2"/>
    <row r="1937" s="2043" customFormat="1" x14ac:dyDescent="0.2"/>
    <row r="1938" s="2043" customFormat="1" x14ac:dyDescent="0.2"/>
    <row r="1939" s="2043" customFormat="1" x14ac:dyDescent="0.2"/>
    <row r="1940" s="2043" customFormat="1" x14ac:dyDescent="0.2"/>
    <row r="1941" s="2043" customFormat="1" x14ac:dyDescent="0.2"/>
    <row r="1942" s="2043" customFormat="1" x14ac:dyDescent="0.2"/>
    <row r="1943" s="2043" customFormat="1" x14ac:dyDescent="0.2"/>
    <row r="1944" s="2043" customFormat="1" x14ac:dyDescent="0.2"/>
    <row r="1945" s="2043" customFormat="1" x14ac:dyDescent="0.2"/>
    <row r="1946" s="2043" customFormat="1" x14ac:dyDescent="0.2"/>
    <row r="1947" s="2043" customFormat="1" x14ac:dyDescent="0.2"/>
    <row r="1948" s="2043" customFormat="1" x14ac:dyDescent="0.2"/>
    <row r="1949" s="2043" customFormat="1" x14ac:dyDescent="0.2"/>
    <row r="1950" s="2043" customFormat="1" x14ac:dyDescent="0.2"/>
    <row r="1951" s="2043" customFormat="1" x14ac:dyDescent="0.2"/>
    <row r="1952" s="2043" customFormat="1" x14ac:dyDescent="0.2"/>
    <row r="1953" s="2043" customFormat="1" x14ac:dyDescent="0.2"/>
    <row r="1954" s="2043" customFormat="1" x14ac:dyDescent="0.2"/>
    <row r="1955" s="2043" customFormat="1" x14ac:dyDescent="0.2"/>
    <row r="1956" s="2043" customFormat="1" x14ac:dyDescent="0.2"/>
    <row r="1957" s="2043" customFormat="1" x14ac:dyDescent="0.2"/>
    <row r="1958" s="2043" customFormat="1" x14ac:dyDescent="0.2"/>
    <row r="1959" s="2043" customFormat="1" x14ac:dyDescent="0.2"/>
    <row r="1960" s="2043" customFormat="1" x14ac:dyDescent="0.2"/>
    <row r="1961" s="2043" customFormat="1" x14ac:dyDescent="0.2"/>
    <row r="1962" s="2043" customFormat="1" x14ac:dyDescent="0.2"/>
    <row r="1963" s="2043" customFormat="1" x14ac:dyDescent="0.2"/>
    <row r="1964" s="2043" customFormat="1" x14ac:dyDescent="0.2"/>
    <row r="1965" s="2043" customFormat="1" x14ac:dyDescent="0.2"/>
    <row r="1966" s="2043" customFormat="1" x14ac:dyDescent="0.2"/>
    <row r="1967" s="2043" customFormat="1" x14ac:dyDescent="0.2"/>
    <row r="1968" s="2043" customFormat="1" x14ac:dyDescent="0.2"/>
    <row r="1969" s="2043" customFormat="1" x14ac:dyDescent="0.2"/>
    <row r="1970" s="2043" customFormat="1" x14ac:dyDescent="0.2"/>
    <row r="1971" s="2043" customFormat="1" x14ac:dyDescent="0.2"/>
    <row r="1972" s="2043" customFormat="1" x14ac:dyDescent="0.2"/>
    <row r="1973" s="2043" customFormat="1" x14ac:dyDescent="0.2"/>
    <row r="1974" s="2043" customFormat="1" x14ac:dyDescent="0.2"/>
    <row r="1975" s="2043" customFormat="1" x14ac:dyDescent="0.2"/>
    <row r="1976" s="2043" customFormat="1" x14ac:dyDescent="0.2"/>
    <row r="1977" s="2043" customFormat="1" x14ac:dyDescent="0.2"/>
    <row r="1978" s="2043" customFormat="1" x14ac:dyDescent="0.2"/>
    <row r="1979" s="2043" customFormat="1" x14ac:dyDescent="0.2"/>
    <row r="1980" s="2043" customFormat="1" x14ac:dyDescent="0.2"/>
    <row r="1981" s="2043" customFormat="1" x14ac:dyDescent="0.2"/>
    <row r="1982" s="2043" customFormat="1" x14ac:dyDescent="0.2"/>
    <row r="1983" s="2043" customFormat="1" x14ac:dyDescent="0.2"/>
    <row r="1984" s="2043" customFormat="1" x14ac:dyDescent="0.2"/>
    <row r="1985" s="2043" customFormat="1" x14ac:dyDescent="0.2"/>
    <row r="1986" s="2043" customFormat="1" x14ac:dyDescent="0.2"/>
    <row r="1987" s="2043" customFormat="1" x14ac:dyDescent="0.2"/>
    <row r="1988" s="2043" customFormat="1" x14ac:dyDescent="0.2"/>
    <row r="1989" s="2043" customFormat="1" x14ac:dyDescent="0.2"/>
    <row r="1990" s="2043" customFormat="1" x14ac:dyDescent="0.2"/>
    <row r="1991" s="2043" customFormat="1" x14ac:dyDescent="0.2"/>
    <row r="1992" s="2043" customFormat="1" x14ac:dyDescent="0.2"/>
    <row r="1993" s="2043" customFormat="1" x14ac:dyDescent="0.2"/>
    <row r="1994" s="2043" customFormat="1" x14ac:dyDescent="0.2"/>
    <row r="1995" s="2043" customFormat="1" x14ac:dyDescent="0.2"/>
    <row r="1996" s="2043" customFormat="1" x14ac:dyDescent="0.2"/>
    <row r="1997" s="2043" customFormat="1" x14ac:dyDescent="0.2"/>
    <row r="1998" s="2043" customFormat="1" x14ac:dyDescent="0.2"/>
    <row r="1999" s="2043" customFormat="1" x14ac:dyDescent="0.2"/>
    <row r="2000" s="2043" customFormat="1" x14ac:dyDescent="0.2"/>
    <row r="2001" s="2043" customFormat="1" x14ac:dyDescent="0.2"/>
    <row r="2002" s="2043" customFormat="1" x14ac:dyDescent="0.2"/>
    <row r="2003" s="2043" customFormat="1" x14ac:dyDescent="0.2"/>
    <row r="2004" s="2043" customFormat="1" x14ac:dyDescent="0.2"/>
    <row r="2005" s="2043" customFormat="1" x14ac:dyDescent="0.2"/>
    <row r="2006" s="2043" customFormat="1" x14ac:dyDescent="0.2"/>
    <row r="2007" s="2043" customFormat="1" x14ac:dyDescent="0.2"/>
    <row r="2008" s="2043" customFormat="1" x14ac:dyDescent="0.2"/>
    <row r="2009" s="2043" customFormat="1" x14ac:dyDescent="0.2"/>
    <row r="2010" s="2043" customFormat="1" x14ac:dyDescent="0.2"/>
    <row r="2011" s="2043" customFormat="1" x14ac:dyDescent="0.2"/>
    <row r="2012" s="2043" customFormat="1" x14ac:dyDescent="0.2"/>
    <row r="2013" s="2043" customFormat="1" x14ac:dyDescent="0.2"/>
    <row r="2014" s="2043" customFormat="1" x14ac:dyDescent="0.2"/>
    <row r="2015" s="2043" customFormat="1" x14ac:dyDescent="0.2"/>
    <row r="2016" s="2043" customFormat="1" x14ac:dyDescent="0.2"/>
    <row r="2017" s="2043" customFormat="1" x14ac:dyDescent="0.2"/>
    <row r="2018" s="2043" customFormat="1" x14ac:dyDescent="0.2"/>
    <row r="2019" s="2043" customFormat="1" x14ac:dyDescent="0.2"/>
    <row r="2020" s="2043" customFormat="1" x14ac:dyDescent="0.2"/>
    <row r="2021" s="2043" customFormat="1" x14ac:dyDescent="0.2"/>
    <row r="2022" s="2043" customFormat="1" x14ac:dyDescent="0.2"/>
    <row r="2023" s="2043" customFormat="1" x14ac:dyDescent="0.2"/>
    <row r="2024" s="2043" customFormat="1" x14ac:dyDescent="0.2"/>
    <row r="2025" s="2043" customFormat="1" x14ac:dyDescent="0.2"/>
    <row r="2026" s="2043" customFormat="1" x14ac:dyDescent="0.2"/>
    <row r="2027" s="2043" customFormat="1" x14ac:dyDescent="0.2"/>
    <row r="2028" s="2043" customFormat="1" x14ac:dyDescent="0.2"/>
    <row r="2029" s="2043" customFormat="1" x14ac:dyDescent="0.2"/>
    <row r="2030" s="2043" customFormat="1" x14ac:dyDescent="0.2"/>
    <row r="2031" s="2043" customFormat="1" x14ac:dyDescent="0.2"/>
    <row r="2032" s="2043" customFormat="1" x14ac:dyDescent="0.2"/>
    <row r="2033" s="2043" customFormat="1" x14ac:dyDescent="0.2"/>
    <row r="2034" s="2043" customFormat="1" x14ac:dyDescent="0.2"/>
    <row r="2035" s="2043" customFormat="1" x14ac:dyDescent="0.2"/>
    <row r="2036" s="2043" customFormat="1" x14ac:dyDescent="0.2"/>
    <row r="2037" s="2043" customFormat="1" x14ac:dyDescent="0.2"/>
    <row r="2038" s="2043" customFormat="1" x14ac:dyDescent="0.2"/>
    <row r="2039" s="2043" customFormat="1" x14ac:dyDescent="0.2"/>
    <row r="2040" s="2043" customFormat="1" x14ac:dyDescent="0.2"/>
    <row r="2041" s="2043" customFormat="1" x14ac:dyDescent="0.2"/>
    <row r="2042" s="2043" customFormat="1" x14ac:dyDescent="0.2"/>
    <row r="2043" s="2043" customFormat="1" x14ac:dyDescent="0.2"/>
    <row r="2044" s="2043" customFormat="1" x14ac:dyDescent="0.2"/>
    <row r="2045" s="2043" customFormat="1" x14ac:dyDescent="0.2"/>
    <row r="2046" s="2043" customFormat="1" x14ac:dyDescent="0.2"/>
    <row r="2047" s="2043" customFormat="1" x14ac:dyDescent="0.2"/>
    <row r="2048" s="2043" customFormat="1" x14ac:dyDescent="0.2"/>
    <row r="2049" s="2043" customFormat="1" x14ac:dyDescent="0.2"/>
    <row r="2050" s="2043" customFormat="1" x14ac:dyDescent="0.2"/>
    <row r="2051" s="2043" customFormat="1" x14ac:dyDescent="0.2"/>
    <row r="2052" s="2043" customFormat="1" x14ac:dyDescent="0.2"/>
    <row r="2053" s="2043" customFormat="1" x14ac:dyDescent="0.2"/>
    <row r="2054" s="2043" customFormat="1" x14ac:dyDescent="0.2"/>
    <row r="2055" s="2043" customFormat="1" x14ac:dyDescent="0.2"/>
    <row r="2056" s="2043" customFormat="1" x14ac:dyDescent="0.2"/>
    <row r="2057" s="2043" customFormat="1" x14ac:dyDescent="0.2"/>
    <row r="2058" s="2043" customFormat="1" x14ac:dyDescent="0.2"/>
    <row r="2059" s="2043" customFormat="1" x14ac:dyDescent="0.2"/>
    <row r="2060" s="2043" customFormat="1" x14ac:dyDescent="0.2"/>
    <row r="2061" s="2043" customFormat="1" x14ac:dyDescent="0.2"/>
    <row r="2062" s="2043" customFormat="1" x14ac:dyDescent="0.2"/>
    <row r="2063" s="2043" customFormat="1" x14ac:dyDescent="0.2"/>
    <row r="2064" s="2043" customFormat="1" x14ac:dyDescent="0.2"/>
    <row r="2065" s="2043" customFormat="1" x14ac:dyDescent="0.2"/>
    <row r="2066" s="2043" customFormat="1" x14ac:dyDescent="0.2"/>
    <row r="2067" s="2043" customFormat="1" x14ac:dyDescent="0.2"/>
    <row r="2068" s="2043" customFormat="1" x14ac:dyDescent="0.2"/>
    <row r="2069" s="2043" customFormat="1" x14ac:dyDescent="0.2"/>
    <row r="2070" s="2043" customFormat="1" x14ac:dyDescent="0.2"/>
    <row r="2071" s="2043" customFormat="1" x14ac:dyDescent="0.2"/>
    <row r="2072" s="2043" customFormat="1" x14ac:dyDescent="0.2"/>
    <row r="2073" s="2043" customFormat="1" x14ac:dyDescent="0.2"/>
    <row r="2074" s="2043" customFormat="1" x14ac:dyDescent="0.2"/>
    <row r="2075" s="2043" customFormat="1" x14ac:dyDescent="0.2"/>
    <row r="2076" s="2043" customFormat="1" x14ac:dyDescent="0.2"/>
    <row r="2077" s="2043" customFormat="1" x14ac:dyDescent="0.2"/>
    <row r="2078" s="2043" customFormat="1" x14ac:dyDescent="0.2"/>
    <row r="2079" s="2043" customFormat="1" x14ac:dyDescent="0.2"/>
    <row r="2080" s="2043" customFormat="1" x14ac:dyDescent="0.2"/>
    <row r="2081" s="2043" customFormat="1" x14ac:dyDescent="0.2"/>
    <row r="2082" s="2043" customFormat="1" x14ac:dyDescent="0.2"/>
    <row r="2083" s="2043" customFormat="1" x14ac:dyDescent="0.2"/>
    <row r="2084" s="2043" customFormat="1" x14ac:dyDescent="0.2"/>
    <row r="2085" s="2043" customFormat="1" x14ac:dyDescent="0.2"/>
    <row r="2086" s="2043" customFormat="1" x14ac:dyDescent="0.2"/>
    <row r="2087" s="2043" customFormat="1" x14ac:dyDescent="0.2"/>
    <row r="2088" s="2043" customFormat="1" x14ac:dyDescent="0.2"/>
    <row r="2089" s="2043" customFormat="1" x14ac:dyDescent="0.2"/>
    <row r="2090" s="2043" customFormat="1" x14ac:dyDescent="0.2"/>
    <row r="2091" s="2043" customFormat="1" x14ac:dyDescent="0.2"/>
    <row r="2092" s="2043" customFormat="1" x14ac:dyDescent="0.2"/>
    <row r="2093" s="2043" customFormat="1" x14ac:dyDescent="0.2"/>
    <row r="2094" s="2043" customFormat="1" x14ac:dyDescent="0.2"/>
    <row r="2095" s="2043" customFormat="1" x14ac:dyDescent="0.2"/>
    <row r="2096" s="2043" customFormat="1" x14ac:dyDescent="0.2"/>
    <row r="2097" s="2043" customFormat="1" x14ac:dyDescent="0.2"/>
    <row r="2098" s="2043" customFormat="1" x14ac:dyDescent="0.2"/>
    <row r="2099" s="2043" customFormat="1" x14ac:dyDescent="0.2"/>
    <row r="2100" s="2043" customFormat="1" x14ac:dyDescent="0.2"/>
    <row r="2101" s="2043" customFormat="1" x14ac:dyDescent="0.2"/>
    <row r="2102" s="2043" customFormat="1" x14ac:dyDescent="0.2"/>
    <row r="2103" s="2043" customFormat="1" x14ac:dyDescent="0.2"/>
    <row r="2104" s="2043" customFormat="1" x14ac:dyDescent="0.2"/>
    <row r="2105" s="2043" customFormat="1" x14ac:dyDescent="0.2"/>
    <row r="2106" s="2043" customFormat="1" x14ac:dyDescent="0.2"/>
    <row r="2107" s="2043" customFormat="1" x14ac:dyDescent="0.2"/>
    <row r="2108" s="2043" customFormat="1" x14ac:dyDescent="0.2"/>
    <row r="2109" s="2043" customFormat="1" x14ac:dyDescent="0.2"/>
    <row r="2110" s="2043" customFormat="1" x14ac:dyDescent="0.2"/>
    <row r="2111" s="2043" customFormat="1" x14ac:dyDescent="0.2"/>
    <row r="2112" s="2043" customFormat="1" x14ac:dyDescent="0.2"/>
    <row r="2113" s="2043" customFormat="1" x14ac:dyDescent="0.2"/>
    <row r="2114" s="2043" customFormat="1" x14ac:dyDescent="0.2"/>
    <row r="2115" s="2043" customFormat="1" x14ac:dyDescent="0.2"/>
    <row r="2116" s="2043" customFormat="1" x14ac:dyDescent="0.2"/>
    <row r="2117" s="2043" customFormat="1" x14ac:dyDescent="0.2"/>
    <row r="2118" s="2043" customFormat="1" x14ac:dyDescent="0.2"/>
    <row r="2119" s="2043" customFormat="1" x14ac:dyDescent="0.2"/>
    <row r="2120" s="2043" customFormat="1" x14ac:dyDescent="0.2"/>
    <row r="2121" s="2043" customFormat="1" x14ac:dyDescent="0.2"/>
    <row r="2122" s="2043" customFormat="1" x14ac:dyDescent="0.2"/>
    <row r="2123" s="2043" customFormat="1" x14ac:dyDescent="0.2"/>
    <row r="2124" s="2043" customFormat="1" x14ac:dyDescent="0.2"/>
    <row r="2125" s="2043" customFormat="1" x14ac:dyDescent="0.2"/>
    <row r="2126" s="2043" customFormat="1" x14ac:dyDescent="0.2"/>
    <row r="2127" s="2043" customFormat="1" x14ac:dyDescent="0.2"/>
    <row r="2128" s="2043" customFormat="1" x14ac:dyDescent="0.2"/>
    <row r="2129" s="2043" customFormat="1" x14ac:dyDescent="0.2"/>
    <row r="2130" s="2043" customFormat="1" x14ac:dyDescent="0.2"/>
    <row r="2131" s="2043" customFormat="1" x14ac:dyDescent="0.2"/>
    <row r="2132" s="2043" customFormat="1" x14ac:dyDescent="0.2"/>
    <row r="2133" s="2043" customFormat="1" x14ac:dyDescent="0.2"/>
    <row r="2134" s="2043" customFormat="1" x14ac:dyDescent="0.2"/>
    <row r="2135" s="2043" customFormat="1" x14ac:dyDescent="0.2"/>
    <row r="2136" s="2043" customFormat="1" x14ac:dyDescent="0.2"/>
    <row r="2137" s="2043" customFormat="1" x14ac:dyDescent="0.2"/>
    <row r="2138" s="2043" customFormat="1" x14ac:dyDescent="0.2"/>
    <row r="2139" s="2043" customFormat="1" x14ac:dyDescent="0.2"/>
    <row r="2140" s="2043" customFormat="1" x14ac:dyDescent="0.2"/>
    <row r="2141" s="2043" customFormat="1" x14ac:dyDescent="0.2"/>
    <row r="2142" s="2043" customFormat="1" x14ac:dyDescent="0.2"/>
    <row r="2143" s="2043" customFormat="1" x14ac:dyDescent="0.2"/>
    <row r="2144" s="2043" customFormat="1" x14ac:dyDescent="0.2"/>
    <row r="2145" s="2043" customFormat="1" x14ac:dyDescent="0.2"/>
    <row r="2146" s="2043" customFormat="1" x14ac:dyDescent="0.2"/>
    <row r="2147" s="2043" customFormat="1" x14ac:dyDescent="0.2"/>
    <row r="2148" s="2043" customFormat="1" x14ac:dyDescent="0.2"/>
    <row r="2149" s="2043" customFormat="1" x14ac:dyDescent="0.2"/>
    <row r="2150" s="2043" customFormat="1" x14ac:dyDescent="0.2"/>
    <row r="2151" s="2043" customFormat="1" x14ac:dyDescent="0.2"/>
    <row r="2152" s="2043" customFormat="1" x14ac:dyDescent="0.2"/>
    <row r="2153" s="2043" customFormat="1" x14ac:dyDescent="0.2"/>
    <row r="2154" s="2043" customFormat="1" x14ac:dyDescent="0.2"/>
    <row r="2155" s="2043" customFormat="1" x14ac:dyDescent="0.2"/>
    <row r="2156" s="2043" customFormat="1" x14ac:dyDescent="0.2"/>
    <row r="2157" s="2043" customFormat="1" x14ac:dyDescent="0.2"/>
    <row r="2158" s="2043" customFormat="1" x14ac:dyDescent="0.2"/>
    <row r="2159" s="2043" customFormat="1" x14ac:dyDescent="0.2"/>
    <row r="2160" s="2043" customFormat="1" x14ac:dyDescent="0.2"/>
    <row r="2161" s="2043" customFormat="1" x14ac:dyDescent="0.2"/>
    <row r="2162" s="2043" customFormat="1" x14ac:dyDescent="0.2"/>
    <row r="2163" s="2043" customFormat="1" x14ac:dyDescent="0.2"/>
    <row r="2164" s="2043" customFormat="1" x14ac:dyDescent="0.2"/>
    <row r="2165" s="2043" customFormat="1" x14ac:dyDescent="0.2"/>
    <row r="2166" s="2043" customFormat="1" x14ac:dyDescent="0.2"/>
    <row r="2167" s="2043" customFormat="1" x14ac:dyDescent="0.2"/>
    <row r="2168" s="2043" customFormat="1" x14ac:dyDescent="0.2"/>
    <row r="2169" s="2043" customFormat="1" x14ac:dyDescent="0.2"/>
    <row r="2170" s="2043" customFormat="1" x14ac:dyDescent="0.2"/>
    <row r="2171" s="2043" customFormat="1" x14ac:dyDescent="0.2"/>
    <row r="2172" s="2043" customFormat="1" x14ac:dyDescent="0.2"/>
    <row r="2173" s="2043" customFormat="1" x14ac:dyDescent="0.2"/>
    <row r="2174" s="2043" customFormat="1" x14ac:dyDescent="0.2"/>
    <row r="2175" s="2043" customFormat="1" x14ac:dyDescent="0.2"/>
    <row r="2176" s="2043" customFormat="1" x14ac:dyDescent="0.2"/>
    <row r="2177" s="2043" customFormat="1" x14ac:dyDescent="0.2"/>
    <row r="2178" s="2043" customFormat="1" x14ac:dyDescent="0.2"/>
    <row r="2179" s="2043" customFormat="1" x14ac:dyDescent="0.2"/>
    <row r="2180" s="2043" customFormat="1" x14ac:dyDescent="0.2"/>
    <row r="2181" s="2043" customFormat="1" x14ac:dyDescent="0.2"/>
    <row r="2182" s="2043" customFormat="1" x14ac:dyDescent="0.2"/>
    <row r="2183" s="2043" customFormat="1" x14ac:dyDescent="0.2"/>
    <row r="2184" s="2043" customFormat="1" x14ac:dyDescent="0.2"/>
    <row r="2185" s="2043" customFormat="1" x14ac:dyDescent="0.2"/>
    <row r="2186" s="2043" customFormat="1" x14ac:dyDescent="0.2"/>
    <row r="2187" s="2043" customFormat="1" x14ac:dyDescent="0.2"/>
    <row r="2188" s="2043" customFormat="1" x14ac:dyDescent="0.2"/>
    <row r="2189" s="2043" customFormat="1" x14ac:dyDescent="0.2"/>
    <row r="2190" s="2043" customFormat="1" x14ac:dyDescent="0.2"/>
    <row r="2191" s="2043" customFormat="1" x14ac:dyDescent="0.2"/>
    <row r="2192" s="2043" customFormat="1" x14ac:dyDescent="0.2"/>
    <row r="2193" s="2043" customFormat="1" x14ac:dyDescent="0.2"/>
    <row r="2194" s="2043" customFormat="1" x14ac:dyDescent="0.2"/>
    <row r="2195" s="2043" customFormat="1" x14ac:dyDescent="0.2"/>
    <row r="2196" s="2043" customFormat="1" x14ac:dyDescent="0.2"/>
    <row r="2197" s="2043" customFormat="1" x14ac:dyDescent="0.2"/>
    <row r="2198" s="2043" customFormat="1" x14ac:dyDescent="0.2"/>
    <row r="2199" s="2043" customFormat="1" x14ac:dyDescent="0.2"/>
    <row r="2200" s="2043" customFormat="1" x14ac:dyDescent="0.2"/>
    <row r="2201" s="2043" customFormat="1" x14ac:dyDescent="0.2"/>
    <row r="2202" s="2043" customFormat="1" x14ac:dyDescent="0.2"/>
    <row r="2203" s="2043" customFormat="1" x14ac:dyDescent="0.2"/>
    <row r="2204" s="2043" customFormat="1" x14ac:dyDescent="0.2"/>
    <row r="2205" s="2043" customFormat="1" x14ac:dyDescent="0.2"/>
    <row r="2206" s="2043" customFormat="1" x14ac:dyDescent="0.2"/>
    <row r="2207" s="2043" customFormat="1" x14ac:dyDescent="0.2"/>
    <row r="2208" s="2043" customFormat="1" x14ac:dyDescent="0.2"/>
    <row r="2209" s="2043" customFormat="1" x14ac:dyDescent="0.2"/>
    <row r="2210" s="2043" customFormat="1" x14ac:dyDescent="0.2"/>
    <row r="2211" s="2043" customFormat="1" x14ac:dyDescent="0.2"/>
    <row r="2212" s="2043" customFormat="1" x14ac:dyDescent="0.2"/>
    <row r="2213" s="2043" customFormat="1" x14ac:dyDescent="0.2"/>
    <row r="2214" s="2043" customFormat="1" x14ac:dyDescent="0.2"/>
    <row r="2215" s="2043" customFormat="1" x14ac:dyDescent="0.2"/>
    <row r="2216" s="2043" customFormat="1" x14ac:dyDescent="0.2"/>
    <row r="2217" s="2043" customFormat="1" x14ac:dyDescent="0.2"/>
    <row r="2218" s="2043" customFormat="1" x14ac:dyDescent="0.2"/>
    <row r="2219" s="2043" customFormat="1" x14ac:dyDescent="0.2"/>
    <row r="2220" s="2043" customFormat="1" x14ac:dyDescent="0.2"/>
    <row r="2221" s="2043" customFormat="1" x14ac:dyDescent="0.2"/>
    <row r="2222" s="2043" customFormat="1" x14ac:dyDescent="0.2"/>
    <row r="2223" s="2043" customFormat="1" x14ac:dyDescent="0.2"/>
    <row r="2224" s="2043" customFormat="1" x14ac:dyDescent="0.2"/>
    <row r="2225" s="2043" customFormat="1" x14ac:dyDescent="0.2"/>
    <row r="2226" s="2043" customFormat="1" x14ac:dyDescent="0.2"/>
    <row r="2227" s="2043" customFormat="1" x14ac:dyDescent="0.2"/>
    <row r="2228" s="2043" customFormat="1" x14ac:dyDescent="0.2"/>
    <row r="2229" s="2043" customFormat="1" x14ac:dyDescent="0.2"/>
    <row r="2230" s="2043" customFormat="1" x14ac:dyDescent="0.2"/>
    <row r="2231" s="2043" customFormat="1" x14ac:dyDescent="0.2"/>
    <row r="2232" s="2043" customFormat="1" x14ac:dyDescent="0.2"/>
    <row r="2233" s="2043" customFormat="1" x14ac:dyDescent="0.2"/>
    <row r="2234" s="2043" customFormat="1" x14ac:dyDescent="0.2"/>
    <row r="2235" s="2043" customFormat="1" x14ac:dyDescent="0.2"/>
    <row r="2236" s="2043" customFormat="1" x14ac:dyDescent="0.2"/>
    <row r="2237" s="2043" customFormat="1" x14ac:dyDescent="0.2"/>
    <row r="2238" s="2043" customFormat="1" x14ac:dyDescent="0.2"/>
    <row r="2239" s="2043" customFormat="1" x14ac:dyDescent="0.2"/>
    <row r="2240" s="2043" customFormat="1" x14ac:dyDescent="0.2"/>
    <row r="2241" s="2043" customFormat="1" x14ac:dyDescent="0.2"/>
    <row r="2242" s="2043" customFormat="1" x14ac:dyDescent="0.2"/>
    <row r="2243" s="2043" customFormat="1" x14ac:dyDescent="0.2"/>
    <row r="2244" s="2043" customFormat="1" x14ac:dyDescent="0.2"/>
    <row r="2245" s="2043" customFormat="1" x14ac:dyDescent="0.2"/>
    <row r="2246" s="2043" customFormat="1" x14ac:dyDescent="0.2"/>
    <row r="2247" s="2043" customFormat="1" x14ac:dyDescent="0.2"/>
    <row r="2248" s="2043" customFormat="1" x14ac:dyDescent="0.2"/>
    <row r="2249" s="2043" customFormat="1" x14ac:dyDescent="0.2"/>
    <row r="2250" s="2043" customFormat="1" x14ac:dyDescent="0.2"/>
    <row r="2251" s="2043" customFormat="1" x14ac:dyDescent="0.2"/>
    <row r="2252" s="2043" customFormat="1" x14ac:dyDescent="0.2"/>
    <row r="2253" s="2043" customFormat="1" x14ac:dyDescent="0.2"/>
    <row r="2254" s="2043" customFormat="1" x14ac:dyDescent="0.2"/>
    <row r="2255" s="2043" customFormat="1" x14ac:dyDescent="0.2"/>
    <row r="2256" s="2043" customFormat="1" x14ac:dyDescent="0.2"/>
    <row r="2257" s="2043" customFormat="1" x14ac:dyDescent="0.2"/>
    <row r="2258" s="2043" customFormat="1" x14ac:dyDescent="0.2"/>
    <row r="2259" s="2043" customFormat="1" x14ac:dyDescent="0.2"/>
    <row r="2260" s="2043" customFormat="1" x14ac:dyDescent="0.2"/>
    <row r="2261" s="2043" customFormat="1" x14ac:dyDescent="0.2"/>
    <row r="2262" s="2043" customFormat="1" x14ac:dyDescent="0.2"/>
    <row r="2263" s="2043" customFormat="1" x14ac:dyDescent="0.2"/>
    <row r="2264" s="2043" customFormat="1" x14ac:dyDescent="0.2"/>
    <row r="2265" s="2043" customFormat="1" x14ac:dyDescent="0.2"/>
    <row r="2266" s="2043" customFormat="1" x14ac:dyDescent="0.2"/>
    <row r="2267" s="2043" customFormat="1" x14ac:dyDescent="0.2"/>
    <row r="2268" s="2043" customFormat="1" x14ac:dyDescent="0.2"/>
    <row r="2269" s="2043" customFormat="1" x14ac:dyDescent="0.2"/>
    <row r="2270" s="2043" customFormat="1" x14ac:dyDescent="0.2"/>
    <row r="2271" s="2043" customFormat="1" x14ac:dyDescent="0.2"/>
    <row r="2272" s="2043" customFormat="1" x14ac:dyDescent="0.2"/>
    <row r="2273" s="2043" customFormat="1" x14ac:dyDescent="0.2"/>
    <row r="2274" s="2043" customFormat="1" x14ac:dyDescent="0.2"/>
    <row r="2275" s="2043" customFormat="1" x14ac:dyDescent="0.2"/>
    <row r="2276" s="2043" customFormat="1" x14ac:dyDescent="0.2"/>
    <row r="2277" s="2043" customFormat="1" x14ac:dyDescent="0.2"/>
    <row r="2278" s="2043" customFormat="1" x14ac:dyDescent="0.2"/>
    <row r="2279" s="2043" customFormat="1" x14ac:dyDescent="0.2"/>
    <row r="2280" s="2043" customFormat="1" x14ac:dyDescent="0.2"/>
    <row r="2281" s="2043" customFormat="1" x14ac:dyDescent="0.2"/>
    <row r="2282" s="2043" customFormat="1" x14ac:dyDescent="0.2"/>
    <row r="2283" s="2043" customFormat="1" x14ac:dyDescent="0.2"/>
    <row r="2284" s="2043" customFormat="1" x14ac:dyDescent="0.2"/>
    <row r="2285" s="2043" customFormat="1" x14ac:dyDescent="0.2"/>
    <row r="2286" s="2043" customFormat="1" x14ac:dyDescent="0.2"/>
    <row r="2287" s="2043" customFormat="1" x14ac:dyDescent="0.2"/>
    <row r="2288" s="2043" customFormat="1" x14ac:dyDescent="0.2"/>
    <row r="2289" s="2043" customFormat="1" x14ac:dyDescent="0.2"/>
    <row r="2290" s="2043" customFormat="1" x14ac:dyDescent="0.2"/>
    <row r="2291" s="2043" customFormat="1" x14ac:dyDescent="0.2"/>
    <row r="2292" s="2043" customFormat="1" x14ac:dyDescent="0.2"/>
    <row r="2293" s="2043" customFormat="1" x14ac:dyDescent="0.2"/>
    <row r="2294" s="2043" customFormat="1" x14ac:dyDescent="0.2"/>
    <row r="2295" s="2043" customFormat="1" x14ac:dyDescent="0.2"/>
    <row r="2296" s="2043" customFormat="1" x14ac:dyDescent="0.2"/>
    <row r="2297" s="2043" customFormat="1" x14ac:dyDescent="0.2"/>
    <row r="2298" s="2043" customFormat="1" x14ac:dyDescent="0.2"/>
    <row r="2299" s="2043" customFormat="1" x14ac:dyDescent="0.2"/>
    <row r="2300" s="2043" customFormat="1" x14ac:dyDescent="0.2"/>
    <row r="2301" s="2043" customFormat="1" x14ac:dyDescent="0.2"/>
    <row r="2302" s="2043" customFormat="1" x14ac:dyDescent="0.2"/>
    <row r="2303" s="2043" customFormat="1" x14ac:dyDescent="0.2"/>
    <row r="2304" s="2043" customFormat="1" x14ac:dyDescent="0.2"/>
    <row r="2305" s="2043" customFormat="1" x14ac:dyDescent="0.2"/>
    <row r="2306" s="2043" customFormat="1" x14ac:dyDescent="0.2"/>
    <row r="2307" s="2043" customFormat="1" x14ac:dyDescent="0.2"/>
    <row r="2308" s="2043" customFormat="1" x14ac:dyDescent="0.2"/>
    <row r="2309" s="2043" customFormat="1" x14ac:dyDescent="0.2"/>
    <row r="2310" s="2043" customFormat="1" x14ac:dyDescent="0.2"/>
    <row r="2311" s="2043" customFormat="1" x14ac:dyDescent="0.2"/>
    <row r="2312" s="2043" customFormat="1" x14ac:dyDescent="0.2"/>
    <row r="2313" s="2043" customFormat="1" x14ac:dyDescent="0.2"/>
    <row r="2314" s="2043" customFormat="1" x14ac:dyDescent="0.2"/>
    <row r="2315" s="2043" customFormat="1" x14ac:dyDescent="0.2"/>
    <row r="2316" s="2043" customFormat="1" x14ac:dyDescent="0.2"/>
    <row r="2317" s="2043" customFormat="1" x14ac:dyDescent="0.2"/>
    <row r="2318" s="2043" customFormat="1" x14ac:dyDescent="0.2"/>
    <row r="2319" s="2043" customFormat="1" x14ac:dyDescent="0.2"/>
    <row r="2320" s="2043" customFormat="1" x14ac:dyDescent="0.2"/>
    <row r="2321" s="2043" customFormat="1" x14ac:dyDescent="0.2"/>
    <row r="2322" s="2043" customFormat="1" x14ac:dyDescent="0.2"/>
    <row r="2323" s="2043" customFormat="1" x14ac:dyDescent="0.2"/>
    <row r="2324" s="2043" customFormat="1" x14ac:dyDescent="0.2"/>
    <row r="2325" s="2043" customFormat="1" x14ac:dyDescent="0.2"/>
    <row r="2326" s="2043" customFormat="1" x14ac:dyDescent="0.2"/>
    <row r="2327" s="2043" customFormat="1" x14ac:dyDescent="0.2"/>
    <row r="2328" s="2043" customFormat="1" x14ac:dyDescent="0.2"/>
    <row r="2329" s="2043" customFormat="1" x14ac:dyDescent="0.2"/>
    <row r="2330" s="2043" customFormat="1" x14ac:dyDescent="0.2"/>
    <row r="2331" s="2043" customFormat="1" x14ac:dyDescent="0.2"/>
    <row r="2332" s="2043" customFormat="1" x14ac:dyDescent="0.2"/>
    <row r="2333" s="2043" customFormat="1" x14ac:dyDescent="0.2"/>
    <row r="2334" s="2043" customFormat="1" x14ac:dyDescent="0.2"/>
    <row r="2335" s="2043" customFormat="1" x14ac:dyDescent="0.2"/>
    <row r="2336" s="2043" customFormat="1" x14ac:dyDescent="0.2"/>
    <row r="2337" s="2043" customFormat="1" x14ac:dyDescent="0.2"/>
    <row r="2338" s="2043" customFormat="1" x14ac:dyDescent="0.2"/>
    <row r="2339" s="2043" customFormat="1" x14ac:dyDescent="0.2"/>
    <row r="2340" s="2043" customFormat="1" x14ac:dyDescent="0.2"/>
    <row r="2341" s="2043" customFormat="1" x14ac:dyDescent="0.2"/>
    <row r="2342" s="2043" customFormat="1" x14ac:dyDescent="0.2"/>
    <row r="2343" s="2043" customFormat="1" x14ac:dyDescent="0.2"/>
    <row r="2344" s="2043" customFormat="1" x14ac:dyDescent="0.2"/>
    <row r="2345" s="2043" customFormat="1" x14ac:dyDescent="0.2"/>
    <row r="2346" s="2043" customFormat="1" x14ac:dyDescent="0.2"/>
    <row r="2347" s="2043" customFormat="1" x14ac:dyDescent="0.2"/>
    <row r="2348" s="2043" customFormat="1" x14ac:dyDescent="0.2"/>
    <row r="2349" s="2043" customFormat="1" x14ac:dyDescent="0.2"/>
    <row r="2350" s="2043" customFormat="1" x14ac:dyDescent="0.2"/>
    <row r="2351" s="2043" customFormat="1" x14ac:dyDescent="0.2"/>
    <row r="2352" s="2043" customFormat="1" x14ac:dyDescent="0.2"/>
    <row r="2353" s="2043" customFormat="1" x14ac:dyDescent="0.2"/>
    <row r="2354" s="2043" customFormat="1" x14ac:dyDescent="0.2"/>
    <row r="2355" s="2043" customFormat="1" x14ac:dyDescent="0.2"/>
    <row r="2356" s="2043" customFormat="1" x14ac:dyDescent="0.2"/>
    <row r="2357" s="2043" customFormat="1" x14ac:dyDescent="0.2"/>
    <row r="2358" s="2043" customFormat="1" x14ac:dyDescent="0.2"/>
    <row r="2359" s="2043" customFormat="1" x14ac:dyDescent="0.2"/>
    <row r="2360" s="2043" customFormat="1" x14ac:dyDescent="0.2"/>
    <row r="2361" s="2043" customFormat="1" x14ac:dyDescent="0.2"/>
    <row r="2362" s="2043" customFormat="1" x14ac:dyDescent="0.2"/>
    <row r="2363" s="2043" customFormat="1" x14ac:dyDescent="0.2"/>
    <row r="2364" s="2043" customFormat="1" x14ac:dyDescent="0.2"/>
    <row r="2365" s="2043" customFormat="1" x14ac:dyDescent="0.2"/>
    <row r="2366" s="2043" customFormat="1" x14ac:dyDescent="0.2"/>
    <row r="2367" s="2043" customFormat="1" x14ac:dyDescent="0.2"/>
    <row r="2368" s="2043" customFormat="1" x14ac:dyDescent="0.2"/>
    <row r="2369" s="2043" customFormat="1" x14ac:dyDescent="0.2"/>
    <row r="2370" s="2043" customFormat="1" x14ac:dyDescent="0.2"/>
    <row r="2371" s="2043" customFormat="1" x14ac:dyDescent="0.2"/>
    <row r="2372" s="2043" customFormat="1" x14ac:dyDescent="0.2"/>
    <row r="2373" s="2043" customFormat="1" x14ac:dyDescent="0.2"/>
    <row r="2374" s="2043" customFormat="1" x14ac:dyDescent="0.2"/>
    <row r="2375" s="2043" customFormat="1" x14ac:dyDescent="0.2"/>
    <row r="2376" s="2043" customFormat="1" x14ac:dyDescent="0.2"/>
    <row r="2377" s="2043" customFormat="1" x14ac:dyDescent="0.2"/>
    <row r="2378" s="2043" customFormat="1" x14ac:dyDescent="0.2"/>
    <row r="2379" s="2043" customFormat="1" x14ac:dyDescent="0.2"/>
    <row r="2380" s="2043" customFormat="1" x14ac:dyDescent="0.2"/>
    <row r="2381" s="2043" customFormat="1" x14ac:dyDescent="0.2"/>
    <row r="2382" s="2043" customFormat="1" x14ac:dyDescent="0.2"/>
    <row r="2383" s="2043" customFormat="1" x14ac:dyDescent="0.2"/>
    <row r="2384" s="2043" customFormat="1" x14ac:dyDescent="0.2"/>
    <row r="2385" s="2043" customFormat="1" x14ac:dyDescent="0.2"/>
    <row r="2386" s="2043" customFormat="1" x14ac:dyDescent="0.2"/>
    <row r="2387" s="2043" customFormat="1" x14ac:dyDescent="0.2"/>
    <row r="2388" s="2043" customFormat="1" x14ac:dyDescent="0.2"/>
    <row r="2389" s="2043" customFormat="1" x14ac:dyDescent="0.2"/>
    <row r="2390" s="2043" customFormat="1" x14ac:dyDescent="0.2"/>
    <row r="2391" s="2043" customFormat="1" x14ac:dyDescent="0.2"/>
    <row r="2392" s="2043" customFormat="1" x14ac:dyDescent="0.2"/>
    <row r="2393" s="2043" customFormat="1" x14ac:dyDescent="0.2"/>
    <row r="2394" s="2043" customFormat="1" x14ac:dyDescent="0.2"/>
    <row r="2395" s="2043" customFormat="1" x14ac:dyDescent="0.2"/>
    <row r="2396" s="2043" customFormat="1" x14ac:dyDescent="0.2"/>
    <row r="2397" s="2043" customFormat="1" x14ac:dyDescent="0.2"/>
    <row r="2398" s="2043" customFormat="1" x14ac:dyDescent="0.2"/>
    <row r="2399" s="2043" customFormat="1" x14ac:dyDescent="0.2"/>
    <row r="2400" s="2043" customFormat="1" x14ac:dyDescent="0.2"/>
    <row r="2401" s="2043" customFormat="1" x14ac:dyDescent="0.2"/>
    <row r="2402" s="2043" customFormat="1" x14ac:dyDescent="0.2"/>
    <row r="2403" s="2043" customFormat="1" x14ac:dyDescent="0.2"/>
    <row r="2404" s="2043" customFormat="1" x14ac:dyDescent="0.2"/>
    <row r="2405" s="2043" customFormat="1" x14ac:dyDescent="0.2"/>
    <row r="2406" s="2043" customFormat="1" x14ac:dyDescent="0.2"/>
    <row r="2407" s="2043" customFormat="1" x14ac:dyDescent="0.2"/>
    <row r="2408" s="2043" customFormat="1" x14ac:dyDescent="0.2"/>
    <row r="2409" s="2043" customFormat="1" x14ac:dyDescent="0.2"/>
    <row r="2410" s="2043" customFormat="1" x14ac:dyDescent="0.2"/>
    <row r="2411" s="2043" customFormat="1" x14ac:dyDescent="0.2"/>
    <row r="2412" s="2043" customFormat="1" x14ac:dyDescent="0.2"/>
    <row r="2413" s="2043" customFormat="1" x14ac:dyDescent="0.2"/>
    <row r="2414" s="2043" customFormat="1" x14ac:dyDescent="0.2"/>
    <row r="2415" s="2043" customFormat="1" x14ac:dyDescent="0.2"/>
    <row r="2416" s="2043" customFormat="1" x14ac:dyDescent="0.2"/>
    <row r="2417" s="2043" customFormat="1" x14ac:dyDescent="0.2"/>
    <row r="2418" s="2043" customFormat="1" x14ac:dyDescent="0.2"/>
    <row r="2419" s="2043" customFormat="1" x14ac:dyDescent="0.2"/>
    <row r="2420" s="2043" customFormat="1" x14ac:dyDescent="0.2"/>
    <row r="2421" s="2043" customFormat="1" x14ac:dyDescent="0.2"/>
    <row r="2422" s="2043" customFormat="1" x14ac:dyDescent="0.2"/>
    <row r="2423" s="2043" customFormat="1" x14ac:dyDescent="0.2"/>
    <row r="2424" s="2043" customFormat="1" x14ac:dyDescent="0.2"/>
    <row r="2425" s="2043" customFormat="1" x14ac:dyDescent="0.2"/>
    <row r="2426" s="2043" customFormat="1" x14ac:dyDescent="0.2"/>
    <row r="2427" s="2043" customFormat="1" x14ac:dyDescent="0.2"/>
    <row r="2428" s="2043" customFormat="1" x14ac:dyDescent="0.2"/>
    <row r="2429" s="2043" customFormat="1" x14ac:dyDescent="0.2"/>
    <row r="2430" s="2043" customFormat="1" x14ac:dyDescent="0.2"/>
    <row r="2431" s="2043" customFormat="1" x14ac:dyDescent="0.2"/>
    <row r="2432" s="2043" customFormat="1" x14ac:dyDescent="0.2"/>
    <row r="2433" s="2043" customFormat="1" x14ac:dyDescent="0.2"/>
    <row r="2434" s="2043" customFormat="1" x14ac:dyDescent="0.2"/>
    <row r="2435" s="2043" customFormat="1" x14ac:dyDescent="0.2"/>
    <row r="2436" s="2043" customFormat="1" x14ac:dyDescent="0.2"/>
    <row r="2437" s="2043" customFormat="1" x14ac:dyDescent="0.2"/>
    <row r="2438" s="2043" customFormat="1" x14ac:dyDescent="0.2"/>
    <row r="2439" s="2043" customFormat="1" x14ac:dyDescent="0.2"/>
    <row r="2440" s="2043" customFormat="1" x14ac:dyDescent="0.2"/>
    <row r="2441" s="2043" customFormat="1" x14ac:dyDescent="0.2"/>
    <row r="2442" s="2043" customFormat="1" x14ac:dyDescent="0.2"/>
    <row r="2443" s="2043" customFormat="1" x14ac:dyDescent="0.2"/>
    <row r="2444" s="2043" customFormat="1" x14ac:dyDescent="0.2"/>
    <row r="2445" s="2043" customFormat="1" x14ac:dyDescent="0.2"/>
    <row r="2446" s="2043" customFormat="1" x14ac:dyDescent="0.2"/>
    <row r="2447" s="2043" customFormat="1" x14ac:dyDescent="0.2"/>
    <row r="2448" s="2043" customFormat="1" x14ac:dyDescent="0.2"/>
    <row r="2449" s="2043" customFormat="1" x14ac:dyDescent="0.2"/>
    <row r="2450" s="2043" customFormat="1" x14ac:dyDescent="0.2"/>
    <row r="2451" s="2043" customFormat="1" x14ac:dyDescent="0.2"/>
    <row r="2452" s="2043" customFormat="1" x14ac:dyDescent="0.2"/>
    <row r="2453" s="2043" customFormat="1" x14ac:dyDescent="0.2"/>
    <row r="2454" s="2043" customFormat="1" x14ac:dyDescent="0.2"/>
    <row r="2455" s="2043" customFormat="1" x14ac:dyDescent="0.2"/>
    <row r="2456" s="2043" customFormat="1" x14ac:dyDescent="0.2"/>
    <row r="2457" s="2043" customFormat="1" x14ac:dyDescent="0.2"/>
    <row r="2458" s="2043" customFormat="1" x14ac:dyDescent="0.2"/>
    <row r="2459" s="2043" customFormat="1" x14ac:dyDescent="0.2"/>
    <row r="2460" s="2043" customFormat="1" x14ac:dyDescent="0.2"/>
    <row r="2461" s="2043" customFormat="1" x14ac:dyDescent="0.2"/>
    <row r="2462" s="2043" customFormat="1" x14ac:dyDescent="0.2"/>
    <row r="2463" s="2043" customFormat="1" x14ac:dyDescent="0.2"/>
    <row r="2464" s="2043" customFormat="1" x14ac:dyDescent="0.2"/>
    <row r="2465" s="2043" customFormat="1" x14ac:dyDescent="0.2"/>
    <row r="2466" s="2043" customFormat="1" x14ac:dyDescent="0.2"/>
    <row r="2467" s="2043" customFormat="1" x14ac:dyDescent="0.2"/>
    <row r="2468" s="2043" customFormat="1" x14ac:dyDescent="0.2"/>
    <row r="2469" s="2043" customFormat="1" x14ac:dyDescent="0.2"/>
    <row r="2470" s="2043" customFormat="1" x14ac:dyDescent="0.2"/>
    <row r="2471" s="2043" customFormat="1" x14ac:dyDescent="0.2"/>
    <row r="2472" s="2043" customFormat="1" x14ac:dyDescent="0.2"/>
    <row r="2473" s="2043" customFormat="1" x14ac:dyDescent="0.2"/>
    <row r="2474" s="2043" customFormat="1" x14ac:dyDescent="0.2"/>
    <row r="2475" s="2043" customFormat="1" x14ac:dyDescent="0.2"/>
    <row r="2476" s="2043" customFormat="1" x14ac:dyDescent="0.2"/>
    <row r="2477" s="2043" customFormat="1" x14ac:dyDescent="0.2"/>
    <row r="2478" s="2043" customFormat="1" x14ac:dyDescent="0.2"/>
    <row r="2479" s="2043" customFormat="1" x14ac:dyDescent="0.2"/>
    <row r="2480" s="2043" customFormat="1" x14ac:dyDescent="0.2"/>
    <row r="2481" s="2043" customFormat="1" x14ac:dyDescent="0.2"/>
    <row r="2482" s="2043" customFormat="1" x14ac:dyDescent="0.2"/>
    <row r="2483" s="2043" customFormat="1" x14ac:dyDescent="0.2"/>
    <row r="2484" s="2043" customFormat="1" x14ac:dyDescent="0.2"/>
    <row r="2485" s="2043" customFormat="1" x14ac:dyDescent="0.2"/>
    <row r="2486" s="2043" customFormat="1" x14ac:dyDescent="0.2"/>
    <row r="2487" s="2043" customFormat="1" x14ac:dyDescent="0.2"/>
    <row r="2488" s="2043" customFormat="1" x14ac:dyDescent="0.2"/>
    <row r="2489" s="2043" customFormat="1" x14ac:dyDescent="0.2"/>
    <row r="2490" s="2043" customFormat="1" x14ac:dyDescent="0.2"/>
    <row r="2491" s="2043" customFormat="1" x14ac:dyDescent="0.2"/>
    <row r="2492" s="2043" customFormat="1" x14ac:dyDescent="0.2"/>
    <row r="2493" s="2043" customFormat="1" x14ac:dyDescent="0.2"/>
    <row r="2494" s="2043" customFormat="1" x14ac:dyDescent="0.2"/>
    <row r="2495" s="2043" customFormat="1" x14ac:dyDescent="0.2"/>
    <row r="2496" s="2043" customFormat="1" x14ac:dyDescent="0.2"/>
    <row r="2497" s="2043" customFormat="1" x14ac:dyDescent="0.2"/>
    <row r="2498" s="2043" customFormat="1" x14ac:dyDescent="0.2"/>
    <row r="2499" s="2043" customFormat="1" x14ac:dyDescent="0.2"/>
    <row r="2500" s="2043" customFormat="1" x14ac:dyDescent="0.2"/>
    <row r="2501" s="2043" customFormat="1" x14ac:dyDescent="0.2"/>
    <row r="2502" s="2043" customFormat="1" x14ac:dyDescent="0.2"/>
    <row r="2503" s="2043" customFormat="1" x14ac:dyDescent="0.2"/>
    <row r="2504" s="2043" customFormat="1" x14ac:dyDescent="0.2"/>
    <row r="2505" s="2043" customFormat="1" x14ac:dyDescent="0.2"/>
    <row r="2506" s="2043" customFormat="1" x14ac:dyDescent="0.2"/>
    <row r="2507" s="2043" customFormat="1" x14ac:dyDescent="0.2"/>
    <row r="2508" s="2043" customFormat="1" x14ac:dyDescent="0.2"/>
    <row r="2509" s="2043" customFormat="1" x14ac:dyDescent="0.2"/>
    <row r="2510" s="2043" customFormat="1" x14ac:dyDescent="0.2"/>
    <row r="2511" s="2043" customFormat="1" x14ac:dyDescent="0.2"/>
    <row r="2512" s="2043" customFormat="1" x14ac:dyDescent="0.2"/>
    <row r="2513" s="2043" customFormat="1" x14ac:dyDescent="0.2"/>
    <row r="2514" s="2043" customFormat="1" x14ac:dyDescent="0.2"/>
    <row r="2515" s="2043" customFormat="1" x14ac:dyDescent="0.2"/>
    <row r="2516" s="2043" customFormat="1" x14ac:dyDescent="0.2"/>
    <row r="2517" s="2043" customFormat="1" x14ac:dyDescent="0.2"/>
    <row r="2518" s="2043" customFormat="1" x14ac:dyDescent="0.2"/>
    <row r="2519" s="2043" customFormat="1" x14ac:dyDescent="0.2"/>
    <row r="2520" s="2043" customFormat="1" x14ac:dyDescent="0.2"/>
    <row r="2521" s="2043" customFormat="1" x14ac:dyDescent="0.2"/>
    <row r="2522" s="2043" customFormat="1" x14ac:dyDescent="0.2"/>
    <row r="2523" s="2043" customFormat="1" x14ac:dyDescent="0.2"/>
    <row r="2524" s="2043" customFormat="1" x14ac:dyDescent="0.2"/>
    <row r="2525" s="2043" customFormat="1" x14ac:dyDescent="0.2"/>
    <row r="2526" s="2043" customFormat="1" x14ac:dyDescent="0.2"/>
    <row r="2527" s="2043" customFormat="1" x14ac:dyDescent="0.2"/>
    <row r="2528" s="2043" customFormat="1" x14ac:dyDescent="0.2"/>
    <row r="2529" s="2043" customFormat="1" x14ac:dyDescent="0.2"/>
    <row r="2530" s="2043" customFormat="1" x14ac:dyDescent="0.2"/>
    <row r="2531" s="2043" customFormat="1" x14ac:dyDescent="0.2"/>
    <row r="2532" s="2043" customFormat="1" x14ac:dyDescent="0.2"/>
    <row r="2533" s="2043" customFormat="1" x14ac:dyDescent="0.2"/>
    <row r="2534" s="2043" customFormat="1" x14ac:dyDescent="0.2"/>
    <row r="2535" s="2043" customFormat="1" x14ac:dyDescent="0.2"/>
    <row r="2536" s="2043" customFormat="1" x14ac:dyDescent="0.2"/>
    <row r="2537" s="2043" customFormat="1" x14ac:dyDescent="0.2"/>
    <row r="2538" s="2043" customFormat="1" x14ac:dyDescent="0.2"/>
    <row r="2539" s="2043" customFormat="1" x14ac:dyDescent="0.2"/>
    <row r="2540" s="2043" customFormat="1" x14ac:dyDescent="0.2"/>
    <row r="2541" s="2043" customFormat="1" x14ac:dyDescent="0.2"/>
    <row r="2542" s="2043" customFormat="1" x14ac:dyDescent="0.2"/>
    <row r="2543" s="2043" customFormat="1" x14ac:dyDescent="0.2"/>
    <row r="2544" s="2043" customFormat="1" x14ac:dyDescent="0.2"/>
    <row r="2545" s="2043" customFormat="1" x14ac:dyDescent="0.2"/>
    <row r="2546" s="2043" customFormat="1" x14ac:dyDescent="0.2"/>
    <row r="2547" s="2043" customFormat="1" x14ac:dyDescent="0.2"/>
    <row r="2548" s="2043" customFormat="1" x14ac:dyDescent="0.2"/>
    <row r="2549" s="2043" customFormat="1" x14ac:dyDescent="0.2"/>
    <row r="2550" s="2043" customFormat="1" x14ac:dyDescent="0.2"/>
    <row r="2551" s="2043" customFormat="1" x14ac:dyDescent="0.2"/>
    <row r="2552" s="2043" customFormat="1" x14ac:dyDescent="0.2"/>
    <row r="2553" s="2043" customFormat="1" x14ac:dyDescent="0.2"/>
    <row r="2554" s="2043" customFormat="1" x14ac:dyDescent="0.2"/>
    <row r="2555" s="2043" customFormat="1" x14ac:dyDescent="0.2"/>
    <row r="2556" s="2043" customFormat="1" x14ac:dyDescent="0.2"/>
    <row r="2557" s="2043" customFormat="1" x14ac:dyDescent="0.2"/>
    <row r="2558" s="2043" customFormat="1" x14ac:dyDescent="0.2"/>
    <row r="2559" s="2043" customFormat="1" x14ac:dyDescent="0.2"/>
    <row r="2560" s="2043" customFormat="1" x14ac:dyDescent="0.2"/>
    <row r="2561" s="2043" customFormat="1" x14ac:dyDescent="0.2"/>
    <row r="2562" s="2043" customFormat="1" x14ac:dyDescent="0.2"/>
    <row r="2563" s="2043" customFormat="1" x14ac:dyDescent="0.2"/>
    <row r="2564" s="2043" customFormat="1" x14ac:dyDescent="0.2"/>
    <row r="2565" s="2043" customFormat="1" x14ac:dyDescent="0.2"/>
    <row r="2566" s="2043" customFormat="1" x14ac:dyDescent="0.2"/>
    <row r="2567" s="2043" customFormat="1" x14ac:dyDescent="0.2"/>
    <row r="2568" s="2043" customFormat="1" x14ac:dyDescent="0.2"/>
    <row r="2569" s="2043" customFormat="1" x14ac:dyDescent="0.2"/>
    <row r="2570" s="2043" customFormat="1" x14ac:dyDescent="0.2"/>
    <row r="2571" s="2043" customFormat="1" x14ac:dyDescent="0.2"/>
    <row r="2572" s="2043" customFormat="1" x14ac:dyDescent="0.2"/>
    <row r="2573" s="2043" customFormat="1" x14ac:dyDescent="0.2"/>
    <row r="2574" s="2043" customFormat="1" x14ac:dyDescent="0.2"/>
    <row r="2575" s="2043" customFormat="1" x14ac:dyDescent="0.2"/>
    <row r="2576" s="2043" customFormat="1" x14ac:dyDescent="0.2"/>
    <row r="2577" s="2043" customFormat="1" x14ac:dyDescent="0.2"/>
    <row r="2578" s="2043" customFormat="1" x14ac:dyDescent="0.2"/>
    <row r="2579" s="2043" customFormat="1" x14ac:dyDescent="0.2"/>
    <row r="2580" s="2043" customFormat="1" x14ac:dyDescent="0.2"/>
    <row r="2581" s="2043" customFormat="1" x14ac:dyDescent="0.2"/>
    <row r="2582" s="2043" customFormat="1" x14ac:dyDescent="0.2"/>
    <row r="2583" s="2043" customFormat="1" x14ac:dyDescent="0.2"/>
    <row r="2584" s="2043" customFormat="1" x14ac:dyDescent="0.2"/>
    <row r="2585" s="2043" customFormat="1" x14ac:dyDescent="0.2"/>
    <row r="2586" s="2043" customFormat="1" x14ac:dyDescent="0.2"/>
    <row r="2587" s="2043" customFormat="1" x14ac:dyDescent="0.2"/>
    <row r="2588" s="2043" customFormat="1" x14ac:dyDescent="0.2"/>
    <row r="2589" s="2043" customFormat="1" x14ac:dyDescent="0.2"/>
    <row r="2590" s="2043" customFormat="1" x14ac:dyDescent="0.2"/>
    <row r="2591" s="2043" customFormat="1" x14ac:dyDescent="0.2"/>
    <row r="2592" s="2043" customFormat="1" x14ac:dyDescent="0.2"/>
    <row r="2593" s="2043" customFormat="1" x14ac:dyDescent="0.2"/>
    <row r="2594" s="2043" customFormat="1" x14ac:dyDescent="0.2"/>
    <row r="2595" s="2043" customFormat="1" x14ac:dyDescent="0.2"/>
    <row r="2596" s="2043" customFormat="1" x14ac:dyDescent="0.2"/>
    <row r="2597" s="2043" customFormat="1" x14ac:dyDescent="0.2"/>
    <row r="2598" s="2043" customFormat="1" x14ac:dyDescent="0.2"/>
    <row r="2599" s="2043" customFormat="1" x14ac:dyDescent="0.2"/>
    <row r="2600" s="2043" customFormat="1" x14ac:dyDescent="0.2"/>
    <row r="2601" s="2043" customFormat="1" x14ac:dyDescent="0.2"/>
    <row r="2602" s="2043" customFormat="1" x14ac:dyDescent="0.2"/>
    <row r="2603" s="2043" customFormat="1" x14ac:dyDescent="0.2"/>
    <row r="2604" s="2043" customFormat="1" x14ac:dyDescent="0.2"/>
    <row r="2605" s="2043" customFormat="1" x14ac:dyDescent="0.2"/>
    <row r="2606" s="2043" customFormat="1" x14ac:dyDescent="0.2"/>
    <row r="2607" s="2043" customFormat="1" x14ac:dyDescent="0.2"/>
    <row r="2608" s="2043" customFormat="1" x14ac:dyDescent="0.2"/>
    <row r="2609" s="2043" customFormat="1" x14ac:dyDescent="0.2"/>
    <row r="2610" s="2043" customFormat="1" x14ac:dyDescent="0.2"/>
    <row r="2611" s="2043" customFormat="1" x14ac:dyDescent="0.2"/>
    <row r="2612" s="2043" customFormat="1" x14ac:dyDescent="0.2"/>
    <row r="2613" s="2043" customFormat="1" x14ac:dyDescent="0.2"/>
    <row r="2614" s="2043" customFormat="1" x14ac:dyDescent="0.2"/>
    <row r="2615" s="2043" customFormat="1" x14ac:dyDescent="0.2"/>
    <row r="2616" s="2043" customFormat="1" x14ac:dyDescent="0.2"/>
    <row r="2617" s="2043" customFormat="1" x14ac:dyDescent="0.2"/>
    <row r="2618" s="2043" customFormat="1" x14ac:dyDescent="0.2"/>
    <row r="2619" s="2043" customFormat="1" x14ac:dyDescent="0.2"/>
    <row r="2620" s="2043" customFormat="1" x14ac:dyDescent="0.2"/>
    <row r="2621" s="2043" customFormat="1" x14ac:dyDescent="0.2"/>
    <row r="2622" s="2043" customFormat="1" x14ac:dyDescent="0.2"/>
    <row r="2623" s="2043" customFormat="1" x14ac:dyDescent="0.2"/>
    <row r="2624" s="2043" customFormat="1" x14ac:dyDescent="0.2"/>
    <row r="2625" s="2043" customFormat="1" x14ac:dyDescent="0.2"/>
    <row r="2626" s="2043" customFormat="1" x14ac:dyDescent="0.2"/>
    <row r="2627" s="2043" customFormat="1" x14ac:dyDescent="0.2"/>
    <row r="2628" s="2043" customFormat="1" x14ac:dyDescent="0.2"/>
    <row r="2629" s="2043" customFormat="1" x14ac:dyDescent="0.2"/>
    <row r="2630" s="2043" customFormat="1" x14ac:dyDescent="0.2"/>
    <row r="2631" s="2043" customFormat="1" x14ac:dyDescent="0.2"/>
    <row r="2632" s="2043" customFormat="1" x14ac:dyDescent="0.2"/>
    <row r="2633" s="2043" customFormat="1" x14ac:dyDescent="0.2"/>
    <row r="2634" s="2043" customFormat="1" x14ac:dyDescent="0.2"/>
    <row r="2635" s="2043" customFormat="1" x14ac:dyDescent="0.2"/>
    <row r="2636" s="2043" customFormat="1" x14ac:dyDescent="0.2"/>
    <row r="2637" s="2043" customFormat="1" x14ac:dyDescent="0.2"/>
    <row r="2638" s="2043" customFormat="1" x14ac:dyDescent="0.2"/>
    <row r="2639" s="2043" customFormat="1" x14ac:dyDescent="0.2"/>
    <row r="2640" s="2043" customFormat="1" x14ac:dyDescent="0.2"/>
    <row r="2641" s="2043" customFormat="1" x14ac:dyDescent="0.2"/>
    <row r="2642" s="2043" customFormat="1" x14ac:dyDescent="0.2"/>
    <row r="2643" s="2043" customFormat="1" x14ac:dyDescent="0.2"/>
    <row r="2644" s="2043" customFormat="1" x14ac:dyDescent="0.2"/>
    <row r="2645" s="2043" customFormat="1" x14ac:dyDescent="0.2"/>
    <row r="2646" s="2043" customFormat="1" x14ac:dyDescent="0.2"/>
    <row r="2647" s="2043" customFormat="1" x14ac:dyDescent="0.2"/>
    <row r="2648" s="2043" customFormat="1" x14ac:dyDescent="0.2"/>
    <row r="2649" s="2043" customFormat="1" x14ac:dyDescent="0.2"/>
    <row r="2650" s="2043" customFormat="1" x14ac:dyDescent="0.2"/>
    <row r="2651" s="2043" customFormat="1" x14ac:dyDescent="0.2"/>
    <row r="2652" s="2043" customFormat="1" x14ac:dyDescent="0.2"/>
    <row r="2653" s="2043" customFormat="1" x14ac:dyDescent="0.2"/>
    <row r="2654" s="2043" customFormat="1" x14ac:dyDescent="0.2"/>
    <row r="2655" s="2043" customFormat="1" x14ac:dyDescent="0.2"/>
    <row r="2656" s="2043" customFormat="1" x14ac:dyDescent="0.2"/>
    <row r="2657" s="2043" customFormat="1" x14ac:dyDescent="0.2"/>
    <row r="2658" s="2043" customFormat="1" x14ac:dyDescent="0.2"/>
    <row r="2659" s="2043" customFormat="1" x14ac:dyDescent="0.2"/>
    <row r="2660" s="2043" customFormat="1" x14ac:dyDescent="0.2"/>
    <row r="2661" s="2043" customFormat="1" x14ac:dyDescent="0.2"/>
    <row r="2662" s="2043" customFormat="1" x14ac:dyDescent="0.2"/>
    <row r="2663" s="2043" customFormat="1" x14ac:dyDescent="0.2"/>
    <row r="2664" s="2043" customFormat="1" x14ac:dyDescent="0.2"/>
    <row r="2665" s="2043" customFormat="1" x14ac:dyDescent="0.2"/>
    <row r="2666" s="2043" customFormat="1" x14ac:dyDescent="0.2"/>
    <row r="2667" s="2043" customFormat="1" x14ac:dyDescent="0.2"/>
    <row r="2668" s="2043" customFormat="1" x14ac:dyDescent="0.2"/>
    <row r="2669" s="2043" customFormat="1" x14ac:dyDescent="0.2"/>
    <row r="2670" s="2043" customFormat="1" x14ac:dyDescent="0.2"/>
    <row r="2671" s="2043" customFormat="1" x14ac:dyDescent="0.2"/>
    <row r="2672" s="2043" customFormat="1" x14ac:dyDescent="0.2"/>
    <row r="2673" s="2043" customFormat="1" x14ac:dyDescent="0.2"/>
    <row r="2674" s="2043" customFormat="1" x14ac:dyDescent="0.2"/>
    <row r="2675" s="2043" customFormat="1" x14ac:dyDescent="0.2"/>
    <row r="2676" s="2043" customFormat="1" x14ac:dyDescent="0.2"/>
    <row r="2677" s="2043" customFormat="1" x14ac:dyDescent="0.2"/>
    <row r="2678" s="2043" customFormat="1" x14ac:dyDescent="0.2"/>
    <row r="2679" s="2043" customFormat="1" x14ac:dyDescent="0.2"/>
    <row r="2680" s="2043" customFormat="1" x14ac:dyDescent="0.2"/>
    <row r="2681" s="2043" customFormat="1" x14ac:dyDescent="0.2"/>
    <row r="2682" s="2043" customFormat="1" x14ac:dyDescent="0.2"/>
    <row r="2683" s="2043" customFormat="1" x14ac:dyDescent="0.2"/>
    <row r="2684" s="2043" customFormat="1" x14ac:dyDescent="0.2"/>
    <row r="2685" s="2043" customFormat="1" x14ac:dyDescent="0.2"/>
    <row r="2686" s="2043" customFormat="1" x14ac:dyDescent="0.2"/>
    <row r="2687" s="2043" customFormat="1" x14ac:dyDescent="0.2"/>
    <row r="2688" s="2043" customFormat="1" x14ac:dyDescent="0.2"/>
    <row r="2689" s="2043" customFormat="1" x14ac:dyDescent="0.2"/>
    <row r="2690" s="2043" customFormat="1" x14ac:dyDescent="0.2"/>
    <row r="2691" s="2043" customFormat="1" x14ac:dyDescent="0.2"/>
    <row r="2692" s="2043" customFormat="1" x14ac:dyDescent="0.2"/>
    <row r="2693" s="2043" customFormat="1" x14ac:dyDescent="0.2"/>
    <row r="2694" s="2043" customFormat="1" x14ac:dyDescent="0.2"/>
    <row r="2695" s="2043" customFormat="1" x14ac:dyDescent="0.2"/>
    <row r="2696" s="2043" customFormat="1" x14ac:dyDescent="0.2"/>
    <row r="2697" s="2043" customFormat="1" x14ac:dyDescent="0.2"/>
    <row r="2698" s="2043" customFormat="1" x14ac:dyDescent="0.2"/>
    <row r="2699" s="2043" customFormat="1" x14ac:dyDescent="0.2"/>
    <row r="2700" s="2043" customFormat="1" x14ac:dyDescent="0.2"/>
    <row r="2701" s="2043" customFormat="1" x14ac:dyDescent="0.2"/>
    <row r="2702" s="2043" customFormat="1" x14ac:dyDescent="0.2"/>
    <row r="2703" s="2043" customFormat="1" x14ac:dyDescent="0.2"/>
    <row r="2704" s="2043" customFormat="1" x14ac:dyDescent="0.2"/>
    <row r="2705" s="2043" customFormat="1" x14ac:dyDescent="0.2"/>
    <row r="2706" s="2043" customFormat="1" x14ac:dyDescent="0.2"/>
    <row r="2707" s="2043" customFormat="1" x14ac:dyDescent="0.2"/>
    <row r="2708" s="2043" customFormat="1" x14ac:dyDescent="0.2"/>
    <row r="2709" s="2043" customFormat="1" x14ac:dyDescent="0.2"/>
    <row r="2710" s="2043" customFormat="1" x14ac:dyDescent="0.2"/>
    <row r="2711" s="2043" customFormat="1" x14ac:dyDescent="0.2"/>
    <row r="2712" s="2043" customFormat="1" x14ac:dyDescent="0.2"/>
    <row r="2713" s="2043" customFormat="1" x14ac:dyDescent="0.2"/>
    <row r="2714" s="2043" customFormat="1" x14ac:dyDescent="0.2"/>
    <row r="2715" s="2043" customFormat="1" x14ac:dyDescent="0.2"/>
    <row r="2716" s="2043" customFormat="1" x14ac:dyDescent="0.2"/>
    <row r="2717" s="2043" customFormat="1" x14ac:dyDescent="0.2"/>
    <row r="2718" s="2043" customFormat="1" x14ac:dyDescent="0.2"/>
    <row r="2719" s="2043" customFormat="1" x14ac:dyDescent="0.2"/>
    <row r="2720" s="2043" customFormat="1" x14ac:dyDescent="0.2"/>
    <row r="2721" s="2043" customFormat="1" x14ac:dyDescent="0.2"/>
    <row r="2722" s="2043" customFormat="1" x14ac:dyDescent="0.2"/>
    <row r="2723" s="2043" customFormat="1" x14ac:dyDescent="0.2"/>
    <row r="2724" s="2043" customFormat="1" x14ac:dyDescent="0.2"/>
    <row r="2725" s="2043" customFormat="1" x14ac:dyDescent="0.2"/>
    <row r="2726" s="2043" customFormat="1" x14ac:dyDescent="0.2"/>
    <row r="2727" s="2043" customFormat="1" x14ac:dyDescent="0.2"/>
    <row r="2728" s="2043" customFormat="1" x14ac:dyDescent="0.2"/>
    <row r="2729" s="2043" customFormat="1" x14ac:dyDescent="0.2"/>
    <row r="2730" s="2043" customFormat="1" x14ac:dyDescent="0.2"/>
    <row r="2731" s="2043" customFormat="1" x14ac:dyDescent="0.2"/>
    <row r="2732" s="2043" customFormat="1" x14ac:dyDescent="0.2"/>
    <row r="2733" s="2043" customFormat="1" x14ac:dyDescent="0.2"/>
    <row r="2734" s="2043" customFormat="1" x14ac:dyDescent="0.2"/>
    <row r="2735" s="2043" customFormat="1" x14ac:dyDescent="0.2"/>
    <row r="2736" s="2043" customFormat="1" x14ac:dyDescent="0.2"/>
    <row r="2737" s="2043" customFormat="1" x14ac:dyDescent="0.2"/>
    <row r="2738" s="2043" customFormat="1" x14ac:dyDescent="0.2"/>
    <row r="2739" s="2043" customFormat="1" x14ac:dyDescent="0.2"/>
    <row r="2740" s="2043" customFormat="1" x14ac:dyDescent="0.2"/>
    <row r="2741" s="2043" customFormat="1" x14ac:dyDescent="0.2"/>
    <row r="2742" s="2043" customFormat="1" x14ac:dyDescent="0.2"/>
    <row r="2743" s="2043" customFormat="1" x14ac:dyDescent="0.2"/>
    <row r="2744" s="2043" customFormat="1" x14ac:dyDescent="0.2"/>
    <row r="2745" s="2043" customFormat="1" x14ac:dyDescent="0.2"/>
    <row r="2746" s="2043" customFormat="1" x14ac:dyDescent="0.2"/>
    <row r="2747" s="2043" customFormat="1" x14ac:dyDescent="0.2"/>
    <row r="2748" s="2043" customFormat="1" x14ac:dyDescent="0.2"/>
    <row r="2749" s="2043" customFormat="1" x14ac:dyDescent="0.2"/>
    <row r="2750" s="2043" customFormat="1" x14ac:dyDescent="0.2"/>
    <row r="2751" s="2043" customFormat="1" x14ac:dyDescent="0.2"/>
    <row r="2752" s="2043" customFormat="1" x14ac:dyDescent="0.2"/>
    <row r="2753" s="2043" customFormat="1" x14ac:dyDescent="0.2"/>
    <row r="2754" s="2043" customFormat="1" x14ac:dyDescent="0.2"/>
    <row r="2755" s="2043" customFormat="1" x14ac:dyDescent="0.2"/>
    <row r="2756" s="2043" customFormat="1" x14ac:dyDescent="0.2"/>
    <row r="2757" s="2043" customFormat="1" x14ac:dyDescent="0.2"/>
    <row r="2758" s="2043" customFormat="1" x14ac:dyDescent="0.2"/>
    <row r="2759" s="2043" customFormat="1" x14ac:dyDescent="0.2"/>
    <row r="2760" s="2043" customFormat="1" x14ac:dyDescent="0.2"/>
    <row r="2761" s="2043" customFormat="1" x14ac:dyDescent="0.2"/>
    <row r="2762" s="2043" customFormat="1" x14ac:dyDescent="0.2"/>
    <row r="2763" s="2043" customFormat="1" x14ac:dyDescent="0.2"/>
    <row r="2764" s="2043" customFormat="1" x14ac:dyDescent="0.2"/>
    <row r="2765" s="2043" customFormat="1" x14ac:dyDescent="0.2"/>
    <row r="2766" s="2043" customFormat="1" x14ac:dyDescent="0.2"/>
    <row r="2767" s="2043" customFormat="1" x14ac:dyDescent="0.2"/>
    <row r="2768" s="2043" customFormat="1" x14ac:dyDescent="0.2"/>
    <row r="2769" s="2043" customFormat="1" x14ac:dyDescent="0.2"/>
    <row r="2770" s="2043" customFormat="1" x14ac:dyDescent="0.2"/>
    <row r="2771" s="2043" customFormat="1" x14ac:dyDescent="0.2"/>
    <row r="2772" s="2043" customFormat="1" x14ac:dyDescent="0.2"/>
    <row r="2773" s="2043" customFormat="1" x14ac:dyDescent="0.2"/>
    <row r="2774" s="2043" customFormat="1" x14ac:dyDescent="0.2"/>
    <row r="2775" s="2043" customFormat="1" x14ac:dyDescent="0.2"/>
    <row r="2776" s="2043" customFormat="1" x14ac:dyDescent="0.2"/>
    <row r="2777" s="2043" customFormat="1" x14ac:dyDescent="0.2"/>
    <row r="2778" s="2043" customFormat="1" x14ac:dyDescent="0.2"/>
    <row r="2779" s="2043" customFormat="1" x14ac:dyDescent="0.2"/>
    <row r="2780" s="2043" customFormat="1" x14ac:dyDescent="0.2"/>
    <row r="2781" s="2043" customFormat="1" x14ac:dyDescent="0.2"/>
    <row r="2782" s="2043" customFormat="1" x14ac:dyDescent="0.2"/>
    <row r="2783" s="2043" customFormat="1" x14ac:dyDescent="0.2"/>
    <row r="2784" s="2043" customFormat="1" x14ac:dyDescent="0.2"/>
    <row r="2785" s="2043" customFormat="1" x14ac:dyDescent="0.2"/>
    <row r="2786" s="2043" customFormat="1" x14ac:dyDescent="0.2"/>
    <row r="2787" s="2043" customFormat="1" x14ac:dyDescent="0.2"/>
    <row r="2788" s="2043" customFormat="1" x14ac:dyDescent="0.2"/>
    <row r="2789" s="2043" customFormat="1" x14ac:dyDescent="0.2"/>
    <row r="2790" s="2043" customFormat="1" x14ac:dyDescent="0.2"/>
    <row r="2791" s="2043" customFormat="1" x14ac:dyDescent="0.2"/>
    <row r="2792" s="2043" customFormat="1" x14ac:dyDescent="0.2"/>
    <row r="2793" s="2043" customFormat="1" x14ac:dyDescent="0.2"/>
    <row r="2794" s="2043" customFormat="1" x14ac:dyDescent="0.2"/>
    <row r="2795" s="2043" customFormat="1" x14ac:dyDescent="0.2"/>
    <row r="2796" s="2043" customFormat="1" x14ac:dyDescent="0.2"/>
    <row r="2797" s="2043" customFormat="1" x14ac:dyDescent="0.2"/>
    <row r="2798" s="2043" customFormat="1" x14ac:dyDescent="0.2"/>
    <row r="2799" s="2043" customFormat="1" x14ac:dyDescent="0.2"/>
    <row r="2800" s="2043" customFormat="1" x14ac:dyDescent="0.2"/>
    <row r="2801" s="2043" customFormat="1" x14ac:dyDescent="0.2"/>
    <row r="2802" s="2043" customFormat="1" x14ac:dyDescent="0.2"/>
    <row r="2803" s="2043" customFormat="1" x14ac:dyDescent="0.2"/>
    <row r="2804" s="2043" customFormat="1" x14ac:dyDescent="0.2"/>
    <row r="2805" s="2043" customFormat="1" x14ac:dyDescent="0.2"/>
    <row r="2806" s="2043" customFormat="1" x14ac:dyDescent="0.2"/>
    <row r="2807" s="2043" customFormat="1" x14ac:dyDescent="0.2"/>
    <row r="2808" s="2043" customFormat="1" x14ac:dyDescent="0.2"/>
    <row r="2809" s="2043" customFormat="1" x14ac:dyDescent="0.2"/>
    <row r="2810" s="2043" customFormat="1" x14ac:dyDescent="0.2"/>
    <row r="2811" s="2043" customFormat="1" x14ac:dyDescent="0.2"/>
    <row r="2812" s="2043" customFormat="1" x14ac:dyDescent="0.2"/>
    <row r="2813" s="2043" customFormat="1" x14ac:dyDescent="0.2"/>
    <row r="2814" s="2043" customFormat="1" x14ac:dyDescent="0.2"/>
    <row r="2815" s="2043" customFormat="1" x14ac:dyDescent="0.2"/>
    <row r="2816" s="2043" customFormat="1" x14ac:dyDescent="0.2"/>
    <row r="2817" s="2043" customFormat="1" x14ac:dyDescent="0.2"/>
    <row r="2818" s="2043" customFormat="1" x14ac:dyDescent="0.2"/>
    <row r="2819" s="2043" customFormat="1" x14ac:dyDescent="0.2"/>
    <row r="2820" s="2043" customFormat="1" x14ac:dyDescent="0.2"/>
    <row r="2821" s="2043" customFormat="1" x14ac:dyDescent="0.2"/>
    <row r="2822" s="2043" customFormat="1" x14ac:dyDescent="0.2"/>
    <row r="2823" s="2043" customFormat="1" x14ac:dyDescent="0.2"/>
    <row r="2824" s="2043" customFormat="1" x14ac:dyDescent="0.2"/>
    <row r="2825" s="2043" customFormat="1" x14ac:dyDescent="0.2"/>
    <row r="2826" s="2043" customFormat="1" x14ac:dyDescent="0.2"/>
    <row r="2827" s="2043" customFormat="1" x14ac:dyDescent="0.2"/>
    <row r="2828" s="2043" customFormat="1" x14ac:dyDescent="0.2"/>
    <row r="2829" s="2043" customFormat="1" x14ac:dyDescent="0.2"/>
    <row r="2830" s="2043" customFormat="1" x14ac:dyDescent="0.2"/>
    <row r="2831" s="2043" customFormat="1" x14ac:dyDescent="0.2"/>
    <row r="2832" s="2043" customFormat="1" x14ac:dyDescent="0.2"/>
    <row r="2833" s="2043" customFormat="1" x14ac:dyDescent="0.2"/>
    <row r="2834" s="2043" customFormat="1" x14ac:dyDescent="0.2"/>
    <row r="2835" s="2043" customFormat="1" x14ac:dyDescent="0.2"/>
    <row r="2836" s="2043" customFormat="1" x14ac:dyDescent="0.2"/>
    <row r="2837" s="2043" customFormat="1" x14ac:dyDescent="0.2"/>
    <row r="2838" s="2043" customFormat="1" x14ac:dyDescent="0.2"/>
    <row r="2839" s="2043" customFormat="1" x14ac:dyDescent="0.2"/>
    <row r="2840" s="2043" customFormat="1" x14ac:dyDescent="0.2"/>
    <row r="2841" s="2043" customFormat="1" x14ac:dyDescent="0.2"/>
    <row r="2842" s="2043" customFormat="1" x14ac:dyDescent="0.2"/>
    <row r="2843" s="2043" customFormat="1" x14ac:dyDescent="0.2"/>
    <row r="2844" s="2043" customFormat="1" x14ac:dyDescent="0.2"/>
    <row r="2845" s="2043" customFormat="1" x14ac:dyDescent="0.2"/>
    <row r="2846" s="2043" customFormat="1" x14ac:dyDescent="0.2"/>
    <row r="2847" s="2043" customFormat="1" x14ac:dyDescent="0.2"/>
    <row r="2848" s="2043" customFormat="1" x14ac:dyDescent="0.2"/>
    <row r="2849" s="2043" customFormat="1" x14ac:dyDescent="0.2"/>
    <row r="2850" s="2043" customFormat="1" x14ac:dyDescent="0.2"/>
    <row r="2851" s="2043" customFormat="1" x14ac:dyDescent="0.2"/>
    <row r="2852" s="2043" customFormat="1" x14ac:dyDescent="0.2"/>
    <row r="2853" s="2043" customFormat="1" x14ac:dyDescent="0.2"/>
    <row r="2854" s="2043" customFormat="1" x14ac:dyDescent="0.2"/>
    <row r="2855" s="2043" customFormat="1" x14ac:dyDescent="0.2"/>
    <row r="2856" s="2043" customFormat="1" x14ac:dyDescent="0.2"/>
    <row r="2857" s="2043" customFormat="1" x14ac:dyDescent="0.2"/>
    <row r="2858" s="2043" customFormat="1" x14ac:dyDescent="0.2"/>
    <row r="2859" s="2043" customFormat="1" x14ac:dyDescent="0.2"/>
    <row r="2860" s="2043" customFormat="1" x14ac:dyDescent="0.2"/>
    <row r="2861" s="2043" customFormat="1" x14ac:dyDescent="0.2"/>
    <row r="2862" s="2043" customFormat="1" x14ac:dyDescent="0.2"/>
    <row r="2863" s="2043" customFormat="1" x14ac:dyDescent="0.2"/>
    <row r="2864" s="2043" customFormat="1" x14ac:dyDescent="0.2"/>
    <row r="2865" s="2043" customFormat="1" x14ac:dyDescent="0.2"/>
    <row r="2866" s="2043" customFormat="1" x14ac:dyDescent="0.2"/>
    <row r="2867" s="2043" customFormat="1" x14ac:dyDescent="0.2"/>
    <row r="2868" s="2043" customFormat="1" x14ac:dyDescent="0.2"/>
    <row r="2869" s="2043" customFormat="1" x14ac:dyDescent="0.2"/>
    <row r="2870" s="2043" customFormat="1" x14ac:dyDescent="0.2"/>
    <row r="2871" s="2043" customFormat="1" x14ac:dyDescent="0.2"/>
    <row r="2872" s="2043" customFormat="1" x14ac:dyDescent="0.2"/>
    <row r="2873" s="2043" customFormat="1" x14ac:dyDescent="0.2"/>
    <row r="2874" s="2043" customFormat="1" x14ac:dyDescent="0.2"/>
    <row r="2875" s="2043" customFormat="1" x14ac:dyDescent="0.2"/>
    <row r="2876" s="2043" customFormat="1" x14ac:dyDescent="0.2"/>
    <row r="2877" s="2043" customFormat="1" x14ac:dyDescent="0.2"/>
    <row r="2878" s="2043" customFormat="1" x14ac:dyDescent="0.2"/>
    <row r="2879" s="2043" customFormat="1" x14ac:dyDescent="0.2"/>
    <row r="2880" s="2043" customFormat="1" x14ac:dyDescent="0.2"/>
    <row r="2881" s="2043" customFormat="1" x14ac:dyDescent="0.2"/>
    <row r="2882" s="2043" customFormat="1" x14ac:dyDescent="0.2"/>
    <row r="2883" s="2043" customFormat="1" x14ac:dyDescent="0.2"/>
    <row r="2884" s="2043" customFormat="1" x14ac:dyDescent="0.2"/>
    <row r="2885" s="2043" customFormat="1" x14ac:dyDescent="0.2"/>
    <row r="2886" s="2043" customFormat="1" x14ac:dyDescent="0.2"/>
    <row r="2887" s="2043" customFormat="1" x14ac:dyDescent="0.2"/>
    <row r="2888" s="2043" customFormat="1" x14ac:dyDescent="0.2"/>
    <row r="2889" s="2043" customFormat="1" x14ac:dyDescent="0.2"/>
    <row r="2890" s="2043" customFormat="1" x14ac:dyDescent="0.2"/>
    <row r="2891" s="2043" customFormat="1" x14ac:dyDescent="0.2"/>
    <row r="2892" s="2043" customFormat="1" x14ac:dyDescent="0.2"/>
    <row r="2893" s="2043" customFormat="1" x14ac:dyDescent="0.2"/>
    <row r="2894" s="2043" customFormat="1" x14ac:dyDescent="0.2"/>
    <row r="2895" s="2043" customFormat="1" x14ac:dyDescent="0.2"/>
    <row r="2896" s="2043" customFormat="1" x14ac:dyDescent="0.2"/>
    <row r="2897" s="2043" customFormat="1" x14ac:dyDescent="0.2"/>
    <row r="2898" s="2043" customFormat="1" x14ac:dyDescent="0.2"/>
    <row r="2899" s="2043" customFormat="1" x14ac:dyDescent="0.2"/>
    <row r="2900" s="2043" customFormat="1" x14ac:dyDescent="0.2"/>
    <row r="2901" s="2043" customFormat="1" x14ac:dyDescent="0.2"/>
    <row r="2902" s="2043" customFormat="1" x14ac:dyDescent="0.2"/>
    <row r="2903" s="2043" customFormat="1" x14ac:dyDescent="0.2"/>
    <row r="2904" s="2043" customFormat="1" x14ac:dyDescent="0.2"/>
    <row r="2905" s="2043" customFormat="1" x14ac:dyDescent="0.2"/>
    <row r="2906" s="2043" customFormat="1" x14ac:dyDescent="0.2"/>
    <row r="2907" s="2043" customFormat="1" x14ac:dyDescent="0.2"/>
    <row r="2908" s="2043" customFormat="1" x14ac:dyDescent="0.2"/>
    <row r="2909" s="2043" customFormat="1" x14ac:dyDescent="0.2"/>
    <row r="2910" s="2043" customFormat="1" x14ac:dyDescent="0.2"/>
    <row r="2911" s="2043" customFormat="1" x14ac:dyDescent="0.2"/>
    <row r="2912" s="2043" customFormat="1" x14ac:dyDescent="0.2"/>
    <row r="2913" s="2043" customFormat="1" x14ac:dyDescent="0.2"/>
    <row r="2914" s="2043" customFormat="1" x14ac:dyDescent="0.2"/>
    <row r="2915" s="2043" customFormat="1" x14ac:dyDescent="0.2"/>
    <row r="2916" s="2043" customFormat="1" x14ac:dyDescent="0.2"/>
    <row r="2917" s="2043" customFormat="1" x14ac:dyDescent="0.2"/>
    <row r="2918" s="2043" customFormat="1" x14ac:dyDescent="0.2"/>
    <row r="2919" s="2043" customFormat="1" x14ac:dyDescent="0.2"/>
    <row r="2920" s="2043" customFormat="1" x14ac:dyDescent="0.2"/>
    <row r="2921" s="2043" customFormat="1" x14ac:dyDescent="0.2"/>
    <row r="2922" s="2043" customFormat="1" x14ac:dyDescent="0.2"/>
    <row r="2923" s="2043" customFormat="1" x14ac:dyDescent="0.2"/>
    <row r="2924" s="2043" customFormat="1" x14ac:dyDescent="0.2"/>
    <row r="2925" s="2043" customFormat="1" x14ac:dyDescent="0.2"/>
    <row r="2926" s="2043" customFormat="1" x14ac:dyDescent="0.2"/>
    <row r="2927" s="2043" customFormat="1" x14ac:dyDescent="0.2"/>
    <row r="2928" s="2043" customFormat="1" x14ac:dyDescent="0.2"/>
    <row r="2929" s="2043" customFormat="1" x14ac:dyDescent="0.2"/>
    <row r="2930" s="2043" customFormat="1" x14ac:dyDescent="0.2"/>
    <row r="2931" s="2043" customFormat="1" x14ac:dyDescent="0.2"/>
    <row r="2932" s="2043" customFormat="1" x14ac:dyDescent="0.2"/>
    <row r="2933" s="2043" customFormat="1" x14ac:dyDescent="0.2"/>
    <row r="2934" s="2043" customFormat="1" x14ac:dyDescent="0.2"/>
    <row r="2935" s="2043" customFormat="1" x14ac:dyDescent="0.2"/>
    <row r="2936" s="2043" customFormat="1" x14ac:dyDescent="0.2"/>
    <row r="2937" s="2043" customFormat="1" x14ac:dyDescent="0.2"/>
    <row r="2938" s="2043" customFormat="1" x14ac:dyDescent="0.2"/>
    <row r="2939" s="2043" customFormat="1" x14ac:dyDescent="0.2"/>
    <row r="2940" s="2043" customFormat="1" x14ac:dyDescent="0.2"/>
    <row r="2941" s="2043" customFormat="1" x14ac:dyDescent="0.2"/>
    <row r="2942" s="2043" customFormat="1" x14ac:dyDescent="0.2"/>
    <row r="2943" s="2043" customFormat="1" x14ac:dyDescent="0.2"/>
    <row r="2944" s="2043" customFormat="1" x14ac:dyDescent="0.2"/>
    <row r="2945" s="2043" customFormat="1" x14ac:dyDescent="0.2"/>
    <row r="2946" s="2043" customFormat="1" x14ac:dyDescent="0.2"/>
    <row r="2947" s="2043" customFormat="1" x14ac:dyDescent="0.2"/>
    <row r="2948" s="2043" customFormat="1" x14ac:dyDescent="0.2"/>
    <row r="2949" s="2043" customFormat="1" x14ac:dyDescent="0.2"/>
    <row r="2950" s="2043" customFormat="1" x14ac:dyDescent="0.2"/>
    <row r="2951" s="2043" customFormat="1" x14ac:dyDescent="0.2"/>
    <row r="2952" s="2043" customFormat="1" x14ac:dyDescent="0.2"/>
    <row r="2953" s="2043" customFormat="1" x14ac:dyDescent="0.2"/>
    <row r="2954" s="2043" customFormat="1" x14ac:dyDescent="0.2"/>
    <row r="2955" s="2043" customFormat="1" x14ac:dyDescent="0.2"/>
    <row r="2956" s="2043" customFormat="1" x14ac:dyDescent="0.2"/>
    <row r="2957" s="2043" customFormat="1" x14ac:dyDescent="0.2"/>
    <row r="2958" s="2043" customFormat="1" x14ac:dyDescent="0.2"/>
    <row r="2959" s="2043" customFormat="1" x14ac:dyDescent="0.2"/>
    <row r="2960" s="2043" customFormat="1" x14ac:dyDescent="0.2"/>
    <row r="2961" s="2043" customFormat="1" x14ac:dyDescent="0.2"/>
    <row r="2962" s="2043" customFormat="1" x14ac:dyDescent="0.2"/>
    <row r="2963" s="2043" customFormat="1" x14ac:dyDescent="0.2"/>
    <row r="2964" s="2043" customFormat="1" x14ac:dyDescent="0.2"/>
    <row r="2965" s="2043" customFormat="1" x14ac:dyDescent="0.2"/>
    <row r="2966" s="2043" customFormat="1" x14ac:dyDescent="0.2"/>
    <row r="2967" s="2043" customFormat="1" x14ac:dyDescent="0.2"/>
    <row r="2968" s="2043" customFormat="1" x14ac:dyDescent="0.2"/>
    <row r="2969" s="2043" customFormat="1" x14ac:dyDescent="0.2"/>
    <row r="2970" s="2043" customFormat="1" x14ac:dyDescent="0.2"/>
    <row r="2971" s="2043" customFormat="1" x14ac:dyDescent="0.2"/>
    <row r="2972" s="2043" customFormat="1" x14ac:dyDescent="0.2"/>
    <row r="2973" s="2043" customFormat="1" x14ac:dyDescent="0.2"/>
    <row r="2974" s="2043" customFormat="1" x14ac:dyDescent="0.2"/>
    <row r="2975" s="2043" customFormat="1" x14ac:dyDescent="0.2"/>
    <row r="2976" s="2043" customFormat="1" x14ac:dyDescent="0.2"/>
    <row r="2977" s="2043" customFormat="1" x14ac:dyDescent="0.2"/>
    <row r="2978" s="2043" customFormat="1" x14ac:dyDescent="0.2"/>
    <row r="2979" s="2043" customFormat="1" x14ac:dyDescent="0.2"/>
    <row r="2980" s="2043" customFormat="1" x14ac:dyDescent="0.2"/>
    <row r="2981" s="2043" customFormat="1" x14ac:dyDescent="0.2"/>
    <row r="2982" s="2043" customFormat="1" x14ac:dyDescent="0.2"/>
    <row r="2983" s="2043" customFormat="1" x14ac:dyDescent="0.2"/>
    <row r="2984" s="2043" customFormat="1" x14ac:dyDescent="0.2"/>
    <row r="2985" s="2043" customFormat="1" x14ac:dyDescent="0.2"/>
    <row r="2986" s="2043" customFormat="1" x14ac:dyDescent="0.2"/>
    <row r="2987" s="2043" customFormat="1" x14ac:dyDescent="0.2"/>
    <row r="2988" s="2043" customFormat="1" x14ac:dyDescent="0.2"/>
    <row r="2989" s="2043" customFormat="1" x14ac:dyDescent="0.2"/>
    <row r="2990" s="2043" customFormat="1" x14ac:dyDescent="0.2"/>
    <row r="2991" s="2043" customFormat="1" x14ac:dyDescent="0.2"/>
    <row r="2992" s="2043" customFormat="1" x14ac:dyDescent="0.2"/>
    <row r="2993" s="2043" customFormat="1" x14ac:dyDescent="0.2"/>
    <row r="2994" s="2043" customFormat="1" x14ac:dyDescent="0.2"/>
    <row r="2995" s="2043" customFormat="1" x14ac:dyDescent="0.2"/>
    <row r="2996" s="2043" customFormat="1" x14ac:dyDescent="0.2"/>
    <row r="2997" s="2043" customFormat="1" x14ac:dyDescent="0.2"/>
    <row r="2998" s="2043" customFormat="1" x14ac:dyDescent="0.2"/>
    <row r="2999" s="2043" customFormat="1" x14ac:dyDescent="0.2"/>
    <row r="3000" s="2043" customFormat="1" x14ac:dyDescent="0.2"/>
    <row r="3001" s="2043" customFormat="1" x14ac:dyDescent="0.2"/>
    <row r="3002" s="2043" customFormat="1" x14ac:dyDescent="0.2"/>
    <row r="3003" s="2043" customFormat="1" x14ac:dyDescent="0.2"/>
    <row r="3004" s="2043" customFormat="1" x14ac:dyDescent="0.2"/>
    <row r="3005" s="2043" customFormat="1" x14ac:dyDescent="0.2"/>
    <row r="3006" s="2043" customFormat="1" x14ac:dyDescent="0.2"/>
    <row r="3007" s="2043" customFormat="1" x14ac:dyDescent="0.2"/>
    <row r="3008" s="2043" customFormat="1" x14ac:dyDescent="0.2"/>
    <row r="3009" s="2043" customFormat="1" x14ac:dyDescent="0.2"/>
    <row r="3010" s="2043" customFormat="1" x14ac:dyDescent="0.2"/>
    <row r="3011" s="2043" customFormat="1" x14ac:dyDescent="0.2"/>
    <row r="3012" s="2043" customFormat="1" x14ac:dyDescent="0.2"/>
    <row r="3013" s="2043" customFormat="1" x14ac:dyDescent="0.2"/>
    <row r="3014" s="2043" customFormat="1" x14ac:dyDescent="0.2"/>
    <row r="3015" s="2043" customFormat="1" x14ac:dyDescent="0.2"/>
    <row r="3016" s="2043" customFormat="1" x14ac:dyDescent="0.2"/>
    <row r="3017" s="2043" customFormat="1" x14ac:dyDescent="0.2"/>
    <row r="3018" s="2043" customFormat="1" x14ac:dyDescent="0.2"/>
    <row r="3019" s="2043" customFormat="1" x14ac:dyDescent="0.2"/>
    <row r="3020" s="2043" customFormat="1" x14ac:dyDescent="0.2"/>
    <row r="3021" s="2043" customFormat="1" x14ac:dyDescent="0.2"/>
    <row r="3022" s="2043" customFormat="1" x14ac:dyDescent="0.2"/>
    <row r="3023" s="2043" customFormat="1" x14ac:dyDescent="0.2"/>
    <row r="3024" s="2043" customFormat="1" x14ac:dyDescent="0.2"/>
    <row r="3025" s="2043" customFormat="1" x14ac:dyDescent="0.2"/>
    <row r="3026" s="2043" customFormat="1" x14ac:dyDescent="0.2"/>
    <row r="3027" s="2043" customFormat="1" x14ac:dyDescent="0.2"/>
    <row r="3028" s="2043" customFormat="1" x14ac:dyDescent="0.2"/>
    <row r="3029" s="2043" customFormat="1" x14ac:dyDescent="0.2"/>
    <row r="3030" s="2043" customFormat="1" x14ac:dyDescent="0.2"/>
    <row r="3031" s="2043" customFormat="1" x14ac:dyDescent="0.2"/>
    <row r="3032" s="2043" customFormat="1" x14ac:dyDescent="0.2"/>
    <row r="3033" s="2043" customFormat="1" x14ac:dyDescent="0.2"/>
    <row r="3034" s="2043" customFormat="1" x14ac:dyDescent="0.2"/>
    <row r="3035" s="2043" customFormat="1" x14ac:dyDescent="0.2"/>
    <row r="3036" s="2043" customFormat="1" x14ac:dyDescent="0.2"/>
    <row r="3037" s="2043" customFormat="1" x14ac:dyDescent="0.2"/>
    <row r="3038" s="2043" customFormat="1" x14ac:dyDescent="0.2"/>
    <row r="3039" s="2043" customFormat="1" x14ac:dyDescent="0.2"/>
    <row r="3040" s="2043" customFormat="1" x14ac:dyDescent="0.2"/>
    <row r="3041" s="2043" customFormat="1" x14ac:dyDescent="0.2"/>
    <row r="3042" s="2043" customFormat="1" x14ac:dyDescent="0.2"/>
    <row r="3043" s="2043" customFormat="1" x14ac:dyDescent="0.2"/>
    <row r="3044" s="2043" customFormat="1" x14ac:dyDescent="0.2"/>
    <row r="3045" s="2043" customFormat="1" x14ac:dyDescent="0.2"/>
    <row r="3046" s="2043" customFormat="1" x14ac:dyDescent="0.2"/>
    <row r="3047" s="2043" customFormat="1" x14ac:dyDescent="0.2"/>
    <row r="3048" s="2043" customFormat="1" x14ac:dyDescent="0.2"/>
    <row r="3049" s="2043" customFormat="1" x14ac:dyDescent="0.2"/>
    <row r="3050" s="2043" customFormat="1" x14ac:dyDescent="0.2"/>
    <row r="3051" s="2043" customFormat="1" x14ac:dyDescent="0.2"/>
    <row r="3052" s="2043" customFormat="1" x14ac:dyDescent="0.2"/>
    <row r="3053" s="2043" customFormat="1" x14ac:dyDescent="0.2"/>
    <row r="3054" s="2043" customFormat="1" x14ac:dyDescent="0.2"/>
    <row r="3055" s="2043" customFormat="1" x14ac:dyDescent="0.2"/>
    <row r="3056" s="2043" customFormat="1" x14ac:dyDescent="0.2"/>
    <row r="3057" s="2043" customFormat="1" x14ac:dyDescent="0.2"/>
    <row r="3058" s="2043" customFormat="1" x14ac:dyDescent="0.2"/>
    <row r="3059" s="2043" customFormat="1" x14ac:dyDescent="0.2"/>
    <row r="3060" s="2043" customFormat="1" x14ac:dyDescent="0.2"/>
    <row r="3061" s="2043" customFormat="1" x14ac:dyDescent="0.2"/>
    <row r="3062" s="2043" customFormat="1" x14ac:dyDescent="0.2"/>
    <row r="3063" s="2043" customFormat="1" x14ac:dyDescent="0.2"/>
    <row r="3064" s="2043" customFormat="1" x14ac:dyDescent="0.2"/>
    <row r="3065" s="2043" customFormat="1" x14ac:dyDescent="0.2"/>
    <row r="3066" s="2043" customFormat="1" x14ac:dyDescent="0.2"/>
    <row r="3067" s="2043" customFormat="1" x14ac:dyDescent="0.2"/>
    <row r="3068" s="2043" customFormat="1" x14ac:dyDescent="0.2"/>
    <row r="3069" s="2043" customFormat="1" x14ac:dyDescent="0.2"/>
    <row r="3070" s="2043" customFormat="1" x14ac:dyDescent="0.2"/>
    <row r="3071" s="2043" customFormat="1" x14ac:dyDescent="0.2"/>
    <row r="3072" s="2043" customFormat="1" x14ac:dyDescent="0.2"/>
    <row r="3073" s="2043" customFormat="1" x14ac:dyDescent="0.2"/>
    <row r="3074" s="2043" customFormat="1" x14ac:dyDescent="0.2"/>
    <row r="3075" s="2043" customFormat="1" x14ac:dyDescent="0.2"/>
    <row r="3076" s="2043" customFormat="1" x14ac:dyDescent="0.2"/>
    <row r="3077" s="2043" customFormat="1" x14ac:dyDescent="0.2"/>
    <row r="3078" s="2043" customFormat="1" x14ac:dyDescent="0.2"/>
    <row r="3079" s="2043" customFormat="1" x14ac:dyDescent="0.2"/>
    <row r="3080" s="2043" customFormat="1" x14ac:dyDescent="0.2"/>
    <row r="3081" s="2043" customFormat="1" x14ac:dyDescent="0.2"/>
    <row r="3082" s="2043" customFormat="1" x14ac:dyDescent="0.2"/>
    <row r="3083" s="2043" customFormat="1" x14ac:dyDescent="0.2"/>
    <row r="3084" s="2043" customFormat="1" x14ac:dyDescent="0.2"/>
    <row r="3085" s="2043" customFormat="1" x14ac:dyDescent="0.2"/>
    <row r="3086" s="2043" customFormat="1" x14ac:dyDescent="0.2"/>
    <row r="3087" s="2043" customFormat="1" x14ac:dyDescent="0.2"/>
    <row r="3088" s="2043" customFormat="1" x14ac:dyDescent="0.2"/>
    <row r="3089" s="2043" customFormat="1" x14ac:dyDescent="0.2"/>
    <row r="3090" s="2043" customFormat="1" x14ac:dyDescent="0.2"/>
    <row r="3091" s="2043" customFormat="1" x14ac:dyDescent="0.2"/>
    <row r="3092" s="2043" customFormat="1" x14ac:dyDescent="0.2"/>
    <row r="3093" s="2043" customFormat="1" x14ac:dyDescent="0.2"/>
    <row r="3094" s="2043" customFormat="1" x14ac:dyDescent="0.2"/>
    <row r="3095" s="2043" customFormat="1" x14ac:dyDescent="0.2"/>
    <row r="3096" s="2043" customFormat="1" x14ac:dyDescent="0.2"/>
    <row r="3097" s="2043" customFormat="1" x14ac:dyDescent="0.2"/>
    <row r="3098" s="2043" customFormat="1" x14ac:dyDescent="0.2"/>
    <row r="3099" s="2043" customFormat="1" x14ac:dyDescent="0.2"/>
    <row r="3100" s="2043" customFormat="1" x14ac:dyDescent="0.2"/>
    <row r="3101" s="2043" customFormat="1" x14ac:dyDescent="0.2"/>
    <row r="3102" s="2043" customFormat="1" x14ac:dyDescent="0.2"/>
    <row r="3103" s="2043" customFormat="1" x14ac:dyDescent="0.2"/>
    <row r="3104" s="2043" customFormat="1" x14ac:dyDescent="0.2"/>
    <row r="3105" s="2043" customFormat="1" x14ac:dyDescent="0.2"/>
    <row r="3106" s="2043" customFormat="1" x14ac:dyDescent="0.2"/>
    <row r="3107" s="2043" customFormat="1" x14ac:dyDescent="0.2"/>
    <row r="3108" s="2043" customFormat="1" x14ac:dyDescent="0.2"/>
    <row r="3109" s="2043" customFormat="1" x14ac:dyDescent="0.2"/>
    <row r="3110" s="2043" customFormat="1" x14ac:dyDescent="0.2"/>
    <row r="3111" s="2043" customFormat="1" x14ac:dyDescent="0.2"/>
    <row r="3112" s="2043" customFormat="1" x14ac:dyDescent="0.2"/>
    <row r="3113" s="2043" customFormat="1" x14ac:dyDescent="0.2"/>
    <row r="3114" s="2043" customFormat="1" x14ac:dyDescent="0.2"/>
    <row r="3115" s="2043" customFormat="1" x14ac:dyDescent="0.2"/>
    <row r="3116" s="2043" customFormat="1" x14ac:dyDescent="0.2"/>
    <row r="3117" s="2043" customFormat="1" x14ac:dyDescent="0.2"/>
    <row r="3118" s="2043" customFormat="1" x14ac:dyDescent="0.2"/>
    <row r="3119" s="2043" customFormat="1" x14ac:dyDescent="0.2"/>
    <row r="3120" s="2043" customFormat="1" x14ac:dyDescent="0.2"/>
    <row r="3121" s="2043" customFormat="1" x14ac:dyDescent="0.2"/>
    <row r="3122" s="2043" customFormat="1" x14ac:dyDescent="0.2"/>
    <row r="3123" s="2043" customFormat="1" x14ac:dyDescent="0.2"/>
    <row r="3124" s="2043" customFormat="1" x14ac:dyDescent="0.2"/>
    <row r="3125" s="2043" customFormat="1" x14ac:dyDescent="0.2"/>
    <row r="3126" s="2043" customFormat="1" x14ac:dyDescent="0.2"/>
    <row r="3127" s="2043" customFormat="1" x14ac:dyDescent="0.2"/>
    <row r="3128" s="2043" customFormat="1" x14ac:dyDescent="0.2"/>
    <row r="3129" s="2043" customFormat="1" x14ac:dyDescent="0.2"/>
    <row r="3130" s="2043" customFormat="1" x14ac:dyDescent="0.2"/>
    <row r="3131" s="2043" customFormat="1" x14ac:dyDescent="0.2"/>
    <row r="3132" s="2043" customFormat="1" x14ac:dyDescent="0.2"/>
    <row r="3133" s="2043" customFormat="1" x14ac:dyDescent="0.2"/>
    <row r="3134" s="2043" customFormat="1" x14ac:dyDescent="0.2"/>
    <row r="3135" s="2043" customFormat="1" x14ac:dyDescent="0.2"/>
    <row r="3136" s="2043" customFormat="1" x14ac:dyDescent="0.2"/>
    <row r="3137" s="2043" customFormat="1" x14ac:dyDescent="0.2"/>
    <row r="3138" s="2043" customFormat="1" x14ac:dyDescent="0.2"/>
    <row r="3139" s="2043" customFormat="1" x14ac:dyDescent="0.2"/>
    <row r="3140" s="2043" customFormat="1" x14ac:dyDescent="0.2"/>
    <row r="3141" s="2043" customFormat="1" x14ac:dyDescent="0.2"/>
    <row r="3142" s="2043" customFormat="1" x14ac:dyDescent="0.2"/>
    <row r="3143" s="2043" customFormat="1" x14ac:dyDescent="0.2"/>
    <row r="3144" s="2043" customFormat="1" x14ac:dyDescent="0.2"/>
    <row r="3145" s="2043" customFormat="1" x14ac:dyDescent="0.2"/>
    <row r="3146" s="2043" customFormat="1" x14ac:dyDescent="0.2"/>
    <row r="3147" s="2043" customFormat="1" x14ac:dyDescent="0.2"/>
    <row r="3148" s="2043" customFormat="1" x14ac:dyDescent="0.2"/>
    <row r="3149" s="2043" customFormat="1" x14ac:dyDescent="0.2"/>
    <row r="3150" s="2043" customFormat="1" x14ac:dyDescent="0.2"/>
    <row r="3151" s="2043" customFormat="1" x14ac:dyDescent="0.2"/>
    <row r="3152" s="2043" customFormat="1" x14ac:dyDescent="0.2"/>
    <row r="3153" s="2043" customFormat="1" x14ac:dyDescent="0.2"/>
    <row r="3154" s="2043" customFormat="1" x14ac:dyDescent="0.2"/>
    <row r="3155" s="2043" customFormat="1" x14ac:dyDescent="0.2"/>
    <row r="3156" s="2043" customFormat="1" x14ac:dyDescent="0.2"/>
    <row r="3157" s="2043" customFormat="1" x14ac:dyDescent="0.2"/>
    <row r="3158" s="2043" customFormat="1" x14ac:dyDescent="0.2"/>
    <row r="3159" s="2043" customFormat="1" x14ac:dyDescent="0.2"/>
    <row r="3160" s="2043" customFormat="1" x14ac:dyDescent="0.2"/>
    <row r="3161" s="2043" customFormat="1" x14ac:dyDescent="0.2"/>
    <row r="3162" s="2043" customFormat="1" x14ac:dyDescent="0.2"/>
    <row r="3163" s="2043" customFormat="1" x14ac:dyDescent="0.2"/>
    <row r="3164" s="2043" customFormat="1" x14ac:dyDescent="0.2"/>
    <row r="3165" s="2043" customFormat="1" x14ac:dyDescent="0.2"/>
    <row r="3166" s="2043" customFormat="1" x14ac:dyDescent="0.2"/>
    <row r="3167" s="2043" customFormat="1" x14ac:dyDescent="0.2"/>
    <row r="3168" s="2043" customFormat="1" x14ac:dyDescent="0.2"/>
    <row r="3169" s="2043" customFormat="1" x14ac:dyDescent="0.2"/>
    <row r="3170" s="2043" customFormat="1" x14ac:dyDescent="0.2"/>
    <row r="3171" s="2043" customFormat="1" x14ac:dyDescent="0.2"/>
    <row r="3172" s="2043" customFormat="1" x14ac:dyDescent="0.2"/>
    <row r="3173" s="2043" customFormat="1" x14ac:dyDescent="0.2"/>
    <row r="3174" s="2043" customFormat="1" x14ac:dyDescent="0.2"/>
    <row r="3175" s="2043" customFormat="1" x14ac:dyDescent="0.2"/>
    <row r="3176" s="2043" customFormat="1" x14ac:dyDescent="0.2"/>
    <row r="3177" s="2043" customFormat="1" x14ac:dyDescent="0.2"/>
    <row r="3178" s="2043" customFormat="1" x14ac:dyDescent="0.2"/>
    <row r="3179" s="2043" customFormat="1" x14ac:dyDescent="0.2"/>
    <row r="3180" s="2043" customFormat="1" x14ac:dyDescent="0.2"/>
    <row r="3181" s="2043" customFormat="1" x14ac:dyDescent="0.2"/>
    <row r="3182" s="2043" customFormat="1" x14ac:dyDescent="0.2"/>
    <row r="3183" s="2043" customFormat="1" x14ac:dyDescent="0.2"/>
    <row r="3184" s="2043" customFormat="1" x14ac:dyDescent="0.2"/>
    <row r="3185" s="2043" customFormat="1" x14ac:dyDescent="0.2"/>
    <row r="3186" s="2043" customFormat="1" x14ac:dyDescent="0.2"/>
    <row r="3187" s="2043" customFormat="1" x14ac:dyDescent="0.2"/>
    <row r="3188" s="2043" customFormat="1" x14ac:dyDescent="0.2"/>
    <row r="3189" s="2043" customFormat="1" x14ac:dyDescent="0.2"/>
    <row r="3190" s="2043" customFormat="1" x14ac:dyDescent="0.2"/>
    <row r="3191" s="2043" customFormat="1" x14ac:dyDescent="0.2"/>
    <row r="3192" s="2043" customFormat="1" x14ac:dyDescent="0.2"/>
    <row r="3193" s="2043" customFormat="1" x14ac:dyDescent="0.2"/>
    <row r="3194" s="2043" customFormat="1" x14ac:dyDescent="0.2"/>
    <row r="3195" s="2043" customFormat="1" x14ac:dyDescent="0.2"/>
    <row r="3196" s="2043" customFormat="1" x14ac:dyDescent="0.2"/>
    <row r="3197" s="2043" customFormat="1" x14ac:dyDescent="0.2"/>
    <row r="3198" s="2043" customFormat="1" x14ac:dyDescent="0.2"/>
    <row r="3199" s="2043" customFormat="1" x14ac:dyDescent="0.2"/>
    <row r="3200" s="2043" customFormat="1" x14ac:dyDescent="0.2"/>
    <row r="3201" s="2043" customFormat="1" x14ac:dyDescent="0.2"/>
    <row r="3202" s="2043" customFormat="1" x14ac:dyDescent="0.2"/>
    <row r="3203" s="2043" customFormat="1" x14ac:dyDescent="0.2"/>
    <row r="3204" s="2043" customFormat="1" x14ac:dyDescent="0.2"/>
    <row r="3205" s="2043" customFormat="1" x14ac:dyDescent="0.2"/>
    <row r="3206" s="2043" customFormat="1" x14ac:dyDescent="0.2"/>
    <row r="3207" s="2043" customFormat="1" x14ac:dyDescent="0.2"/>
    <row r="3208" s="2043" customFormat="1" x14ac:dyDescent="0.2"/>
    <row r="3209" s="2043" customFormat="1" x14ac:dyDescent="0.2"/>
    <row r="3210" s="2043" customFormat="1" x14ac:dyDescent="0.2"/>
    <row r="3211" s="2043" customFormat="1" x14ac:dyDescent="0.2"/>
    <row r="3212" s="2043" customFormat="1" x14ac:dyDescent="0.2"/>
    <row r="3213" s="2043" customFormat="1" x14ac:dyDescent="0.2"/>
    <row r="3214" s="2043" customFormat="1" x14ac:dyDescent="0.2"/>
    <row r="3215" s="2043" customFormat="1" x14ac:dyDescent="0.2"/>
    <row r="3216" s="2043" customFormat="1" x14ac:dyDescent="0.2"/>
    <row r="3217" s="2043" customFormat="1" x14ac:dyDescent="0.2"/>
    <row r="3218" s="2043" customFormat="1" x14ac:dyDescent="0.2"/>
    <row r="3219" s="2043" customFormat="1" x14ac:dyDescent="0.2"/>
    <row r="3220" s="2043" customFormat="1" x14ac:dyDescent="0.2"/>
    <row r="3221" s="2043" customFormat="1" x14ac:dyDescent="0.2"/>
    <row r="3222" s="2043" customFormat="1" x14ac:dyDescent="0.2"/>
    <row r="3223" s="2043" customFormat="1" x14ac:dyDescent="0.2"/>
    <row r="3224" s="2043" customFormat="1" x14ac:dyDescent="0.2"/>
    <row r="3225" s="2043" customFormat="1" x14ac:dyDescent="0.2"/>
    <row r="3226" s="2043" customFormat="1" x14ac:dyDescent="0.2"/>
    <row r="3227" s="2043" customFormat="1" x14ac:dyDescent="0.2"/>
    <row r="3228" s="2043" customFormat="1" x14ac:dyDescent="0.2"/>
    <row r="3229" s="2043" customFormat="1" x14ac:dyDescent="0.2"/>
    <row r="3230" s="2043" customFormat="1" x14ac:dyDescent="0.2"/>
    <row r="3231" s="2043" customFormat="1" x14ac:dyDescent="0.2"/>
    <row r="3232" s="2043" customFormat="1" x14ac:dyDescent="0.2"/>
    <row r="3233" s="2043" customFormat="1" x14ac:dyDescent="0.2"/>
    <row r="3234" s="2043" customFormat="1" x14ac:dyDescent="0.2"/>
    <row r="3235" s="2043" customFormat="1" x14ac:dyDescent="0.2"/>
    <row r="3236" s="2043" customFormat="1" x14ac:dyDescent="0.2"/>
    <row r="3237" s="2043" customFormat="1" x14ac:dyDescent="0.2"/>
    <row r="3238" s="2043" customFormat="1" x14ac:dyDescent="0.2"/>
    <row r="3239" s="2043" customFormat="1" x14ac:dyDescent="0.2"/>
    <row r="3240" s="2043" customFormat="1" x14ac:dyDescent="0.2"/>
    <row r="3241" s="2043" customFormat="1" x14ac:dyDescent="0.2"/>
    <row r="3242" s="2043" customFormat="1" x14ac:dyDescent="0.2"/>
    <row r="3243" s="2043" customFormat="1" x14ac:dyDescent="0.2"/>
    <row r="3244" s="2043" customFormat="1" x14ac:dyDescent="0.2"/>
    <row r="3245" s="2043" customFormat="1" x14ac:dyDescent="0.2"/>
    <row r="3246" s="2043" customFormat="1" x14ac:dyDescent="0.2"/>
    <row r="3247" s="2043" customFormat="1" x14ac:dyDescent="0.2"/>
    <row r="3248" s="2043" customFormat="1" x14ac:dyDescent="0.2"/>
    <row r="3249" s="2043" customFormat="1" x14ac:dyDescent="0.2"/>
    <row r="3250" s="2043" customFormat="1" x14ac:dyDescent="0.2"/>
    <row r="3251" s="2043" customFormat="1" x14ac:dyDescent="0.2"/>
    <row r="3252" s="2043" customFormat="1" x14ac:dyDescent="0.2"/>
    <row r="3253" s="2043" customFormat="1" x14ac:dyDescent="0.2"/>
    <row r="3254" s="2043" customFormat="1" x14ac:dyDescent="0.2"/>
    <row r="3255" s="2043" customFormat="1" x14ac:dyDescent="0.2"/>
    <row r="3256" s="2043" customFormat="1" x14ac:dyDescent="0.2"/>
    <row r="3257" s="2043" customFormat="1" x14ac:dyDescent="0.2"/>
    <row r="3258" s="2043" customFormat="1" x14ac:dyDescent="0.2"/>
    <row r="3259" s="2043" customFormat="1" x14ac:dyDescent="0.2"/>
    <row r="3260" s="2043" customFormat="1" x14ac:dyDescent="0.2"/>
    <row r="3261" s="2043" customFormat="1" x14ac:dyDescent="0.2"/>
    <row r="3262" s="2043" customFormat="1" x14ac:dyDescent="0.2"/>
    <row r="3263" s="2043" customFormat="1" x14ac:dyDescent="0.2"/>
    <row r="3264" s="2043" customFormat="1" x14ac:dyDescent="0.2"/>
    <row r="3265" s="2043" customFormat="1" x14ac:dyDescent="0.2"/>
    <row r="3266" s="2043" customFormat="1" x14ac:dyDescent="0.2"/>
    <row r="3267" s="2043" customFormat="1" x14ac:dyDescent="0.2"/>
    <row r="3268" s="2043" customFormat="1" x14ac:dyDescent="0.2"/>
    <row r="3269" s="2043" customFormat="1" x14ac:dyDescent="0.2"/>
    <row r="3270" s="2043" customFormat="1" x14ac:dyDescent="0.2"/>
    <row r="3271" s="2043" customFormat="1" x14ac:dyDescent="0.2"/>
    <row r="3272" s="2043" customFormat="1" x14ac:dyDescent="0.2"/>
    <row r="3273" s="2043" customFormat="1" x14ac:dyDescent="0.2"/>
    <row r="3274" s="2043" customFormat="1" x14ac:dyDescent="0.2"/>
    <row r="3275" s="2043" customFormat="1" x14ac:dyDescent="0.2"/>
    <row r="3276" s="2043" customFormat="1" x14ac:dyDescent="0.2"/>
    <row r="3277" s="2043" customFormat="1" x14ac:dyDescent="0.2"/>
    <row r="3278" s="2043" customFormat="1" x14ac:dyDescent="0.2"/>
    <row r="3279" s="2043" customFormat="1" x14ac:dyDescent="0.2"/>
    <row r="3280" s="2043" customFormat="1" x14ac:dyDescent="0.2"/>
    <row r="3281" s="2043" customFormat="1" x14ac:dyDescent="0.2"/>
    <row r="3282" s="2043" customFormat="1" x14ac:dyDescent="0.2"/>
    <row r="3283" s="2043" customFormat="1" x14ac:dyDescent="0.2"/>
    <row r="3284" s="2043" customFormat="1" x14ac:dyDescent="0.2"/>
    <row r="3285" s="2043" customFormat="1" x14ac:dyDescent="0.2"/>
    <row r="3286" s="2043" customFormat="1" x14ac:dyDescent="0.2"/>
    <row r="3287" s="2043" customFormat="1" x14ac:dyDescent="0.2"/>
    <row r="3288" s="2043" customFormat="1" x14ac:dyDescent="0.2"/>
    <row r="3289" s="2043" customFormat="1" x14ac:dyDescent="0.2"/>
    <row r="3290" s="2043" customFormat="1" x14ac:dyDescent="0.2"/>
    <row r="3291" s="2043" customFormat="1" x14ac:dyDescent="0.2"/>
    <row r="3292" s="2043" customFormat="1" x14ac:dyDescent="0.2"/>
    <row r="3293" s="2043" customFormat="1" x14ac:dyDescent="0.2"/>
    <row r="3294" s="2043" customFormat="1" x14ac:dyDescent="0.2"/>
    <row r="3295" s="2043" customFormat="1" x14ac:dyDescent="0.2"/>
    <row r="3296" s="2043" customFormat="1" x14ac:dyDescent="0.2"/>
    <row r="3297" s="2043" customFormat="1" x14ac:dyDescent="0.2"/>
    <row r="3298" s="2043" customFormat="1" x14ac:dyDescent="0.2"/>
    <row r="3299" s="2043" customFormat="1" x14ac:dyDescent="0.2"/>
    <row r="3300" s="2043" customFormat="1" x14ac:dyDescent="0.2"/>
    <row r="3301" s="2043" customFormat="1" x14ac:dyDescent="0.2"/>
    <row r="3302" s="2043" customFormat="1" x14ac:dyDescent="0.2"/>
    <row r="3303" s="2043" customFormat="1" x14ac:dyDescent="0.2"/>
    <row r="3304" s="2043" customFormat="1" x14ac:dyDescent="0.2"/>
    <row r="3305" s="2043" customFormat="1" x14ac:dyDescent="0.2"/>
    <row r="3306" s="2043" customFormat="1" x14ac:dyDescent="0.2"/>
    <row r="3307" s="2043" customFormat="1" x14ac:dyDescent="0.2"/>
    <row r="3308" s="2043" customFormat="1" x14ac:dyDescent="0.2"/>
    <row r="3309" s="2043" customFormat="1" x14ac:dyDescent="0.2"/>
    <row r="3310" s="2043" customFormat="1" x14ac:dyDescent="0.2"/>
    <row r="3311" s="2043" customFormat="1" x14ac:dyDescent="0.2"/>
    <row r="3312" s="2043" customFormat="1" x14ac:dyDescent="0.2"/>
    <row r="3313" s="2043" customFormat="1" x14ac:dyDescent="0.2"/>
    <row r="3314" s="2043" customFormat="1" x14ac:dyDescent="0.2"/>
    <row r="3315" s="2043" customFormat="1" x14ac:dyDescent="0.2"/>
    <row r="3316" s="2043" customFormat="1" x14ac:dyDescent="0.2"/>
    <row r="3317" s="2043" customFormat="1" x14ac:dyDescent="0.2"/>
    <row r="3318" s="2043" customFormat="1" x14ac:dyDescent="0.2"/>
    <row r="3319" s="2043" customFormat="1" x14ac:dyDescent="0.2"/>
    <row r="3320" s="2043" customFormat="1" x14ac:dyDescent="0.2"/>
    <row r="3321" s="2043" customFormat="1" x14ac:dyDescent="0.2"/>
    <row r="3322" s="2043" customFormat="1" x14ac:dyDescent="0.2"/>
    <row r="3323" s="2043" customFormat="1" x14ac:dyDescent="0.2"/>
    <row r="3324" s="2043" customFormat="1" x14ac:dyDescent="0.2"/>
    <row r="3325" s="2043" customFormat="1" x14ac:dyDescent="0.2"/>
    <row r="3326" s="2043" customFormat="1" x14ac:dyDescent="0.2"/>
    <row r="3327" s="2043" customFormat="1" x14ac:dyDescent="0.2"/>
    <row r="3328" s="2043" customFormat="1" x14ac:dyDescent="0.2"/>
    <row r="3329" s="2043" customFormat="1" x14ac:dyDescent="0.2"/>
    <row r="3330" s="2043" customFormat="1" x14ac:dyDescent="0.2"/>
    <row r="3331" s="2043" customFormat="1" x14ac:dyDescent="0.2"/>
    <row r="3332" s="2043" customFormat="1" x14ac:dyDescent="0.2"/>
    <row r="3333" s="2043" customFormat="1" x14ac:dyDescent="0.2"/>
    <row r="3334" s="2043" customFormat="1" x14ac:dyDescent="0.2"/>
    <row r="3335" s="2043" customFormat="1" x14ac:dyDescent="0.2"/>
    <row r="3336" s="2043" customFormat="1" x14ac:dyDescent="0.2"/>
    <row r="3337" s="2043" customFormat="1" x14ac:dyDescent="0.2"/>
    <row r="3338" s="2043" customFormat="1" x14ac:dyDescent="0.2"/>
    <row r="3339" s="2043" customFormat="1" x14ac:dyDescent="0.2"/>
    <row r="3340" s="2043" customFormat="1" x14ac:dyDescent="0.2"/>
    <row r="3341" s="2043" customFormat="1" x14ac:dyDescent="0.2"/>
    <row r="3342" s="2043" customFormat="1" x14ac:dyDescent="0.2"/>
    <row r="3343" s="2043" customFormat="1" x14ac:dyDescent="0.2"/>
    <row r="3344" s="2043" customFormat="1" x14ac:dyDescent="0.2"/>
    <row r="3345" s="2043" customFormat="1" x14ac:dyDescent="0.2"/>
    <row r="3346" s="2043" customFormat="1" x14ac:dyDescent="0.2"/>
    <row r="3347" s="2043" customFormat="1" x14ac:dyDescent="0.2"/>
    <row r="3348" s="2043" customFormat="1" x14ac:dyDescent="0.2"/>
    <row r="3349" s="2043" customFormat="1" x14ac:dyDescent="0.2"/>
    <row r="3350" s="2043" customFormat="1" x14ac:dyDescent="0.2"/>
    <row r="3351" s="2043" customFormat="1" x14ac:dyDescent="0.2"/>
    <row r="3352" s="2043" customFormat="1" x14ac:dyDescent="0.2"/>
    <row r="3353" s="2043" customFormat="1" x14ac:dyDescent="0.2"/>
    <row r="3354" s="2043" customFormat="1" x14ac:dyDescent="0.2"/>
    <row r="3355" s="2043" customFormat="1" x14ac:dyDescent="0.2"/>
    <row r="3356" s="2043" customFormat="1" x14ac:dyDescent="0.2"/>
    <row r="3357" s="2043" customFormat="1" x14ac:dyDescent="0.2"/>
    <row r="3358" s="2043" customFormat="1" x14ac:dyDescent="0.2"/>
    <row r="3359" s="2043" customFormat="1" x14ac:dyDescent="0.2"/>
    <row r="3360" s="2043" customFormat="1" x14ac:dyDescent="0.2"/>
    <row r="3361" s="2043" customFormat="1" x14ac:dyDescent="0.2"/>
    <row r="3362" s="2043" customFormat="1" x14ac:dyDescent="0.2"/>
    <row r="3363" s="2043" customFormat="1" x14ac:dyDescent="0.2"/>
    <row r="3364" s="2043" customFormat="1" x14ac:dyDescent="0.2"/>
    <row r="3365" s="2043" customFormat="1" x14ac:dyDescent="0.2"/>
    <row r="3366" s="2043" customFormat="1" x14ac:dyDescent="0.2"/>
    <row r="3367" s="2043" customFormat="1" x14ac:dyDescent="0.2"/>
    <row r="3368" s="2043" customFormat="1" x14ac:dyDescent="0.2"/>
    <row r="3369" s="2043" customFormat="1" x14ac:dyDescent="0.2"/>
    <row r="3370" s="2043" customFormat="1" x14ac:dyDescent="0.2"/>
    <row r="3371" s="2043" customFormat="1" x14ac:dyDescent="0.2"/>
    <row r="3372" s="2043" customFormat="1" x14ac:dyDescent="0.2"/>
    <row r="3373" s="2043" customFormat="1" x14ac:dyDescent="0.2"/>
    <row r="3374" s="2043" customFormat="1" x14ac:dyDescent="0.2"/>
    <row r="3375" s="2043" customFormat="1" x14ac:dyDescent="0.2"/>
    <row r="3376" s="2043" customFormat="1" x14ac:dyDescent="0.2"/>
    <row r="3377" s="2043" customFormat="1" x14ac:dyDescent="0.2"/>
    <row r="3378" s="2043" customFormat="1" x14ac:dyDescent="0.2"/>
    <row r="3379" s="2043" customFormat="1" x14ac:dyDescent="0.2"/>
    <row r="3380" s="2043" customFormat="1" x14ac:dyDescent="0.2"/>
    <row r="3381" s="2043" customFormat="1" x14ac:dyDescent="0.2"/>
    <row r="3382" s="2043" customFormat="1" x14ac:dyDescent="0.2"/>
    <row r="3383" s="2043" customFormat="1" x14ac:dyDescent="0.2"/>
    <row r="3384" s="2043" customFormat="1" x14ac:dyDescent="0.2"/>
    <row r="3385" s="2043" customFormat="1" x14ac:dyDescent="0.2"/>
    <row r="3386" s="2043" customFormat="1" x14ac:dyDescent="0.2"/>
    <row r="3387" s="2043" customFormat="1" x14ac:dyDescent="0.2"/>
    <row r="3388" s="2043" customFormat="1" x14ac:dyDescent="0.2"/>
    <row r="3389" s="2043" customFormat="1" x14ac:dyDescent="0.2"/>
    <row r="3390" s="2043" customFormat="1" x14ac:dyDescent="0.2"/>
    <row r="3391" s="2043" customFormat="1" x14ac:dyDescent="0.2"/>
    <row r="3392" s="2043" customFormat="1" x14ac:dyDescent="0.2"/>
    <row r="3393" s="2043" customFormat="1" x14ac:dyDescent="0.2"/>
    <row r="3394" s="2043" customFormat="1" x14ac:dyDescent="0.2"/>
    <row r="3395" s="2043" customFormat="1" x14ac:dyDescent="0.2"/>
    <row r="3396" s="2043" customFormat="1" x14ac:dyDescent="0.2"/>
    <row r="3397" s="2043" customFormat="1" x14ac:dyDescent="0.2"/>
    <row r="3398" s="2043" customFormat="1" x14ac:dyDescent="0.2"/>
    <row r="3399" s="2043" customFormat="1" x14ac:dyDescent="0.2"/>
    <row r="3400" s="2043" customFormat="1" x14ac:dyDescent="0.2"/>
    <row r="3401" s="2043" customFormat="1" x14ac:dyDescent="0.2"/>
    <row r="3402" s="2043" customFormat="1" x14ac:dyDescent="0.2"/>
    <row r="3403" s="2043" customFormat="1" x14ac:dyDescent="0.2"/>
    <row r="3404" s="2043" customFormat="1" x14ac:dyDescent="0.2"/>
    <row r="3405" s="2043" customFormat="1" x14ac:dyDescent="0.2"/>
    <row r="3406" s="2043" customFormat="1" x14ac:dyDescent="0.2"/>
    <row r="3407" s="2043" customFormat="1" x14ac:dyDescent="0.2"/>
    <row r="3408" s="2043" customFormat="1" x14ac:dyDescent="0.2"/>
    <row r="3409" s="2043" customFormat="1" x14ac:dyDescent="0.2"/>
    <row r="3410" s="2043" customFormat="1" x14ac:dyDescent="0.2"/>
    <row r="3411" s="2043" customFormat="1" x14ac:dyDescent="0.2"/>
    <row r="3412" s="2043" customFormat="1" x14ac:dyDescent="0.2"/>
    <row r="3413" s="2043" customFormat="1" x14ac:dyDescent="0.2"/>
    <row r="3414" s="2043" customFormat="1" x14ac:dyDescent="0.2"/>
    <row r="3415" s="2043" customFormat="1" x14ac:dyDescent="0.2"/>
    <row r="3416" s="2043" customFormat="1" x14ac:dyDescent="0.2"/>
    <row r="3417" s="2043" customFormat="1" x14ac:dyDescent="0.2"/>
    <row r="3418" s="2043" customFormat="1" x14ac:dyDescent="0.2"/>
    <row r="3419" s="2043" customFormat="1" x14ac:dyDescent="0.2"/>
    <row r="3420" s="2043" customFormat="1" x14ac:dyDescent="0.2"/>
    <row r="3421" s="2043" customFormat="1" x14ac:dyDescent="0.2"/>
    <row r="3422" s="2043" customFormat="1" x14ac:dyDescent="0.2"/>
    <row r="3423" s="2043" customFormat="1" x14ac:dyDescent="0.2"/>
    <row r="3424" s="2043" customFormat="1" x14ac:dyDescent="0.2"/>
    <row r="3425" s="2043" customFormat="1" x14ac:dyDescent="0.2"/>
    <row r="3426" s="2043" customFormat="1" x14ac:dyDescent="0.2"/>
    <row r="3427" s="2043" customFormat="1" x14ac:dyDescent="0.2"/>
    <row r="3428" s="2043" customFormat="1" x14ac:dyDescent="0.2"/>
    <row r="3429" s="2043" customFormat="1" x14ac:dyDescent="0.2"/>
    <row r="3430" s="2043" customFormat="1" x14ac:dyDescent="0.2"/>
    <row r="3431" s="2043" customFormat="1" x14ac:dyDescent="0.2"/>
    <row r="3432" s="2043" customFormat="1" x14ac:dyDescent="0.2"/>
    <row r="3433" s="2043" customFormat="1" x14ac:dyDescent="0.2"/>
    <row r="3434" s="2043" customFormat="1" x14ac:dyDescent="0.2"/>
    <row r="3435" s="2043" customFormat="1" x14ac:dyDescent="0.2"/>
    <row r="3436" s="2043" customFormat="1" x14ac:dyDescent="0.2"/>
    <row r="3437" s="2043" customFormat="1" x14ac:dyDescent="0.2"/>
    <row r="3438" s="2043" customFormat="1" x14ac:dyDescent="0.2"/>
    <row r="3439" s="2043" customFormat="1" x14ac:dyDescent="0.2"/>
    <row r="3440" s="2043" customFormat="1" x14ac:dyDescent="0.2"/>
    <row r="3441" s="2043" customFormat="1" x14ac:dyDescent="0.2"/>
    <row r="3442" s="2043" customFormat="1" x14ac:dyDescent="0.2"/>
    <row r="3443" s="2043" customFormat="1" x14ac:dyDescent="0.2"/>
    <row r="3444" s="2043" customFormat="1" x14ac:dyDescent="0.2"/>
    <row r="3445" s="2043" customFormat="1" x14ac:dyDescent="0.2"/>
    <row r="3446" s="2043" customFormat="1" x14ac:dyDescent="0.2"/>
    <row r="3447" s="2043" customFormat="1" x14ac:dyDescent="0.2"/>
    <row r="3448" s="2043" customFormat="1" x14ac:dyDescent="0.2"/>
    <row r="3449" s="2043" customFormat="1" x14ac:dyDescent="0.2"/>
    <row r="3450" s="2043" customFormat="1" x14ac:dyDescent="0.2"/>
    <row r="3451" s="2043" customFormat="1" x14ac:dyDescent="0.2"/>
    <row r="3452" s="2043" customFormat="1" x14ac:dyDescent="0.2"/>
    <row r="3453" s="2043" customFormat="1" x14ac:dyDescent="0.2"/>
    <row r="3454" s="2043" customFormat="1" x14ac:dyDescent="0.2"/>
    <row r="3455" s="2043" customFormat="1" x14ac:dyDescent="0.2"/>
    <row r="3456" s="2043" customFormat="1" x14ac:dyDescent="0.2"/>
    <row r="3457" s="2043" customFormat="1" x14ac:dyDescent="0.2"/>
    <row r="3458" s="2043" customFormat="1" x14ac:dyDescent="0.2"/>
    <row r="3459" s="2043" customFormat="1" x14ac:dyDescent="0.2"/>
    <row r="3460" s="2043" customFormat="1" x14ac:dyDescent="0.2"/>
    <row r="3461" s="2043" customFormat="1" x14ac:dyDescent="0.2"/>
    <row r="3462" s="2043" customFormat="1" x14ac:dyDescent="0.2"/>
    <row r="3463" s="2043" customFormat="1" x14ac:dyDescent="0.2"/>
    <row r="3464" s="2043" customFormat="1" x14ac:dyDescent="0.2"/>
    <row r="3465" s="2043" customFormat="1" x14ac:dyDescent="0.2"/>
    <row r="3466" s="2043" customFormat="1" x14ac:dyDescent="0.2"/>
    <row r="3467" s="2043" customFormat="1" x14ac:dyDescent="0.2"/>
    <row r="3468" s="2043" customFormat="1" x14ac:dyDescent="0.2"/>
    <row r="3469" s="2043" customFormat="1" x14ac:dyDescent="0.2"/>
    <row r="3470" s="2043" customFormat="1" x14ac:dyDescent="0.2"/>
    <row r="3471" s="2043" customFormat="1" x14ac:dyDescent="0.2"/>
    <row r="3472" s="2043" customFormat="1" x14ac:dyDescent="0.2"/>
    <row r="3473" s="2043" customFormat="1" x14ac:dyDescent="0.2"/>
    <row r="3474" s="2043" customFormat="1" x14ac:dyDescent="0.2"/>
    <row r="3475" s="2043" customFormat="1" x14ac:dyDescent="0.2"/>
    <row r="3476" s="2043" customFormat="1" x14ac:dyDescent="0.2"/>
    <row r="3477" s="2043" customFormat="1" x14ac:dyDescent="0.2"/>
    <row r="3478" s="2043" customFormat="1" x14ac:dyDescent="0.2"/>
    <row r="3479" s="2043" customFormat="1" x14ac:dyDescent="0.2"/>
    <row r="3480" s="2043" customFormat="1" x14ac:dyDescent="0.2"/>
    <row r="3481" s="2043" customFormat="1" x14ac:dyDescent="0.2"/>
    <row r="3482" s="2043" customFormat="1" x14ac:dyDescent="0.2"/>
    <row r="3483" s="2043" customFormat="1" x14ac:dyDescent="0.2"/>
    <row r="3484" s="2043" customFormat="1" x14ac:dyDescent="0.2"/>
    <row r="3485" s="2043" customFormat="1" x14ac:dyDescent="0.2"/>
    <row r="3486" s="2043" customFormat="1" x14ac:dyDescent="0.2"/>
    <row r="3487" s="2043" customFormat="1" x14ac:dyDescent="0.2"/>
    <row r="3488" s="2043" customFormat="1" x14ac:dyDescent="0.2"/>
    <row r="3489" s="2043" customFormat="1" x14ac:dyDescent="0.2"/>
    <row r="3490" s="2043" customFormat="1" x14ac:dyDescent="0.2"/>
    <row r="3491" s="2043" customFormat="1" x14ac:dyDescent="0.2"/>
    <row r="3492" s="2043" customFormat="1" x14ac:dyDescent="0.2"/>
    <row r="3493" s="2043" customFormat="1" x14ac:dyDescent="0.2"/>
    <row r="3494" s="2043" customFormat="1" x14ac:dyDescent="0.2"/>
    <row r="3495" s="2043" customFormat="1" x14ac:dyDescent="0.2"/>
    <row r="3496" s="2043" customFormat="1" x14ac:dyDescent="0.2"/>
    <row r="3497" s="2043" customFormat="1" x14ac:dyDescent="0.2"/>
    <row r="3498" s="2043" customFormat="1" x14ac:dyDescent="0.2"/>
    <row r="3499" s="2043" customFormat="1" x14ac:dyDescent="0.2"/>
    <row r="3500" s="2043" customFormat="1" x14ac:dyDescent="0.2"/>
    <row r="3501" s="2043" customFormat="1" x14ac:dyDescent="0.2"/>
    <row r="3502" s="2043" customFormat="1" x14ac:dyDescent="0.2"/>
    <row r="3503" s="2043" customFormat="1" x14ac:dyDescent="0.2"/>
    <row r="3504" s="2043" customFormat="1" x14ac:dyDescent="0.2"/>
    <row r="3505" s="2043" customFormat="1" x14ac:dyDescent="0.2"/>
    <row r="3506" s="2043" customFormat="1" x14ac:dyDescent="0.2"/>
    <row r="3507" s="2043" customFormat="1" x14ac:dyDescent="0.2"/>
    <row r="3508" s="2043" customFormat="1" x14ac:dyDescent="0.2"/>
    <row r="3509" s="2043" customFormat="1" x14ac:dyDescent="0.2"/>
    <row r="3510" s="2043" customFormat="1" x14ac:dyDescent="0.2"/>
    <row r="3511" s="2043" customFormat="1" x14ac:dyDescent="0.2"/>
    <row r="3512" s="2043" customFormat="1" x14ac:dyDescent="0.2"/>
    <row r="3513" s="2043" customFormat="1" x14ac:dyDescent="0.2"/>
    <row r="3514" s="2043" customFormat="1" x14ac:dyDescent="0.2"/>
    <row r="3515" s="2043" customFormat="1" x14ac:dyDescent="0.2"/>
    <row r="3516" s="2043" customFormat="1" x14ac:dyDescent="0.2"/>
    <row r="3517" s="2043" customFormat="1" x14ac:dyDescent="0.2"/>
    <row r="3518" s="2043" customFormat="1" x14ac:dyDescent="0.2"/>
    <row r="3519" s="2043" customFormat="1" x14ac:dyDescent="0.2"/>
    <row r="3520" s="2043" customFormat="1" x14ac:dyDescent="0.2"/>
    <row r="3521" s="2043" customFormat="1" x14ac:dyDescent="0.2"/>
    <row r="3522" s="2043" customFormat="1" x14ac:dyDescent="0.2"/>
    <row r="3523" s="2043" customFormat="1" x14ac:dyDescent="0.2"/>
    <row r="3524" s="2043" customFormat="1" x14ac:dyDescent="0.2"/>
    <row r="3525" s="2043" customFormat="1" x14ac:dyDescent="0.2"/>
    <row r="3526" s="2043" customFormat="1" x14ac:dyDescent="0.2"/>
    <row r="3527" s="2043" customFormat="1" x14ac:dyDescent="0.2"/>
    <row r="3528" s="2043" customFormat="1" x14ac:dyDescent="0.2"/>
    <row r="3529" s="2043" customFormat="1" x14ac:dyDescent="0.2"/>
    <row r="3530" s="2043" customFormat="1" x14ac:dyDescent="0.2"/>
    <row r="3531" s="2043" customFormat="1" x14ac:dyDescent="0.2"/>
    <row r="3532" s="2043" customFormat="1" x14ac:dyDescent="0.2"/>
    <row r="3533" s="2043" customFormat="1" x14ac:dyDescent="0.2"/>
    <row r="3534" s="2043" customFormat="1" x14ac:dyDescent="0.2"/>
    <row r="3535" s="2043" customFormat="1" x14ac:dyDescent="0.2"/>
    <row r="3536" s="2043" customFormat="1" x14ac:dyDescent="0.2"/>
    <row r="3537" s="2043" customFormat="1" x14ac:dyDescent="0.2"/>
    <row r="3538" s="2043" customFormat="1" x14ac:dyDescent="0.2"/>
    <row r="3539" s="2043" customFormat="1" x14ac:dyDescent="0.2"/>
    <row r="3540" s="2043" customFormat="1" x14ac:dyDescent="0.2"/>
    <row r="3541" s="2043" customFormat="1" x14ac:dyDescent="0.2"/>
    <row r="3542" s="2043" customFormat="1" x14ac:dyDescent="0.2"/>
    <row r="3543" s="2043" customFormat="1" x14ac:dyDescent="0.2"/>
    <row r="3544" s="2043" customFormat="1" x14ac:dyDescent="0.2"/>
    <row r="3545" s="2043" customFormat="1" x14ac:dyDescent="0.2"/>
    <row r="3546" s="2043" customFormat="1" x14ac:dyDescent="0.2"/>
    <row r="3547" s="2043" customFormat="1" x14ac:dyDescent="0.2"/>
    <row r="3548" s="2043" customFormat="1" x14ac:dyDescent="0.2"/>
    <row r="3549" s="2043" customFormat="1" x14ac:dyDescent="0.2"/>
    <row r="3550" s="2043" customFormat="1" x14ac:dyDescent="0.2"/>
    <row r="3551" s="2043" customFormat="1" x14ac:dyDescent="0.2"/>
    <row r="3552" s="2043" customFormat="1" x14ac:dyDescent="0.2"/>
    <row r="3553" s="2043" customFormat="1" x14ac:dyDescent="0.2"/>
    <row r="3554" s="2043" customFormat="1" x14ac:dyDescent="0.2"/>
    <row r="3555" s="2043" customFormat="1" x14ac:dyDescent="0.2"/>
    <row r="3556" s="2043" customFormat="1" x14ac:dyDescent="0.2"/>
    <row r="3557" s="2043" customFormat="1" x14ac:dyDescent="0.2"/>
    <row r="3558" s="2043" customFormat="1" x14ac:dyDescent="0.2"/>
    <row r="3559" s="2043" customFormat="1" x14ac:dyDescent="0.2"/>
    <row r="3560" s="2043" customFormat="1" x14ac:dyDescent="0.2"/>
    <row r="3561" s="2043" customFormat="1" x14ac:dyDescent="0.2"/>
    <row r="3562" s="2043" customFormat="1" x14ac:dyDescent="0.2"/>
    <row r="3563" s="2043" customFormat="1" x14ac:dyDescent="0.2"/>
    <row r="3564" s="2043" customFormat="1" x14ac:dyDescent="0.2"/>
    <row r="3565" s="2043" customFormat="1" x14ac:dyDescent="0.2"/>
    <row r="3566" s="2043" customFormat="1" x14ac:dyDescent="0.2"/>
    <row r="3567" s="2043" customFormat="1" x14ac:dyDescent="0.2"/>
    <row r="3568" s="2043" customFormat="1" x14ac:dyDescent="0.2"/>
    <row r="3569" s="2043" customFormat="1" x14ac:dyDescent="0.2"/>
    <row r="3570" s="2043" customFormat="1" x14ac:dyDescent="0.2"/>
    <row r="3571" s="2043" customFormat="1" x14ac:dyDescent="0.2"/>
    <row r="3572" s="2043" customFormat="1" x14ac:dyDescent="0.2"/>
    <row r="3573" s="2043" customFormat="1" x14ac:dyDescent="0.2"/>
    <row r="3574" s="2043" customFormat="1" x14ac:dyDescent="0.2"/>
    <row r="3575" s="2043" customFormat="1" x14ac:dyDescent="0.2"/>
    <row r="3576" s="2043" customFormat="1" x14ac:dyDescent="0.2"/>
    <row r="3577" s="2043" customFormat="1" x14ac:dyDescent="0.2"/>
    <row r="3578" s="2043" customFormat="1" x14ac:dyDescent="0.2"/>
    <row r="3579" s="2043" customFormat="1" x14ac:dyDescent="0.2"/>
    <row r="3580" s="2043" customFormat="1" x14ac:dyDescent="0.2"/>
    <row r="3581" s="2043" customFormat="1" x14ac:dyDescent="0.2"/>
    <row r="3582" s="2043" customFormat="1" x14ac:dyDescent="0.2"/>
    <row r="3583" s="2043" customFormat="1" x14ac:dyDescent="0.2"/>
    <row r="3584" s="2043" customFormat="1" x14ac:dyDescent="0.2"/>
    <row r="3585" s="2043" customFormat="1" x14ac:dyDescent="0.2"/>
    <row r="3586" s="2043" customFormat="1" x14ac:dyDescent="0.2"/>
    <row r="3587" s="2043" customFormat="1" x14ac:dyDescent="0.2"/>
    <row r="3588" s="2043" customFormat="1" x14ac:dyDescent="0.2"/>
    <row r="3589" s="2043" customFormat="1" x14ac:dyDescent="0.2"/>
    <row r="3590" s="2043" customFormat="1" x14ac:dyDescent="0.2"/>
    <row r="3591" s="2043" customFormat="1" x14ac:dyDescent="0.2"/>
    <row r="3592" s="2043" customFormat="1" x14ac:dyDescent="0.2"/>
    <row r="3593" s="2043" customFormat="1" x14ac:dyDescent="0.2"/>
    <row r="3594" s="2043" customFormat="1" x14ac:dyDescent="0.2"/>
    <row r="3595" s="2043" customFormat="1" x14ac:dyDescent="0.2"/>
    <row r="3596" s="2043" customFormat="1" x14ac:dyDescent="0.2"/>
    <row r="3597" s="2043" customFormat="1" x14ac:dyDescent="0.2"/>
    <row r="3598" s="2043" customFormat="1" x14ac:dyDescent="0.2"/>
    <row r="3599" s="2043" customFormat="1" x14ac:dyDescent="0.2"/>
    <row r="3600" s="2043" customFormat="1" x14ac:dyDescent="0.2"/>
    <row r="3601" s="2043" customFormat="1" x14ac:dyDescent="0.2"/>
    <row r="3602" s="2043" customFormat="1" x14ac:dyDescent="0.2"/>
    <row r="3603" s="2043" customFormat="1" x14ac:dyDescent="0.2"/>
    <row r="3604" s="2043" customFormat="1" x14ac:dyDescent="0.2"/>
    <row r="3605" s="2043" customFormat="1" x14ac:dyDescent="0.2"/>
    <row r="3606" s="2043" customFormat="1" x14ac:dyDescent="0.2"/>
    <row r="3607" s="2043" customFormat="1" x14ac:dyDescent="0.2"/>
    <row r="3608" s="2043" customFormat="1" x14ac:dyDescent="0.2"/>
    <row r="3609" s="2043" customFormat="1" x14ac:dyDescent="0.2"/>
    <row r="3610" s="2043" customFormat="1" x14ac:dyDescent="0.2"/>
    <row r="3611" s="2043" customFormat="1" x14ac:dyDescent="0.2"/>
    <row r="3612" s="2043" customFormat="1" x14ac:dyDescent="0.2"/>
    <row r="3613" s="2043" customFormat="1" x14ac:dyDescent="0.2"/>
    <row r="3614" s="2043" customFormat="1" x14ac:dyDescent="0.2"/>
    <row r="3615" s="2043" customFormat="1" x14ac:dyDescent="0.2"/>
    <row r="3616" s="2043" customFormat="1" x14ac:dyDescent="0.2"/>
    <row r="3617" s="2043" customFormat="1" x14ac:dyDescent="0.2"/>
    <row r="3618" s="2043" customFormat="1" x14ac:dyDescent="0.2"/>
    <row r="3619" s="2043" customFormat="1" x14ac:dyDescent="0.2"/>
    <row r="3620" s="2043" customFormat="1" x14ac:dyDescent="0.2"/>
    <row r="3621" s="2043" customFormat="1" x14ac:dyDescent="0.2"/>
    <row r="3622" s="2043" customFormat="1" x14ac:dyDescent="0.2"/>
    <row r="3623" s="2043" customFormat="1" x14ac:dyDescent="0.2"/>
    <row r="3624" s="2043" customFormat="1" x14ac:dyDescent="0.2"/>
    <row r="3625" s="2043" customFormat="1" x14ac:dyDescent="0.2"/>
    <row r="3626" s="2043" customFormat="1" x14ac:dyDescent="0.2"/>
    <row r="3627" s="2043" customFormat="1" x14ac:dyDescent="0.2"/>
    <row r="3628" s="2043" customFormat="1" x14ac:dyDescent="0.2"/>
    <row r="3629" s="2043" customFormat="1" x14ac:dyDescent="0.2"/>
    <row r="3630" s="2043" customFormat="1" x14ac:dyDescent="0.2"/>
    <row r="3631" s="2043" customFormat="1" x14ac:dyDescent="0.2"/>
    <row r="3632" s="2043" customFormat="1" x14ac:dyDescent="0.2"/>
    <row r="3633" s="2043" customFormat="1" x14ac:dyDescent="0.2"/>
    <row r="3634" s="2043" customFormat="1" x14ac:dyDescent="0.2"/>
    <row r="3635" s="2043" customFormat="1" x14ac:dyDescent="0.2"/>
    <row r="3636" s="2043" customFormat="1" x14ac:dyDescent="0.2"/>
    <row r="3637" s="2043" customFormat="1" x14ac:dyDescent="0.2"/>
    <row r="3638" s="2043" customFormat="1" x14ac:dyDescent="0.2"/>
    <row r="3639" s="2043" customFormat="1" x14ac:dyDescent="0.2"/>
    <row r="3640" s="2043" customFormat="1" x14ac:dyDescent="0.2"/>
    <row r="3641" s="2043" customFormat="1" x14ac:dyDescent="0.2"/>
    <row r="3642" s="2043" customFormat="1" x14ac:dyDescent="0.2"/>
    <row r="3643" s="2043" customFormat="1" x14ac:dyDescent="0.2"/>
    <row r="3644" s="2043" customFormat="1" x14ac:dyDescent="0.2"/>
    <row r="3645" s="2043" customFormat="1" x14ac:dyDescent="0.2"/>
    <row r="3646" s="2043" customFormat="1" x14ac:dyDescent="0.2"/>
    <row r="3647" s="2043" customFormat="1" x14ac:dyDescent="0.2"/>
    <row r="3648" s="2043" customFormat="1" x14ac:dyDescent="0.2"/>
    <row r="3649" s="2043" customFormat="1" x14ac:dyDescent="0.2"/>
    <row r="3650" s="2043" customFormat="1" x14ac:dyDescent="0.2"/>
    <row r="3651" s="2043" customFormat="1" x14ac:dyDescent="0.2"/>
    <row r="3652" s="2043" customFormat="1" x14ac:dyDescent="0.2"/>
    <row r="3653" s="2043" customFormat="1" x14ac:dyDescent="0.2"/>
    <row r="3654" s="2043" customFormat="1" x14ac:dyDescent="0.2"/>
    <row r="3655" s="2043" customFormat="1" x14ac:dyDescent="0.2"/>
    <row r="3656" s="2043" customFormat="1" x14ac:dyDescent="0.2"/>
    <row r="3657" s="2043" customFormat="1" x14ac:dyDescent="0.2"/>
    <row r="3658" s="2043" customFormat="1" x14ac:dyDescent="0.2"/>
    <row r="3659" s="2043" customFormat="1" x14ac:dyDescent="0.2"/>
    <row r="3660" s="2043" customFormat="1" x14ac:dyDescent="0.2"/>
    <row r="3661" s="2043" customFormat="1" x14ac:dyDescent="0.2"/>
    <row r="3662" s="2043" customFormat="1" x14ac:dyDescent="0.2"/>
    <row r="3663" s="2043" customFormat="1" x14ac:dyDescent="0.2"/>
    <row r="3664" s="2043" customFormat="1" x14ac:dyDescent="0.2"/>
    <row r="3665" s="2043" customFormat="1" x14ac:dyDescent="0.2"/>
    <row r="3666" s="2043" customFormat="1" x14ac:dyDescent="0.2"/>
    <row r="3667" s="2043" customFormat="1" x14ac:dyDescent="0.2"/>
    <row r="3668" s="2043" customFormat="1" x14ac:dyDescent="0.2"/>
    <row r="3669" s="2043" customFormat="1" x14ac:dyDescent="0.2"/>
    <row r="3670" s="2043" customFormat="1" x14ac:dyDescent="0.2"/>
    <row r="3671" s="2043" customFormat="1" x14ac:dyDescent="0.2"/>
    <row r="3672" s="2043" customFormat="1" x14ac:dyDescent="0.2"/>
    <row r="3673" s="2043" customFormat="1" x14ac:dyDescent="0.2"/>
    <row r="3674" s="2043" customFormat="1" x14ac:dyDescent="0.2"/>
    <row r="3675" s="2043" customFormat="1" x14ac:dyDescent="0.2"/>
    <row r="3676" s="2043" customFormat="1" x14ac:dyDescent="0.2"/>
    <row r="3677" s="2043" customFormat="1" x14ac:dyDescent="0.2"/>
    <row r="3678" s="2043" customFormat="1" x14ac:dyDescent="0.2"/>
    <row r="3679" s="2043" customFormat="1" x14ac:dyDescent="0.2"/>
    <row r="3680" s="2043" customFormat="1" x14ac:dyDescent="0.2"/>
    <row r="3681" s="2043" customFormat="1" x14ac:dyDescent="0.2"/>
    <row r="3682" s="2043" customFormat="1" x14ac:dyDescent="0.2"/>
    <row r="3683" s="2043" customFormat="1" x14ac:dyDescent="0.2"/>
    <row r="3684" s="2043" customFormat="1" x14ac:dyDescent="0.2"/>
    <row r="3685" s="2043" customFormat="1" x14ac:dyDescent="0.2"/>
    <row r="3686" s="2043" customFormat="1" x14ac:dyDescent="0.2"/>
    <row r="3687" s="2043" customFormat="1" x14ac:dyDescent="0.2"/>
    <row r="3688" s="2043" customFormat="1" x14ac:dyDescent="0.2"/>
    <row r="3689" s="2043" customFormat="1" x14ac:dyDescent="0.2"/>
    <row r="3690" s="2043" customFormat="1" x14ac:dyDescent="0.2"/>
    <row r="3691" s="2043" customFormat="1" x14ac:dyDescent="0.2"/>
    <row r="3692" s="2043" customFormat="1" x14ac:dyDescent="0.2"/>
    <row r="3693" s="2043" customFormat="1" x14ac:dyDescent="0.2"/>
    <row r="3694" s="2043" customFormat="1" x14ac:dyDescent="0.2"/>
    <row r="3695" s="2043" customFormat="1" x14ac:dyDescent="0.2"/>
    <row r="3696" s="2043" customFormat="1" x14ac:dyDescent="0.2"/>
    <row r="3697" s="2043" customFormat="1" x14ac:dyDescent="0.2"/>
    <row r="3698" s="2043" customFormat="1" x14ac:dyDescent="0.2"/>
    <row r="3699" s="2043" customFormat="1" x14ac:dyDescent="0.2"/>
    <row r="3700" s="2043" customFormat="1" x14ac:dyDescent="0.2"/>
    <row r="3701" s="2043" customFormat="1" x14ac:dyDescent="0.2"/>
    <row r="3702" s="2043" customFormat="1" x14ac:dyDescent="0.2"/>
    <row r="3703" s="2043" customFormat="1" x14ac:dyDescent="0.2"/>
    <row r="3704" s="2043" customFormat="1" x14ac:dyDescent="0.2"/>
    <row r="3705" s="2043" customFormat="1" x14ac:dyDescent="0.2"/>
    <row r="3706" s="2043" customFormat="1" x14ac:dyDescent="0.2"/>
    <row r="3707" s="2043" customFormat="1" x14ac:dyDescent="0.2"/>
    <row r="3708" s="2043" customFormat="1" x14ac:dyDescent="0.2"/>
    <row r="3709" s="2043" customFormat="1" x14ac:dyDescent="0.2"/>
    <row r="3710" s="2043" customFormat="1" x14ac:dyDescent="0.2"/>
    <row r="3711" s="2043" customFormat="1" x14ac:dyDescent="0.2"/>
    <row r="3712" s="2043" customFormat="1" x14ac:dyDescent="0.2"/>
    <row r="3713" s="2043" customFormat="1" x14ac:dyDescent="0.2"/>
    <row r="3714" s="2043" customFormat="1" x14ac:dyDescent="0.2"/>
    <row r="3715" s="2043" customFormat="1" x14ac:dyDescent="0.2"/>
    <row r="3716" s="2043" customFormat="1" x14ac:dyDescent="0.2"/>
    <row r="3717" s="2043" customFormat="1" x14ac:dyDescent="0.2"/>
    <row r="3718" s="2043" customFormat="1" x14ac:dyDescent="0.2"/>
    <row r="3719" s="2043" customFormat="1" x14ac:dyDescent="0.2"/>
    <row r="3720" s="2043" customFormat="1" x14ac:dyDescent="0.2"/>
    <row r="3721" s="2043" customFormat="1" x14ac:dyDescent="0.2"/>
    <row r="3722" s="2043" customFormat="1" x14ac:dyDescent="0.2"/>
    <row r="3723" s="2043" customFormat="1" x14ac:dyDescent="0.2"/>
    <row r="3724" s="2043" customFormat="1" x14ac:dyDescent="0.2"/>
    <row r="3725" s="2043" customFormat="1" x14ac:dyDescent="0.2"/>
    <row r="3726" s="2043" customFormat="1" x14ac:dyDescent="0.2"/>
    <row r="3727" s="2043" customFormat="1" x14ac:dyDescent="0.2"/>
    <row r="3728" s="2043" customFormat="1" x14ac:dyDescent="0.2"/>
    <row r="3729" s="2043" customFormat="1" x14ac:dyDescent="0.2"/>
    <row r="3730" s="2043" customFormat="1" x14ac:dyDescent="0.2"/>
    <row r="3731" s="2043" customFormat="1" x14ac:dyDescent="0.2"/>
    <row r="3732" s="2043" customFormat="1" x14ac:dyDescent="0.2"/>
    <row r="3733" s="2043" customFormat="1" x14ac:dyDescent="0.2"/>
    <row r="3734" s="2043" customFormat="1" x14ac:dyDescent="0.2"/>
    <row r="3735" s="2043" customFormat="1" x14ac:dyDescent="0.2"/>
    <row r="3736" s="2043" customFormat="1" x14ac:dyDescent="0.2"/>
    <row r="3737" s="2043" customFormat="1" x14ac:dyDescent="0.2"/>
    <row r="3738" s="2043" customFormat="1" x14ac:dyDescent="0.2"/>
    <row r="3739" s="2043" customFormat="1" x14ac:dyDescent="0.2"/>
    <row r="3740" s="2043" customFormat="1" x14ac:dyDescent="0.2"/>
    <row r="3741" s="2043" customFormat="1" x14ac:dyDescent="0.2"/>
    <row r="3742" s="2043" customFormat="1" x14ac:dyDescent="0.2"/>
    <row r="3743" s="2043" customFormat="1" x14ac:dyDescent="0.2"/>
    <row r="3744" s="2043" customFormat="1" x14ac:dyDescent="0.2"/>
    <row r="3745" s="2043" customFormat="1" x14ac:dyDescent="0.2"/>
    <row r="3746" s="2043" customFormat="1" x14ac:dyDescent="0.2"/>
    <row r="3747" s="2043" customFormat="1" x14ac:dyDescent="0.2"/>
    <row r="3748" s="2043" customFormat="1" x14ac:dyDescent="0.2"/>
    <row r="3749" s="2043" customFormat="1" x14ac:dyDescent="0.2"/>
    <row r="3750" s="2043" customFormat="1" x14ac:dyDescent="0.2"/>
    <row r="3751" s="2043" customFormat="1" x14ac:dyDescent="0.2"/>
    <row r="3752" s="2043" customFormat="1" x14ac:dyDescent="0.2"/>
    <row r="3753" s="2043" customFormat="1" x14ac:dyDescent="0.2"/>
    <row r="3754" s="2043" customFormat="1" x14ac:dyDescent="0.2"/>
    <row r="3755" s="2043" customFormat="1" x14ac:dyDescent="0.2"/>
    <row r="3756" s="2043" customFormat="1" x14ac:dyDescent="0.2"/>
    <row r="3757" s="2043" customFormat="1" x14ac:dyDescent="0.2"/>
    <row r="3758" s="2043" customFormat="1" x14ac:dyDescent="0.2"/>
    <row r="3759" s="2043" customFormat="1" x14ac:dyDescent="0.2"/>
    <row r="3760" s="2043" customFormat="1" x14ac:dyDescent="0.2"/>
    <row r="3761" s="2043" customFormat="1" x14ac:dyDescent="0.2"/>
    <row r="3762" s="2043" customFormat="1" x14ac:dyDescent="0.2"/>
    <row r="3763" s="2043" customFormat="1" x14ac:dyDescent="0.2"/>
    <row r="3764" s="2043" customFormat="1" x14ac:dyDescent="0.2"/>
    <row r="3765" s="2043" customFormat="1" x14ac:dyDescent="0.2"/>
    <row r="3766" s="2043" customFormat="1" x14ac:dyDescent="0.2"/>
    <row r="3767" s="2043" customFormat="1" x14ac:dyDescent="0.2"/>
    <row r="3768" s="2043" customFormat="1" x14ac:dyDescent="0.2"/>
    <row r="3769" s="2043" customFormat="1" x14ac:dyDescent="0.2"/>
    <row r="3770" s="2043" customFormat="1" x14ac:dyDescent="0.2"/>
    <row r="3771" s="2043" customFormat="1" x14ac:dyDescent="0.2"/>
    <row r="3772" s="2043" customFormat="1" x14ac:dyDescent="0.2"/>
    <row r="3773" s="2043" customFormat="1" x14ac:dyDescent="0.2"/>
    <row r="3774" s="2043" customFormat="1" x14ac:dyDescent="0.2"/>
    <row r="3775" s="2043" customFormat="1" x14ac:dyDescent="0.2"/>
    <row r="3776" s="2043" customFormat="1" x14ac:dyDescent="0.2"/>
    <row r="3777" s="2043" customFormat="1" x14ac:dyDescent="0.2"/>
    <row r="3778" s="2043" customFormat="1" x14ac:dyDescent="0.2"/>
    <row r="3779" s="2043" customFormat="1" x14ac:dyDescent="0.2"/>
    <row r="3780" s="2043" customFormat="1" x14ac:dyDescent="0.2"/>
    <row r="3781" s="2043" customFormat="1" x14ac:dyDescent="0.2"/>
    <row r="3782" s="2043" customFormat="1" x14ac:dyDescent="0.2"/>
    <row r="3783" s="2043" customFormat="1" x14ac:dyDescent="0.2"/>
    <row r="3784" s="2043" customFormat="1" x14ac:dyDescent="0.2"/>
    <row r="3785" s="2043" customFormat="1" x14ac:dyDescent="0.2"/>
    <row r="3786" s="2043" customFormat="1" x14ac:dyDescent="0.2"/>
    <row r="3787" s="2043" customFormat="1" x14ac:dyDescent="0.2"/>
    <row r="3788" s="2043" customFormat="1" x14ac:dyDescent="0.2"/>
    <row r="3789" s="2043" customFormat="1" x14ac:dyDescent="0.2"/>
    <row r="3790" s="2043" customFormat="1" x14ac:dyDescent="0.2"/>
    <row r="3791" s="2043" customFormat="1" x14ac:dyDescent="0.2"/>
    <row r="3792" s="2043" customFormat="1" x14ac:dyDescent="0.2"/>
    <row r="3793" s="2043" customFormat="1" x14ac:dyDescent="0.2"/>
    <row r="3794" s="2043" customFormat="1" x14ac:dyDescent="0.2"/>
    <row r="3795" s="2043" customFormat="1" x14ac:dyDescent="0.2"/>
    <row r="3796" s="2043" customFormat="1" x14ac:dyDescent="0.2"/>
    <row r="3797" s="2043" customFormat="1" x14ac:dyDescent="0.2"/>
    <row r="3798" s="2043" customFormat="1" x14ac:dyDescent="0.2"/>
    <row r="3799" s="2043" customFormat="1" x14ac:dyDescent="0.2"/>
    <row r="3800" s="2043" customFormat="1" x14ac:dyDescent="0.2"/>
    <row r="3801" s="2043" customFormat="1" x14ac:dyDescent="0.2"/>
    <row r="3802" s="2043" customFormat="1" x14ac:dyDescent="0.2"/>
    <row r="3803" s="2043" customFormat="1" x14ac:dyDescent="0.2"/>
    <row r="3804" s="2043" customFormat="1" x14ac:dyDescent="0.2"/>
    <row r="3805" s="2043" customFormat="1" x14ac:dyDescent="0.2"/>
    <row r="3806" s="2043" customFormat="1" x14ac:dyDescent="0.2"/>
    <row r="3807" s="2043" customFormat="1" x14ac:dyDescent="0.2"/>
    <row r="3808" s="2043" customFormat="1" x14ac:dyDescent="0.2"/>
    <row r="3809" s="2043" customFormat="1" x14ac:dyDescent="0.2"/>
    <row r="3810" s="2043" customFormat="1" x14ac:dyDescent="0.2"/>
    <row r="3811" s="2043" customFormat="1" x14ac:dyDescent="0.2"/>
    <row r="3812" s="2043" customFormat="1" x14ac:dyDescent="0.2"/>
    <row r="3813" s="2043" customFormat="1" x14ac:dyDescent="0.2"/>
    <row r="3814" s="2043" customFormat="1" x14ac:dyDescent="0.2"/>
    <row r="3815" s="2043" customFormat="1" x14ac:dyDescent="0.2"/>
    <row r="3816" s="2043" customFormat="1" x14ac:dyDescent="0.2"/>
    <row r="3817" s="2043" customFormat="1" x14ac:dyDescent="0.2"/>
    <row r="3818" s="2043" customFormat="1" x14ac:dyDescent="0.2"/>
    <row r="3819" s="2043" customFormat="1" x14ac:dyDescent="0.2"/>
    <row r="3820" s="2043" customFormat="1" x14ac:dyDescent="0.2"/>
    <row r="3821" s="2043" customFormat="1" x14ac:dyDescent="0.2"/>
    <row r="3822" s="2043" customFormat="1" x14ac:dyDescent="0.2"/>
    <row r="3823" s="2043" customFormat="1" x14ac:dyDescent="0.2"/>
    <row r="3824" s="2043" customFormat="1" x14ac:dyDescent="0.2"/>
    <row r="3825" s="2043" customFormat="1" x14ac:dyDescent="0.2"/>
    <row r="3826" s="2043" customFormat="1" x14ac:dyDescent="0.2"/>
    <row r="3827" s="2043" customFormat="1" x14ac:dyDescent="0.2"/>
    <row r="3828" s="2043" customFormat="1" x14ac:dyDescent="0.2"/>
    <row r="3829" s="2043" customFormat="1" x14ac:dyDescent="0.2"/>
    <row r="3830" s="2043" customFormat="1" x14ac:dyDescent="0.2"/>
    <row r="3831" s="2043" customFormat="1" x14ac:dyDescent="0.2"/>
    <row r="3832" s="2043" customFormat="1" x14ac:dyDescent="0.2"/>
    <row r="3833" s="2043" customFormat="1" x14ac:dyDescent="0.2"/>
    <row r="3834" s="2043" customFormat="1" x14ac:dyDescent="0.2"/>
    <row r="3835" s="2043" customFormat="1" x14ac:dyDescent="0.2"/>
    <row r="3836" s="2043" customFormat="1" x14ac:dyDescent="0.2"/>
    <row r="3837" s="2043" customFormat="1" x14ac:dyDescent="0.2"/>
    <row r="3838" s="2043" customFormat="1" x14ac:dyDescent="0.2"/>
    <row r="3839" s="2043" customFormat="1" x14ac:dyDescent="0.2"/>
    <row r="3840" s="2043" customFormat="1" x14ac:dyDescent="0.2"/>
    <row r="3841" s="2043" customFormat="1" x14ac:dyDescent="0.2"/>
    <row r="3842" s="2043" customFormat="1" x14ac:dyDescent="0.2"/>
    <row r="3843" s="2043" customFormat="1" x14ac:dyDescent="0.2"/>
    <row r="3844" s="2043" customFormat="1" x14ac:dyDescent="0.2"/>
    <row r="3845" s="2043" customFormat="1" x14ac:dyDescent="0.2"/>
    <row r="3846" s="2043" customFormat="1" x14ac:dyDescent="0.2"/>
    <row r="3847" s="2043" customFormat="1" x14ac:dyDescent="0.2"/>
    <row r="3848" s="2043" customFormat="1" x14ac:dyDescent="0.2"/>
    <row r="3849" s="2043" customFormat="1" x14ac:dyDescent="0.2"/>
    <row r="3850" s="2043" customFormat="1" x14ac:dyDescent="0.2"/>
    <row r="3851" s="2043" customFormat="1" x14ac:dyDescent="0.2"/>
    <row r="3852" s="2043" customFormat="1" x14ac:dyDescent="0.2"/>
    <row r="3853" s="2043" customFormat="1" x14ac:dyDescent="0.2"/>
    <row r="3854" s="2043" customFormat="1" x14ac:dyDescent="0.2"/>
    <row r="3855" s="2043" customFormat="1" x14ac:dyDescent="0.2"/>
    <row r="3856" s="2043" customFormat="1" x14ac:dyDescent="0.2"/>
    <row r="3857" s="2043" customFormat="1" x14ac:dyDescent="0.2"/>
    <row r="3858" s="2043" customFormat="1" x14ac:dyDescent="0.2"/>
    <row r="3859" s="2043" customFormat="1" x14ac:dyDescent="0.2"/>
    <row r="3860" s="2043" customFormat="1" x14ac:dyDescent="0.2"/>
    <row r="3861" s="2043" customFormat="1" x14ac:dyDescent="0.2"/>
    <row r="3862" s="2043" customFormat="1" x14ac:dyDescent="0.2"/>
    <row r="3863" s="2043" customFormat="1" x14ac:dyDescent="0.2"/>
    <row r="3864" s="2043" customFormat="1" x14ac:dyDescent="0.2"/>
    <row r="3865" s="2043" customFormat="1" x14ac:dyDescent="0.2"/>
    <row r="3866" s="2043" customFormat="1" x14ac:dyDescent="0.2"/>
    <row r="3867" s="2043" customFormat="1" x14ac:dyDescent="0.2"/>
    <row r="3868" s="2043" customFormat="1" x14ac:dyDescent="0.2"/>
    <row r="3869" s="2043" customFormat="1" x14ac:dyDescent="0.2"/>
    <row r="3870" s="2043" customFormat="1" x14ac:dyDescent="0.2"/>
    <row r="3871" s="2043" customFormat="1" x14ac:dyDescent="0.2"/>
    <row r="3872" s="2043" customFormat="1" x14ac:dyDescent="0.2"/>
    <row r="3873" s="2043" customFormat="1" x14ac:dyDescent="0.2"/>
    <row r="3874" s="2043" customFormat="1" x14ac:dyDescent="0.2"/>
    <row r="3875" s="2043" customFormat="1" x14ac:dyDescent="0.2"/>
    <row r="3876" s="2043" customFormat="1" x14ac:dyDescent="0.2"/>
    <row r="3877" s="2043" customFormat="1" x14ac:dyDescent="0.2"/>
    <row r="3878" s="2043" customFormat="1" x14ac:dyDescent="0.2"/>
    <row r="3879" s="2043" customFormat="1" x14ac:dyDescent="0.2"/>
    <row r="3880" s="2043" customFormat="1" x14ac:dyDescent="0.2"/>
    <row r="3881" s="2043" customFormat="1" x14ac:dyDescent="0.2"/>
    <row r="3882" s="2043" customFormat="1" x14ac:dyDescent="0.2"/>
    <row r="3883" s="2043" customFormat="1" x14ac:dyDescent="0.2"/>
    <row r="3884" s="2043" customFormat="1" x14ac:dyDescent="0.2"/>
    <row r="3885" s="2043" customFormat="1" x14ac:dyDescent="0.2"/>
    <row r="3886" s="2043" customFormat="1" x14ac:dyDescent="0.2"/>
    <row r="3887" s="2043" customFormat="1" x14ac:dyDescent="0.2"/>
    <row r="3888" s="2043" customFormat="1" x14ac:dyDescent="0.2"/>
    <row r="3889" s="2043" customFormat="1" x14ac:dyDescent="0.2"/>
    <row r="3890" s="2043" customFormat="1" x14ac:dyDescent="0.2"/>
    <row r="3891" s="2043" customFormat="1" x14ac:dyDescent="0.2"/>
    <row r="3892" s="2043" customFormat="1" x14ac:dyDescent="0.2"/>
    <row r="3893" s="2043" customFormat="1" x14ac:dyDescent="0.2"/>
    <row r="3894" s="2043" customFormat="1" x14ac:dyDescent="0.2"/>
    <row r="3895" s="2043" customFormat="1" x14ac:dyDescent="0.2"/>
    <row r="3896" s="2043" customFormat="1" x14ac:dyDescent="0.2"/>
    <row r="3897" s="2043" customFormat="1" x14ac:dyDescent="0.2"/>
    <row r="3898" s="2043" customFormat="1" x14ac:dyDescent="0.2"/>
    <row r="3899" s="2043" customFormat="1" x14ac:dyDescent="0.2"/>
    <row r="3900" s="2043" customFormat="1" x14ac:dyDescent="0.2"/>
    <row r="3901" s="2043" customFormat="1" x14ac:dyDescent="0.2"/>
    <row r="3902" s="2043" customFormat="1" x14ac:dyDescent="0.2"/>
    <row r="3903" s="2043" customFormat="1" x14ac:dyDescent="0.2"/>
    <row r="3904" s="2043" customFormat="1" x14ac:dyDescent="0.2"/>
    <row r="3905" s="2043" customFormat="1" x14ac:dyDescent="0.2"/>
    <row r="3906" s="2043" customFormat="1" x14ac:dyDescent="0.2"/>
    <row r="3907" s="2043" customFormat="1" x14ac:dyDescent="0.2"/>
    <row r="3908" s="2043" customFormat="1" x14ac:dyDescent="0.2"/>
    <row r="3909" s="2043" customFormat="1" x14ac:dyDescent="0.2"/>
    <row r="3910" s="2043" customFormat="1" x14ac:dyDescent="0.2"/>
    <row r="3911" s="2043" customFormat="1" x14ac:dyDescent="0.2"/>
    <row r="3912" s="2043" customFormat="1" x14ac:dyDescent="0.2"/>
    <row r="3913" s="2043" customFormat="1" x14ac:dyDescent="0.2"/>
    <row r="3914" s="2043" customFormat="1" x14ac:dyDescent="0.2"/>
    <row r="3915" s="2043" customFormat="1" x14ac:dyDescent="0.2"/>
    <row r="3916" s="2043" customFormat="1" x14ac:dyDescent="0.2"/>
    <row r="3917" s="2043" customFormat="1" x14ac:dyDescent="0.2"/>
    <row r="3918" s="2043" customFormat="1" x14ac:dyDescent="0.2"/>
    <row r="3919" s="2043" customFormat="1" x14ac:dyDescent="0.2"/>
    <row r="3920" s="2043" customFormat="1" x14ac:dyDescent="0.2"/>
    <row r="3921" s="2043" customFormat="1" x14ac:dyDescent="0.2"/>
    <row r="3922" s="2043" customFormat="1" x14ac:dyDescent="0.2"/>
    <row r="3923" s="2043" customFormat="1" x14ac:dyDescent="0.2"/>
    <row r="3924" s="2043" customFormat="1" x14ac:dyDescent="0.2"/>
    <row r="3925" s="2043" customFormat="1" x14ac:dyDescent="0.2"/>
    <row r="3926" s="2043" customFormat="1" x14ac:dyDescent="0.2"/>
    <row r="3927" s="2043" customFormat="1" x14ac:dyDescent="0.2"/>
    <row r="3928" s="2043" customFormat="1" x14ac:dyDescent="0.2"/>
    <row r="3929" s="2043" customFormat="1" x14ac:dyDescent="0.2"/>
    <row r="3930" s="2043" customFormat="1" x14ac:dyDescent="0.2"/>
    <row r="3931" s="2043" customFormat="1" x14ac:dyDescent="0.2"/>
    <row r="3932" s="2043" customFormat="1" x14ac:dyDescent="0.2"/>
    <row r="3933" s="2043" customFormat="1" x14ac:dyDescent="0.2"/>
    <row r="3934" s="2043" customFormat="1" x14ac:dyDescent="0.2"/>
    <row r="3935" s="2043" customFormat="1" x14ac:dyDescent="0.2"/>
    <row r="3936" s="2043" customFormat="1" x14ac:dyDescent="0.2"/>
    <row r="3937" s="2043" customFormat="1" x14ac:dyDescent="0.2"/>
    <row r="3938" s="2043" customFormat="1" x14ac:dyDescent="0.2"/>
    <row r="3939" s="2043" customFormat="1" x14ac:dyDescent="0.2"/>
    <row r="3940" s="2043" customFormat="1" x14ac:dyDescent="0.2"/>
    <row r="3941" s="2043" customFormat="1" x14ac:dyDescent="0.2"/>
    <row r="3942" s="2043" customFormat="1" x14ac:dyDescent="0.2"/>
    <row r="3943" s="2043" customFormat="1" x14ac:dyDescent="0.2"/>
    <row r="3944" s="2043" customFormat="1" x14ac:dyDescent="0.2"/>
    <row r="3945" s="2043" customFormat="1" x14ac:dyDescent="0.2"/>
    <row r="3946" s="2043" customFormat="1" x14ac:dyDescent="0.2"/>
    <row r="3947" s="2043" customFormat="1" x14ac:dyDescent="0.2"/>
    <row r="3948" s="2043" customFormat="1" x14ac:dyDescent="0.2"/>
    <row r="3949" s="2043" customFormat="1" x14ac:dyDescent="0.2"/>
    <row r="3950" s="2043" customFormat="1" x14ac:dyDescent="0.2"/>
    <row r="3951" s="2043" customFormat="1" x14ac:dyDescent="0.2"/>
    <row r="3952" s="2043" customFormat="1" x14ac:dyDescent="0.2"/>
    <row r="3953" s="2043" customFormat="1" x14ac:dyDescent="0.2"/>
    <row r="3954" s="2043" customFormat="1" x14ac:dyDescent="0.2"/>
    <row r="3955" s="2043" customFormat="1" x14ac:dyDescent="0.2"/>
    <row r="3956" s="2043" customFormat="1" x14ac:dyDescent="0.2"/>
    <row r="3957" s="2043" customFormat="1" x14ac:dyDescent="0.2"/>
    <row r="3958" s="2043" customFormat="1" x14ac:dyDescent="0.2"/>
    <row r="3959" s="2043" customFormat="1" x14ac:dyDescent="0.2"/>
    <row r="3960" s="2043" customFormat="1" x14ac:dyDescent="0.2"/>
    <row r="3961" s="2043" customFormat="1" x14ac:dyDescent="0.2"/>
    <row r="3962" s="2043" customFormat="1" x14ac:dyDescent="0.2"/>
    <row r="3963" s="2043" customFormat="1" x14ac:dyDescent="0.2"/>
    <row r="3964" s="2043" customFormat="1" x14ac:dyDescent="0.2"/>
    <row r="3965" s="2043" customFormat="1" x14ac:dyDescent="0.2"/>
    <row r="3966" s="2043" customFormat="1" x14ac:dyDescent="0.2"/>
    <row r="3967" s="2043" customFormat="1" x14ac:dyDescent="0.2"/>
    <row r="3968" s="2043" customFormat="1" x14ac:dyDescent="0.2"/>
    <row r="3969" s="2043" customFormat="1" x14ac:dyDescent="0.2"/>
    <row r="3970" s="2043" customFormat="1" x14ac:dyDescent="0.2"/>
    <row r="3971" s="2043" customFormat="1" x14ac:dyDescent="0.2"/>
    <row r="3972" s="2043" customFormat="1" x14ac:dyDescent="0.2"/>
    <row r="3973" s="2043" customFormat="1" x14ac:dyDescent="0.2"/>
    <row r="3974" s="2043" customFormat="1" x14ac:dyDescent="0.2"/>
    <row r="3975" s="2043" customFormat="1" x14ac:dyDescent="0.2"/>
    <row r="3976" s="2043" customFormat="1" x14ac:dyDescent="0.2"/>
    <row r="3977" s="2043" customFormat="1" x14ac:dyDescent="0.2"/>
    <row r="3978" s="2043" customFormat="1" x14ac:dyDescent="0.2"/>
    <row r="3979" s="2043" customFormat="1" x14ac:dyDescent="0.2"/>
    <row r="3980" s="2043" customFormat="1" x14ac:dyDescent="0.2"/>
    <row r="3981" s="2043" customFormat="1" x14ac:dyDescent="0.2"/>
    <row r="3982" s="2043" customFormat="1" x14ac:dyDescent="0.2"/>
    <row r="3983" s="2043" customFormat="1" x14ac:dyDescent="0.2"/>
    <row r="3984" s="2043" customFormat="1" x14ac:dyDescent="0.2"/>
    <row r="3985" s="2043" customFormat="1" x14ac:dyDescent="0.2"/>
    <row r="3986" s="2043" customFormat="1" x14ac:dyDescent="0.2"/>
    <row r="3987" s="2043" customFormat="1" x14ac:dyDescent="0.2"/>
    <row r="3988" s="2043" customFormat="1" x14ac:dyDescent="0.2"/>
    <row r="3989" s="2043" customFormat="1" x14ac:dyDescent="0.2"/>
    <row r="3990" s="2043" customFormat="1" x14ac:dyDescent="0.2"/>
    <row r="3991" s="2043" customFormat="1" x14ac:dyDescent="0.2"/>
    <row r="3992" s="2043" customFormat="1" x14ac:dyDescent="0.2"/>
    <row r="3993" s="2043" customFormat="1" x14ac:dyDescent="0.2"/>
    <row r="3994" s="2043" customFormat="1" x14ac:dyDescent="0.2"/>
    <row r="3995" s="2043" customFormat="1" x14ac:dyDescent="0.2"/>
    <row r="3996" s="2043" customFormat="1" x14ac:dyDescent="0.2"/>
    <row r="3997" s="2043" customFormat="1" x14ac:dyDescent="0.2"/>
    <row r="3998" s="2043" customFormat="1" x14ac:dyDescent="0.2"/>
    <row r="3999" s="2043" customFormat="1" x14ac:dyDescent="0.2"/>
    <row r="4000" s="2043" customFormat="1" x14ac:dyDescent="0.2"/>
    <row r="4001" s="2043" customFormat="1" x14ac:dyDescent="0.2"/>
    <row r="4002" s="2043" customFormat="1" x14ac:dyDescent="0.2"/>
    <row r="4003" s="2043" customFormat="1" x14ac:dyDescent="0.2"/>
    <row r="4004" s="2043" customFormat="1" x14ac:dyDescent="0.2"/>
    <row r="4005" s="2043" customFormat="1" x14ac:dyDescent="0.2"/>
    <row r="4006" s="2043" customFormat="1" x14ac:dyDescent="0.2"/>
    <row r="4007" s="2043" customFormat="1" x14ac:dyDescent="0.2"/>
    <row r="4008" s="2043" customFormat="1" x14ac:dyDescent="0.2"/>
    <row r="4009" s="2043" customFormat="1" x14ac:dyDescent="0.2"/>
    <row r="4010" s="2043" customFormat="1" x14ac:dyDescent="0.2"/>
    <row r="4011" s="2043" customFormat="1" x14ac:dyDescent="0.2"/>
    <row r="4012" s="2043" customFormat="1" x14ac:dyDescent="0.2"/>
    <row r="4013" s="2043" customFormat="1" x14ac:dyDescent="0.2"/>
    <row r="4014" s="2043" customFormat="1" x14ac:dyDescent="0.2"/>
    <row r="4015" s="2043" customFormat="1" x14ac:dyDescent="0.2"/>
    <row r="4016" s="2043" customFormat="1" x14ac:dyDescent="0.2"/>
    <row r="4017" s="2043" customFormat="1" x14ac:dyDescent="0.2"/>
    <row r="4018" s="2043" customFormat="1" x14ac:dyDescent="0.2"/>
    <row r="4019" s="2043" customFormat="1" x14ac:dyDescent="0.2"/>
    <row r="4020" s="2043" customFormat="1" x14ac:dyDescent="0.2"/>
    <row r="4021" s="2043" customFormat="1" x14ac:dyDescent="0.2"/>
    <row r="4022" s="2043" customFormat="1" x14ac:dyDescent="0.2"/>
    <row r="4023" s="2043" customFormat="1" x14ac:dyDescent="0.2"/>
    <row r="4024" s="2043" customFormat="1" x14ac:dyDescent="0.2"/>
    <row r="4025" s="2043" customFormat="1" x14ac:dyDescent="0.2"/>
    <row r="4026" s="2043" customFormat="1" x14ac:dyDescent="0.2"/>
    <row r="4027" s="2043" customFormat="1" x14ac:dyDescent="0.2"/>
    <row r="4028" s="2043" customFormat="1" x14ac:dyDescent="0.2"/>
    <row r="4029" s="2043" customFormat="1" x14ac:dyDescent="0.2"/>
    <row r="4030" s="2043" customFormat="1" x14ac:dyDescent="0.2"/>
    <row r="4031" s="2043" customFormat="1" x14ac:dyDescent="0.2"/>
    <row r="4032" s="2043" customFormat="1" x14ac:dyDescent="0.2"/>
    <row r="4033" s="2043" customFormat="1" x14ac:dyDescent="0.2"/>
    <row r="4034" s="2043" customFormat="1" x14ac:dyDescent="0.2"/>
    <row r="4035" s="2043" customFormat="1" x14ac:dyDescent="0.2"/>
    <row r="4036" s="2043" customFormat="1" x14ac:dyDescent="0.2"/>
    <row r="4037" s="2043" customFormat="1" x14ac:dyDescent="0.2"/>
    <row r="4038" s="2043" customFormat="1" x14ac:dyDescent="0.2"/>
    <row r="4039" s="2043" customFormat="1" x14ac:dyDescent="0.2"/>
    <row r="4040" s="2043" customFormat="1" x14ac:dyDescent="0.2"/>
    <row r="4041" s="2043" customFormat="1" x14ac:dyDescent="0.2"/>
    <row r="4042" s="2043" customFormat="1" x14ac:dyDescent="0.2"/>
    <row r="4043" s="2043" customFormat="1" x14ac:dyDescent="0.2"/>
    <row r="4044" s="2043" customFormat="1" x14ac:dyDescent="0.2"/>
    <row r="4045" s="2043" customFormat="1" x14ac:dyDescent="0.2"/>
    <row r="4046" s="2043" customFormat="1" x14ac:dyDescent="0.2"/>
    <row r="4047" s="2043" customFormat="1" x14ac:dyDescent="0.2"/>
    <row r="4048" s="2043" customFormat="1" x14ac:dyDescent="0.2"/>
    <row r="4049" s="2043" customFormat="1" x14ac:dyDescent="0.2"/>
    <row r="4050" s="2043" customFormat="1" x14ac:dyDescent="0.2"/>
    <row r="4051" s="2043" customFormat="1" x14ac:dyDescent="0.2"/>
    <row r="4052" s="2043" customFormat="1" x14ac:dyDescent="0.2"/>
    <row r="4053" s="2043" customFormat="1" x14ac:dyDescent="0.2"/>
    <row r="4054" s="2043" customFormat="1" x14ac:dyDescent="0.2"/>
    <row r="4055" s="2043" customFormat="1" x14ac:dyDescent="0.2"/>
    <row r="4056" s="2043" customFormat="1" x14ac:dyDescent="0.2"/>
    <row r="4057" s="2043" customFormat="1" x14ac:dyDescent="0.2"/>
    <row r="4058" s="2043" customFormat="1" x14ac:dyDescent="0.2"/>
    <row r="4059" s="2043" customFormat="1" x14ac:dyDescent="0.2"/>
    <row r="4060" s="2043" customFormat="1" x14ac:dyDescent="0.2"/>
    <row r="4061" s="2043" customFormat="1" x14ac:dyDescent="0.2"/>
    <row r="4062" s="2043" customFormat="1" x14ac:dyDescent="0.2"/>
    <row r="4063" s="2043" customFormat="1" x14ac:dyDescent="0.2"/>
    <row r="4064" s="2043" customFormat="1" x14ac:dyDescent="0.2"/>
    <row r="4065" s="2043" customFormat="1" x14ac:dyDescent="0.2"/>
    <row r="4066" s="2043" customFormat="1" x14ac:dyDescent="0.2"/>
    <row r="4067" s="2043" customFormat="1" x14ac:dyDescent="0.2"/>
    <row r="4068" s="2043" customFormat="1" x14ac:dyDescent="0.2"/>
    <row r="4069" s="2043" customFormat="1" x14ac:dyDescent="0.2"/>
    <row r="4070" s="2043" customFormat="1" x14ac:dyDescent="0.2"/>
    <row r="4071" s="2043" customFormat="1" x14ac:dyDescent="0.2"/>
    <row r="4072" s="2043" customFormat="1" x14ac:dyDescent="0.2"/>
    <row r="4073" s="2043" customFormat="1" x14ac:dyDescent="0.2"/>
    <row r="4074" s="2043" customFormat="1" x14ac:dyDescent="0.2"/>
    <row r="4075" s="2043" customFormat="1" x14ac:dyDescent="0.2"/>
    <row r="4076" s="2043" customFormat="1" x14ac:dyDescent="0.2"/>
    <row r="4077" s="2043" customFormat="1" x14ac:dyDescent="0.2"/>
    <row r="4078" s="2043" customFormat="1" x14ac:dyDescent="0.2"/>
    <row r="4079" s="2043" customFormat="1" x14ac:dyDescent="0.2"/>
    <row r="4080" s="2043" customFormat="1" x14ac:dyDescent="0.2"/>
    <row r="4081" s="2043" customFormat="1" x14ac:dyDescent="0.2"/>
    <row r="4082" s="2043" customFormat="1" x14ac:dyDescent="0.2"/>
    <row r="4083" s="2043" customFormat="1" x14ac:dyDescent="0.2"/>
    <row r="4084" s="2043" customFormat="1" x14ac:dyDescent="0.2"/>
    <row r="4085" s="2043" customFormat="1" x14ac:dyDescent="0.2"/>
    <row r="4086" s="2043" customFormat="1" x14ac:dyDescent="0.2"/>
    <row r="4087" s="2043" customFormat="1" x14ac:dyDescent="0.2"/>
    <row r="4088" s="2043" customFormat="1" x14ac:dyDescent="0.2"/>
    <row r="4089" s="2043" customFormat="1" x14ac:dyDescent="0.2"/>
    <row r="4090" s="2043" customFormat="1" x14ac:dyDescent="0.2"/>
    <row r="4091" s="2043" customFormat="1" x14ac:dyDescent="0.2"/>
    <row r="4092" s="2043" customFormat="1" x14ac:dyDescent="0.2"/>
    <row r="4093" s="2043" customFormat="1" x14ac:dyDescent="0.2"/>
    <row r="4094" s="2043" customFormat="1" x14ac:dyDescent="0.2"/>
    <row r="4095" s="2043" customFormat="1" x14ac:dyDescent="0.2"/>
    <row r="4096" s="2043" customFormat="1" x14ac:dyDescent="0.2"/>
    <row r="4097" s="2043" customFormat="1" x14ac:dyDescent="0.2"/>
    <row r="4098" s="2043" customFormat="1" x14ac:dyDescent="0.2"/>
    <row r="4099" s="2043" customFormat="1" x14ac:dyDescent="0.2"/>
    <row r="4100" s="2043" customFormat="1" x14ac:dyDescent="0.2"/>
    <row r="4101" s="2043" customFormat="1" x14ac:dyDescent="0.2"/>
    <row r="4102" s="2043" customFormat="1" x14ac:dyDescent="0.2"/>
    <row r="4103" s="2043" customFormat="1" x14ac:dyDescent="0.2"/>
    <row r="4104" s="2043" customFormat="1" x14ac:dyDescent="0.2"/>
    <row r="4105" s="2043" customFormat="1" x14ac:dyDescent="0.2"/>
    <row r="4106" s="2043" customFormat="1" x14ac:dyDescent="0.2"/>
    <row r="4107" s="2043" customFormat="1" x14ac:dyDescent="0.2"/>
    <row r="4108" s="2043" customFormat="1" x14ac:dyDescent="0.2"/>
    <row r="4109" s="2043" customFormat="1" x14ac:dyDescent="0.2"/>
    <row r="4110" s="2043" customFormat="1" x14ac:dyDescent="0.2"/>
    <row r="4111" s="2043" customFormat="1" x14ac:dyDescent="0.2"/>
    <row r="4112" s="2043" customFormat="1" x14ac:dyDescent="0.2"/>
    <row r="4113" s="2043" customFormat="1" x14ac:dyDescent="0.2"/>
    <row r="4114" s="2043" customFormat="1" x14ac:dyDescent="0.2"/>
    <row r="4115" s="2043" customFormat="1" x14ac:dyDescent="0.2"/>
    <row r="4116" s="2043" customFormat="1" x14ac:dyDescent="0.2"/>
    <row r="4117" s="2043" customFormat="1" x14ac:dyDescent="0.2"/>
    <row r="4118" s="2043" customFormat="1" x14ac:dyDescent="0.2"/>
    <row r="4119" s="2043" customFormat="1" x14ac:dyDescent="0.2"/>
    <row r="4120" s="2043" customFormat="1" x14ac:dyDescent="0.2"/>
    <row r="4121" s="2043" customFormat="1" x14ac:dyDescent="0.2"/>
    <row r="4122" s="2043" customFormat="1" x14ac:dyDescent="0.2"/>
    <row r="4123" s="2043" customFormat="1" x14ac:dyDescent="0.2"/>
    <row r="4124" s="2043" customFormat="1" x14ac:dyDescent="0.2"/>
    <row r="4125" s="2043" customFormat="1" x14ac:dyDescent="0.2"/>
    <row r="4126" s="2043" customFormat="1" x14ac:dyDescent="0.2"/>
    <row r="4127" s="2043" customFormat="1" x14ac:dyDescent="0.2"/>
    <row r="4128" s="2043" customFormat="1" x14ac:dyDescent="0.2"/>
    <row r="4129" s="2043" customFormat="1" x14ac:dyDescent="0.2"/>
    <row r="4130" s="2043" customFormat="1" x14ac:dyDescent="0.2"/>
    <row r="4131" s="2043" customFormat="1" x14ac:dyDescent="0.2"/>
    <row r="4132" s="2043" customFormat="1" x14ac:dyDescent="0.2"/>
    <row r="4133" s="2043" customFormat="1" x14ac:dyDescent="0.2"/>
    <row r="4134" s="2043" customFormat="1" x14ac:dyDescent="0.2"/>
    <row r="4135" s="2043" customFormat="1" x14ac:dyDescent="0.2"/>
    <row r="4136" s="2043" customFormat="1" x14ac:dyDescent="0.2"/>
    <row r="4137" s="2043" customFormat="1" x14ac:dyDescent="0.2"/>
    <row r="4138" s="2043" customFormat="1" x14ac:dyDescent="0.2"/>
    <row r="4139" s="2043" customFormat="1" x14ac:dyDescent="0.2"/>
    <row r="4140" s="2043" customFormat="1" x14ac:dyDescent="0.2"/>
    <row r="4141" s="2043" customFormat="1" x14ac:dyDescent="0.2"/>
    <row r="4142" s="2043" customFormat="1" x14ac:dyDescent="0.2"/>
    <row r="4143" s="2043" customFormat="1" x14ac:dyDescent="0.2"/>
    <row r="4144" s="2043" customFormat="1" x14ac:dyDescent="0.2"/>
    <row r="4145" s="2043" customFormat="1" x14ac:dyDescent="0.2"/>
    <row r="4146" s="2043" customFormat="1" x14ac:dyDescent="0.2"/>
    <row r="4147" s="2043" customFormat="1" x14ac:dyDescent="0.2"/>
    <row r="4148" s="2043" customFormat="1" x14ac:dyDescent="0.2"/>
    <row r="4149" s="2043" customFormat="1" x14ac:dyDescent="0.2"/>
    <row r="4150" s="2043" customFormat="1" x14ac:dyDescent="0.2"/>
    <row r="4151" s="2043" customFormat="1" x14ac:dyDescent="0.2"/>
    <row r="4152" s="2043" customFormat="1" x14ac:dyDescent="0.2"/>
    <row r="4153" s="2043" customFormat="1" x14ac:dyDescent="0.2"/>
    <row r="4154" s="2043" customFormat="1" x14ac:dyDescent="0.2"/>
    <row r="4155" s="2043" customFormat="1" x14ac:dyDescent="0.2"/>
    <row r="4156" s="2043" customFormat="1" x14ac:dyDescent="0.2"/>
    <row r="4157" s="2043" customFormat="1" x14ac:dyDescent="0.2"/>
    <row r="4158" s="2043" customFormat="1" x14ac:dyDescent="0.2"/>
    <row r="4159" s="2043" customFormat="1" x14ac:dyDescent="0.2"/>
    <row r="4160" s="2043" customFormat="1" x14ac:dyDescent="0.2"/>
    <row r="4161" s="2043" customFormat="1" x14ac:dyDescent="0.2"/>
    <row r="4162" s="2043" customFormat="1" x14ac:dyDescent="0.2"/>
    <row r="4163" s="2043" customFormat="1" x14ac:dyDescent="0.2"/>
    <row r="4164" s="2043" customFormat="1" x14ac:dyDescent="0.2"/>
    <row r="4165" s="2043" customFormat="1" x14ac:dyDescent="0.2"/>
    <row r="4166" s="2043" customFormat="1" x14ac:dyDescent="0.2"/>
    <row r="4167" s="2043" customFormat="1" x14ac:dyDescent="0.2"/>
    <row r="4168" s="2043" customFormat="1" x14ac:dyDescent="0.2"/>
    <row r="4169" s="2043" customFormat="1" x14ac:dyDescent="0.2"/>
    <row r="4170" s="2043" customFormat="1" x14ac:dyDescent="0.2"/>
    <row r="4171" s="2043" customFormat="1" x14ac:dyDescent="0.2"/>
    <row r="4172" s="2043" customFormat="1" x14ac:dyDescent="0.2"/>
    <row r="4173" s="2043" customFormat="1" x14ac:dyDescent="0.2"/>
    <row r="4174" s="2043" customFormat="1" x14ac:dyDescent="0.2"/>
    <row r="4175" s="2043" customFormat="1" x14ac:dyDescent="0.2"/>
    <row r="4176" s="2043" customFormat="1" x14ac:dyDescent="0.2"/>
    <row r="4177" s="2043" customFormat="1" x14ac:dyDescent="0.2"/>
    <row r="4178" s="2043" customFormat="1" x14ac:dyDescent="0.2"/>
    <row r="4179" s="2043" customFormat="1" x14ac:dyDescent="0.2"/>
    <row r="4180" s="2043" customFormat="1" x14ac:dyDescent="0.2"/>
    <row r="4181" s="2043" customFormat="1" x14ac:dyDescent="0.2"/>
    <row r="4182" s="2043" customFormat="1" x14ac:dyDescent="0.2"/>
    <row r="4183" s="2043" customFormat="1" x14ac:dyDescent="0.2"/>
    <row r="4184" s="2043" customFormat="1" x14ac:dyDescent="0.2"/>
    <row r="4185" s="2043" customFormat="1" x14ac:dyDescent="0.2"/>
    <row r="4186" s="2043" customFormat="1" x14ac:dyDescent="0.2"/>
    <row r="4187" s="2043" customFormat="1" x14ac:dyDescent="0.2"/>
    <row r="4188" s="2043" customFormat="1" x14ac:dyDescent="0.2"/>
    <row r="4189" s="2043" customFormat="1" x14ac:dyDescent="0.2"/>
    <row r="4190" s="2043" customFormat="1" x14ac:dyDescent="0.2"/>
    <row r="4191" s="2043" customFormat="1" x14ac:dyDescent="0.2"/>
    <row r="4192" s="2043" customFormat="1" x14ac:dyDescent="0.2"/>
    <row r="4193" s="2043" customFormat="1" x14ac:dyDescent="0.2"/>
    <row r="4194" s="2043" customFormat="1" x14ac:dyDescent="0.2"/>
    <row r="4195" s="2043" customFormat="1" x14ac:dyDescent="0.2"/>
    <row r="4196" s="2043" customFormat="1" x14ac:dyDescent="0.2"/>
    <row r="4197" s="2043" customFormat="1" x14ac:dyDescent="0.2"/>
    <row r="4198" s="2043" customFormat="1" x14ac:dyDescent="0.2"/>
    <row r="4199" s="2043" customFormat="1" x14ac:dyDescent="0.2"/>
    <row r="4200" s="2043" customFormat="1" x14ac:dyDescent="0.2"/>
    <row r="4201" s="2043" customFormat="1" x14ac:dyDescent="0.2"/>
    <row r="4202" s="2043" customFormat="1" x14ac:dyDescent="0.2"/>
    <row r="4203" s="2043" customFormat="1" x14ac:dyDescent="0.2"/>
    <row r="4204" s="2043" customFormat="1" x14ac:dyDescent="0.2"/>
    <row r="4205" s="2043" customFormat="1" x14ac:dyDescent="0.2"/>
    <row r="4206" s="2043" customFormat="1" x14ac:dyDescent="0.2"/>
    <row r="4207" s="2043" customFormat="1" x14ac:dyDescent="0.2"/>
    <row r="4208" s="2043" customFormat="1" x14ac:dyDescent="0.2"/>
    <row r="4209" s="2043" customFormat="1" x14ac:dyDescent="0.2"/>
    <row r="4210" s="2043" customFormat="1" x14ac:dyDescent="0.2"/>
    <row r="4211" s="2043" customFormat="1" x14ac:dyDescent="0.2"/>
    <row r="4212" s="2043" customFormat="1" x14ac:dyDescent="0.2"/>
    <row r="4213" s="2043" customFormat="1" x14ac:dyDescent="0.2"/>
    <row r="4214" s="2043" customFormat="1" x14ac:dyDescent="0.2"/>
    <row r="4215" s="2043" customFormat="1" x14ac:dyDescent="0.2"/>
    <row r="4216" s="2043" customFormat="1" x14ac:dyDescent="0.2"/>
    <row r="4217" s="2043" customFormat="1" x14ac:dyDescent="0.2"/>
    <row r="4218" s="2043" customFormat="1" x14ac:dyDescent="0.2"/>
    <row r="4219" s="2043" customFormat="1" x14ac:dyDescent="0.2"/>
    <row r="4220" s="2043" customFormat="1" x14ac:dyDescent="0.2"/>
    <row r="4221" s="2043" customFormat="1" x14ac:dyDescent="0.2"/>
    <row r="4222" s="2043" customFormat="1" x14ac:dyDescent="0.2"/>
    <row r="4223" s="2043" customFormat="1" x14ac:dyDescent="0.2"/>
    <row r="4224" s="2043" customFormat="1" x14ac:dyDescent="0.2"/>
    <row r="4225" s="2043" customFormat="1" x14ac:dyDescent="0.2"/>
    <row r="4226" s="2043" customFormat="1" x14ac:dyDescent="0.2"/>
    <row r="4227" s="2043" customFormat="1" x14ac:dyDescent="0.2"/>
    <row r="4228" s="2043" customFormat="1" x14ac:dyDescent="0.2"/>
    <row r="4229" s="2043" customFormat="1" x14ac:dyDescent="0.2"/>
    <row r="4230" s="2043" customFormat="1" x14ac:dyDescent="0.2"/>
    <row r="4231" s="2043" customFormat="1" x14ac:dyDescent="0.2"/>
    <row r="4232" s="2043" customFormat="1" x14ac:dyDescent="0.2"/>
    <row r="4233" s="2043" customFormat="1" x14ac:dyDescent="0.2"/>
    <row r="4234" s="2043" customFormat="1" x14ac:dyDescent="0.2"/>
    <row r="4235" s="2043" customFormat="1" x14ac:dyDescent="0.2"/>
    <row r="4236" s="2043" customFormat="1" x14ac:dyDescent="0.2"/>
    <row r="4237" s="2043" customFormat="1" x14ac:dyDescent="0.2"/>
    <row r="4238" s="2043" customFormat="1" x14ac:dyDescent="0.2"/>
    <row r="4239" s="2043" customFormat="1" x14ac:dyDescent="0.2"/>
    <row r="4240" s="2043" customFormat="1" x14ac:dyDescent="0.2"/>
    <row r="4241" s="2043" customFormat="1" x14ac:dyDescent="0.2"/>
    <row r="4242" s="2043" customFormat="1" x14ac:dyDescent="0.2"/>
    <row r="4243" s="2043" customFormat="1" x14ac:dyDescent="0.2"/>
    <row r="4244" s="2043" customFormat="1" x14ac:dyDescent="0.2"/>
    <row r="4245" s="2043" customFormat="1" x14ac:dyDescent="0.2"/>
    <row r="4246" s="2043" customFormat="1" x14ac:dyDescent="0.2"/>
    <row r="4247" s="2043" customFormat="1" x14ac:dyDescent="0.2"/>
    <row r="4248" s="2043" customFormat="1" x14ac:dyDescent="0.2"/>
    <row r="4249" s="2043" customFormat="1" x14ac:dyDescent="0.2"/>
    <row r="4250" s="2043" customFormat="1" x14ac:dyDescent="0.2"/>
    <row r="4251" s="2043" customFormat="1" x14ac:dyDescent="0.2"/>
    <row r="4252" s="2043" customFormat="1" x14ac:dyDescent="0.2"/>
    <row r="4253" s="2043" customFormat="1" x14ac:dyDescent="0.2"/>
    <row r="4254" s="2043" customFormat="1" x14ac:dyDescent="0.2"/>
    <row r="4255" s="2043" customFormat="1" x14ac:dyDescent="0.2"/>
    <row r="4256" s="2043" customFormat="1" x14ac:dyDescent="0.2"/>
    <row r="4257" s="2043" customFormat="1" x14ac:dyDescent="0.2"/>
    <row r="4258" s="2043" customFormat="1" x14ac:dyDescent="0.2"/>
    <row r="4259" s="2043" customFormat="1" x14ac:dyDescent="0.2"/>
    <row r="4260" s="2043" customFormat="1" x14ac:dyDescent="0.2"/>
    <row r="4261" s="2043" customFormat="1" x14ac:dyDescent="0.2"/>
    <row r="4262" s="2043" customFormat="1" x14ac:dyDescent="0.2"/>
    <row r="4263" s="2043" customFormat="1" x14ac:dyDescent="0.2"/>
    <row r="4264" s="2043" customFormat="1" x14ac:dyDescent="0.2"/>
    <row r="4265" s="2043" customFormat="1" x14ac:dyDescent="0.2"/>
    <row r="4266" s="2043" customFormat="1" x14ac:dyDescent="0.2"/>
    <row r="4267" s="2043" customFormat="1" x14ac:dyDescent="0.2"/>
    <row r="4268" s="2043" customFormat="1" x14ac:dyDescent="0.2"/>
    <row r="4269" s="2043" customFormat="1" x14ac:dyDescent="0.2"/>
    <row r="4270" s="2043" customFormat="1" x14ac:dyDescent="0.2"/>
    <row r="4271" s="2043" customFormat="1" x14ac:dyDescent="0.2"/>
    <row r="4272" s="2043" customFormat="1" x14ac:dyDescent="0.2"/>
    <row r="4273" s="2043" customFormat="1" x14ac:dyDescent="0.2"/>
    <row r="4274" s="2043" customFormat="1" x14ac:dyDescent="0.2"/>
    <row r="4275" s="2043" customFormat="1" x14ac:dyDescent="0.2"/>
    <row r="4276" s="2043" customFormat="1" x14ac:dyDescent="0.2"/>
    <row r="4277" s="2043" customFormat="1" x14ac:dyDescent="0.2"/>
    <row r="4278" s="2043" customFormat="1" x14ac:dyDescent="0.2"/>
    <row r="4279" s="2043" customFormat="1" x14ac:dyDescent="0.2"/>
    <row r="4280" s="2043" customFormat="1" x14ac:dyDescent="0.2"/>
    <row r="4281" s="2043" customFormat="1" x14ac:dyDescent="0.2"/>
    <row r="4282" s="2043" customFormat="1" x14ac:dyDescent="0.2"/>
    <row r="4283" s="2043" customFormat="1" x14ac:dyDescent="0.2"/>
    <row r="4284" s="2043" customFormat="1" x14ac:dyDescent="0.2"/>
    <row r="4285" s="2043" customFormat="1" x14ac:dyDescent="0.2"/>
    <row r="4286" s="2043" customFormat="1" x14ac:dyDescent="0.2"/>
    <row r="4287" s="2043" customFormat="1" x14ac:dyDescent="0.2"/>
    <row r="4288" s="2043" customFormat="1" x14ac:dyDescent="0.2"/>
    <row r="4289" s="2043" customFormat="1" x14ac:dyDescent="0.2"/>
    <row r="4290" s="2043" customFormat="1" x14ac:dyDescent="0.2"/>
    <row r="4291" s="2043" customFormat="1" x14ac:dyDescent="0.2"/>
    <row r="4292" s="2043" customFormat="1" x14ac:dyDescent="0.2"/>
    <row r="4293" s="2043" customFormat="1" x14ac:dyDescent="0.2"/>
    <row r="4294" s="2043" customFormat="1" x14ac:dyDescent="0.2"/>
    <row r="4295" s="2043" customFormat="1" x14ac:dyDescent="0.2"/>
    <row r="4296" s="2043" customFormat="1" x14ac:dyDescent="0.2"/>
    <row r="4297" s="2043" customFormat="1" x14ac:dyDescent="0.2"/>
    <row r="4298" s="2043" customFormat="1" x14ac:dyDescent="0.2"/>
    <row r="4299" s="2043" customFormat="1" x14ac:dyDescent="0.2"/>
    <row r="4300" s="2043" customFormat="1" x14ac:dyDescent="0.2"/>
    <row r="4301" s="2043" customFormat="1" x14ac:dyDescent="0.2"/>
    <row r="4302" s="2043" customFormat="1" x14ac:dyDescent="0.2"/>
    <row r="4303" s="2043" customFormat="1" x14ac:dyDescent="0.2"/>
    <row r="4304" s="2043" customFormat="1" x14ac:dyDescent="0.2"/>
    <row r="4305" s="2043" customFormat="1" x14ac:dyDescent="0.2"/>
    <row r="4306" s="2043" customFormat="1" x14ac:dyDescent="0.2"/>
    <row r="4307" s="2043" customFormat="1" x14ac:dyDescent="0.2"/>
    <row r="4308" s="2043" customFormat="1" x14ac:dyDescent="0.2"/>
    <row r="4309" s="2043" customFormat="1" x14ac:dyDescent="0.2"/>
    <row r="4310" s="2043" customFormat="1" x14ac:dyDescent="0.2"/>
    <row r="4311" s="2043" customFormat="1" x14ac:dyDescent="0.2"/>
    <row r="4312" s="2043" customFormat="1" x14ac:dyDescent="0.2"/>
    <row r="4313" s="2043" customFormat="1" x14ac:dyDescent="0.2"/>
    <row r="4314" s="2043" customFormat="1" x14ac:dyDescent="0.2"/>
    <row r="4315" s="2043" customFormat="1" x14ac:dyDescent="0.2"/>
    <row r="4316" s="2043" customFormat="1" x14ac:dyDescent="0.2"/>
    <row r="4317" s="2043" customFormat="1" x14ac:dyDescent="0.2"/>
    <row r="4318" s="2043" customFormat="1" x14ac:dyDescent="0.2"/>
    <row r="4319" s="2043" customFormat="1" x14ac:dyDescent="0.2"/>
    <row r="4320" s="2043" customFormat="1" x14ac:dyDescent="0.2"/>
    <row r="4321" s="2043" customFormat="1" x14ac:dyDescent="0.2"/>
    <row r="4322" s="2043" customFormat="1" x14ac:dyDescent="0.2"/>
    <row r="4323" s="2043" customFormat="1" x14ac:dyDescent="0.2"/>
    <row r="4324" s="2043" customFormat="1" x14ac:dyDescent="0.2"/>
    <row r="4325" s="2043" customFormat="1" x14ac:dyDescent="0.2"/>
    <row r="4326" s="2043" customFormat="1" x14ac:dyDescent="0.2"/>
    <row r="4327" s="2043" customFormat="1" x14ac:dyDescent="0.2"/>
    <row r="4328" s="2043" customFormat="1" x14ac:dyDescent="0.2"/>
    <row r="4329" s="2043" customFormat="1" x14ac:dyDescent="0.2"/>
    <row r="4330" s="2043" customFormat="1" x14ac:dyDescent="0.2"/>
    <row r="4331" s="2043" customFormat="1" x14ac:dyDescent="0.2"/>
    <row r="4332" s="2043" customFormat="1" x14ac:dyDescent="0.2"/>
    <row r="4333" s="2043" customFormat="1" x14ac:dyDescent="0.2"/>
    <row r="4334" s="2043" customFormat="1" x14ac:dyDescent="0.2"/>
    <row r="4335" s="2043" customFormat="1" x14ac:dyDescent="0.2"/>
    <row r="4336" s="2043" customFormat="1" x14ac:dyDescent="0.2"/>
    <row r="4337" s="2043" customFormat="1" x14ac:dyDescent="0.2"/>
    <row r="4338" s="2043" customFormat="1" x14ac:dyDescent="0.2"/>
    <row r="4339" s="2043" customFormat="1" x14ac:dyDescent="0.2"/>
    <row r="4340" s="2043" customFormat="1" x14ac:dyDescent="0.2"/>
    <row r="4341" s="2043" customFormat="1" x14ac:dyDescent="0.2"/>
    <row r="4342" s="2043" customFormat="1" x14ac:dyDescent="0.2"/>
    <row r="4343" s="2043" customFormat="1" x14ac:dyDescent="0.2"/>
    <row r="4344" s="2043" customFormat="1" x14ac:dyDescent="0.2"/>
    <row r="4345" s="2043" customFormat="1" x14ac:dyDescent="0.2"/>
    <row r="4346" s="2043" customFormat="1" x14ac:dyDescent="0.2"/>
    <row r="4347" s="2043" customFormat="1" x14ac:dyDescent="0.2"/>
    <row r="4348" s="2043" customFormat="1" x14ac:dyDescent="0.2"/>
    <row r="4349" s="2043" customFormat="1" x14ac:dyDescent="0.2"/>
    <row r="4350" s="2043" customFormat="1" x14ac:dyDescent="0.2"/>
    <row r="4351" s="2043" customFormat="1" x14ac:dyDescent="0.2"/>
    <row r="4352" s="2043" customFormat="1" x14ac:dyDescent="0.2"/>
    <row r="4353" s="2043" customFormat="1" x14ac:dyDescent="0.2"/>
    <row r="4354" s="2043" customFormat="1" x14ac:dyDescent="0.2"/>
    <row r="4355" s="2043" customFormat="1" x14ac:dyDescent="0.2"/>
    <row r="4356" s="2043" customFormat="1" x14ac:dyDescent="0.2"/>
    <row r="4357" s="2043" customFormat="1" x14ac:dyDescent="0.2"/>
    <row r="4358" s="2043" customFormat="1" x14ac:dyDescent="0.2"/>
    <row r="4359" s="2043" customFormat="1" x14ac:dyDescent="0.2"/>
    <row r="4360" s="2043" customFormat="1" x14ac:dyDescent="0.2"/>
    <row r="4361" s="2043" customFormat="1" x14ac:dyDescent="0.2"/>
    <row r="4362" s="2043" customFormat="1" x14ac:dyDescent="0.2"/>
    <row r="4363" s="2043" customFormat="1" x14ac:dyDescent="0.2"/>
    <row r="4364" s="2043" customFormat="1" x14ac:dyDescent="0.2"/>
    <row r="4365" s="2043" customFormat="1" x14ac:dyDescent="0.2"/>
    <row r="4366" s="2043" customFormat="1" x14ac:dyDescent="0.2"/>
    <row r="4367" s="2043" customFormat="1" x14ac:dyDescent="0.2"/>
    <row r="4368" s="2043" customFormat="1" x14ac:dyDescent="0.2"/>
    <row r="4369" s="2043" customFormat="1" x14ac:dyDescent="0.2"/>
    <row r="4370" s="2043" customFormat="1" x14ac:dyDescent="0.2"/>
    <row r="4371" s="2043" customFormat="1" x14ac:dyDescent="0.2"/>
    <row r="4372" s="2043" customFormat="1" x14ac:dyDescent="0.2"/>
    <row r="4373" s="2043" customFormat="1" x14ac:dyDescent="0.2"/>
    <row r="4374" s="2043" customFormat="1" x14ac:dyDescent="0.2"/>
    <row r="4375" s="2043" customFormat="1" x14ac:dyDescent="0.2"/>
    <row r="4376" s="2043" customFormat="1" x14ac:dyDescent="0.2"/>
    <row r="4377" s="2043" customFormat="1" x14ac:dyDescent="0.2"/>
    <row r="4378" s="2043" customFormat="1" x14ac:dyDescent="0.2"/>
    <row r="4379" s="2043" customFormat="1" x14ac:dyDescent="0.2"/>
    <row r="4380" s="2043" customFormat="1" x14ac:dyDescent="0.2"/>
    <row r="4381" s="2043" customFormat="1" x14ac:dyDescent="0.2"/>
    <row r="4382" s="2043" customFormat="1" x14ac:dyDescent="0.2"/>
    <row r="4383" s="2043" customFormat="1" x14ac:dyDescent="0.2"/>
    <row r="4384" s="2043" customFormat="1" x14ac:dyDescent="0.2"/>
    <row r="4385" s="2043" customFormat="1" x14ac:dyDescent="0.2"/>
    <row r="4386" s="2043" customFormat="1" x14ac:dyDescent="0.2"/>
    <row r="4387" s="2043" customFormat="1" x14ac:dyDescent="0.2"/>
    <row r="4388" s="2043" customFormat="1" x14ac:dyDescent="0.2"/>
    <row r="4389" s="2043" customFormat="1" x14ac:dyDescent="0.2"/>
    <row r="4390" s="2043" customFormat="1" x14ac:dyDescent="0.2"/>
    <row r="4391" s="2043" customFormat="1" x14ac:dyDescent="0.2"/>
    <row r="4392" s="2043" customFormat="1" x14ac:dyDescent="0.2"/>
    <row r="4393" s="2043" customFormat="1" x14ac:dyDescent="0.2"/>
    <row r="4394" s="2043" customFormat="1" x14ac:dyDescent="0.2"/>
    <row r="4395" s="2043" customFormat="1" x14ac:dyDescent="0.2"/>
    <row r="4396" s="2043" customFormat="1" x14ac:dyDescent="0.2"/>
    <row r="4397" s="2043" customFormat="1" x14ac:dyDescent="0.2"/>
    <row r="4398" s="2043" customFormat="1" x14ac:dyDescent="0.2"/>
    <row r="4399" s="2043" customFormat="1" x14ac:dyDescent="0.2"/>
    <row r="4400" s="2043" customFormat="1" x14ac:dyDescent="0.2"/>
    <row r="4401" s="2043" customFormat="1" x14ac:dyDescent="0.2"/>
    <row r="4402" s="2043" customFormat="1" x14ac:dyDescent="0.2"/>
    <row r="4403" s="2043" customFormat="1" x14ac:dyDescent="0.2"/>
    <row r="4404" s="2043" customFormat="1" x14ac:dyDescent="0.2"/>
    <row r="4405" s="2043" customFormat="1" x14ac:dyDescent="0.2"/>
    <row r="4406" s="2043" customFormat="1" x14ac:dyDescent="0.2"/>
    <row r="4407" s="2043" customFormat="1" x14ac:dyDescent="0.2"/>
    <row r="4408" s="2043" customFormat="1" x14ac:dyDescent="0.2"/>
    <row r="4409" s="2043" customFormat="1" x14ac:dyDescent="0.2"/>
    <row r="4410" s="2043" customFormat="1" x14ac:dyDescent="0.2"/>
    <row r="4411" s="2043" customFormat="1" x14ac:dyDescent="0.2"/>
    <row r="4412" s="2043" customFormat="1" x14ac:dyDescent="0.2"/>
    <row r="4413" s="2043" customFormat="1" x14ac:dyDescent="0.2"/>
    <row r="4414" s="2043" customFormat="1" x14ac:dyDescent="0.2"/>
    <row r="4415" s="2043" customFormat="1" x14ac:dyDescent="0.2"/>
    <row r="4416" s="2043" customFormat="1" x14ac:dyDescent="0.2"/>
    <row r="4417" s="2043" customFormat="1" x14ac:dyDescent="0.2"/>
    <row r="4418" s="2043" customFormat="1" x14ac:dyDescent="0.2"/>
    <row r="4419" s="2043" customFormat="1" x14ac:dyDescent="0.2"/>
    <row r="4420" s="2043" customFormat="1" x14ac:dyDescent="0.2"/>
    <row r="4421" s="2043" customFormat="1" x14ac:dyDescent="0.2"/>
    <row r="4422" s="2043" customFormat="1" x14ac:dyDescent="0.2"/>
    <row r="4423" s="2043" customFormat="1" x14ac:dyDescent="0.2"/>
    <row r="4424" s="2043" customFormat="1" x14ac:dyDescent="0.2"/>
    <row r="4425" s="2043" customFormat="1" x14ac:dyDescent="0.2"/>
    <row r="4426" s="2043" customFormat="1" x14ac:dyDescent="0.2"/>
    <row r="4427" s="2043" customFormat="1" x14ac:dyDescent="0.2"/>
    <row r="4428" s="2043" customFormat="1" x14ac:dyDescent="0.2"/>
    <row r="4429" s="2043" customFormat="1" x14ac:dyDescent="0.2"/>
    <row r="4430" s="2043" customFormat="1" x14ac:dyDescent="0.2"/>
    <row r="4431" s="2043" customFormat="1" x14ac:dyDescent="0.2"/>
    <row r="4432" s="2043" customFormat="1" x14ac:dyDescent="0.2"/>
    <row r="4433" s="2043" customFormat="1" x14ac:dyDescent="0.2"/>
    <row r="4434" s="2043" customFormat="1" x14ac:dyDescent="0.2"/>
    <row r="4435" s="2043" customFormat="1" x14ac:dyDescent="0.2"/>
    <row r="4436" s="2043" customFormat="1" x14ac:dyDescent="0.2"/>
    <row r="4437" s="2043" customFormat="1" x14ac:dyDescent="0.2"/>
    <row r="4438" s="2043" customFormat="1" x14ac:dyDescent="0.2"/>
    <row r="4439" s="2043" customFormat="1" x14ac:dyDescent="0.2"/>
    <row r="4440" s="2043" customFormat="1" x14ac:dyDescent="0.2"/>
    <row r="4441" s="2043" customFormat="1" x14ac:dyDescent="0.2"/>
    <row r="4442" s="2043" customFormat="1" x14ac:dyDescent="0.2"/>
    <row r="4443" s="2043" customFormat="1" x14ac:dyDescent="0.2"/>
    <row r="4444" s="2043" customFormat="1" x14ac:dyDescent="0.2"/>
    <row r="4445" s="2043" customFormat="1" x14ac:dyDescent="0.2"/>
    <row r="4446" s="2043" customFormat="1" x14ac:dyDescent="0.2"/>
    <row r="4447" s="2043" customFormat="1" x14ac:dyDescent="0.2"/>
    <row r="4448" s="2043" customFormat="1" x14ac:dyDescent="0.2"/>
    <row r="4449" s="2043" customFormat="1" x14ac:dyDescent="0.2"/>
    <row r="4450" s="2043" customFormat="1" x14ac:dyDescent="0.2"/>
    <row r="4451" s="2043" customFormat="1" x14ac:dyDescent="0.2"/>
    <row r="4452" s="2043" customFormat="1" x14ac:dyDescent="0.2"/>
    <row r="4453" s="2043" customFormat="1" x14ac:dyDescent="0.2"/>
    <row r="4454" s="2043" customFormat="1" x14ac:dyDescent="0.2"/>
    <row r="4455" s="2043" customFormat="1" x14ac:dyDescent="0.2"/>
    <row r="4456" s="2043" customFormat="1" x14ac:dyDescent="0.2"/>
    <row r="4457" s="2043" customFormat="1" x14ac:dyDescent="0.2"/>
    <row r="4458" s="2043" customFormat="1" x14ac:dyDescent="0.2"/>
    <row r="4459" s="2043" customFormat="1" x14ac:dyDescent="0.2"/>
    <row r="4460" s="2043" customFormat="1" x14ac:dyDescent="0.2"/>
    <row r="4461" s="2043" customFormat="1" x14ac:dyDescent="0.2"/>
    <row r="4462" s="2043" customFormat="1" x14ac:dyDescent="0.2"/>
    <row r="4463" s="2043" customFormat="1" x14ac:dyDescent="0.2"/>
    <row r="4464" s="2043" customFormat="1" x14ac:dyDescent="0.2"/>
    <row r="4465" s="2043" customFormat="1" x14ac:dyDescent="0.2"/>
    <row r="4466" s="2043" customFormat="1" x14ac:dyDescent="0.2"/>
    <row r="4467" s="2043" customFormat="1" x14ac:dyDescent="0.2"/>
    <row r="4468" s="2043" customFormat="1" x14ac:dyDescent="0.2"/>
    <row r="4469" s="2043" customFormat="1" x14ac:dyDescent="0.2"/>
    <row r="4470" s="2043" customFormat="1" x14ac:dyDescent="0.2"/>
    <row r="4471" s="2043" customFormat="1" x14ac:dyDescent="0.2"/>
    <row r="4472" s="2043" customFormat="1" x14ac:dyDescent="0.2"/>
    <row r="4473" s="2043" customFormat="1" x14ac:dyDescent="0.2"/>
    <row r="4474" s="2043" customFormat="1" x14ac:dyDescent="0.2"/>
    <row r="4475" s="2043" customFormat="1" x14ac:dyDescent="0.2"/>
    <row r="4476" s="2043" customFormat="1" x14ac:dyDescent="0.2"/>
    <row r="4477" s="2043" customFormat="1" x14ac:dyDescent="0.2"/>
    <row r="4478" s="2043" customFormat="1" x14ac:dyDescent="0.2"/>
    <row r="4479" s="2043" customFormat="1" x14ac:dyDescent="0.2"/>
    <row r="4480" s="2043" customFormat="1" x14ac:dyDescent="0.2"/>
    <row r="4481" s="2043" customFormat="1" x14ac:dyDescent="0.2"/>
    <row r="4482" s="2043" customFormat="1" x14ac:dyDescent="0.2"/>
    <row r="4483" s="2043" customFormat="1" x14ac:dyDescent="0.2"/>
    <row r="4484" s="2043" customFormat="1" x14ac:dyDescent="0.2"/>
    <row r="4485" s="2043" customFormat="1" x14ac:dyDescent="0.2"/>
    <row r="4486" s="2043" customFormat="1" x14ac:dyDescent="0.2"/>
    <row r="4487" s="2043" customFormat="1" x14ac:dyDescent="0.2"/>
    <row r="4488" s="2043" customFormat="1" x14ac:dyDescent="0.2"/>
    <row r="4489" s="2043" customFormat="1" x14ac:dyDescent="0.2"/>
    <row r="4490" s="2043" customFormat="1" x14ac:dyDescent="0.2"/>
    <row r="4491" s="2043" customFormat="1" x14ac:dyDescent="0.2"/>
    <row r="4492" s="2043" customFormat="1" x14ac:dyDescent="0.2"/>
    <row r="4493" s="2043" customFormat="1" x14ac:dyDescent="0.2"/>
    <row r="4494" s="2043" customFormat="1" x14ac:dyDescent="0.2"/>
    <row r="4495" s="2043" customFormat="1" x14ac:dyDescent="0.2"/>
    <row r="4496" s="2043" customFormat="1" x14ac:dyDescent="0.2"/>
    <row r="4497" s="2043" customFormat="1" x14ac:dyDescent="0.2"/>
    <row r="4498" s="2043" customFormat="1" x14ac:dyDescent="0.2"/>
    <row r="4499" s="2043" customFormat="1" x14ac:dyDescent="0.2"/>
    <row r="4500" s="2043" customFormat="1" x14ac:dyDescent="0.2"/>
    <row r="4501" s="2043" customFormat="1" x14ac:dyDescent="0.2"/>
    <row r="4502" s="2043" customFormat="1" x14ac:dyDescent="0.2"/>
    <row r="4503" s="2043" customFormat="1" x14ac:dyDescent="0.2"/>
    <row r="4504" s="2043" customFormat="1" x14ac:dyDescent="0.2"/>
    <row r="4505" s="2043" customFormat="1" x14ac:dyDescent="0.2"/>
    <row r="4506" s="2043" customFormat="1" x14ac:dyDescent="0.2"/>
    <row r="4507" s="2043" customFormat="1" x14ac:dyDescent="0.2"/>
    <row r="4508" s="2043" customFormat="1" x14ac:dyDescent="0.2"/>
    <row r="4509" s="2043" customFormat="1" x14ac:dyDescent="0.2"/>
    <row r="4510" s="2043" customFormat="1" x14ac:dyDescent="0.2"/>
    <row r="4511" s="2043" customFormat="1" x14ac:dyDescent="0.2"/>
    <row r="4512" s="2043" customFormat="1" x14ac:dyDescent="0.2"/>
    <row r="4513" s="2043" customFormat="1" x14ac:dyDescent="0.2"/>
    <row r="4514" s="2043" customFormat="1" x14ac:dyDescent="0.2"/>
    <row r="4515" s="2043" customFormat="1" x14ac:dyDescent="0.2"/>
    <row r="4516" s="2043" customFormat="1" x14ac:dyDescent="0.2"/>
    <row r="4517" s="2043" customFormat="1" x14ac:dyDescent="0.2"/>
    <row r="4518" s="2043" customFormat="1" x14ac:dyDescent="0.2"/>
    <row r="4519" s="2043" customFormat="1" x14ac:dyDescent="0.2"/>
    <row r="4520" s="2043" customFormat="1" x14ac:dyDescent="0.2"/>
    <row r="4521" s="2043" customFormat="1" x14ac:dyDescent="0.2"/>
    <row r="4522" s="2043" customFormat="1" x14ac:dyDescent="0.2"/>
    <row r="4523" s="2043" customFormat="1" x14ac:dyDescent="0.2"/>
    <row r="4524" s="2043" customFormat="1" x14ac:dyDescent="0.2"/>
    <row r="4525" s="2043" customFormat="1" x14ac:dyDescent="0.2"/>
    <row r="4526" s="2043" customFormat="1" x14ac:dyDescent="0.2"/>
    <row r="4527" s="2043" customFormat="1" x14ac:dyDescent="0.2"/>
    <row r="4528" s="2043" customFormat="1" x14ac:dyDescent="0.2"/>
    <row r="4529" s="2043" customFormat="1" x14ac:dyDescent="0.2"/>
    <row r="4530" s="2043" customFormat="1" x14ac:dyDescent="0.2"/>
    <row r="4531" s="2043" customFormat="1" x14ac:dyDescent="0.2"/>
    <row r="4532" s="2043" customFormat="1" x14ac:dyDescent="0.2"/>
    <row r="4533" s="2043" customFormat="1" x14ac:dyDescent="0.2"/>
    <row r="4534" s="2043" customFormat="1" x14ac:dyDescent="0.2"/>
    <row r="4535" s="2043" customFormat="1" x14ac:dyDescent="0.2"/>
    <row r="4536" s="2043" customFormat="1" x14ac:dyDescent="0.2"/>
    <row r="4537" s="2043" customFormat="1" x14ac:dyDescent="0.2"/>
    <row r="4538" s="2043" customFormat="1" x14ac:dyDescent="0.2"/>
    <row r="4539" s="2043" customFormat="1" x14ac:dyDescent="0.2"/>
    <row r="4540" s="2043" customFormat="1" x14ac:dyDescent="0.2"/>
    <row r="4541" s="2043" customFormat="1" x14ac:dyDescent="0.2"/>
    <row r="4542" s="2043" customFormat="1" x14ac:dyDescent="0.2"/>
    <row r="4543" s="2043" customFormat="1" x14ac:dyDescent="0.2"/>
    <row r="4544" s="2043" customFormat="1" x14ac:dyDescent="0.2"/>
    <row r="4545" s="2043" customFormat="1" x14ac:dyDescent="0.2"/>
    <row r="4546" s="2043" customFormat="1" x14ac:dyDescent="0.2"/>
    <row r="4547" s="2043" customFormat="1" x14ac:dyDescent="0.2"/>
    <row r="4548" s="2043" customFormat="1" x14ac:dyDescent="0.2"/>
    <row r="4549" s="2043" customFormat="1" x14ac:dyDescent="0.2"/>
    <row r="4550" s="2043" customFormat="1" x14ac:dyDescent="0.2"/>
    <row r="4551" s="2043" customFormat="1" x14ac:dyDescent="0.2"/>
    <row r="4552" s="2043" customFormat="1" x14ac:dyDescent="0.2"/>
    <row r="4553" s="2043" customFormat="1" x14ac:dyDescent="0.2"/>
    <row r="4554" s="2043" customFormat="1" x14ac:dyDescent="0.2"/>
    <row r="4555" s="2043" customFormat="1" x14ac:dyDescent="0.2"/>
    <row r="4556" s="2043" customFormat="1" x14ac:dyDescent="0.2"/>
    <row r="4557" s="2043" customFormat="1" x14ac:dyDescent="0.2"/>
    <row r="4558" s="2043" customFormat="1" x14ac:dyDescent="0.2"/>
    <row r="4559" s="2043" customFormat="1" x14ac:dyDescent="0.2"/>
    <row r="4560" s="2043" customFormat="1" x14ac:dyDescent="0.2"/>
    <row r="4561" s="2043" customFormat="1" x14ac:dyDescent="0.2"/>
    <row r="4562" s="2043" customFormat="1" x14ac:dyDescent="0.2"/>
    <row r="4563" s="2043" customFormat="1" x14ac:dyDescent="0.2"/>
    <row r="4564" s="2043" customFormat="1" x14ac:dyDescent="0.2"/>
    <row r="4565" s="2043" customFormat="1" x14ac:dyDescent="0.2"/>
    <row r="4566" s="2043" customFormat="1" x14ac:dyDescent="0.2"/>
    <row r="4567" s="2043" customFormat="1" x14ac:dyDescent="0.2"/>
    <row r="4568" s="2043" customFormat="1" x14ac:dyDescent="0.2"/>
    <row r="4569" s="2043" customFormat="1" x14ac:dyDescent="0.2"/>
    <row r="4570" s="2043" customFormat="1" x14ac:dyDescent="0.2"/>
    <row r="4571" s="2043" customFormat="1" x14ac:dyDescent="0.2"/>
    <row r="4572" s="2043" customFormat="1" x14ac:dyDescent="0.2"/>
    <row r="4573" s="2043" customFormat="1" x14ac:dyDescent="0.2"/>
    <row r="4574" s="2043" customFormat="1" x14ac:dyDescent="0.2"/>
    <row r="4575" s="2043" customFormat="1" x14ac:dyDescent="0.2"/>
    <row r="4576" s="2043" customFormat="1" x14ac:dyDescent="0.2"/>
    <row r="4577" s="2043" customFormat="1" x14ac:dyDescent="0.2"/>
    <row r="4578" s="2043" customFormat="1" x14ac:dyDescent="0.2"/>
    <row r="4579" s="2043" customFormat="1" x14ac:dyDescent="0.2"/>
    <row r="4580" s="2043" customFormat="1" x14ac:dyDescent="0.2"/>
    <row r="4581" s="2043" customFormat="1" x14ac:dyDescent="0.2"/>
    <row r="4582" s="2043" customFormat="1" x14ac:dyDescent="0.2"/>
    <row r="4583" s="2043" customFormat="1" x14ac:dyDescent="0.2"/>
    <row r="4584" s="2043" customFormat="1" x14ac:dyDescent="0.2"/>
    <row r="4585" s="2043" customFormat="1" x14ac:dyDescent="0.2"/>
    <row r="4586" s="2043" customFormat="1" x14ac:dyDescent="0.2"/>
    <row r="4587" s="2043" customFormat="1" x14ac:dyDescent="0.2"/>
    <row r="4588" s="2043" customFormat="1" x14ac:dyDescent="0.2"/>
    <row r="4589" s="2043" customFormat="1" x14ac:dyDescent="0.2"/>
    <row r="4590" s="2043" customFormat="1" x14ac:dyDescent="0.2"/>
    <row r="4591" s="2043" customFormat="1" x14ac:dyDescent="0.2"/>
    <row r="4592" s="2043" customFormat="1" x14ac:dyDescent="0.2"/>
    <row r="4593" s="2043" customFormat="1" x14ac:dyDescent="0.2"/>
    <row r="4594" s="2043" customFormat="1" x14ac:dyDescent="0.2"/>
    <row r="4595" s="2043" customFormat="1" x14ac:dyDescent="0.2"/>
    <row r="4596" s="2043" customFormat="1" x14ac:dyDescent="0.2"/>
    <row r="4597" s="2043" customFormat="1" x14ac:dyDescent="0.2"/>
    <row r="4598" s="2043" customFormat="1" x14ac:dyDescent="0.2"/>
    <row r="4599" s="2043" customFormat="1" x14ac:dyDescent="0.2"/>
    <row r="4600" s="2043" customFormat="1" x14ac:dyDescent="0.2"/>
    <row r="4601" s="2043" customFormat="1" x14ac:dyDescent="0.2"/>
    <row r="4602" s="2043" customFormat="1" x14ac:dyDescent="0.2"/>
    <row r="4603" s="2043" customFormat="1" x14ac:dyDescent="0.2"/>
    <row r="4604" s="2043" customFormat="1" x14ac:dyDescent="0.2"/>
    <row r="4605" s="2043" customFormat="1" x14ac:dyDescent="0.2"/>
    <row r="4606" s="2043" customFormat="1" x14ac:dyDescent="0.2"/>
    <row r="4607" s="2043" customFormat="1" x14ac:dyDescent="0.2"/>
    <row r="4608" s="2043" customFormat="1" x14ac:dyDescent="0.2"/>
    <row r="4609" s="2043" customFormat="1" x14ac:dyDescent="0.2"/>
    <row r="4610" s="2043" customFormat="1" x14ac:dyDescent="0.2"/>
    <row r="4611" s="2043" customFormat="1" x14ac:dyDescent="0.2"/>
    <row r="4612" s="2043" customFormat="1" x14ac:dyDescent="0.2"/>
    <row r="4613" s="2043" customFormat="1" x14ac:dyDescent="0.2"/>
    <row r="4614" s="2043" customFormat="1" x14ac:dyDescent="0.2"/>
    <row r="4615" s="2043" customFormat="1" x14ac:dyDescent="0.2"/>
    <row r="4616" s="2043" customFormat="1" x14ac:dyDescent="0.2"/>
    <row r="4617" s="2043" customFormat="1" x14ac:dyDescent="0.2"/>
    <row r="4618" s="2043" customFormat="1" x14ac:dyDescent="0.2"/>
    <row r="4619" s="2043" customFormat="1" x14ac:dyDescent="0.2"/>
    <row r="4620" s="2043" customFormat="1" x14ac:dyDescent="0.2"/>
    <row r="4621" s="2043" customFormat="1" x14ac:dyDescent="0.2"/>
    <row r="4622" s="2043" customFormat="1" x14ac:dyDescent="0.2"/>
    <row r="4623" s="2043" customFormat="1" x14ac:dyDescent="0.2"/>
    <row r="4624" s="2043" customFormat="1" x14ac:dyDescent="0.2"/>
    <row r="4625" s="2043" customFormat="1" x14ac:dyDescent="0.2"/>
    <row r="4626" s="2043" customFormat="1" x14ac:dyDescent="0.2"/>
    <row r="4627" s="2043" customFormat="1" x14ac:dyDescent="0.2"/>
    <row r="4628" s="2043" customFormat="1" x14ac:dyDescent="0.2"/>
    <row r="4629" s="2043" customFormat="1" x14ac:dyDescent="0.2"/>
    <row r="4630" s="2043" customFormat="1" x14ac:dyDescent="0.2"/>
    <row r="4631" s="2043" customFormat="1" x14ac:dyDescent="0.2"/>
    <row r="4632" s="2043" customFormat="1" x14ac:dyDescent="0.2"/>
    <row r="4633" s="2043" customFormat="1" x14ac:dyDescent="0.2"/>
    <row r="4634" s="2043" customFormat="1" x14ac:dyDescent="0.2"/>
    <row r="4635" s="2043" customFormat="1" x14ac:dyDescent="0.2"/>
    <row r="4636" s="2043" customFormat="1" x14ac:dyDescent="0.2"/>
    <row r="4637" s="2043" customFormat="1" x14ac:dyDescent="0.2"/>
    <row r="4638" s="2043" customFormat="1" x14ac:dyDescent="0.2"/>
    <row r="4639" s="2043" customFormat="1" x14ac:dyDescent="0.2"/>
    <row r="4640" s="2043" customFormat="1" x14ac:dyDescent="0.2"/>
    <row r="4641" s="2043" customFormat="1" x14ac:dyDescent="0.2"/>
    <row r="4642" s="2043" customFormat="1" x14ac:dyDescent="0.2"/>
    <row r="4643" s="2043" customFormat="1" x14ac:dyDescent="0.2"/>
    <row r="4644" s="2043" customFormat="1" x14ac:dyDescent="0.2"/>
    <row r="4645" s="2043" customFormat="1" x14ac:dyDescent="0.2"/>
    <row r="4646" s="2043" customFormat="1" x14ac:dyDescent="0.2"/>
    <row r="4647" s="2043" customFormat="1" x14ac:dyDescent="0.2"/>
    <row r="4648" s="2043" customFormat="1" x14ac:dyDescent="0.2"/>
    <row r="4649" s="2043" customFormat="1" x14ac:dyDescent="0.2"/>
    <row r="4650" s="2043" customFormat="1" x14ac:dyDescent="0.2"/>
    <row r="4651" s="2043" customFormat="1" x14ac:dyDescent="0.2"/>
    <row r="4652" s="2043" customFormat="1" x14ac:dyDescent="0.2"/>
    <row r="4653" s="2043" customFormat="1" x14ac:dyDescent="0.2"/>
    <row r="4654" s="2043" customFormat="1" x14ac:dyDescent="0.2"/>
    <row r="4655" s="2043" customFormat="1" x14ac:dyDescent="0.2"/>
    <row r="4656" s="2043" customFormat="1" x14ac:dyDescent="0.2"/>
    <row r="4657" s="2043" customFormat="1" x14ac:dyDescent="0.2"/>
    <row r="4658" s="2043" customFormat="1" x14ac:dyDescent="0.2"/>
    <row r="4659" s="2043" customFormat="1" x14ac:dyDescent="0.2"/>
    <row r="4660" s="2043" customFormat="1" x14ac:dyDescent="0.2"/>
    <row r="4661" s="2043" customFormat="1" x14ac:dyDescent="0.2"/>
    <row r="4662" s="2043" customFormat="1" x14ac:dyDescent="0.2"/>
    <row r="4663" s="2043" customFormat="1" x14ac:dyDescent="0.2"/>
    <row r="4664" s="2043" customFormat="1" x14ac:dyDescent="0.2"/>
    <row r="4665" s="2043" customFormat="1" x14ac:dyDescent="0.2"/>
    <row r="4666" s="2043" customFormat="1" x14ac:dyDescent="0.2"/>
    <row r="4667" s="2043" customFormat="1" x14ac:dyDescent="0.2"/>
    <row r="4668" s="2043" customFormat="1" x14ac:dyDescent="0.2"/>
    <row r="4669" s="2043" customFormat="1" x14ac:dyDescent="0.2"/>
    <row r="4670" s="2043" customFormat="1" x14ac:dyDescent="0.2"/>
    <row r="4671" s="2043" customFormat="1" x14ac:dyDescent="0.2"/>
    <row r="4672" s="2043" customFormat="1" x14ac:dyDescent="0.2"/>
    <row r="4673" s="2043" customFormat="1" x14ac:dyDescent="0.2"/>
    <row r="4674" s="2043" customFormat="1" x14ac:dyDescent="0.2"/>
    <row r="4675" s="2043" customFormat="1" x14ac:dyDescent="0.2"/>
    <row r="4676" s="2043" customFormat="1" x14ac:dyDescent="0.2"/>
    <row r="4677" s="2043" customFormat="1" x14ac:dyDescent="0.2"/>
    <row r="4678" s="2043" customFormat="1" x14ac:dyDescent="0.2"/>
    <row r="4679" s="2043" customFormat="1" x14ac:dyDescent="0.2"/>
    <row r="4680" s="2043" customFormat="1" x14ac:dyDescent="0.2"/>
    <row r="4681" s="2043" customFormat="1" x14ac:dyDescent="0.2"/>
    <row r="4682" s="2043" customFormat="1" x14ac:dyDescent="0.2"/>
    <row r="4683" s="2043" customFormat="1" x14ac:dyDescent="0.2"/>
    <row r="4684" s="2043" customFormat="1" x14ac:dyDescent="0.2"/>
    <row r="4685" s="2043" customFormat="1" x14ac:dyDescent="0.2"/>
    <row r="4686" s="2043" customFormat="1" x14ac:dyDescent="0.2"/>
    <row r="4687" s="2043" customFormat="1" x14ac:dyDescent="0.2"/>
    <row r="4688" s="2043" customFormat="1" x14ac:dyDescent="0.2"/>
    <row r="4689" s="2043" customFormat="1" x14ac:dyDescent="0.2"/>
    <row r="4690" s="2043" customFormat="1" x14ac:dyDescent="0.2"/>
    <row r="4691" s="2043" customFormat="1" x14ac:dyDescent="0.2"/>
    <row r="4692" s="2043" customFormat="1" x14ac:dyDescent="0.2"/>
    <row r="4693" s="2043" customFormat="1" x14ac:dyDescent="0.2"/>
    <row r="4694" s="2043" customFormat="1" x14ac:dyDescent="0.2"/>
    <row r="4695" s="2043" customFormat="1" x14ac:dyDescent="0.2"/>
    <row r="4696" s="2043" customFormat="1" x14ac:dyDescent="0.2"/>
    <row r="4697" s="2043" customFormat="1" x14ac:dyDescent="0.2"/>
    <row r="4698" s="2043" customFormat="1" x14ac:dyDescent="0.2"/>
    <row r="4699" s="2043" customFormat="1" x14ac:dyDescent="0.2"/>
    <row r="4700" s="2043" customFormat="1" x14ac:dyDescent="0.2"/>
    <row r="4701" s="2043" customFormat="1" x14ac:dyDescent="0.2"/>
    <row r="4702" s="2043" customFormat="1" x14ac:dyDescent="0.2"/>
    <row r="4703" s="2043" customFormat="1" x14ac:dyDescent="0.2"/>
    <row r="4704" s="2043" customFormat="1" x14ac:dyDescent="0.2"/>
    <row r="4705" s="2043" customFormat="1" x14ac:dyDescent="0.2"/>
    <row r="4706" s="2043" customFormat="1" x14ac:dyDescent="0.2"/>
    <row r="4707" s="2043" customFormat="1" x14ac:dyDescent="0.2"/>
    <row r="4708" s="2043" customFormat="1" x14ac:dyDescent="0.2"/>
    <row r="4709" s="2043" customFormat="1" x14ac:dyDescent="0.2"/>
    <row r="4710" s="2043" customFormat="1" x14ac:dyDescent="0.2"/>
    <row r="4711" s="2043" customFormat="1" x14ac:dyDescent="0.2"/>
    <row r="4712" s="2043" customFormat="1" x14ac:dyDescent="0.2"/>
    <row r="4713" s="2043" customFormat="1" x14ac:dyDescent="0.2"/>
    <row r="4714" s="2043" customFormat="1" x14ac:dyDescent="0.2"/>
    <row r="4715" s="2043" customFormat="1" x14ac:dyDescent="0.2"/>
    <row r="4716" s="2043" customFormat="1" x14ac:dyDescent="0.2"/>
    <row r="4717" s="2043" customFormat="1" x14ac:dyDescent="0.2"/>
    <row r="4718" s="2043" customFormat="1" x14ac:dyDescent="0.2"/>
    <row r="4719" s="2043" customFormat="1" x14ac:dyDescent="0.2"/>
    <row r="4720" s="2043" customFormat="1" x14ac:dyDescent="0.2"/>
    <row r="4721" s="2043" customFormat="1" x14ac:dyDescent="0.2"/>
    <row r="4722" s="2043" customFormat="1" x14ac:dyDescent="0.2"/>
    <row r="4723" s="2043" customFormat="1" x14ac:dyDescent="0.2"/>
    <row r="4724" s="2043" customFormat="1" x14ac:dyDescent="0.2"/>
    <row r="4725" s="2043" customFormat="1" x14ac:dyDescent="0.2"/>
    <row r="4726" s="2043" customFormat="1" x14ac:dyDescent="0.2"/>
    <row r="4727" s="2043" customFormat="1" x14ac:dyDescent="0.2"/>
    <row r="4728" s="2043" customFormat="1" x14ac:dyDescent="0.2"/>
    <row r="4729" s="2043" customFormat="1" x14ac:dyDescent="0.2"/>
    <row r="4730" s="2043" customFormat="1" x14ac:dyDescent="0.2"/>
    <row r="4731" s="2043" customFormat="1" x14ac:dyDescent="0.2"/>
    <row r="4732" s="2043" customFormat="1" x14ac:dyDescent="0.2"/>
    <row r="4733" s="2043" customFormat="1" x14ac:dyDescent="0.2"/>
    <row r="4734" s="2043" customFormat="1" x14ac:dyDescent="0.2"/>
    <row r="4735" s="2043" customFormat="1" x14ac:dyDescent="0.2"/>
    <row r="4736" s="2043" customFormat="1" x14ac:dyDescent="0.2"/>
    <row r="4737" s="2043" customFormat="1" x14ac:dyDescent="0.2"/>
    <row r="4738" s="2043" customFormat="1" x14ac:dyDescent="0.2"/>
    <row r="4739" s="2043" customFormat="1" x14ac:dyDescent="0.2"/>
    <row r="4740" s="2043" customFormat="1" x14ac:dyDescent="0.2"/>
    <row r="4741" s="2043" customFormat="1" x14ac:dyDescent="0.2"/>
    <row r="4742" s="2043" customFormat="1" x14ac:dyDescent="0.2"/>
    <row r="4743" s="2043" customFormat="1" x14ac:dyDescent="0.2"/>
    <row r="4744" s="2043" customFormat="1" x14ac:dyDescent="0.2"/>
    <row r="4745" s="2043" customFormat="1" x14ac:dyDescent="0.2"/>
    <row r="4746" s="2043" customFormat="1" x14ac:dyDescent="0.2"/>
    <row r="4747" s="2043" customFormat="1" x14ac:dyDescent="0.2"/>
    <row r="4748" s="2043" customFormat="1" x14ac:dyDescent="0.2"/>
    <row r="4749" s="2043" customFormat="1" x14ac:dyDescent="0.2"/>
    <row r="4750" s="2043" customFormat="1" x14ac:dyDescent="0.2"/>
    <row r="4751" s="2043" customFormat="1" x14ac:dyDescent="0.2"/>
    <row r="4752" s="2043" customFormat="1" x14ac:dyDescent="0.2"/>
    <row r="4753" s="2043" customFormat="1" x14ac:dyDescent="0.2"/>
    <row r="4754" s="2043" customFormat="1" x14ac:dyDescent="0.2"/>
    <row r="4755" s="2043" customFormat="1" x14ac:dyDescent="0.2"/>
    <row r="4756" s="2043" customFormat="1" x14ac:dyDescent="0.2"/>
    <row r="4757" s="2043" customFormat="1" x14ac:dyDescent="0.2"/>
    <row r="4758" s="2043" customFormat="1" x14ac:dyDescent="0.2"/>
    <row r="4759" s="2043" customFormat="1" x14ac:dyDescent="0.2"/>
    <row r="4760" s="2043" customFormat="1" x14ac:dyDescent="0.2"/>
    <row r="4761" s="2043" customFormat="1" x14ac:dyDescent="0.2"/>
    <row r="4762" s="2043" customFormat="1" x14ac:dyDescent="0.2"/>
    <row r="4763" s="2043" customFormat="1" x14ac:dyDescent="0.2"/>
    <row r="4764" s="2043" customFormat="1" x14ac:dyDescent="0.2"/>
    <row r="4765" s="2043" customFormat="1" x14ac:dyDescent="0.2"/>
    <row r="4766" s="2043" customFormat="1" x14ac:dyDescent="0.2"/>
    <row r="4767" s="2043" customFormat="1" x14ac:dyDescent="0.2"/>
    <row r="4768" s="2043" customFormat="1" x14ac:dyDescent="0.2"/>
    <row r="4769" s="2043" customFormat="1" x14ac:dyDescent="0.2"/>
    <row r="4770" s="2043" customFormat="1" x14ac:dyDescent="0.2"/>
    <row r="4771" s="2043" customFormat="1" x14ac:dyDescent="0.2"/>
    <row r="4772" s="2043" customFormat="1" x14ac:dyDescent="0.2"/>
    <row r="4773" s="2043" customFormat="1" x14ac:dyDescent="0.2"/>
    <row r="4774" s="2043" customFormat="1" x14ac:dyDescent="0.2"/>
    <row r="4775" s="2043" customFormat="1" x14ac:dyDescent="0.2"/>
    <row r="4776" s="2043" customFormat="1" x14ac:dyDescent="0.2"/>
    <row r="4777" s="2043" customFormat="1" x14ac:dyDescent="0.2"/>
    <row r="4778" s="2043" customFormat="1" x14ac:dyDescent="0.2"/>
    <row r="4779" s="2043" customFormat="1" x14ac:dyDescent="0.2"/>
    <row r="4780" s="2043" customFormat="1" x14ac:dyDescent="0.2"/>
    <row r="4781" s="2043" customFormat="1" x14ac:dyDescent="0.2"/>
    <row r="4782" s="2043" customFormat="1" x14ac:dyDescent="0.2"/>
    <row r="4783" s="2043" customFormat="1" x14ac:dyDescent="0.2"/>
    <row r="4784" s="2043" customFormat="1" x14ac:dyDescent="0.2"/>
    <row r="4785" s="2043" customFormat="1" x14ac:dyDescent="0.2"/>
    <row r="4786" s="2043" customFormat="1" x14ac:dyDescent="0.2"/>
    <row r="4787" s="2043" customFormat="1" x14ac:dyDescent="0.2"/>
    <row r="4788" s="2043" customFormat="1" x14ac:dyDescent="0.2"/>
    <row r="4789" s="2043" customFormat="1" x14ac:dyDescent="0.2"/>
    <row r="4790" s="2043" customFormat="1" x14ac:dyDescent="0.2"/>
    <row r="4791" s="2043" customFormat="1" x14ac:dyDescent="0.2"/>
    <row r="4792" s="2043" customFormat="1" x14ac:dyDescent="0.2"/>
    <row r="4793" s="2043" customFormat="1" x14ac:dyDescent="0.2"/>
    <row r="4794" s="2043" customFormat="1" x14ac:dyDescent="0.2"/>
    <row r="4795" s="2043" customFormat="1" x14ac:dyDescent="0.2"/>
    <row r="4796" s="2043" customFormat="1" x14ac:dyDescent="0.2"/>
    <row r="4797" s="2043" customFormat="1" x14ac:dyDescent="0.2"/>
    <row r="4798" s="2043" customFormat="1" x14ac:dyDescent="0.2"/>
    <row r="4799" s="2043" customFormat="1" x14ac:dyDescent="0.2"/>
    <row r="4800" s="2043" customFormat="1" x14ac:dyDescent="0.2"/>
    <row r="4801" s="2043" customFormat="1" x14ac:dyDescent="0.2"/>
    <row r="4802" s="2043" customFormat="1" x14ac:dyDescent="0.2"/>
    <row r="4803" s="2043" customFormat="1" x14ac:dyDescent="0.2"/>
    <row r="4804" s="2043" customFormat="1" x14ac:dyDescent="0.2"/>
    <row r="4805" s="2043" customFormat="1" x14ac:dyDescent="0.2"/>
    <row r="4806" s="2043" customFormat="1" x14ac:dyDescent="0.2"/>
    <row r="4807" s="2043" customFormat="1" x14ac:dyDescent="0.2"/>
    <row r="4808" s="2043" customFormat="1" x14ac:dyDescent="0.2"/>
    <row r="4809" s="2043" customFormat="1" x14ac:dyDescent="0.2"/>
    <row r="4810" s="2043" customFormat="1" x14ac:dyDescent="0.2"/>
    <row r="4811" s="2043" customFormat="1" x14ac:dyDescent="0.2"/>
    <row r="4812" s="2043" customFormat="1" x14ac:dyDescent="0.2"/>
    <row r="4813" s="2043" customFormat="1" x14ac:dyDescent="0.2"/>
    <row r="4814" s="2043" customFormat="1" x14ac:dyDescent="0.2"/>
    <row r="4815" s="2043" customFormat="1" x14ac:dyDescent="0.2"/>
    <row r="4816" s="2043" customFormat="1" x14ac:dyDescent="0.2"/>
    <row r="4817" s="2043" customFormat="1" x14ac:dyDescent="0.2"/>
    <row r="4818" s="2043" customFormat="1" x14ac:dyDescent="0.2"/>
    <row r="4819" s="2043" customFormat="1" x14ac:dyDescent="0.2"/>
    <row r="4820" s="2043" customFormat="1" x14ac:dyDescent="0.2"/>
    <row r="4821" s="2043" customFormat="1" x14ac:dyDescent="0.2"/>
    <row r="4822" s="2043" customFormat="1" x14ac:dyDescent="0.2"/>
    <row r="4823" s="2043" customFormat="1" x14ac:dyDescent="0.2"/>
    <row r="4824" s="2043" customFormat="1" x14ac:dyDescent="0.2"/>
    <row r="4825" s="2043" customFormat="1" x14ac:dyDescent="0.2"/>
    <row r="4826" s="2043" customFormat="1" x14ac:dyDescent="0.2"/>
    <row r="4827" s="2043" customFormat="1" x14ac:dyDescent="0.2"/>
    <row r="4828" s="2043" customFormat="1" x14ac:dyDescent="0.2"/>
    <row r="4829" s="2043" customFormat="1" x14ac:dyDescent="0.2"/>
    <row r="4830" s="2043" customFormat="1" x14ac:dyDescent="0.2"/>
    <row r="4831" s="2043" customFormat="1" x14ac:dyDescent="0.2"/>
    <row r="4832" s="2043" customFormat="1" x14ac:dyDescent="0.2"/>
    <row r="4833" s="2043" customFormat="1" x14ac:dyDescent="0.2"/>
    <row r="4834" s="2043" customFormat="1" x14ac:dyDescent="0.2"/>
    <row r="4835" s="2043" customFormat="1" x14ac:dyDescent="0.2"/>
    <row r="4836" s="2043" customFormat="1" x14ac:dyDescent="0.2"/>
    <row r="4837" s="2043" customFormat="1" x14ac:dyDescent="0.2"/>
    <row r="4838" s="2043" customFormat="1" x14ac:dyDescent="0.2"/>
    <row r="4839" s="2043" customFormat="1" x14ac:dyDescent="0.2"/>
    <row r="4840" s="2043" customFormat="1" x14ac:dyDescent="0.2"/>
    <row r="4841" s="2043" customFormat="1" x14ac:dyDescent="0.2"/>
    <row r="4842" s="2043" customFormat="1" x14ac:dyDescent="0.2"/>
    <row r="4843" s="2043" customFormat="1" x14ac:dyDescent="0.2"/>
    <row r="4844" s="2043" customFormat="1" x14ac:dyDescent="0.2"/>
    <row r="4845" s="2043" customFormat="1" x14ac:dyDescent="0.2"/>
    <row r="4846" s="2043" customFormat="1" x14ac:dyDescent="0.2"/>
    <row r="4847" s="2043" customFormat="1" x14ac:dyDescent="0.2"/>
    <row r="4848" s="2043" customFormat="1" x14ac:dyDescent="0.2"/>
    <row r="4849" s="2043" customFormat="1" x14ac:dyDescent="0.2"/>
    <row r="4850" s="2043" customFormat="1" x14ac:dyDescent="0.2"/>
    <row r="4851" s="2043" customFormat="1" x14ac:dyDescent="0.2"/>
    <row r="4852" s="2043" customFormat="1" x14ac:dyDescent="0.2"/>
    <row r="4853" s="2043" customFormat="1" x14ac:dyDescent="0.2"/>
    <row r="4854" s="2043" customFormat="1" x14ac:dyDescent="0.2"/>
    <row r="4855" s="2043" customFormat="1" x14ac:dyDescent="0.2"/>
    <row r="4856" s="2043" customFormat="1" x14ac:dyDescent="0.2"/>
    <row r="4857" s="2043" customFormat="1" x14ac:dyDescent="0.2"/>
    <row r="4858" s="2043" customFormat="1" x14ac:dyDescent="0.2"/>
    <row r="4859" s="2043" customFormat="1" x14ac:dyDescent="0.2"/>
    <row r="4860" s="2043" customFormat="1" x14ac:dyDescent="0.2"/>
    <row r="4861" s="2043" customFormat="1" x14ac:dyDescent="0.2"/>
    <row r="4862" s="2043" customFormat="1" x14ac:dyDescent="0.2"/>
    <row r="4863" s="2043" customFormat="1" x14ac:dyDescent="0.2"/>
    <row r="4864" s="2043" customFormat="1" x14ac:dyDescent="0.2"/>
    <row r="4865" s="2043" customFormat="1" x14ac:dyDescent="0.2"/>
    <row r="4866" s="2043" customFormat="1" x14ac:dyDescent="0.2"/>
    <row r="4867" s="2043" customFormat="1" x14ac:dyDescent="0.2"/>
    <row r="4868" s="2043" customFormat="1" x14ac:dyDescent="0.2"/>
    <row r="4869" s="2043" customFormat="1" x14ac:dyDescent="0.2"/>
    <row r="4870" s="2043" customFormat="1" x14ac:dyDescent="0.2"/>
    <row r="4871" s="2043" customFormat="1" x14ac:dyDescent="0.2"/>
    <row r="4872" s="2043" customFormat="1" x14ac:dyDescent="0.2"/>
    <row r="4873" s="2043" customFormat="1" x14ac:dyDescent="0.2"/>
    <row r="4874" s="2043" customFormat="1" x14ac:dyDescent="0.2"/>
    <row r="4875" s="2043" customFormat="1" x14ac:dyDescent="0.2"/>
    <row r="4876" s="2043" customFormat="1" x14ac:dyDescent="0.2"/>
    <row r="4877" s="2043" customFormat="1" x14ac:dyDescent="0.2"/>
    <row r="4878" s="2043" customFormat="1" x14ac:dyDescent="0.2"/>
    <row r="4879" s="2043" customFormat="1" x14ac:dyDescent="0.2"/>
    <row r="4880" s="2043" customFormat="1" x14ac:dyDescent="0.2"/>
    <row r="4881" s="2043" customFormat="1" x14ac:dyDescent="0.2"/>
    <row r="4882" s="2043" customFormat="1" x14ac:dyDescent="0.2"/>
    <row r="4883" s="2043" customFormat="1" x14ac:dyDescent="0.2"/>
    <row r="4884" s="2043" customFormat="1" x14ac:dyDescent="0.2"/>
    <row r="4885" s="2043" customFormat="1" x14ac:dyDescent="0.2"/>
    <row r="4886" s="2043" customFormat="1" x14ac:dyDescent="0.2"/>
    <row r="4887" s="2043" customFormat="1" x14ac:dyDescent="0.2"/>
    <row r="4888" s="2043" customFormat="1" x14ac:dyDescent="0.2"/>
    <row r="4889" s="2043" customFormat="1" x14ac:dyDescent="0.2"/>
    <row r="4890" s="2043" customFormat="1" x14ac:dyDescent="0.2"/>
    <row r="4891" s="2043" customFormat="1" x14ac:dyDescent="0.2"/>
    <row r="4892" s="2043" customFormat="1" x14ac:dyDescent="0.2"/>
    <row r="4893" s="2043" customFormat="1" x14ac:dyDescent="0.2"/>
    <row r="4894" s="2043" customFormat="1" x14ac:dyDescent="0.2"/>
    <row r="4895" s="2043" customFormat="1" x14ac:dyDescent="0.2"/>
    <row r="4896" s="2043" customFormat="1" x14ac:dyDescent="0.2"/>
    <row r="4897" s="2043" customFormat="1" x14ac:dyDescent="0.2"/>
    <row r="4898" s="2043" customFormat="1" x14ac:dyDescent="0.2"/>
    <row r="4899" s="2043" customFormat="1" x14ac:dyDescent="0.2"/>
    <row r="4900" s="2043" customFormat="1" x14ac:dyDescent="0.2"/>
    <row r="4901" s="2043" customFormat="1" x14ac:dyDescent="0.2"/>
    <row r="4902" s="2043" customFormat="1" x14ac:dyDescent="0.2"/>
    <row r="4903" s="2043" customFormat="1" x14ac:dyDescent="0.2"/>
    <row r="4904" s="2043" customFormat="1" x14ac:dyDescent="0.2"/>
    <row r="4905" s="2043" customFormat="1" x14ac:dyDescent="0.2"/>
    <row r="4906" s="2043" customFormat="1" x14ac:dyDescent="0.2"/>
    <row r="4907" s="2043" customFormat="1" x14ac:dyDescent="0.2"/>
    <row r="4908" s="2043" customFormat="1" x14ac:dyDescent="0.2"/>
    <row r="4909" s="2043" customFormat="1" x14ac:dyDescent="0.2"/>
    <row r="4910" s="2043" customFormat="1" x14ac:dyDescent="0.2"/>
    <row r="4911" s="2043" customFormat="1" x14ac:dyDescent="0.2"/>
    <row r="4912" s="2043" customFormat="1" x14ac:dyDescent="0.2"/>
    <row r="4913" s="2043" customFormat="1" x14ac:dyDescent="0.2"/>
    <row r="4914" s="2043" customFormat="1" x14ac:dyDescent="0.2"/>
    <row r="4915" s="2043" customFormat="1" x14ac:dyDescent="0.2"/>
    <row r="4916" s="2043" customFormat="1" x14ac:dyDescent="0.2"/>
    <row r="4917" s="2043" customFormat="1" x14ac:dyDescent="0.2"/>
    <row r="4918" s="2043" customFormat="1" x14ac:dyDescent="0.2"/>
    <row r="4919" s="2043" customFormat="1" x14ac:dyDescent="0.2"/>
    <row r="4920" s="2043" customFormat="1" x14ac:dyDescent="0.2"/>
    <row r="4921" s="2043" customFormat="1" x14ac:dyDescent="0.2"/>
    <row r="4922" s="2043" customFormat="1" x14ac:dyDescent="0.2"/>
    <row r="4923" s="2043" customFormat="1" x14ac:dyDescent="0.2"/>
    <row r="4924" s="2043" customFormat="1" x14ac:dyDescent="0.2"/>
    <row r="4925" s="2043" customFormat="1" x14ac:dyDescent="0.2"/>
    <row r="4926" s="2043" customFormat="1" x14ac:dyDescent="0.2"/>
    <row r="4927" s="2043" customFormat="1" x14ac:dyDescent="0.2"/>
    <row r="4928" s="2043" customFormat="1" x14ac:dyDescent="0.2"/>
    <row r="4929" s="2043" customFormat="1" x14ac:dyDescent="0.2"/>
    <row r="4930" s="2043" customFormat="1" x14ac:dyDescent="0.2"/>
    <row r="4931" s="2043" customFormat="1" x14ac:dyDescent="0.2"/>
    <row r="4932" s="2043" customFormat="1" x14ac:dyDescent="0.2"/>
    <row r="4933" s="2043" customFormat="1" x14ac:dyDescent="0.2"/>
    <row r="4934" s="2043" customFormat="1" x14ac:dyDescent="0.2"/>
    <row r="4935" s="2043" customFormat="1" x14ac:dyDescent="0.2"/>
    <row r="4936" s="2043" customFormat="1" x14ac:dyDescent="0.2"/>
    <row r="4937" s="2043" customFormat="1" x14ac:dyDescent="0.2"/>
    <row r="4938" s="2043" customFormat="1" x14ac:dyDescent="0.2"/>
    <row r="4939" s="2043" customFormat="1" x14ac:dyDescent="0.2"/>
    <row r="4940" s="2043" customFormat="1" x14ac:dyDescent="0.2"/>
    <row r="4941" s="2043" customFormat="1" x14ac:dyDescent="0.2"/>
    <row r="4942" s="2043" customFormat="1" x14ac:dyDescent="0.2"/>
    <row r="4943" s="2043" customFormat="1" x14ac:dyDescent="0.2"/>
    <row r="4944" s="2043" customFormat="1" x14ac:dyDescent="0.2"/>
    <row r="4945" s="2043" customFormat="1" x14ac:dyDescent="0.2"/>
    <row r="4946" s="2043" customFormat="1" x14ac:dyDescent="0.2"/>
    <row r="4947" s="2043" customFormat="1" x14ac:dyDescent="0.2"/>
    <row r="4948" s="2043" customFormat="1" x14ac:dyDescent="0.2"/>
    <row r="4949" s="2043" customFormat="1" x14ac:dyDescent="0.2"/>
    <row r="4950" s="2043" customFormat="1" x14ac:dyDescent="0.2"/>
    <row r="4951" s="2043" customFormat="1" x14ac:dyDescent="0.2"/>
    <row r="4952" s="2043" customFormat="1" x14ac:dyDescent="0.2"/>
    <row r="4953" s="2043" customFormat="1" x14ac:dyDescent="0.2"/>
    <row r="4954" s="2043" customFormat="1" x14ac:dyDescent="0.2"/>
    <row r="4955" s="2043" customFormat="1" x14ac:dyDescent="0.2"/>
    <row r="4956" s="2043" customFormat="1" x14ac:dyDescent="0.2"/>
    <row r="4957" s="2043" customFormat="1" x14ac:dyDescent="0.2"/>
    <row r="4958" s="2043" customFormat="1" x14ac:dyDescent="0.2"/>
    <row r="4959" s="2043" customFormat="1" x14ac:dyDescent="0.2"/>
    <row r="4960" s="2043" customFormat="1" x14ac:dyDescent="0.2"/>
    <row r="4961" s="2043" customFormat="1" x14ac:dyDescent="0.2"/>
    <row r="4962" s="2043" customFormat="1" x14ac:dyDescent="0.2"/>
    <row r="4963" s="2043" customFormat="1" x14ac:dyDescent="0.2"/>
    <row r="4964" s="2043" customFormat="1" x14ac:dyDescent="0.2"/>
    <row r="4965" s="2043" customFormat="1" x14ac:dyDescent="0.2"/>
    <row r="4966" s="2043" customFormat="1" x14ac:dyDescent="0.2"/>
    <row r="4967" s="2043" customFormat="1" x14ac:dyDescent="0.2"/>
    <row r="4968" s="2043" customFormat="1" x14ac:dyDescent="0.2"/>
    <row r="4969" s="2043" customFormat="1" x14ac:dyDescent="0.2"/>
    <row r="4970" s="2043" customFormat="1" x14ac:dyDescent="0.2"/>
    <row r="4971" s="2043" customFormat="1" x14ac:dyDescent="0.2"/>
    <row r="4972" s="2043" customFormat="1" x14ac:dyDescent="0.2"/>
    <row r="4973" s="2043" customFormat="1" x14ac:dyDescent="0.2"/>
    <row r="4974" s="2043" customFormat="1" x14ac:dyDescent="0.2"/>
    <row r="4975" s="2043" customFormat="1" x14ac:dyDescent="0.2"/>
    <row r="4976" s="2043" customFormat="1" x14ac:dyDescent="0.2"/>
    <row r="4977" s="2043" customFormat="1" x14ac:dyDescent="0.2"/>
    <row r="4978" s="2043" customFormat="1" x14ac:dyDescent="0.2"/>
    <row r="4979" s="2043" customFormat="1" x14ac:dyDescent="0.2"/>
    <row r="4980" s="2043" customFormat="1" x14ac:dyDescent="0.2"/>
    <row r="4981" s="2043" customFormat="1" x14ac:dyDescent="0.2"/>
    <row r="4982" s="2043" customFormat="1" x14ac:dyDescent="0.2"/>
    <row r="4983" s="2043" customFormat="1" x14ac:dyDescent="0.2"/>
    <row r="4984" s="2043" customFormat="1" x14ac:dyDescent="0.2"/>
    <row r="4985" s="2043" customFormat="1" x14ac:dyDescent="0.2"/>
    <row r="4986" s="2043" customFormat="1" x14ac:dyDescent="0.2"/>
    <row r="4987" s="2043" customFormat="1" x14ac:dyDescent="0.2"/>
    <row r="4988" s="2043" customFormat="1" x14ac:dyDescent="0.2"/>
    <row r="4989" s="2043" customFormat="1" x14ac:dyDescent="0.2"/>
    <row r="4990" s="2043" customFormat="1" x14ac:dyDescent="0.2"/>
    <row r="4991" s="2043" customFormat="1" x14ac:dyDescent="0.2"/>
    <row r="4992" s="2043" customFormat="1" x14ac:dyDescent="0.2"/>
    <row r="4993" s="2043" customFormat="1" x14ac:dyDescent="0.2"/>
    <row r="4994" s="2043" customFormat="1" x14ac:dyDescent="0.2"/>
    <row r="4995" s="2043" customFormat="1" x14ac:dyDescent="0.2"/>
    <row r="4996" s="2043" customFormat="1" x14ac:dyDescent="0.2"/>
    <row r="4997" s="2043" customFormat="1" x14ac:dyDescent="0.2"/>
    <row r="4998" s="2043" customFormat="1" x14ac:dyDescent="0.2"/>
    <row r="4999" s="2043" customFormat="1" x14ac:dyDescent="0.2"/>
    <row r="5000" s="2043" customFormat="1" x14ac:dyDescent="0.2"/>
    <row r="5001" s="2043" customFormat="1" x14ac:dyDescent="0.2"/>
    <row r="5002" s="2043" customFormat="1" x14ac:dyDescent="0.2"/>
    <row r="5003" s="2043" customFormat="1" x14ac:dyDescent="0.2"/>
    <row r="5004" s="2043" customFormat="1" x14ac:dyDescent="0.2"/>
    <row r="5005" s="2043" customFormat="1" x14ac:dyDescent="0.2"/>
    <row r="5006" s="2043" customFormat="1" x14ac:dyDescent="0.2"/>
    <row r="5007" s="2043" customFormat="1" x14ac:dyDescent="0.2"/>
    <row r="5008" s="2043" customFormat="1" x14ac:dyDescent="0.2"/>
    <row r="5009" s="2043" customFormat="1" x14ac:dyDescent="0.2"/>
    <row r="5010" s="2043" customFormat="1" x14ac:dyDescent="0.2"/>
    <row r="5011" s="2043" customFormat="1" x14ac:dyDescent="0.2"/>
    <row r="5012" s="2043" customFormat="1" x14ac:dyDescent="0.2"/>
    <row r="5013" s="2043" customFormat="1" x14ac:dyDescent="0.2"/>
    <row r="5014" s="2043" customFormat="1" x14ac:dyDescent="0.2"/>
    <row r="5015" s="2043" customFormat="1" x14ac:dyDescent="0.2"/>
    <row r="5016" s="2043" customFormat="1" x14ac:dyDescent="0.2"/>
    <row r="5017" s="2043" customFormat="1" x14ac:dyDescent="0.2"/>
    <row r="5018" s="2043" customFormat="1" x14ac:dyDescent="0.2"/>
    <row r="5019" s="2043" customFormat="1" x14ac:dyDescent="0.2"/>
    <row r="5020" s="2043" customFormat="1" x14ac:dyDescent="0.2"/>
    <row r="5021" s="2043" customFormat="1" x14ac:dyDescent="0.2"/>
    <row r="5022" s="2043" customFormat="1" x14ac:dyDescent="0.2"/>
    <row r="5023" s="2043" customFormat="1" x14ac:dyDescent="0.2"/>
    <row r="5024" s="2043" customFormat="1" x14ac:dyDescent="0.2"/>
    <row r="5025" s="2043" customFormat="1" x14ac:dyDescent="0.2"/>
    <row r="5026" s="2043" customFormat="1" x14ac:dyDescent="0.2"/>
    <row r="5027" s="2043" customFormat="1" x14ac:dyDescent="0.2"/>
    <row r="5028" s="2043" customFormat="1" x14ac:dyDescent="0.2"/>
    <row r="5029" s="2043" customFormat="1" x14ac:dyDescent="0.2"/>
    <row r="5030" s="2043" customFormat="1" x14ac:dyDescent="0.2"/>
    <row r="5031" s="2043" customFormat="1" x14ac:dyDescent="0.2"/>
    <row r="5032" s="2043" customFormat="1" x14ac:dyDescent="0.2"/>
    <row r="5033" s="2043" customFormat="1" x14ac:dyDescent="0.2"/>
    <row r="5034" s="2043" customFormat="1" x14ac:dyDescent="0.2"/>
    <row r="5035" s="2043" customFormat="1" x14ac:dyDescent="0.2"/>
    <row r="5036" s="2043" customFormat="1" x14ac:dyDescent="0.2"/>
    <row r="5037" s="2043" customFormat="1" x14ac:dyDescent="0.2"/>
    <row r="5038" s="2043" customFormat="1" x14ac:dyDescent="0.2"/>
    <row r="5039" s="2043" customFormat="1" x14ac:dyDescent="0.2"/>
    <row r="5040" s="2043" customFormat="1" x14ac:dyDescent="0.2"/>
    <row r="5041" s="2043" customFormat="1" x14ac:dyDescent="0.2"/>
    <row r="5042" s="2043" customFormat="1" x14ac:dyDescent="0.2"/>
    <row r="5043" s="2043" customFormat="1" x14ac:dyDescent="0.2"/>
    <row r="5044" s="2043" customFormat="1" x14ac:dyDescent="0.2"/>
    <row r="5045" s="2043" customFormat="1" x14ac:dyDescent="0.2"/>
    <row r="5046" s="2043" customFormat="1" x14ac:dyDescent="0.2"/>
    <row r="5047" s="2043" customFormat="1" x14ac:dyDescent="0.2"/>
    <row r="5048" s="2043" customFormat="1" x14ac:dyDescent="0.2"/>
    <row r="5049" s="2043" customFormat="1" x14ac:dyDescent="0.2"/>
    <row r="5050" s="2043" customFormat="1" x14ac:dyDescent="0.2"/>
    <row r="5051" s="2043" customFormat="1" x14ac:dyDescent="0.2"/>
    <row r="5052" s="2043" customFormat="1" x14ac:dyDescent="0.2"/>
    <row r="5053" s="2043" customFormat="1" x14ac:dyDescent="0.2"/>
    <row r="5054" s="2043" customFormat="1" x14ac:dyDescent="0.2"/>
    <row r="5055" s="2043" customFormat="1" x14ac:dyDescent="0.2"/>
    <row r="5056" s="2043" customFormat="1" x14ac:dyDescent="0.2"/>
    <row r="5057" s="2043" customFormat="1" x14ac:dyDescent="0.2"/>
    <row r="5058" s="2043" customFormat="1" x14ac:dyDescent="0.2"/>
    <row r="5059" s="2043" customFormat="1" x14ac:dyDescent="0.2"/>
    <row r="5060" s="2043" customFormat="1" x14ac:dyDescent="0.2"/>
    <row r="5061" s="2043" customFormat="1" x14ac:dyDescent="0.2"/>
    <row r="5062" s="2043" customFormat="1" x14ac:dyDescent="0.2"/>
    <row r="5063" s="2043" customFormat="1" x14ac:dyDescent="0.2"/>
    <row r="5064" s="2043" customFormat="1" x14ac:dyDescent="0.2"/>
    <row r="5065" s="2043" customFormat="1" x14ac:dyDescent="0.2"/>
    <row r="5066" s="2043" customFormat="1" x14ac:dyDescent="0.2"/>
    <row r="5067" s="2043" customFormat="1" x14ac:dyDescent="0.2"/>
    <row r="5068" s="2043" customFormat="1" x14ac:dyDescent="0.2"/>
    <row r="5069" s="2043" customFormat="1" x14ac:dyDescent="0.2"/>
    <row r="5070" s="2043" customFormat="1" x14ac:dyDescent="0.2"/>
    <row r="5071" s="2043" customFormat="1" x14ac:dyDescent="0.2"/>
    <row r="5072" s="2043" customFormat="1" x14ac:dyDescent="0.2"/>
    <row r="5073" s="2043" customFormat="1" x14ac:dyDescent="0.2"/>
    <row r="5074" s="2043" customFormat="1" x14ac:dyDescent="0.2"/>
    <row r="5075" s="2043" customFormat="1" x14ac:dyDescent="0.2"/>
    <row r="5076" s="2043" customFormat="1" x14ac:dyDescent="0.2"/>
    <row r="5077" s="2043" customFormat="1" x14ac:dyDescent="0.2"/>
    <row r="5078" s="2043" customFormat="1" x14ac:dyDescent="0.2"/>
    <row r="5079" s="2043" customFormat="1" x14ac:dyDescent="0.2"/>
    <row r="5080" s="2043" customFormat="1" x14ac:dyDescent="0.2"/>
    <row r="5081" s="2043" customFormat="1" x14ac:dyDescent="0.2"/>
    <row r="5082" s="2043" customFormat="1" x14ac:dyDescent="0.2"/>
    <row r="5083" s="2043" customFormat="1" x14ac:dyDescent="0.2"/>
    <row r="5084" s="2043" customFormat="1" x14ac:dyDescent="0.2"/>
    <row r="5085" s="2043" customFormat="1" x14ac:dyDescent="0.2"/>
    <row r="5086" s="2043" customFormat="1" x14ac:dyDescent="0.2"/>
    <row r="5087" s="2043" customFormat="1" x14ac:dyDescent="0.2"/>
    <row r="5088" s="2043" customFormat="1" x14ac:dyDescent="0.2"/>
    <row r="5089" s="2043" customFormat="1" x14ac:dyDescent="0.2"/>
    <row r="5090" s="2043" customFormat="1" x14ac:dyDescent="0.2"/>
    <row r="5091" s="2043" customFormat="1" x14ac:dyDescent="0.2"/>
    <row r="5092" s="2043" customFormat="1" x14ac:dyDescent="0.2"/>
    <row r="5093" s="2043" customFormat="1" x14ac:dyDescent="0.2"/>
    <row r="5094" s="2043" customFormat="1" x14ac:dyDescent="0.2"/>
    <row r="5095" s="2043" customFormat="1" x14ac:dyDescent="0.2"/>
    <row r="5096" s="2043" customFormat="1" x14ac:dyDescent="0.2"/>
    <row r="5097" s="2043" customFormat="1" x14ac:dyDescent="0.2"/>
    <row r="5098" s="2043" customFormat="1" x14ac:dyDescent="0.2"/>
    <row r="5099" s="2043" customFormat="1" x14ac:dyDescent="0.2"/>
    <row r="5100" s="2043" customFormat="1" x14ac:dyDescent="0.2"/>
    <row r="5101" s="2043" customFormat="1" x14ac:dyDescent="0.2"/>
    <row r="5102" s="2043" customFormat="1" x14ac:dyDescent="0.2"/>
    <row r="5103" s="2043" customFormat="1" x14ac:dyDescent="0.2"/>
    <row r="5104" s="2043" customFormat="1" x14ac:dyDescent="0.2"/>
    <row r="5105" s="2043" customFormat="1" x14ac:dyDescent="0.2"/>
    <row r="5106" s="2043" customFormat="1" x14ac:dyDescent="0.2"/>
    <row r="5107" s="2043" customFormat="1" x14ac:dyDescent="0.2"/>
    <row r="5108" s="2043" customFormat="1" x14ac:dyDescent="0.2"/>
    <row r="5109" s="2043" customFormat="1" x14ac:dyDescent="0.2"/>
    <row r="5110" s="2043" customFormat="1" x14ac:dyDescent="0.2"/>
    <row r="5111" s="2043" customFormat="1" x14ac:dyDescent="0.2"/>
    <row r="5112" s="2043" customFormat="1" x14ac:dyDescent="0.2"/>
    <row r="5113" s="2043" customFormat="1" x14ac:dyDescent="0.2"/>
    <row r="5114" s="2043" customFormat="1" x14ac:dyDescent="0.2"/>
    <row r="5115" s="2043" customFormat="1" x14ac:dyDescent="0.2"/>
    <row r="5116" s="2043" customFormat="1" x14ac:dyDescent="0.2"/>
    <row r="5117" s="2043" customFormat="1" x14ac:dyDescent="0.2"/>
    <row r="5118" s="2043" customFormat="1" x14ac:dyDescent="0.2"/>
    <row r="5119" s="2043" customFormat="1" x14ac:dyDescent="0.2"/>
    <row r="5120" s="2043" customFormat="1" x14ac:dyDescent="0.2"/>
    <row r="5121" s="2043" customFormat="1" x14ac:dyDescent="0.2"/>
    <row r="5122" s="2043" customFormat="1" x14ac:dyDescent="0.2"/>
    <row r="5123" s="2043" customFormat="1" x14ac:dyDescent="0.2"/>
    <row r="5124" s="2043" customFormat="1" x14ac:dyDescent="0.2"/>
    <row r="5125" s="2043" customFormat="1" x14ac:dyDescent="0.2"/>
    <row r="5126" s="2043" customFormat="1" x14ac:dyDescent="0.2"/>
    <row r="5127" s="2043" customFormat="1" x14ac:dyDescent="0.2"/>
    <row r="5128" s="2043" customFormat="1" x14ac:dyDescent="0.2"/>
    <row r="5129" s="2043" customFormat="1" x14ac:dyDescent="0.2"/>
    <row r="5130" s="2043" customFormat="1" x14ac:dyDescent="0.2"/>
    <row r="5131" s="2043" customFormat="1" x14ac:dyDescent="0.2"/>
    <row r="5132" s="2043" customFormat="1" x14ac:dyDescent="0.2"/>
    <row r="5133" s="2043" customFormat="1" x14ac:dyDescent="0.2"/>
    <row r="5134" s="2043" customFormat="1" x14ac:dyDescent="0.2"/>
    <row r="5135" s="2043" customFormat="1" x14ac:dyDescent="0.2"/>
    <row r="5136" s="2043" customFormat="1" x14ac:dyDescent="0.2"/>
    <row r="5137" s="2043" customFormat="1" x14ac:dyDescent="0.2"/>
    <row r="5138" s="2043" customFormat="1" x14ac:dyDescent="0.2"/>
    <row r="5139" s="2043" customFormat="1" x14ac:dyDescent="0.2"/>
    <row r="5140" s="2043" customFormat="1" x14ac:dyDescent="0.2"/>
    <row r="5141" s="2043" customFormat="1" x14ac:dyDescent="0.2"/>
    <row r="5142" s="2043" customFormat="1" x14ac:dyDescent="0.2"/>
    <row r="5143" s="2043" customFormat="1" x14ac:dyDescent="0.2"/>
    <row r="5144" s="2043" customFormat="1" x14ac:dyDescent="0.2"/>
    <row r="5145" s="2043" customFormat="1" x14ac:dyDescent="0.2"/>
    <row r="5146" s="2043" customFormat="1" x14ac:dyDescent="0.2"/>
    <row r="5147" s="2043" customFormat="1" x14ac:dyDescent="0.2"/>
    <row r="5148" s="2043" customFormat="1" x14ac:dyDescent="0.2"/>
    <row r="5149" s="2043" customFormat="1" x14ac:dyDescent="0.2"/>
    <row r="5150" s="2043" customFormat="1" x14ac:dyDescent="0.2"/>
    <row r="5151" s="2043" customFormat="1" x14ac:dyDescent="0.2"/>
    <row r="5152" s="2043" customFormat="1" x14ac:dyDescent="0.2"/>
    <row r="5153" s="2043" customFormat="1" x14ac:dyDescent="0.2"/>
    <row r="5154" s="2043" customFormat="1" x14ac:dyDescent="0.2"/>
    <row r="5155" s="2043" customFormat="1" x14ac:dyDescent="0.2"/>
    <row r="5156" s="2043" customFormat="1" x14ac:dyDescent="0.2"/>
    <row r="5157" s="2043" customFormat="1" x14ac:dyDescent="0.2"/>
    <row r="5158" s="2043" customFormat="1" x14ac:dyDescent="0.2"/>
    <row r="5159" s="2043" customFormat="1" x14ac:dyDescent="0.2"/>
    <row r="5160" s="2043" customFormat="1" x14ac:dyDescent="0.2"/>
    <row r="5161" s="2043" customFormat="1" x14ac:dyDescent="0.2"/>
    <row r="5162" s="2043" customFormat="1" x14ac:dyDescent="0.2"/>
    <row r="5163" s="2043" customFormat="1" x14ac:dyDescent="0.2"/>
    <row r="5164" s="2043" customFormat="1" x14ac:dyDescent="0.2"/>
    <row r="5165" s="2043" customFormat="1" x14ac:dyDescent="0.2"/>
    <row r="5166" s="2043" customFormat="1" x14ac:dyDescent="0.2"/>
    <row r="5167" s="2043" customFormat="1" x14ac:dyDescent="0.2"/>
    <row r="5168" s="2043" customFormat="1" x14ac:dyDescent="0.2"/>
    <row r="5169" s="2043" customFormat="1" x14ac:dyDescent="0.2"/>
    <row r="5170" s="2043" customFormat="1" x14ac:dyDescent="0.2"/>
    <row r="5171" s="2043" customFormat="1" x14ac:dyDescent="0.2"/>
    <row r="5172" s="2043" customFormat="1" x14ac:dyDescent="0.2"/>
    <row r="5173" s="2043" customFormat="1" x14ac:dyDescent="0.2"/>
    <row r="5174" s="2043" customFormat="1" x14ac:dyDescent="0.2"/>
    <row r="5175" s="2043" customFormat="1" x14ac:dyDescent="0.2"/>
    <row r="5176" s="2043" customFormat="1" x14ac:dyDescent="0.2"/>
    <row r="5177" s="2043" customFormat="1" x14ac:dyDescent="0.2"/>
    <row r="5178" s="2043" customFormat="1" x14ac:dyDescent="0.2"/>
    <row r="5179" s="2043" customFormat="1" x14ac:dyDescent="0.2"/>
    <row r="5180" s="2043" customFormat="1" x14ac:dyDescent="0.2"/>
    <row r="5181" s="2043" customFormat="1" x14ac:dyDescent="0.2"/>
    <row r="5182" s="2043" customFormat="1" x14ac:dyDescent="0.2"/>
    <row r="5183" s="2043" customFormat="1" x14ac:dyDescent="0.2"/>
    <row r="5184" s="2043" customFormat="1" x14ac:dyDescent="0.2"/>
    <row r="5185" s="2043" customFormat="1" x14ac:dyDescent="0.2"/>
    <row r="5186" s="2043" customFormat="1" x14ac:dyDescent="0.2"/>
    <row r="5187" s="2043" customFormat="1" x14ac:dyDescent="0.2"/>
    <row r="5188" s="2043" customFormat="1" x14ac:dyDescent="0.2"/>
    <row r="5189" s="2043" customFormat="1" x14ac:dyDescent="0.2"/>
    <row r="5190" s="2043" customFormat="1" x14ac:dyDescent="0.2"/>
    <row r="5191" s="2043" customFormat="1" x14ac:dyDescent="0.2"/>
    <row r="5192" s="2043" customFormat="1" x14ac:dyDescent="0.2"/>
    <row r="5193" s="2043" customFormat="1" x14ac:dyDescent="0.2"/>
    <row r="5194" s="2043" customFormat="1" x14ac:dyDescent="0.2"/>
    <row r="5195" s="2043" customFormat="1" x14ac:dyDescent="0.2"/>
    <row r="5196" s="2043" customFormat="1" x14ac:dyDescent="0.2"/>
    <row r="5197" s="2043" customFormat="1" x14ac:dyDescent="0.2"/>
    <row r="5198" s="2043" customFormat="1" x14ac:dyDescent="0.2"/>
    <row r="5199" s="2043" customFormat="1" x14ac:dyDescent="0.2"/>
    <row r="5200" s="2043" customFormat="1" x14ac:dyDescent="0.2"/>
    <row r="5201" s="2043" customFormat="1" x14ac:dyDescent="0.2"/>
    <row r="5202" s="2043" customFormat="1" x14ac:dyDescent="0.2"/>
    <row r="5203" s="2043" customFormat="1" x14ac:dyDescent="0.2"/>
    <row r="5204" s="2043" customFormat="1" x14ac:dyDescent="0.2"/>
    <row r="5205" s="2043" customFormat="1" x14ac:dyDescent="0.2"/>
    <row r="5206" s="2043" customFormat="1" x14ac:dyDescent="0.2"/>
    <row r="5207" s="2043" customFormat="1" x14ac:dyDescent="0.2"/>
    <row r="5208" s="2043" customFormat="1" x14ac:dyDescent="0.2"/>
    <row r="5209" s="2043" customFormat="1" x14ac:dyDescent="0.2"/>
    <row r="5210" s="2043" customFormat="1" x14ac:dyDescent="0.2"/>
    <row r="5211" s="2043" customFormat="1" x14ac:dyDescent="0.2"/>
    <row r="5212" s="2043" customFormat="1" x14ac:dyDescent="0.2"/>
    <row r="5213" s="2043" customFormat="1" x14ac:dyDescent="0.2"/>
    <row r="5214" s="2043" customFormat="1" x14ac:dyDescent="0.2"/>
    <row r="5215" s="2043" customFormat="1" x14ac:dyDescent="0.2"/>
    <row r="5216" s="2043" customFormat="1" x14ac:dyDescent="0.2"/>
    <row r="5217" s="2043" customFormat="1" x14ac:dyDescent="0.2"/>
    <row r="5218" s="2043" customFormat="1" x14ac:dyDescent="0.2"/>
    <row r="5219" s="2043" customFormat="1" x14ac:dyDescent="0.2"/>
    <row r="5220" s="2043" customFormat="1" x14ac:dyDescent="0.2"/>
    <row r="5221" s="2043" customFormat="1" x14ac:dyDescent="0.2"/>
    <row r="5222" s="2043" customFormat="1" x14ac:dyDescent="0.2"/>
    <row r="5223" s="2043" customFormat="1" x14ac:dyDescent="0.2"/>
    <row r="5224" s="2043" customFormat="1" x14ac:dyDescent="0.2"/>
    <row r="5225" s="2043" customFormat="1" x14ac:dyDescent="0.2"/>
    <row r="5226" s="2043" customFormat="1" x14ac:dyDescent="0.2"/>
    <row r="5227" s="2043" customFormat="1" x14ac:dyDescent="0.2"/>
    <row r="5228" s="2043" customFormat="1" x14ac:dyDescent="0.2"/>
    <row r="5229" s="2043" customFormat="1" x14ac:dyDescent="0.2"/>
    <row r="5230" s="2043" customFormat="1" x14ac:dyDescent="0.2"/>
    <row r="5231" s="2043" customFormat="1" x14ac:dyDescent="0.2"/>
    <row r="5232" s="2043" customFormat="1" x14ac:dyDescent="0.2"/>
    <row r="5233" s="2043" customFormat="1" x14ac:dyDescent="0.2"/>
    <row r="5234" s="2043" customFormat="1" x14ac:dyDescent="0.2"/>
    <row r="5235" s="2043" customFormat="1" x14ac:dyDescent="0.2"/>
    <row r="5236" s="2043" customFormat="1" x14ac:dyDescent="0.2"/>
    <row r="5237" s="2043" customFormat="1" x14ac:dyDescent="0.2"/>
    <row r="5238" s="2043" customFormat="1" x14ac:dyDescent="0.2"/>
    <row r="5239" s="2043" customFormat="1" x14ac:dyDescent="0.2"/>
    <row r="5240" s="2043" customFormat="1" x14ac:dyDescent="0.2"/>
    <row r="5241" s="2043" customFormat="1" x14ac:dyDescent="0.2"/>
    <row r="5242" s="2043" customFormat="1" x14ac:dyDescent="0.2"/>
    <row r="5243" s="2043" customFormat="1" x14ac:dyDescent="0.2"/>
    <row r="5244" s="2043" customFormat="1" x14ac:dyDescent="0.2"/>
    <row r="5245" s="2043" customFormat="1" x14ac:dyDescent="0.2"/>
    <row r="5246" s="2043" customFormat="1" x14ac:dyDescent="0.2"/>
    <row r="5247" s="2043" customFormat="1" x14ac:dyDescent="0.2"/>
    <row r="5248" s="2043" customFormat="1" x14ac:dyDescent="0.2"/>
    <row r="5249" s="2043" customFormat="1" x14ac:dyDescent="0.2"/>
    <row r="5250" s="2043" customFormat="1" x14ac:dyDescent="0.2"/>
    <row r="5251" s="2043" customFormat="1" x14ac:dyDescent="0.2"/>
    <row r="5252" s="2043" customFormat="1" x14ac:dyDescent="0.2"/>
    <row r="5253" s="2043" customFormat="1" x14ac:dyDescent="0.2"/>
    <row r="5254" s="2043" customFormat="1" x14ac:dyDescent="0.2"/>
    <row r="5255" s="2043" customFormat="1" x14ac:dyDescent="0.2"/>
    <row r="5256" s="2043" customFormat="1" x14ac:dyDescent="0.2"/>
    <row r="5257" s="2043" customFormat="1" x14ac:dyDescent="0.2"/>
    <row r="5258" s="2043" customFormat="1" x14ac:dyDescent="0.2"/>
    <row r="5259" s="2043" customFormat="1" x14ac:dyDescent="0.2"/>
    <row r="5260" s="2043" customFormat="1" x14ac:dyDescent="0.2"/>
    <row r="5261" s="2043" customFormat="1" x14ac:dyDescent="0.2"/>
    <row r="5262" s="2043" customFormat="1" x14ac:dyDescent="0.2"/>
    <row r="5263" s="2043" customFormat="1" x14ac:dyDescent="0.2"/>
    <row r="5264" s="2043" customFormat="1" x14ac:dyDescent="0.2"/>
    <row r="5265" s="2043" customFormat="1" x14ac:dyDescent="0.2"/>
    <row r="5266" s="2043" customFormat="1" x14ac:dyDescent="0.2"/>
    <row r="5267" s="2043" customFormat="1" x14ac:dyDescent="0.2"/>
    <row r="5268" s="2043" customFormat="1" x14ac:dyDescent="0.2"/>
    <row r="5269" s="2043" customFormat="1" x14ac:dyDescent="0.2"/>
    <row r="5270" s="2043" customFormat="1" x14ac:dyDescent="0.2"/>
    <row r="5271" s="2043" customFormat="1" x14ac:dyDescent="0.2"/>
    <row r="5272" s="2043" customFormat="1" x14ac:dyDescent="0.2"/>
    <row r="5273" s="2043" customFormat="1" x14ac:dyDescent="0.2"/>
    <row r="5274" s="2043" customFormat="1" x14ac:dyDescent="0.2"/>
    <row r="5275" s="2043" customFormat="1" x14ac:dyDescent="0.2"/>
    <row r="5276" s="2043" customFormat="1" x14ac:dyDescent="0.2"/>
    <row r="5277" s="2043" customFormat="1" x14ac:dyDescent="0.2"/>
    <row r="5278" s="2043" customFormat="1" x14ac:dyDescent="0.2"/>
    <row r="5279" s="2043" customFormat="1" x14ac:dyDescent="0.2"/>
    <row r="5280" s="2043" customFormat="1" x14ac:dyDescent="0.2"/>
    <row r="5281" s="2043" customFormat="1" x14ac:dyDescent="0.2"/>
    <row r="5282" s="2043" customFormat="1" x14ac:dyDescent="0.2"/>
    <row r="5283" s="2043" customFormat="1" x14ac:dyDescent="0.2"/>
    <row r="5284" s="2043" customFormat="1" x14ac:dyDescent="0.2"/>
    <row r="5285" s="2043" customFormat="1" x14ac:dyDescent="0.2"/>
    <row r="5286" s="2043" customFormat="1" x14ac:dyDescent="0.2"/>
    <row r="5287" s="2043" customFormat="1" x14ac:dyDescent="0.2"/>
    <row r="5288" s="2043" customFormat="1" x14ac:dyDescent="0.2"/>
    <row r="5289" s="2043" customFormat="1" x14ac:dyDescent="0.2"/>
    <row r="5290" s="2043" customFormat="1" x14ac:dyDescent="0.2"/>
    <row r="5291" s="2043" customFormat="1" x14ac:dyDescent="0.2"/>
    <row r="5292" s="2043" customFormat="1" x14ac:dyDescent="0.2"/>
    <row r="5293" s="2043" customFormat="1" x14ac:dyDescent="0.2"/>
    <row r="5294" s="2043" customFormat="1" x14ac:dyDescent="0.2"/>
    <row r="5295" s="2043" customFormat="1" x14ac:dyDescent="0.2"/>
    <row r="5296" s="2043" customFormat="1" x14ac:dyDescent="0.2"/>
    <row r="5297" s="2043" customFormat="1" x14ac:dyDescent="0.2"/>
    <row r="5298" s="2043" customFormat="1" x14ac:dyDescent="0.2"/>
    <row r="5299" s="2043" customFormat="1" x14ac:dyDescent="0.2"/>
    <row r="5300" s="2043" customFormat="1" x14ac:dyDescent="0.2"/>
    <row r="5301" s="2043" customFormat="1" x14ac:dyDescent="0.2"/>
    <row r="5302" s="2043" customFormat="1" x14ac:dyDescent="0.2"/>
    <row r="5303" s="2043" customFormat="1" x14ac:dyDescent="0.2"/>
    <row r="5304" s="2043" customFormat="1" x14ac:dyDescent="0.2"/>
    <row r="5305" s="2043" customFormat="1" x14ac:dyDescent="0.2"/>
    <row r="5306" s="2043" customFormat="1" x14ac:dyDescent="0.2"/>
    <row r="5307" s="2043" customFormat="1" x14ac:dyDescent="0.2"/>
    <row r="5308" s="2043" customFormat="1" x14ac:dyDescent="0.2"/>
    <row r="5309" s="2043" customFormat="1" x14ac:dyDescent="0.2"/>
    <row r="5310" s="2043" customFormat="1" x14ac:dyDescent="0.2"/>
    <row r="5311" s="2043" customFormat="1" x14ac:dyDescent="0.2"/>
    <row r="5312" s="2043" customFormat="1" x14ac:dyDescent="0.2"/>
    <row r="5313" s="2043" customFormat="1" x14ac:dyDescent="0.2"/>
    <row r="5314" s="2043" customFormat="1" x14ac:dyDescent="0.2"/>
    <row r="5315" s="2043" customFormat="1" x14ac:dyDescent="0.2"/>
    <row r="5316" s="2043" customFormat="1" x14ac:dyDescent="0.2"/>
    <row r="5317" s="2043" customFormat="1" x14ac:dyDescent="0.2"/>
    <row r="5318" s="2043" customFormat="1" x14ac:dyDescent="0.2"/>
    <row r="5319" s="2043" customFormat="1" x14ac:dyDescent="0.2"/>
    <row r="5320" s="2043" customFormat="1" x14ac:dyDescent="0.2"/>
    <row r="5321" s="2043" customFormat="1" x14ac:dyDescent="0.2"/>
    <row r="5322" s="2043" customFormat="1" x14ac:dyDescent="0.2"/>
    <row r="5323" s="2043" customFormat="1" x14ac:dyDescent="0.2"/>
    <row r="5324" s="2043" customFormat="1" x14ac:dyDescent="0.2"/>
    <row r="5325" s="2043" customFormat="1" x14ac:dyDescent="0.2"/>
    <row r="5326" s="2043" customFormat="1" x14ac:dyDescent="0.2"/>
    <row r="5327" s="2043" customFormat="1" x14ac:dyDescent="0.2"/>
    <row r="5328" s="2043" customFormat="1" x14ac:dyDescent="0.2"/>
    <row r="5329" s="2043" customFormat="1" x14ac:dyDescent="0.2"/>
    <row r="5330" s="2043" customFormat="1" x14ac:dyDescent="0.2"/>
    <row r="5331" s="2043" customFormat="1" x14ac:dyDescent="0.2"/>
    <row r="5332" s="2043" customFormat="1" x14ac:dyDescent="0.2"/>
    <row r="5333" s="2043" customFormat="1" x14ac:dyDescent="0.2"/>
    <row r="5334" s="2043" customFormat="1" x14ac:dyDescent="0.2"/>
    <row r="5335" s="2043" customFormat="1" x14ac:dyDescent="0.2"/>
    <row r="5336" s="2043" customFormat="1" x14ac:dyDescent="0.2"/>
    <row r="5337" s="2043" customFormat="1" x14ac:dyDescent="0.2"/>
    <row r="5338" s="2043" customFormat="1" x14ac:dyDescent="0.2"/>
    <row r="5339" s="2043" customFormat="1" x14ac:dyDescent="0.2"/>
    <row r="5340" s="2043" customFormat="1" x14ac:dyDescent="0.2"/>
    <row r="5341" s="2043" customFormat="1" x14ac:dyDescent="0.2"/>
    <row r="5342" s="2043" customFormat="1" x14ac:dyDescent="0.2"/>
    <row r="5343" s="2043" customFormat="1" x14ac:dyDescent="0.2"/>
    <row r="5344" s="2043" customFormat="1" x14ac:dyDescent="0.2"/>
    <row r="5345" s="2043" customFormat="1" x14ac:dyDescent="0.2"/>
    <row r="5346" s="2043" customFormat="1" x14ac:dyDescent="0.2"/>
    <row r="5347" s="2043" customFormat="1" x14ac:dyDescent="0.2"/>
    <row r="5348" s="2043" customFormat="1" x14ac:dyDescent="0.2"/>
    <row r="5349" s="2043" customFormat="1" x14ac:dyDescent="0.2"/>
    <row r="5350" s="2043" customFormat="1" x14ac:dyDescent="0.2"/>
    <row r="5351" s="2043" customFormat="1" x14ac:dyDescent="0.2"/>
    <row r="5352" s="2043" customFormat="1" x14ac:dyDescent="0.2"/>
    <row r="5353" s="2043" customFormat="1" x14ac:dyDescent="0.2"/>
    <row r="5354" s="2043" customFormat="1" x14ac:dyDescent="0.2"/>
    <row r="5355" s="2043" customFormat="1" x14ac:dyDescent="0.2"/>
    <row r="5356" s="2043" customFormat="1" x14ac:dyDescent="0.2"/>
    <row r="5357" s="2043" customFormat="1" x14ac:dyDescent="0.2"/>
    <row r="5358" s="2043" customFormat="1" x14ac:dyDescent="0.2"/>
    <row r="5359" s="2043" customFormat="1" x14ac:dyDescent="0.2"/>
    <row r="5360" s="2043" customFormat="1" x14ac:dyDescent="0.2"/>
    <row r="5361" s="2043" customFormat="1" x14ac:dyDescent="0.2"/>
    <row r="5362" s="2043" customFormat="1" x14ac:dyDescent="0.2"/>
    <row r="5363" s="2043" customFormat="1" x14ac:dyDescent="0.2"/>
    <row r="5364" s="2043" customFormat="1" x14ac:dyDescent="0.2"/>
    <row r="5365" s="2043" customFormat="1" x14ac:dyDescent="0.2"/>
    <row r="5366" s="2043" customFormat="1" x14ac:dyDescent="0.2"/>
    <row r="5367" s="2043" customFormat="1" x14ac:dyDescent="0.2"/>
    <row r="5368" s="2043" customFormat="1" x14ac:dyDescent="0.2"/>
    <row r="5369" s="2043" customFormat="1" x14ac:dyDescent="0.2"/>
    <row r="5370" s="2043" customFormat="1" x14ac:dyDescent="0.2"/>
    <row r="5371" s="2043" customFormat="1" x14ac:dyDescent="0.2"/>
    <row r="5372" s="2043" customFormat="1" x14ac:dyDescent="0.2"/>
    <row r="5373" s="2043" customFormat="1" x14ac:dyDescent="0.2"/>
    <row r="5374" s="2043" customFormat="1" x14ac:dyDescent="0.2"/>
    <row r="5375" s="2043" customFormat="1" x14ac:dyDescent="0.2"/>
    <row r="5376" s="2043" customFormat="1" x14ac:dyDescent="0.2"/>
    <row r="5377" s="2043" customFormat="1" x14ac:dyDescent="0.2"/>
    <row r="5378" s="2043" customFormat="1" x14ac:dyDescent="0.2"/>
    <row r="5379" s="2043" customFormat="1" x14ac:dyDescent="0.2"/>
    <row r="5380" s="2043" customFormat="1" x14ac:dyDescent="0.2"/>
    <row r="5381" s="2043" customFormat="1" x14ac:dyDescent="0.2"/>
    <row r="5382" s="2043" customFormat="1" x14ac:dyDescent="0.2"/>
    <row r="5383" s="2043" customFormat="1" x14ac:dyDescent="0.2"/>
    <row r="5384" s="2043" customFormat="1" x14ac:dyDescent="0.2"/>
    <row r="5385" s="2043" customFormat="1" x14ac:dyDescent="0.2"/>
    <row r="5386" s="2043" customFormat="1" x14ac:dyDescent="0.2"/>
    <row r="5387" s="2043" customFormat="1" x14ac:dyDescent="0.2"/>
    <row r="5388" s="2043" customFormat="1" x14ac:dyDescent="0.2"/>
    <row r="5389" s="2043" customFormat="1" x14ac:dyDescent="0.2"/>
    <row r="5390" s="2043" customFormat="1" x14ac:dyDescent="0.2"/>
    <row r="5391" s="2043" customFormat="1" x14ac:dyDescent="0.2"/>
    <row r="5392" s="2043" customFormat="1" x14ac:dyDescent="0.2"/>
    <row r="5393" s="2043" customFormat="1" x14ac:dyDescent="0.2"/>
    <row r="5394" s="2043" customFormat="1" x14ac:dyDescent="0.2"/>
    <row r="5395" s="2043" customFormat="1" x14ac:dyDescent="0.2"/>
    <row r="5396" s="2043" customFormat="1" x14ac:dyDescent="0.2"/>
    <row r="5397" s="2043" customFormat="1" x14ac:dyDescent="0.2"/>
    <row r="5398" s="2043" customFormat="1" x14ac:dyDescent="0.2"/>
    <row r="5399" s="2043" customFormat="1" x14ac:dyDescent="0.2"/>
    <row r="5400" s="2043" customFormat="1" x14ac:dyDescent="0.2"/>
    <row r="5401" s="2043" customFormat="1" x14ac:dyDescent="0.2"/>
    <row r="5402" s="2043" customFormat="1" x14ac:dyDescent="0.2"/>
    <row r="5403" s="2043" customFormat="1" x14ac:dyDescent="0.2"/>
    <row r="5404" s="2043" customFormat="1" x14ac:dyDescent="0.2"/>
    <row r="5405" s="2043" customFormat="1" x14ac:dyDescent="0.2"/>
    <row r="5406" s="2043" customFormat="1" x14ac:dyDescent="0.2"/>
    <row r="5407" s="2043" customFormat="1" x14ac:dyDescent="0.2"/>
    <row r="5408" s="2043" customFormat="1" x14ac:dyDescent="0.2"/>
    <row r="5409" s="2043" customFormat="1" x14ac:dyDescent="0.2"/>
    <row r="5410" s="2043" customFormat="1" x14ac:dyDescent="0.2"/>
    <row r="5411" s="2043" customFormat="1" x14ac:dyDescent="0.2"/>
    <row r="5412" s="2043" customFormat="1" x14ac:dyDescent="0.2"/>
    <row r="5413" s="2043" customFormat="1" x14ac:dyDescent="0.2"/>
    <row r="5414" s="2043" customFormat="1" x14ac:dyDescent="0.2"/>
    <row r="5415" s="2043" customFormat="1" x14ac:dyDescent="0.2"/>
    <row r="5416" s="2043" customFormat="1" x14ac:dyDescent="0.2"/>
    <row r="5417" s="2043" customFormat="1" x14ac:dyDescent="0.2"/>
    <row r="5418" s="2043" customFormat="1" x14ac:dyDescent="0.2"/>
    <row r="5419" s="2043" customFormat="1" x14ac:dyDescent="0.2"/>
    <row r="5420" s="2043" customFormat="1" x14ac:dyDescent="0.2"/>
    <row r="5421" s="2043" customFormat="1" x14ac:dyDescent="0.2"/>
    <row r="5422" s="2043" customFormat="1" x14ac:dyDescent="0.2"/>
    <row r="5423" s="2043" customFormat="1" x14ac:dyDescent="0.2"/>
    <row r="5424" s="2043" customFormat="1" x14ac:dyDescent="0.2"/>
    <row r="5425" s="2043" customFormat="1" x14ac:dyDescent="0.2"/>
    <row r="5426" s="2043" customFormat="1" x14ac:dyDescent="0.2"/>
    <row r="5427" s="2043" customFormat="1" x14ac:dyDescent="0.2"/>
    <row r="5428" s="2043" customFormat="1" x14ac:dyDescent="0.2"/>
    <row r="5429" s="2043" customFormat="1" x14ac:dyDescent="0.2"/>
    <row r="5430" s="2043" customFormat="1" x14ac:dyDescent="0.2"/>
    <row r="5431" s="2043" customFormat="1" x14ac:dyDescent="0.2"/>
    <row r="5432" s="2043" customFormat="1" x14ac:dyDescent="0.2"/>
    <row r="5433" s="2043" customFormat="1" x14ac:dyDescent="0.2"/>
    <row r="5434" s="2043" customFormat="1" x14ac:dyDescent="0.2"/>
    <row r="5435" s="2043" customFormat="1" x14ac:dyDescent="0.2"/>
    <row r="5436" s="2043" customFormat="1" x14ac:dyDescent="0.2"/>
    <row r="5437" s="2043" customFormat="1" x14ac:dyDescent="0.2"/>
    <row r="5438" s="2043" customFormat="1" x14ac:dyDescent="0.2"/>
    <row r="5439" s="2043" customFormat="1" x14ac:dyDescent="0.2"/>
    <row r="5440" s="2043" customFormat="1" x14ac:dyDescent="0.2"/>
    <row r="5441" s="2043" customFormat="1" x14ac:dyDescent="0.2"/>
    <row r="5442" s="2043" customFormat="1" x14ac:dyDescent="0.2"/>
    <row r="5443" s="2043" customFormat="1" x14ac:dyDescent="0.2"/>
    <row r="5444" s="2043" customFormat="1" x14ac:dyDescent="0.2"/>
    <row r="5445" s="2043" customFormat="1" x14ac:dyDescent="0.2"/>
    <row r="5446" s="2043" customFormat="1" x14ac:dyDescent="0.2"/>
    <row r="5447" s="2043" customFormat="1" x14ac:dyDescent="0.2"/>
    <row r="5448" s="2043" customFormat="1" x14ac:dyDescent="0.2"/>
    <row r="5449" s="2043" customFormat="1" x14ac:dyDescent="0.2"/>
    <row r="5450" s="2043" customFormat="1" x14ac:dyDescent="0.2"/>
    <row r="5451" s="2043" customFormat="1" x14ac:dyDescent="0.2"/>
    <row r="5452" s="2043" customFormat="1" x14ac:dyDescent="0.2"/>
    <row r="5453" s="2043" customFormat="1" x14ac:dyDescent="0.2"/>
    <row r="5454" s="2043" customFormat="1" x14ac:dyDescent="0.2"/>
    <row r="5455" s="2043" customFormat="1" x14ac:dyDescent="0.2"/>
    <row r="5456" s="2043" customFormat="1" x14ac:dyDescent="0.2"/>
    <row r="5457" s="2043" customFormat="1" x14ac:dyDescent="0.2"/>
    <row r="5458" s="2043" customFormat="1" x14ac:dyDescent="0.2"/>
    <row r="5459" s="2043" customFormat="1" x14ac:dyDescent="0.2"/>
    <row r="5460" s="2043" customFormat="1" x14ac:dyDescent="0.2"/>
    <row r="5461" s="2043" customFormat="1" x14ac:dyDescent="0.2"/>
    <row r="5462" s="2043" customFormat="1" x14ac:dyDescent="0.2"/>
    <row r="5463" s="2043" customFormat="1" x14ac:dyDescent="0.2"/>
    <row r="5464" s="2043" customFormat="1" x14ac:dyDescent="0.2"/>
    <row r="5465" s="2043" customFormat="1" x14ac:dyDescent="0.2"/>
    <row r="5466" s="2043" customFormat="1" x14ac:dyDescent="0.2"/>
    <row r="5467" s="2043" customFormat="1" x14ac:dyDescent="0.2"/>
    <row r="5468" s="2043" customFormat="1" x14ac:dyDescent="0.2"/>
    <row r="5469" s="2043" customFormat="1" x14ac:dyDescent="0.2"/>
    <row r="5470" s="2043" customFormat="1" x14ac:dyDescent="0.2"/>
    <row r="5471" s="2043" customFormat="1" x14ac:dyDescent="0.2"/>
    <row r="5472" s="2043" customFormat="1" x14ac:dyDescent="0.2"/>
    <row r="5473" s="2043" customFormat="1" x14ac:dyDescent="0.2"/>
    <row r="5474" s="2043" customFormat="1" x14ac:dyDescent="0.2"/>
    <row r="5475" s="2043" customFormat="1" x14ac:dyDescent="0.2"/>
    <row r="5476" s="2043" customFormat="1" x14ac:dyDescent="0.2"/>
    <row r="5477" s="2043" customFormat="1" x14ac:dyDescent="0.2"/>
    <row r="5478" s="2043" customFormat="1" x14ac:dyDescent="0.2"/>
    <row r="5479" s="2043" customFormat="1" x14ac:dyDescent="0.2"/>
    <row r="5480" s="2043" customFormat="1" x14ac:dyDescent="0.2"/>
    <row r="5481" s="2043" customFormat="1" x14ac:dyDescent="0.2"/>
    <row r="5482" s="2043" customFormat="1" x14ac:dyDescent="0.2"/>
    <row r="5483" s="2043" customFormat="1" x14ac:dyDescent="0.2"/>
    <row r="5484" s="2043" customFormat="1" x14ac:dyDescent="0.2"/>
    <row r="5485" s="2043" customFormat="1" x14ac:dyDescent="0.2"/>
    <row r="5486" s="2043" customFormat="1" x14ac:dyDescent="0.2"/>
    <row r="5487" s="2043" customFormat="1" x14ac:dyDescent="0.2"/>
    <row r="5488" s="2043" customFormat="1" x14ac:dyDescent="0.2"/>
    <row r="5489" s="2043" customFormat="1" x14ac:dyDescent="0.2"/>
    <row r="5490" s="2043" customFormat="1" x14ac:dyDescent="0.2"/>
    <row r="5491" s="2043" customFormat="1" x14ac:dyDescent="0.2"/>
    <row r="5492" s="2043" customFormat="1" x14ac:dyDescent="0.2"/>
    <row r="5493" s="2043" customFormat="1" x14ac:dyDescent="0.2"/>
    <row r="5494" s="2043" customFormat="1" x14ac:dyDescent="0.2"/>
    <row r="5495" s="2043" customFormat="1" x14ac:dyDescent="0.2"/>
    <row r="5496" s="2043" customFormat="1" x14ac:dyDescent="0.2"/>
    <row r="5497" s="2043" customFormat="1" x14ac:dyDescent="0.2"/>
    <row r="5498" s="2043" customFormat="1" x14ac:dyDescent="0.2"/>
    <row r="5499" s="2043" customFormat="1" x14ac:dyDescent="0.2"/>
    <row r="5500" s="2043" customFormat="1" x14ac:dyDescent="0.2"/>
    <row r="5501" s="2043" customFormat="1" x14ac:dyDescent="0.2"/>
    <row r="5502" s="2043" customFormat="1" x14ac:dyDescent="0.2"/>
    <row r="5503" s="2043" customFormat="1" x14ac:dyDescent="0.2"/>
    <row r="5504" s="2043" customFormat="1" x14ac:dyDescent="0.2"/>
    <row r="5505" s="2043" customFormat="1" x14ac:dyDescent="0.2"/>
    <row r="5506" s="2043" customFormat="1" x14ac:dyDescent="0.2"/>
    <row r="5507" s="2043" customFormat="1" x14ac:dyDescent="0.2"/>
    <row r="5508" s="2043" customFormat="1" x14ac:dyDescent="0.2"/>
    <row r="5509" s="2043" customFormat="1" x14ac:dyDescent="0.2"/>
    <row r="5510" s="2043" customFormat="1" x14ac:dyDescent="0.2"/>
    <row r="5511" s="2043" customFormat="1" x14ac:dyDescent="0.2"/>
    <row r="5512" s="2043" customFormat="1" x14ac:dyDescent="0.2"/>
    <row r="5513" s="2043" customFormat="1" x14ac:dyDescent="0.2"/>
    <row r="5514" s="2043" customFormat="1" x14ac:dyDescent="0.2"/>
    <row r="5515" s="2043" customFormat="1" x14ac:dyDescent="0.2"/>
    <row r="5516" s="2043" customFormat="1" x14ac:dyDescent="0.2"/>
    <row r="5517" s="2043" customFormat="1" x14ac:dyDescent="0.2"/>
    <row r="5518" s="2043" customFormat="1" x14ac:dyDescent="0.2"/>
    <row r="5519" s="2043" customFormat="1" x14ac:dyDescent="0.2"/>
    <row r="5520" s="2043" customFormat="1" x14ac:dyDescent="0.2"/>
    <row r="5521" s="2043" customFormat="1" x14ac:dyDescent="0.2"/>
    <row r="5522" s="2043" customFormat="1" x14ac:dyDescent="0.2"/>
    <row r="5523" s="2043" customFormat="1" x14ac:dyDescent="0.2"/>
    <row r="5524" s="2043" customFormat="1" x14ac:dyDescent="0.2"/>
    <row r="5525" s="2043" customFormat="1" x14ac:dyDescent="0.2"/>
    <row r="5526" s="2043" customFormat="1" x14ac:dyDescent="0.2"/>
    <row r="5527" s="2043" customFormat="1" x14ac:dyDescent="0.2"/>
    <row r="5528" s="2043" customFormat="1" x14ac:dyDescent="0.2"/>
    <row r="5529" s="2043" customFormat="1" x14ac:dyDescent="0.2"/>
    <row r="5530" s="2043" customFormat="1" x14ac:dyDescent="0.2"/>
    <row r="5531" s="2043" customFormat="1" x14ac:dyDescent="0.2"/>
    <row r="5532" s="2043" customFormat="1" x14ac:dyDescent="0.2"/>
    <row r="5533" s="2043" customFormat="1" x14ac:dyDescent="0.2"/>
    <row r="5534" s="2043" customFormat="1" x14ac:dyDescent="0.2"/>
    <row r="5535" s="2043" customFormat="1" x14ac:dyDescent="0.2"/>
    <row r="5536" s="2043" customFormat="1" x14ac:dyDescent="0.2"/>
    <row r="5537" s="2043" customFormat="1" x14ac:dyDescent="0.2"/>
    <row r="5538" s="2043" customFormat="1" x14ac:dyDescent="0.2"/>
    <row r="5539" s="2043" customFormat="1" x14ac:dyDescent="0.2"/>
    <row r="5540" s="2043" customFormat="1" x14ac:dyDescent="0.2"/>
    <row r="5541" s="2043" customFormat="1" x14ac:dyDescent="0.2"/>
    <row r="5542" s="2043" customFormat="1" x14ac:dyDescent="0.2"/>
    <row r="5543" s="2043" customFormat="1" x14ac:dyDescent="0.2"/>
    <row r="5544" s="2043" customFormat="1" x14ac:dyDescent="0.2"/>
    <row r="5545" s="2043" customFormat="1" x14ac:dyDescent="0.2"/>
    <row r="5546" s="2043" customFormat="1" x14ac:dyDescent="0.2"/>
    <row r="5547" s="2043" customFormat="1" x14ac:dyDescent="0.2"/>
    <row r="5548" s="2043" customFormat="1" x14ac:dyDescent="0.2"/>
    <row r="5549" s="2043" customFormat="1" x14ac:dyDescent="0.2"/>
    <row r="5550" s="2043" customFormat="1" x14ac:dyDescent="0.2"/>
    <row r="5551" s="2043" customFormat="1" x14ac:dyDescent="0.2"/>
    <row r="5552" s="2043" customFormat="1" x14ac:dyDescent="0.2"/>
    <row r="5553" s="2043" customFormat="1" x14ac:dyDescent="0.2"/>
    <row r="5554" s="2043" customFormat="1" x14ac:dyDescent="0.2"/>
    <row r="5555" s="2043" customFormat="1" x14ac:dyDescent="0.2"/>
    <row r="5556" s="2043" customFormat="1" x14ac:dyDescent="0.2"/>
    <row r="5557" s="2043" customFormat="1" x14ac:dyDescent="0.2"/>
    <row r="5558" s="2043" customFormat="1" x14ac:dyDescent="0.2"/>
    <row r="5559" s="2043" customFormat="1" x14ac:dyDescent="0.2"/>
    <row r="5560" s="2043" customFormat="1" x14ac:dyDescent="0.2"/>
    <row r="5561" s="2043" customFormat="1" x14ac:dyDescent="0.2"/>
    <row r="5562" s="2043" customFormat="1" x14ac:dyDescent="0.2"/>
    <row r="5563" s="2043" customFormat="1" x14ac:dyDescent="0.2"/>
    <row r="5564" s="2043" customFormat="1" x14ac:dyDescent="0.2"/>
    <row r="5565" s="2043" customFormat="1" x14ac:dyDescent="0.2"/>
    <row r="5566" s="2043" customFormat="1" x14ac:dyDescent="0.2"/>
    <row r="5567" s="2043" customFormat="1" x14ac:dyDescent="0.2"/>
    <row r="5568" s="2043" customFormat="1" x14ac:dyDescent="0.2"/>
    <row r="5569" s="2043" customFormat="1" x14ac:dyDescent="0.2"/>
    <row r="5570" s="2043" customFormat="1" x14ac:dyDescent="0.2"/>
    <row r="5571" s="2043" customFormat="1" x14ac:dyDescent="0.2"/>
    <row r="5572" s="2043" customFormat="1" x14ac:dyDescent="0.2"/>
    <row r="5573" s="2043" customFormat="1" x14ac:dyDescent="0.2"/>
    <row r="5574" s="2043" customFormat="1" x14ac:dyDescent="0.2"/>
    <row r="5575" s="2043" customFormat="1" x14ac:dyDescent="0.2"/>
    <row r="5576" s="2043" customFormat="1" x14ac:dyDescent="0.2"/>
    <row r="5577" s="2043" customFormat="1" x14ac:dyDescent="0.2"/>
    <row r="5578" s="2043" customFormat="1" x14ac:dyDescent="0.2"/>
    <row r="5579" s="2043" customFormat="1" x14ac:dyDescent="0.2"/>
    <row r="5580" s="2043" customFormat="1" x14ac:dyDescent="0.2"/>
    <row r="5581" s="2043" customFormat="1" x14ac:dyDescent="0.2"/>
    <row r="5582" s="2043" customFormat="1" x14ac:dyDescent="0.2"/>
    <row r="5583" s="2043" customFormat="1" x14ac:dyDescent="0.2"/>
    <row r="5584" s="2043" customFormat="1" x14ac:dyDescent="0.2"/>
    <row r="5585" s="2043" customFormat="1" x14ac:dyDescent="0.2"/>
    <row r="5586" s="2043" customFormat="1" x14ac:dyDescent="0.2"/>
    <row r="5587" s="2043" customFormat="1" x14ac:dyDescent="0.2"/>
    <row r="5588" s="2043" customFormat="1" x14ac:dyDescent="0.2"/>
    <row r="5589" s="2043" customFormat="1" x14ac:dyDescent="0.2"/>
    <row r="5590" s="2043" customFormat="1" x14ac:dyDescent="0.2"/>
    <row r="5591" s="2043" customFormat="1" x14ac:dyDescent="0.2"/>
    <row r="5592" s="2043" customFormat="1" x14ac:dyDescent="0.2"/>
    <row r="5593" s="2043" customFormat="1" x14ac:dyDescent="0.2"/>
    <row r="5594" s="2043" customFormat="1" x14ac:dyDescent="0.2"/>
    <row r="5595" s="2043" customFormat="1" x14ac:dyDescent="0.2"/>
    <row r="5596" s="2043" customFormat="1" x14ac:dyDescent="0.2"/>
    <row r="5597" s="2043" customFormat="1" x14ac:dyDescent="0.2"/>
    <row r="5598" s="2043" customFormat="1" x14ac:dyDescent="0.2"/>
    <row r="5599" s="2043" customFormat="1" x14ac:dyDescent="0.2"/>
    <row r="5600" s="2043" customFormat="1" x14ac:dyDescent="0.2"/>
    <row r="5601" s="2043" customFormat="1" x14ac:dyDescent="0.2"/>
    <row r="5602" s="2043" customFormat="1" x14ac:dyDescent="0.2"/>
    <row r="5603" s="2043" customFormat="1" x14ac:dyDescent="0.2"/>
    <row r="5604" s="2043" customFormat="1" x14ac:dyDescent="0.2"/>
    <row r="5605" s="2043" customFormat="1" x14ac:dyDescent="0.2"/>
    <row r="5606" s="2043" customFormat="1" x14ac:dyDescent="0.2"/>
    <row r="5607" s="2043" customFormat="1" x14ac:dyDescent="0.2"/>
    <row r="5608" s="2043" customFormat="1" x14ac:dyDescent="0.2"/>
    <row r="5609" s="2043" customFormat="1" x14ac:dyDescent="0.2"/>
    <row r="5610" s="2043" customFormat="1" x14ac:dyDescent="0.2"/>
    <row r="5611" s="2043" customFormat="1" x14ac:dyDescent="0.2"/>
    <row r="5612" s="2043" customFormat="1" x14ac:dyDescent="0.2"/>
    <row r="5613" s="2043" customFormat="1" x14ac:dyDescent="0.2"/>
    <row r="5614" s="2043" customFormat="1" x14ac:dyDescent="0.2"/>
    <row r="5615" s="2043" customFormat="1" x14ac:dyDescent="0.2"/>
    <row r="5616" s="2043" customFormat="1" x14ac:dyDescent="0.2"/>
    <row r="5617" s="2043" customFormat="1" x14ac:dyDescent="0.2"/>
    <row r="5618" s="2043" customFormat="1" x14ac:dyDescent="0.2"/>
    <row r="5619" s="2043" customFormat="1" x14ac:dyDescent="0.2"/>
    <row r="5620" s="2043" customFormat="1" x14ac:dyDescent="0.2"/>
    <row r="5621" s="2043" customFormat="1" x14ac:dyDescent="0.2"/>
    <row r="5622" s="2043" customFormat="1" x14ac:dyDescent="0.2"/>
    <row r="5623" s="2043" customFormat="1" x14ac:dyDescent="0.2"/>
    <row r="5624" s="2043" customFormat="1" x14ac:dyDescent="0.2"/>
    <row r="5625" s="2043" customFormat="1" x14ac:dyDescent="0.2"/>
    <row r="5626" s="2043" customFormat="1" x14ac:dyDescent="0.2"/>
    <row r="5627" s="2043" customFormat="1" x14ac:dyDescent="0.2"/>
    <row r="5628" s="2043" customFormat="1" x14ac:dyDescent="0.2"/>
    <row r="5629" s="2043" customFormat="1" x14ac:dyDescent="0.2"/>
    <row r="5630" s="2043" customFormat="1" x14ac:dyDescent="0.2"/>
    <row r="5631" s="2043" customFormat="1" x14ac:dyDescent="0.2"/>
    <row r="5632" s="2043" customFormat="1" x14ac:dyDescent="0.2"/>
    <row r="5633" s="2043" customFormat="1" x14ac:dyDescent="0.2"/>
    <row r="5634" s="2043" customFormat="1" x14ac:dyDescent="0.2"/>
    <row r="5635" s="2043" customFormat="1" x14ac:dyDescent="0.2"/>
    <row r="5636" s="2043" customFormat="1" x14ac:dyDescent="0.2"/>
    <row r="5637" s="2043" customFormat="1" x14ac:dyDescent="0.2"/>
    <row r="5638" s="2043" customFormat="1" x14ac:dyDescent="0.2"/>
    <row r="5639" s="2043" customFormat="1" x14ac:dyDescent="0.2"/>
    <row r="5640" s="2043" customFormat="1" x14ac:dyDescent="0.2"/>
    <row r="5641" s="2043" customFormat="1" x14ac:dyDescent="0.2"/>
    <row r="5642" s="2043" customFormat="1" x14ac:dyDescent="0.2"/>
    <row r="5643" s="2043" customFormat="1" x14ac:dyDescent="0.2"/>
    <row r="5644" s="2043" customFormat="1" x14ac:dyDescent="0.2"/>
    <row r="5645" s="2043" customFormat="1" x14ac:dyDescent="0.2"/>
    <row r="5646" s="2043" customFormat="1" x14ac:dyDescent="0.2"/>
    <row r="5647" s="2043" customFormat="1" x14ac:dyDescent="0.2"/>
    <row r="5648" s="2043" customFormat="1" x14ac:dyDescent="0.2"/>
    <row r="5649" s="2043" customFormat="1" x14ac:dyDescent="0.2"/>
    <row r="5650" s="2043" customFormat="1" x14ac:dyDescent="0.2"/>
    <row r="5651" s="2043" customFormat="1" x14ac:dyDescent="0.2"/>
    <row r="5652" s="2043" customFormat="1" x14ac:dyDescent="0.2"/>
    <row r="5653" s="2043" customFormat="1" x14ac:dyDescent="0.2"/>
    <row r="5654" s="2043" customFormat="1" x14ac:dyDescent="0.2"/>
    <row r="5655" s="2043" customFormat="1" x14ac:dyDescent="0.2"/>
    <row r="5656" s="2043" customFormat="1" x14ac:dyDescent="0.2"/>
    <row r="5657" s="2043" customFormat="1" x14ac:dyDescent="0.2"/>
    <row r="5658" s="2043" customFormat="1" x14ac:dyDescent="0.2"/>
    <row r="5659" s="2043" customFormat="1" x14ac:dyDescent="0.2"/>
    <row r="5660" s="2043" customFormat="1" x14ac:dyDescent="0.2"/>
    <row r="5661" s="2043" customFormat="1" x14ac:dyDescent="0.2"/>
    <row r="5662" s="2043" customFormat="1" x14ac:dyDescent="0.2"/>
    <row r="5663" s="2043" customFormat="1" x14ac:dyDescent="0.2"/>
    <row r="5664" s="2043" customFormat="1" x14ac:dyDescent="0.2"/>
    <row r="5665" s="2043" customFormat="1" x14ac:dyDescent="0.2"/>
    <row r="5666" s="2043" customFormat="1" x14ac:dyDescent="0.2"/>
    <row r="5667" s="2043" customFormat="1" x14ac:dyDescent="0.2"/>
    <row r="5668" s="2043" customFormat="1" x14ac:dyDescent="0.2"/>
    <row r="5669" s="2043" customFormat="1" x14ac:dyDescent="0.2"/>
    <row r="5670" s="2043" customFormat="1" x14ac:dyDescent="0.2"/>
    <row r="5671" s="2043" customFormat="1" x14ac:dyDescent="0.2"/>
    <row r="5672" s="2043" customFormat="1" x14ac:dyDescent="0.2"/>
    <row r="5673" s="2043" customFormat="1" x14ac:dyDescent="0.2"/>
    <row r="5674" s="2043" customFormat="1" x14ac:dyDescent="0.2"/>
    <row r="5675" s="2043" customFormat="1" x14ac:dyDescent="0.2"/>
    <row r="5676" s="2043" customFormat="1" x14ac:dyDescent="0.2"/>
    <row r="5677" s="2043" customFormat="1" x14ac:dyDescent="0.2"/>
    <row r="5678" s="2043" customFormat="1" x14ac:dyDescent="0.2"/>
    <row r="5679" s="2043" customFormat="1" x14ac:dyDescent="0.2"/>
    <row r="5680" s="2043" customFormat="1" x14ac:dyDescent="0.2"/>
    <row r="5681" s="2043" customFormat="1" x14ac:dyDescent="0.2"/>
    <row r="5682" s="2043" customFormat="1" x14ac:dyDescent="0.2"/>
    <row r="5683" s="2043" customFormat="1" x14ac:dyDescent="0.2"/>
    <row r="5684" s="2043" customFormat="1" x14ac:dyDescent="0.2"/>
    <row r="5685" s="2043" customFormat="1" x14ac:dyDescent="0.2"/>
    <row r="5686" s="2043" customFormat="1" x14ac:dyDescent="0.2"/>
    <row r="5687" s="2043" customFormat="1" x14ac:dyDescent="0.2"/>
    <row r="5688" s="2043" customFormat="1" x14ac:dyDescent="0.2"/>
    <row r="5689" s="2043" customFormat="1" x14ac:dyDescent="0.2"/>
    <row r="5690" s="2043" customFormat="1" x14ac:dyDescent="0.2"/>
    <row r="5691" s="2043" customFormat="1" x14ac:dyDescent="0.2"/>
    <row r="5692" s="2043" customFormat="1" x14ac:dyDescent="0.2"/>
    <row r="5693" s="2043" customFormat="1" x14ac:dyDescent="0.2"/>
    <row r="5694" s="2043" customFormat="1" x14ac:dyDescent="0.2"/>
    <row r="5695" s="2043" customFormat="1" x14ac:dyDescent="0.2"/>
    <row r="5696" s="2043" customFormat="1" x14ac:dyDescent="0.2"/>
    <row r="5697" s="2043" customFormat="1" x14ac:dyDescent="0.2"/>
    <row r="5698" s="2043" customFormat="1" x14ac:dyDescent="0.2"/>
    <row r="5699" s="2043" customFormat="1" x14ac:dyDescent="0.2"/>
    <row r="5700" s="2043" customFormat="1" x14ac:dyDescent="0.2"/>
    <row r="5701" s="2043" customFormat="1" x14ac:dyDescent="0.2"/>
    <row r="5702" s="2043" customFormat="1" x14ac:dyDescent="0.2"/>
    <row r="5703" s="2043" customFormat="1" x14ac:dyDescent="0.2"/>
    <row r="5704" s="2043" customFormat="1" x14ac:dyDescent="0.2"/>
    <row r="5705" s="2043" customFormat="1" x14ac:dyDescent="0.2"/>
    <row r="5706" s="2043" customFormat="1" x14ac:dyDescent="0.2"/>
    <row r="5707" s="2043" customFormat="1" x14ac:dyDescent="0.2"/>
    <row r="5708" s="2043" customFormat="1" x14ac:dyDescent="0.2"/>
    <row r="5709" s="2043" customFormat="1" x14ac:dyDescent="0.2"/>
    <row r="5710" s="2043" customFormat="1" x14ac:dyDescent="0.2"/>
    <row r="5711" s="2043" customFormat="1" x14ac:dyDescent="0.2"/>
    <row r="5712" s="2043" customFormat="1" x14ac:dyDescent="0.2"/>
    <row r="5713" s="2043" customFormat="1" x14ac:dyDescent="0.2"/>
    <row r="5714" s="2043" customFormat="1" x14ac:dyDescent="0.2"/>
    <row r="5715" s="2043" customFormat="1" x14ac:dyDescent="0.2"/>
    <row r="5716" s="2043" customFormat="1" x14ac:dyDescent="0.2"/>
    <row r="5717" s="2043" customFormat="1" x14ac:dyDescent="0.2"/>
    <row r="5718" s="2043" customFormat="1" x14ac:dyDescent="0.2"/>
    <row r="5719" s="2043" customFormat="1" x14ac:dyDescent="0.2"/>
    <row r="5720" s="2043" customFormat="1" x14ac:dyDescent="0.2"/>
    <row r="5721" s="2043" customFormat="1" x14ac:dyDescent="0.2"/>
    <row r="5722" s="2043" customFormat="1" x14ac:dyDescent="0.2"/>
    <row r="5723" s="2043" customFormat="1" x14ac:dyDescent="0.2"/>
    <row r="5724" s="2043" customFormat="1" x14ac:dyDescent="0.2"/>
    <row r="5725" s="2043" customFormat="1" x14ac:dyDescent="0.2"/>
    <row r="5726" s="2043" customFormat="1" x14ac:dyDescent="0.2"/>
    <row r="5727" s="2043" customFormat="1" x14ac:dyDescent="0.2"/>
    <row r="5728" s="2043" customFormat="1" x14ac:dyDescent="0.2"/>
    <row r="5729" s="2043" customFormat="1" x14ac:dyDescent="0.2"/>
    <row r="5730" s="2043" customFormat="1" x14ac:dyDescent="0.2"/>
    <row r="5731" s="2043" customFormat="1" x14ac:dyDescent="0.2"/>
    <row r="5732" s="2043" customFormat="1" x14ac:dyDescent="0.2"/>
    <row r="5733" s="2043" customFormat="1" x14ac:dyDescent="0.2"/>
    <row r="5734" s="2043" customFormat="1" x14ac:dyDescent="0.2"/>
    <row r="5735" s="2043" customFormat="1" x14ac:dyDescent="0.2"/>
    <row r="5736" s="2043" customFormat="1" x14ac:dyDescent="0.2"/>
    <row r="5737" s="2043" customFormat="1" x14ac:dyDescent="0.2"/>
    <row r="5738" s="2043" customFormat="1" x14ac:dyDescent="0.2"/>
    <row r="5739" s="2043" customFormat="1" x14ac:dyDescent="0.2"/>
    <row r="5740" s="2043" customFormat="1" x14ac:dyDescent="0.2"/>
    <row r="5741" s="2043" customFormat="1" x14ac:dyDescent="0.2"/>
    <row r="5742" s="2043" customFormat="1" x14ac:dyDescent="0.2"/>
    <row r="5743" s="2043" customFormat="1" x14ac:dyDescent="0.2"/>
    <row r="5744" s="2043" customFormat="1" x14ac:dyDescent="0.2"/>
    <row r="5745" s="2043" customFormat="1" x14ac:dyDescent="0.2"/>
    <row r="5746" s="2043" customFormat="1" x14ac:dyDescent="0.2"/>
    <row r="5747" s="2043" customFormat="1" x14ac:dyDescent="0.2"/>
    <row r="5748" s="2043" customFormat="1" x14ac:dyDescent="0.2"/>
    <row r="5749" s="2043" customFormat="1" x14ac:dyDescent="0.2"/>
    <row r="5750" s="2043" customFormat="1" x14ac:dyDescent="0.2"/>
    <row r="5751" s="2043" customFormat="1" x14ac:dyDescent="0.2"/>
    <row r="5752" s="2043" customFormat="1" x14ac:dyDescent="0.2"/>
    <row r="5753" s="2043" customFormat="1" x14ac:dyDescent="0.2"/>
    <row r="5754" s="2043" customFormat="1" x14ac:dyDescent="0.2"/>
    <row r="5755" s="2043" customFormat="1" x14ac:dyDescent="0.2"/>
    <row r="5756" s="2043" customFormat="1" x14ac:dyDescent="0.2"/>
    <row r="5757" s="2043" customFormat="1" x14ac:dyDescent="0.2"/>
    <row r="5758" s="2043" customFormat="1" x14ac:dyDescent="0.2"/>
    <row r="5759" s="2043" customFormat="1" x14ac:dyDescent="0.2"/>
    <row r="5760" s="2043" customFormat="1" x14ac:dyDescent="0.2"/>
    <row r="5761" s="2043" customFormat="1" x14ac:dyDescent="0.2"/>
    <row r="5762" s="2043" customFormat="1" x14ac:dyDescent="0.2"/>
    <row r="5763" s="2043" customFormat="1" x14ac:dyDescent="0.2"/>
    <row r="5764" s="2043" customFormat="1" x14ac:dyDescent="0.2"/>
    <row r="5765" s="2043" customFormat="1" x14ac:dyDescent="0.2"/>
    <row r="5766" s="2043" customFormat="1" x14ac:dyDescent="0.2"/>
    <row r="5767" s="2043" customFormat="1" x14ac:dyDescent="0.2"/>
    <row r="5768" s="2043" customFormat="1" x14ac:dyDescent="0.2"/>
    <row r="5769" s="2043" customFormat="1" x14ac:dyDescent="0.2"/>
    <row r="5770" s="2043" customFormat="1" x14ac:dyDescent="0.2"/>
    <row r="5771" s="2043" customFormat="1" x14ac:dyDescent="0.2"/>
    <row r="5772" s="2043" customFormat="1" x14ac:dyDescent="0.2"/>
    <row r="5773" s="2043" customFormat="1" x14ac:dyDescent="0.2"/>
    <row r="5774" s="2043" customFormat="1" x14ac:dyDescent="0.2"/>
    <row r="5775" s="2043" customFormat="1" x14ac:dyDescent="0.2"/>
    <row r="5776" s="2043" customFormat="1" x14ac:dyDescent="0.2"/>
    <row r="5777" s="2043" customFormat="1" x14ac:dyDescent="0.2"/>
    <row r="5778" s="2043" customFormat="1" x14ac:dyDescent="0.2"/>
    <row r="5779" s="2043" customFormat="1" x14ac:dyDescent="0.2"/>
    <row r="5780" s="2043" customFormat="1" x14ac:dyDescent="0.2"/>
    <row r="5781" s="2043" customFormat="1" x14ac:dyDescent="0.2"/>
    <row r="5782" s="2043" customFormat="1" x14ac:dyDescent="0.2"/>
    <row r="5783" s="2043" customFormat="1" x14ac:dyDescent="0.2"/>
    <row r="5784" s="2043" customFormat="1" x14ac:dyDescent="0.2"/>
    <row r="5785" s="2043" customFormat="1" x14ac:dyDescent="0.2"/>
    <row r="5786" s="2043" customFormat="1" x14ac:dyDescent="0.2"/>
    <row r="5787" s="2043" customFormat="1" x14ac:dyDescent="0.2"/>
    <row r="5788" s="2043" customFormat="1" x14ac:dyDescent="0.2"/>
    <row r="5789" s="2043" customFormat="1" x14ac:dyDescent="0.2"/>
    <row r="5790" s="2043" customFormat="1" x14ac:dyDescent="0.2"/>
    <row r="5791" s="2043" customFormat="1" x14ac:dyDescent="0.2"/>
    <row r="5792" s="2043" customFormat="1" x14ac:dyDescent="0.2"/>
    <row r="5793" s="2043" customFormat="1" x14ac:dyDescent="0.2"/>
    <row r="5794" s="2043" customFormat="1" x14ac:dyDescent="0.2"/>
    <row r="5795" s="2043" customFormat="1" x14ac:dyDescent="0.2"/>
    <row r="5796" s="2043" customFormat="1" x14ac:dyDescent="0.2"/>
    <row r="5797" s="2043" customFormat="1" x14ac:dyDescent="0.2"/>
    <row r="5798" s="2043" customFormat="1" x14ac:dyDescent="0.2"/>
    <row r="5799" s="2043" customFormat="1" x14ac:dyDescent="0.2"/>
    <row r="5800" s="2043" customFormat="1" x14ac:dyDescent="0.2"/>
    <row r="5801" s="2043" customFormat="1" x14ac:dyDescent="0.2"/>
    <row r="5802" s="2043" customFormat="1" x14ac:dyDescent="0.2"/>
    <row r="5803" s="2043" customFormat="1" x14ac:dyDescent="0.2"/>
    <row r="5804" s="2043" customFormat="1" x14ac:dyDescent="0.2"/>
    <row r="5805" s="2043" customFormat="1" x14ac:dyDescent="0.2"/>
    <row r="5806" s="2043" customFormat="1" x14ac:dyDescent="0.2"/>
    <row r="5807" s="2043" customFormat="1" x14ac:dyDescent="0.2"/>
    <row r="5808" s="2043" customFormat="1" x14ac:dyDescent="0.2"/>
    <row r="5809" s="2043" customFormat="1" x14ac:dyDescent="0.2"/>
    <row r="5810" s="2043" customFormat="1" x14ac:dyDescent="0.2"/>
    <row r="5811" s="2043" customFormat="1" x14ac:dyDescent="0.2"/>
    <row r="5812" s="2043" customFormat="1" x14ac:dyDescent="0.2"/>
    <row r="5813" s="2043" customFormat="1" x14ac:dyDescent="0.2"/>
    <row r="5814" s="2043" customFormat="1" x14ac:dyDescent="0.2"/>
    <row r="5815" s="2043" customFormat="1" x14ac:dyDescent="0.2"/>
    <row r="5816" s="2043" customFormat="1" x14ac:dyDescent="0.2"/>
    <row r="5817" s="2043" customFormat="1" x14ac:dyDescent="0.2"/>
    <row r="5818" s="2043" customFormat="1" x14ac:dyDescent="0.2"/>
    <row r="5819" s="2043" customFormat="1" x14ac:dyDescent="0.2"/>
    <row r="5820" s="2043" customFormat="1" x14ac:dyDescent="0.2"/>
    <row r="5821" s="2043" customFormat="1" x14ac:dyDescent="0.2"/>
    <row r="5822" s="2043" customFormat="1" x14ac:dyDescent="0.2"/>
    <row r="5823" s="2043" customFormat="1" x14ac:dyDescent="0.2"/>
    <row r="5824" s="2043" customFormat="1" x14ac:dyDescent="0.2"/>
    <row r="5825" s="2043" customFormat="1" x14ac:dyDescent="0.2"/>
    <row r="5826" s="2043" customFormat="1" x14ac:dyDescent="0.2"/>
    <row r="5827" s="2043" customFormat="1" x14ac:dyDescent="0.2"/>
    <row r="5828" s="2043" customFormat="1" x14ac:dyDescent="0.2"/>
    <row r="5829" s="2043" customFormat="1" x14ac:dyDescent="0.2"/>
    <row r="5830" s="2043" customFormat="1" x14ac:dyDescent="0.2"/>
    <row r="5831" s="2043" customFormat="1" x14ac:dyDescent="0.2"/>
    <row r="5832" s="2043" customFormat="1" x14ac:dyDescent="0.2"/>
    <row r="5833" s="2043" customFormat="1" x14ac:dyDescent="0.2"/>
    <row r="5834" s="2043" customFormat="1" x14ac:dyDescent="0.2"/>
    <row r="5835" s="2043" customFormat="1" x14ac:dyDescent="0.2"/>
    <row r="5836" s="2043" customFormat="1" x14ac:dyDescent="0.2"/>
    <row r="5837" s="2043" customFormat="1" x14ac:dyDescent="0.2"/>
    <row r="5838" s="2043" customFormat="1" x14ac:dyDescent="0.2"/>
    <row r="5839" s="2043" customFormat="1" x14ac:dyDescent="0.2"/>
    <row r="5840" s="2043" customFormat="1" x14ac:dyDescent="0.2"/>
    <row r="5841" s="2043" customFormat="1" x14ac:dyDescent="0.2"/>
    <row r="5842" s="2043" customFormat="1" x14ac:dyDescent="0.2"/>
    <row r="5843" s="2043" customFormat="1" x14ac:dyDescent="0.2"/>
    <row r="5844" s="2043" customFormat="1" x14ac:dyDescent="0.2"/>
    <row r="5845" s="2043" customFormat="1" x14ac:dyDescent="0.2"/>
    <row r="5846" s="2043" customFormat="1" x14ac:dyDescent="0.2"/>
    <row r="5847" s="2043" customFormat="1" x14ac:dyDescent="0.2"/>
    <row r="5848" s="2043" customFormat="1" x14ac:dyDescent="0.2"/>
    <row r="5849" s="2043" customFormat="1" x14ac:dyDescent="0.2"/>
    <row r="5850" s="2043" customFormat="1" x14ac:dyDescent="0.2"/>
    <row r="5851" s="2043" customFormat="1" x14ac:dyDescent="0.2"/>
    <row r="5852" s="2043" customFormat="1" x14ac:dyDescent="0.2"/>
    <row r="5853" s="2043" customFormat="1" x14ac:dyDescent="0.2"/>
    <row r="5854" s="2043" customFormat="1" x14ac:dyDescent="0.2"/>
    <row r="5855" s="2043" customFormat="1" x14ac:dyDescent="0.2"/>
    <row r="5856" s="2043" customFormat="1" x14ac:dyDescent="0.2"/>
    <row r="5857" s="2043" customFormat="1" x14ac:dyDescent="0.2"/>
    <row r="5858" s="2043" customFormat="1" x14ac:dyDescent="0.2"/>
    <row r="5859" s="2043" customFormat="1" x14ac:dyDescent="0.2"/>
    <row r="5860" s="2043" customFormat="1" x14ac:dyDescent="0.2"/>
    <row r="5861" s="2043" customFormat="1" x14ac:dyDescent="0.2"/>
    <row r="5862" s="2043" customFormat="1" x14ac:dyDescent="0.2"/>
    <row r="5863" s="2043" customFormat="1" x14ac:dyDescent="0.2"/>
    <row r="5864" s="2043" customFormat="1" x14ac:dyDescent="0.2"/>
    <row r="5865" s="2043" customFormat="1" x14ac:dyDescent="0.2"/>
    <row r="5866" s="2043" customFormat="1" x14ac:dyDescent="0.2"/>
    <row r="5867" s="2043" customFormat="1" x14ac:dyDescent="0.2"/>
    <row r="5868" s="2043" customFormat="1" x14ac:dyDescent="0.2"/>
    <row r="5869" s="2043" customFormat="1" x14ac:dyDescent="0.2"/>
    <row r="5870" s="2043" customFormat="1" x14ac:dyDescent="0.2"/>
    <row r="5871" s="2043" customFormat="1" x14ac:dyDescent="0.2"/>
    <row r="5872" s="2043" customFormat="1" x14ac:dyDescent="0.2"/>
    <row r="5873" s="2043" customFormat="1" x14ac:dyDescent="0.2"/>
    <row r="5874" s="2043" customFormat="1" x14ac:dyDescent="0.2"/>
    <row r="5875" s="2043" customFormat="1" x14ac:dyDescent="0.2"/>
    <row r="5876" s="2043" customFormat="1" x14ac:dyDescent="0.2"/>
    <row r="5877" s="2043" customFormat="1" x14ac:dyDescent="0.2"/>
    <row r="5878" s="2043" customFormat="1" x14ac:dyDescent="0.2"/>
    <row r="5879" s="2043" customFormat="1" x14ac:dyDescent="0.2"/>
    <row r="5880" s="2043" customFormat="1" x14ac:dyDescent="0.2"/>
    <row r="5881" s="2043" customFormat="1" x14ac:dyDescent="0.2"/>
    <row r="5882" s="2043" customFormat="1" x14ac:dyDescent="0.2"/>
    <row r="5883" s="2043" customFormat="1" x14ac:dyDescent="0.2"/>
    <row r="5884" s="2043" customFormat="1" x14ac:dyDescent="0.2"/>
    <row r="5885" s="2043" customFormat="1" x14ac:dyDescent="0.2"/>
    <row r="5886" s="2043" customFormat="1" x14ac:dyDescent="0.2"/>
    <row r="5887" s="2043" customFormat="1" x14ac:dyDescent="0.2"/>
    <row r="5888" s="2043" customFormat="1" x14ac:dyDescent="0.2"/>
    <row r="5889" s="2043" customFormat="1" x14ac:dyDescent="0.2"/>
    <row r="5890" s="2043" customFormat="1" x14ac:dyDescent="0.2"/>
    <row r="5891" s="2043" customFormat="1" x14ac:dyDescent="0.2"/>
    <row r="5892" s="2043" customFormat="1" x14ac:dyDescent="0.2"/>
    <row r="5893" s="2043" customFormat="1" x14ac:dyDescent="0.2"/>
    <row r="5894" s="2043" customFormat="1" x14ac:dyDescent="0.2"/>
    <row r="5895" s="2043" customFormat="1" x14ac:dyDescent="0.2"/>
    <row r="5896" s="2043" customFormat="1" x14ac:dyDescent="0.2"/>
    <row r="5897" s="2043" customFormat="1" x14ac:dyDescent="0.2"/>
    <row r="5898" s="2043" customFormat="1" x14ac:dyDescent="0.2"/>
    <row r="5899" s="2043" customFormat="1" x14ac:dyDescent="0.2"/>
    <row r="5900" s="2043" customFormat="1" x14ac:dyDescent="0.2"/>
    <row r="5901" s="2043" customFormat="1" x14ac:dyDescent="0.2"/>
    <row r="5902" s="2043" customFormat="1" x14ac:dyDescent="0.2"/>
    <row r="5903" s="2043" customFormat="1" x14ac:dyDescent="0.2"/>
    <row r="5904" s="2043" customFormat="1" x14ac:dyDescent="0.2"/>
    <row r="5905" s="2043" customFormat="1" x14ac:dyDescent="0.2"/>
    <row r="5906" s="2043" customFormat="1" x14ac:dyDescent="0.2"/>
    <row r="5907" s="2043" customFormat="1" x14ac:dyDescent="0.2"/>
    <row r="5908" s="2043" customFormat="1" x14ac:dyDescent="0.2"/>
    <row r="5909" s="2043" customFormat="1" x14ac:dyDescent="0.2"/>
    <row r="5910" s="2043" customFormat="1" x14ac:dyDescent="0.2"/>
    <row r="5911" s="2043" customFormat="1" x14ac:dyDescent="0.2"/>
    <row r="5912" s="2043" customFormat="1" x14ac:dyDescent="0.2"/>
    <row r="5913" s="2043" customFormat="1" x14ac:dyDescent="0.2"/>
    <row r="5914" s="2043" customFormat="1" x14ac:dyDescent="0.2"/>
    <row r="5915" s="2043" customFormat="1" x14ac:dyDescent="0.2"/>
    <row r="5916" s="2043" customFormat="1" x14ac:dyDescent="0.2"/>
    <row r="5917" s="2043" customFormat="1" x14ac:dyDescent="0.2"/>
    <row r="5918" s="2043" customFormat="1" x14ac:dyDescent="0.2"/>
    <row r="5919" s="2043" customFormat="1" x14ac:dyDescent="0.2"/>
    <row r="5920" s="2043" customFormat="1" x14ac:dyDescent="0.2"/>
    <row r="5921" s="2043" customFormat="1" x14ac:dyDescent="0.2"/>
    <row r="5922" s="2043" customFormat="1" x14ac:dyDescent="0.2"/>
    <row r="5923" s="2043" customFormat="1" x14ac:dyDescent="0.2"/>
    <row r="5924" s="2043" customFormat="1" x14ac:dyDescent="0.2"/>
    <row r="5925" s="2043" customFormat="1" x14ac:dyDescent="0.2"/>
    <row r="5926" s="2043" customFormat="1" x14ac:dyDescent="0.2"/>
    <row r="5927" s="2043" customFormat="1" x14ac:dyDescent="0.2"/>
    <row r="5928" s="2043" customFormat="1" x14ac:dyDescent="0.2"/>
    <row r="5929" s="2043" customFormat="1" x14ac:dyDescent="0.2"/>
    <row r="5930" s="2043" customFormat="1" x14ac:dyDescent="0.2"/>
    <row r="5931" s="2043" customFormat="1" x14ac:dyDescent="0.2"/>
    <row r="5932" s="2043" customFormat="1" x14ac:dyDescent="0.2"/>
    <row r="5933" s="2043" customFormat="1" x14ac:dyDescent="0.2"/>
    <row r="5934" s="2043" customFormat="1" x14ac:dyDescent="0.2"/>
    <row r="5935" s="2043" customFormat="1" x14ac:dyDescent="0.2"/>
    <row r="5936" s="2043" customFormat="1" x14ac:dyDescent="0.2"/>
    <row r="5937" s="2043" customFormat="1" x14ac:dyDescent="0.2"/>
    <row r="5938" s="2043" customFormat="1" x14ac:dyDescent="0.2"/>
    <row r="5939" s="2043" customFormat="1" x14ac:dyDescent="0.2"/>
    <row r="5940" s="2043" customFormat="1" x14ac:dyDescent="0.2"/>
    <row r="5941" s="2043" customFormat="1" x14ac:dyDescent="0.2"/>
    <row r="5942" s="2043" customFormat="1" x14ac:dyDescent="0.2"/>
    <row r="5943" s="2043" customFormat="1" x14ac:dyDescent="0.2"/>
    <row r="5944" s="2043" customFormat="1" x14ac:dyDescent="0.2"/>
    <row r="5945" s="2043" customFormat="1" x14ac:dyDescent="0.2"/>
    <row r="5946" s="2043" customFormat="1" x14ac:dyDescent="0.2"/>
    <row r="5947" s="2043" customFormat="1" x14ac:dyDescent="0.2"/>
    <row r="5948" s="2043" customFormat="1" x14ac:dyDescent="0.2"/>
    <row r="5949" s="2043" customFormat="1" x14ac:dyDescent="0.2"/>
    <row r="5950" s="2043" customFormat="1" x14ac:dyDescent="0.2"/>
    <row r="5951" s="2043" customFormat="1" x14ac:dyDescent="0.2"/>
    <row r="5952" s="2043" customFormat="1" x14ac:dyDescent="0.2"/>
    <row r="5953" s="2043" customFormat="1" x14ac:dyDescent="0.2"/>
    <row r="5954" s="2043" customFormat="1" x14ac:dyDescent="0.2"/>
    <row r="5955" s="2043" customFormat="1" x14ac:dyDescent="0.2"/>
    <row r="5956" s="2043" customFormat="1" x14ac:dyDescent="0.2"/>
    <row r="5957" s="2043" customFormat="1" x14ac:dyDescent="0.2"/>
    <row r="5958" s="2043" customFormat="1" x14ac:dyDescent="0.2"/>
    <row r="5959" s="2043" customFormat="1" x14ac:dyDescent="0.2"/>
    <row r="5960" s="2043" customFormat="1" x14ac:dyDescent="0.2"/>
    <row r="5961" s="2043" customFormat="1" x14ac:dyDescent="0.2"/>
    <row r="5962" s="2043" customFormat="1" x14ac:dyDescent="0.2"/>
    <row r="5963" s="2043" customFormat="1" x14ac:dyDescent="0.2"/>
    <row r="5964" s="2043" customFormat="1" x14ac:dyDescent="0.2"/>
    <row r="5965" s="2043" customFormat="1" x14ac:dyDescent="0.2"/>
    <row r="5966" s="2043" customFormat="1" x14ac:dyDescent="0.2"/>
    <row r="5967" s="2043" customFormat="1" x14ac:dyDescent="0.2"/>
    <row r="5968" s="2043" customFormat="1" x14ac:dyDescent="0.2"/>
    <row r="5969" s="2043" customFormat="1" x14ac:dyDescent="0.2"/>
    <row r="5970" s="2043" customFormat="1" x14ac:dyDescent="0.2"/>
    <row r="5971" s="2043" customFormat="1" x14ac:dyDescent="0.2"/>
    <row r="5972" s="2043" customFormat="1" x14ac:dyDescent="0.2"/>
    <row r="5973" s="2043" customFormat="1" x14ac:dyDescent="0.2"/>
    <row r="5974" s="2043" customFormat="1" x14ac:dyDescent="0.2"/>
    <row r="5975" s="2043" customFormat="1" x14ac:dyDescent="0.2"/>
    <row r="5976" s="2043" customFormat="1" x14ac:dyDescent="0.2"/>
    <row r="5977" s="2043" customFormat="1" x14ac:dyDescent="0.2"/>
    <row r="5978" s="2043" customFormat="1" x14ac:dyDescent="0.2"/>
    <row r="5979" s="2043" customFormat="1" x14ac:dyDescent="0.2"/>
    <row r="5980" s="2043" customFormat="1" x14ac:dyDescent="0.2"/>
    <row r="5981" s="2043" customFormat="1" x14ac:dyDescent="0.2"/>
    <row r="5982" s="2043" customFormat="1" x14ac:dyDescent="0.2"/>
    <row r="5983" s="2043" customFormat="1" x14ac:dyDescent="0.2"/>
    <row r="5984" s="2043" customFormat="1" x14ac:dyDescent="0.2"/>
    <row r="5985" s="2043" customFormat="1" x14ac:dyDescent="0.2"/>
    <row r="5986" s="2043" customFormat="1" x14ac:dyDescent="0.2"/>
    <row r="5987" s="2043" customFormat="1" x14ac:dyDescent="0.2"/>
    <row r="5988" s="2043" customFormat="1" x14ac:dyDescent="0.2"/>
    <row r="5989" s="2043" customFormat="1" x14ac:dyDescent="0.2"/>
    <row r="5990" s="2043" customFormat="1" x14ac:dyDescent="0.2"/>
    <row r="5991" s="2043" customFormat="1" x14ac:dyDescent="0.2"/>
    <row r="5992" s="2043" customFormat="1" x14ac:dyDescent="0.2"/>
    <row r="5993" s="2043" customFormat="1" x14ac:dyDescent="0.2"/>
    <row r="5994" s="2043" customFormat="1" x14ac:dyDescent="0.2"/>
    <row r="5995" s="2043" customFormat="1" x14ac:dyDescent="0.2"/>
    <row r="5996" s="2043" customFormat="1" x14ac:dyDescent="0.2"/>
    <row r="5997" s="2043" customFormat="1" x14ac:dyDescent="0.2"/>
    <row r="5998" s="2043" customFormat="1" x14ac:dyDescent="0.2"/>
    <row r="5999" s="2043" customFormat="1" x14ac:dyDescent="0.2"/>
    <row r="6000" s="2043" customFormat="1" x14ac:dyDescent="0.2"/>
    <row r="6001" s="2043" customFormat="1" x14ac:dyDescent="0.2"/>
    <row r="6002" s="2043" customFormat="1" x14ac:dyDescent="0.2"/>
    <row r="6003" s="2043" customFormat="1" x14ac:dyDescent="0.2"/>
    <row r="6004" s="2043" customFormat="1" x14ac:dyDescent="0.2"/>
    <row r="6005" s="2043" customFormat="1" x14ac:dyDescent="0.2"/>
    <row r="6006" s="2043" customFormat="1" x14ac:dyDescent="0.2"/>
    <row r="6007" s="2043" customFormat="1" x14ac:dyDescent="0.2"/>
    <row r="6008" s="2043" customFormat="1" x14ac:dyDescent="0.2"/>
    <row r="6009" s="2043" customFormat="1" x14ac:dyDescent="0.2"/>
    <row r="6010" s="2043" customFormat="1" x14ac:dyDescent="0.2"/>
    <row r="6011" s="2043" customFormat="1" x14ac:dyDescent="0.2"/>
    <row r="6012" s="2043" customFormat="1" x14ac:dyDescent="0.2"/>
    <row r="6013" s="2043" customFormat="1" x14ac:dyDescent="0.2"/>
    <row r="6014" s="2043" customFormat="1" x14ac:dyDescent="0.2"/>
    <row r="6015" s="2043" customFormat="1" x14ac:dyDescent="0.2"/>
    <row r="6016" s="2043" customFormat="1" x14ac:dyDescent="0.2"/>
    <row r="6017" s="2043" customFormat="1" x14ac:dyDescent="0.2"/>
    <row r="6018" s="2043" customFormat="1" x14ac:dyDescent="0.2"/>
    <row r="6019" s="2043" customFormat="1" x14ac:dyDescent="0.2"/>
    <row r="6020" s="2043" customFormat="1" x14ac:dyDescent="0.2"/>
    <row r="6021" s="2043" customFormat="1" x14ac:dyDescent="0.2"/>
    <row r="6022" s="2043" customFormat="1" x14ac:dyDescent="0.2"/>
    <row r="6023" s="2043" customFormat="1" x14ac:dyDescent="0.2"/>
    <row r="6024" s="2043" customFormat="1" x14ac:dyDescent="0.2"/>
    <row r="6025" s="2043" customFormat="1" x14ac:dyDescent="0.2"/>
    <row r="6026" s="2043" customFormat="1" x14ac:dyDescent="0.2"/>
    <row r="6027" s="2043" customFormat="1" x14ac:dyDescent="0.2"/>
    <row r="6028" s="2043" customFormat="1" x14ac:dyDescent="0.2"/>
    <row r="6029" s="2043" customFormat="1" x14ac:dyDescent="0.2"/>
    <row r="6030" s="2043" customFormat="1" x14ac:dyDescent="0.2"/>
    <row r="6031" s="2043" customFormat="1" x14ac:dyDescent="0.2"/>
    <row r="6032" s="2043" customFormat="1" x14ac:dyDescent="0.2"/>
    <row r="6033" s="2043" customFormat="1" x14ac:dyDescent="0.2"/>
    <row r="6034" s="2043" customFormat="1" x14ac:dyDescent="0.2"/>
    <row r="6035" s="2043" customFormat="1" x14ac:dyDescent="0.2"/>
    <row r="6036" s="2043" customFormat="1" x14ac:dyDescent="0.2"/>
    <row r="6037" s="2043" customFormat="1" x14ac:dyDescent="0.2"/>
    <row r="6038" s="2043" customFormat="1" x14ac:dyDescent="0.2"/>
    <row r="6039" s="2043" customFormat="1" x14ac:dyDescent="0.2"/>
    <row r="6040" s="2043" customFormat="1" x14ac:dyDescent="0.2"/>
    <row r="6041" s="2043" customFormat="1" x14ac:dyDescent="0.2"/>
    <row r="6042" s="2043" customFormat="1" x14ac:dyDescent="0.2"/>
    <row r="6043" s="2043" customFormat="1" x14ac:dyDescent="0.2"/>
    <row r="6044" s="2043" customFormat="1" x14ac:dyDescent="0.2"/>
    <row r="6045" s="2043" customFormat="1" x14ac:dyDescent="0.2"/>
    <row r="6046" s="2043" customFormat="1" x14ac:dyDescent="0.2"/>
    <row r="6047" s="2043" customFormat="1" x14ac:dyDescent="0.2"/>
    <row r="6048" s="2043" customFormat="1" x14ac:dyDescent="0.2"/>
    <row r="6049" s="2043" customFormat="1" x14ac:dyDescent="0.2"/>
    <row r="6050" s="2043" customFormat="1" x14ac:dyDescent="0.2"/>
    <row r="6051" s="2043" customFormat="1" x14ac:dyDescent="0.2"/>
    <row r="6052" s="2043" customFormat="1" x14ac:dyDescent="0.2"/>
    <row r="6053" s="2043" customFormat="1" x14ac:dyDescent="0.2"/>
    <row r="6054" s="2043" customFormat="1" x14ac:dyDescent="0.2"/>
    <row r="6055" s="2043" customFormat="1" x14ac:dyDescent="0.2"/>
    <row r="6056" s="2043" customFormat="1" x14ac:dyDescent="0.2"/>
    <row r="6057" s="2043" customFormat="1" x14ac:dyDescent="0.2"/>
    <row r="6058" s="2043" customFormat="1" x14ac:dyDescent="0.2"/>
    <row r="6059" s="2043" customFormat="1" x14ac:dyDescent="0.2"/>
    <row r="6060" s="2043" customFormat="1" x14ac:dyDescent="0.2"/>
    <row r="6061" s="2043" customFormat="1" x14ac:dyDescent="0.2"/>
    <row r="6062" s="2043" customFormat="1" x14ac:dyDescent="0.2"/>
    <row r="6063" s="2043" customFormat="1" x14ac:dyDescent="0.2"/>
    <row r="6064" s="2043" customFormat="1" x14ac:dyDescent="0.2"/>
    <row r="6065" s="2043" customFormat="1" x14ac:dyDescent="0.2"/>
    <row r="6066" s="2043" customFormat="1" x14ac:dyDescent="0.2"/>
    <row r="6067" s="2043" customFormat="1" x14ac:dyDescent="0.2"/>
    <row r="6068" s="2043" customFormat="1" x14ac:dyDescent="0.2"/>
    <row r="6069" s="2043" customFormat="1" x14ac:dyDescent="0.2"/>
    <row r="6070" s="2043" customFormat="1" x14ac:dyDescent="0.2"/>
    <row r="6071" s="2043" customFormat="1" x14ac:dyDescent="0.2"/>
    <row r="6072" s="2043" customFormat="1" x14ac:dyDescent="0.2"/>
    <row r="6073" s="2043" customFormat="1" x14ac:dyDescent="0.2"/>
    <row r="6074" s="2043" customFormat="1" x14ac:dyDescent="0.2"/>
    <row r="6075" s="2043" customFormat="1" x14ac:dyDescent="0.2"/>
    <row r="6076" s="2043" customFormat="1" x14ac:dyDescent="0.2"/>
    <row r="6077" s="2043" customFormat="1" x14ac:dyDescent="0.2"/>
    <row r="6078" s="2043" customFormat="1" x14ac:dyDescent="0.2"/>
    <row r="6079" s="2043" customFormat="1" x14ac:dyDescent="0.2"/>
    <row r="6080" s="2043" customFormat="1" x14ac:dyDescent="0.2"/>
    <row r="6081" s="2043" customFormat="1" x14ac:dyDescent="0.2"/>
    <row r="6082" s="2043" customFormat="1" x14ac:dyDescent="0.2"/>
    <row r="6083" s="2043" customFormat="1" x14ac:dyDescent="0.2"/>
    <row r="6084" s="2043" customFormat="1" x14ac:dyDescent="0.2"/>
    <row r="6085" s="2043" customFormat="1" x14ac:dyDescent="0.2"/>
    <row r="6086" s="2043" customFormat="1" x14ac:dyDescent="0.2"/>
    <row r="6087" s="2043" customFormat="1" x14ac:dyDescent="0.2"/>
    <row r="6088" s="2043" customFormat="1" x14ac:dyDescent="0.2"/>
    <row r="6089" s="2043" customFormat="1" x14ac:dyDescent="0.2"/>
    <row r="6090" s="2043" customFormat="1" x14ac:dyDescent="0.2"/>
    <row r="6091" s="2043" customFormat="1" x14ac:dyDescent="0.2"/>
    <row r="6092" s="2043" customFormat="1" x14ac:dyDescent="0.2"/>
    <row r="6093" s="2043" customFormat="1" x14ac:dyDescent="0.2"/>
    <row r="6094" s="2043" customFormat="1" x14ac:dyDescent="0.2"/>
    <row r="6095" s="2043" customFormat="1" x14ac:dyDescent="0.2"/>
    <row r="6096" s="2043" customFormat="1" x14ac:dyDescent="0.2"/>
    <row r="6097" s="2043" customFormat="1" x14ac:dyDescent="0.2"/>
    <row r="6098" s="2043" customFormat="1" x14ac:dyDescent="0.2"/>
    <row r="6099" s="2043" customFormat="1" x14ac:dyDescent="0.2"/>
    <row r="6100" s="2043" customFormat="1" x14ac:dyDescent="0.2"/>
    <row r="6101" s="2043" customFormat="1" x14ac:dyDescent="0.2"/>
    <row r="6102" s="2043" customFormat="1" x14ac:dyDescent="0.2"/>
    <row r="6103" s="2043" customFormat="1" x14ac:dyDescent="0.2"/>
    <row r="6104" s="2043" customFormat="1" x14ac:dyDescent="0.2"/>
    <row r="6105" s="2043" customFormat="1" x14ac:dyDescent="0.2"/>
    <row r="6106" s="2043" customFormat="1" x14ac:dyDescent="0.2"/>
    <row r="6107" s="2043" customFormat="1" x14ac:dyDescent="0.2"/>
    <row r="6108" s="2043" customFormat="1" x14ac:dyDescent="0.2"/>
    <row r="6109" s="2043" customFormat="1" x14ac:dyDescent="0.2"/>
    <row r="6110" s="2043" customFormat="1" x14ac:dyDescent="0.2"/>
    <row r="6111" s="2043" customFormat="1" x14ac:dyDescent="0.2"/>
    <row r="6112" s="2043" customFormat="1" x14ac:dyDescent="0.2"/>
    <row r="6113" s="2043" customFormat="1" x14ac:dyDescent="0.2"/>
    <row r="6114" s="2043" customFormat="1" x14ac:dyDescent="0.2"/>
    <row r="6115" s="2043" customFormat="1" x14ac:dyDescent="0.2"/>
    <row r="6116" s="2043" customFormat="1" x14ac:dyDescent="0.2"/>
    <row r="6117" s="2043" customFormat="1" x14ac:dyDescent="0.2"/>
    <row r="6118" s="2043" customFormat="1" x14ac:dyDescent="0.2"/>
    <row r="6119" s="2043" customFormat="1" x14ac:dyDescent="0.2"/>
    <row r="6120" s="2043" customFormat="1" x14ac:dyDescent="0.2"/>
    <row r="6121" s="2043" customFormat="1" x14ac:dyDescent="0.2"/>
    <row r="6122" s="2043" customFormat="1" x14ac:dyDescent="0.2"/>
    <row r="6123" s="2043" customFormat="1" x14ac:dyDescent="0.2"/>
    <row r="6124" s="2043" customFormat="1" x14ac:dyDescent="0.2"/>
    <row r="6125" s="2043" customFormat="1" x14ac:dyDescent="0.2"/>
    <row r="6126" s="2043" customFormat="1" x14ac:dyDescent="0.2"/>
    <row r="6127" s="2043" customFormat="1" x14ac:dyDescent="0.2"/>
    <row r="6128" s="2043" customFormat="1" x14ac:dyDescent="0.2"/>
    <row r="6129" s="2043" customFormat="1" x14ac:dyDescent="0.2"/>
    <row r="6130" s="2043" customFormat="1" x14ac:dyDescent="0.2"/>
    <row r="6131" s="2043" customFormat="1" x14ac:dyDescent="0.2"/>
    <row r="6132" s="2043" customFormat="1" x14ac:dyDescent="0.2"/>
    <row r="6133" s="2043" customFormat="1" x14ac:dyDescent="0.2"/>
    <row r="6134" s="2043" customFormat="1" x14ac:dyDescent="0.2"/>
    <row r="6135" s="2043" customFormat="1" x14ac:dyDescent="0.2"/>
    <row r="6136" s="2043" customFormat="1" x14ac:dyDescent="0.2"/>
    <row r="6137" s="2043" customFormat="1" x14ac:dyDescent="0.2"/>
    <row r="6138" s="2043" customFormat="1" x14ac:dyDescent="0.2"/>
    <row r="6139" s="2043" customFormat="1" x14ac:dyDescent="0.2"/>
    <row r="6140" s="2043" customFormat="1" x14ac:dyDescent="0.2"/>
    <row r="6141" s="2043" customFormat="1" x14ac:dyDescent="0.2"/>
    <row r="6142" s="2043" customFormat="1" x14ac:dyDescent="0.2"/>
    <row r="6143" s="2043" customFormat="1" x14ac:dyDescent="0.2"/>
    <row r="6144" s="2043" customFormat="1" x14ac:dyDescent="0.2"/>
    <row r="6145" s="2043" customFormat="1" x14ac:dyDescent="0.2"/>
    <row r="6146" s="2043" customFormat="1" x14ac:dyDescent="0.2"/>
    <row r="6147" s="2043" customFormat="1" x14ac:dyDescent="0.2"/>
    <row r="6148" s="2043" customFormat="1" x14ac:dyDescent="0.2"/>
    <row r="6149" s="2043" customFormat="1" x14ac:dyDescent="0.2"/>
    <row r="6150" s="2043" customFormat="1" x14ac:dyDescent="0.2"/>
    <row r="6151" s="2043" customFormat="1" x14ac:dyDescent="0.2"/>
    <row r="6152" s="2043" customFormat="1" x14ac:dyDescent="0.2"/>
    <row r="6153" s="2043" customFormat="1" x14ac:dyDescent="0.2"/>
    <row r="6154" s="2043" customFormat="1" x14ac:dyDescent="0.2"/>
    <row r="6155" s="2043" customFormat="1" x14ac:dyDescent="0.2"/>
    <row r="6156" s="2043" customFormat="1" x14ac:dyDescent="0.2"/>
    <row r="6157" s="2043" customFormat="1" x14ac:dyDescent="0.2"/>
    <row r="6158" s="2043" customFormat="1" x14ac:dyDescent="0.2"/>
    <row r="6159" s="2043" customFormat="1" x14ac:dyDescent="0.2"/>
    <row r="6160" s="2043" customFormat="1" x14ac:dyDescent="0.2"/>
    <row r="6161" s="2043" customFormat="1" x14ac:dyDescent="0.2"/>
    <row r="6162" s="2043" customFormat="1" x14ac:dyDescent="0.2"/>
    <row r="6163" s="2043" customFormat="1" x14ac:dyDescent="0.2"/>
    <row r="6164" s="2043" customFormat="1" x14ac:dyDescent="0.2"/>
    <row r="6165" s="2043" customFormat="1" x14ac:dyDescent="0.2"/>
    <row r="6166" s="2043" customFormat="1" x14ac:dyDescent="0.2"/>
    <row r="6167" s="2043" customFormat="1" x14ac:dyDescent="0.2"/>
    <row r="6168" s="2043" customFormat="1" x14ac:dyDescent="0.2"/>
    <row r="6169" s="2043" customFormat="1" x14ac:dyDescent="0.2"/>
    <row r="6170" s="2043" customFormat="1" x14ac:dyDescent="0.2"/>
    <row r="6171" s="2043" customFormat="1" x14ac:dyDescent="0.2"/>
    <row r="6172" s="2043" customFormat="1" x14ac:dyDescent="0.2"/>
    <row r="6173" s="2043" customFormat="1" x14ac:dyDescent="0.2"/>
    <row r="6174" s="2043" customFormat="1" x14ac:dyDescent="0.2"/>
    <row r="6175" s="2043" customFormat="1" x14ac:dyDescent="0.2"/>
    <row r="6176" s="2043" customFormat="1" x14ac:dyDescent="0.2"/>
    <row r="6177" s="2043" customFormat="1" x14ac:dyDescent="0.2"/>
    <row r="6178" s="2043" customFormat="1" x14ac:dyDescent="0.2"/>
    <row r="6179" s="2043" customFormat="1" x14ac:dyDescent="0.2"/>
    <row r="6180" s="2043" customFormat="1" x14ac:dyDescent="0.2"/>
    <row r="6181" s="2043" customFormat="1" x14ac:dyDescent="0.2"/>
    <row r="6182" s="2043" customFormat="1" x14ac:dyDescent="0.2"/>
    <row r="6183" s="2043" customFormat="1" x14ac:dyDescent="0.2"/>
    <row r="6184" s="2043" customFormat="1" x14ac:dyDescent="0.2"/>
    <row r="6185" s="2043" customFormat="1" x14ac:dyDescent="0.2"/>
    <row r="6186" s="2043" customFormat="1" x14ac:dyDescent="0.2"/>
    <row r="6187" s="2043" customFormat="1" x14ac:dyDescent="0.2"/>
    <row r="6188" s="2043" customFormat="1" x14ac:dyDescent="0.2"/>
    <row r="6189" s="2043" customFormat="1" x14ac:dyDescent="0.2"/>
    <row r="6190" s="2043" customFormat="1" x14ac:dyDescent="0.2"/>
    <row r="6191" s="2043" customFormat="1" x14ac:dyDescent="0.2"/>
    <row r="6192" s="2043" customFormat="1" x14ac:dyDescent="0.2"/>
    <row r="6193" s="2043" customFormat="1" x14ac:dyDescent="0.2"/>
    <row r="6194" s="2043" customFormat="1" x14ac:dyDescent="0.2"/>
    <row r="6195" s="2043" customFormat="1" x14ac:dyDescent="0.2"/>
    <row r="6196" s="2043" customFormat="1" x14ac:dyDescent="0.2"/>
    <row r="6197" s="2043" customFormat="1" x14ac:dyDescent="0.2"/>
    <row r="6198" s="2043" customFormat="1" x14ac:dyDescent="0.2"/>
    <row r="6199" s="2043" customFormat="1" x14ac:dyDescent="0.2"/>
    <row r="6200" s="2043" customFormat="1" x14ac:dyDescent="0.2"/>
    <row r="6201" s="2043" customFormat="1" x14ac:dyDescent="0.2"/>
    <row r="6202" s="2043" customFormat="1" x14ac:dyDescent="0.2"/>
    <row r="6203" s="2043" customFormat="1" x14ac:dyDescent="0.2"/>
    <row r="6204" s="2043" customFormat="1" x14ac:dyDescent="0.2"/>
    <row r="6205" s="2043" customFormat="1" x14ac:dyDescent="0.2"/>
    <row r="6206" s="2043" customFormat="1" x14ac:dyDescent="0.2"/>
    <row r="6207" s="2043" customFormat="1" x14ac:dyDescent="0.2"/>
    <row r="6208" s="2043" customFormat="1" x14ac:dyDescent="0.2"/>
    <row r="6209" s="2043" customFormat="1" x14ac:dyDescent="0.2"/>
    <row r="6210" s="2043" customFormat="1" x14ac:dyDescent="0.2"/>
    <row r="6211" s="2043" customFormat="1" x14ac:dyDescent="0.2"/>
    <row r="6212" s="2043" customFormat="1" x14ac:dyDescent="0.2"/>
    <row r="6213" s="2043" customFormat="1" x14ac:dyDescent="0.2"/>
    <row r="6214" s="2043" customFormat="1" x14ac:dyDescent="0.2"/>
    <row r="6215" s="2043" customFormat="1" x14ac:dyDescent="0.2"/>
    <row r="6216" s="2043" customFormat="1" x14ac:dyDescent="0.2"/>
    <row r="6217" s="2043" customFormat="1" x14ac:dyDescent="0.2"/>
    <row r="6218" s="2043" customFormat="1" x14ac:dyDescent="0.2"/>
    <row r="6219" s="2043" customFormat="1" x14ac:dyDescent="0.2"/>
    <row r="6220" s="2043" customFormat="1" x14ac:dyDescent="0.2"/>
    <row r="6221" s="2043" customFormat="1" x14ac:dyDescent="0.2"/>
    <row r="6222" s="2043" customFormat="1" x14ac:dyDescent="0.2"/>
    <row r="6223" s="2043" customFormat="1" x14ac:dyDescent="0.2"/>
    <row r="6224" s="2043" customFormat="1" x14ac:dyDescent="0.2"/>
    <row r="6225" s="2043" customFormat="1" x14ac:dyDescent="0.2"/>
    <row r="6226" s="2043" customFormat="1" x14ac:dyDescent="0.2"/>
    <row r="6227" s="2043" customFormat="1" x14ac:dyDescent="0.2"/>
    <row r="6228" s="2043" customFormat="1" x14ac:dyDescent="0.2"/>
    <row r="6229" s="2043" customFormat="1" x14ac:dyDescent="0.2"/>
    <row r="6230" s="2043" customFormat="1" x14ac:dyDescent="0.2"/>
    <row r="6231" s="2043" customFormat="1" x14ac:dyDescent="0.2"/>
    <row r="6232" s="2043" customFormat="1" x14ac:dyDescent="0.2"/>
    <row r="6233" s="2043" customFormat="1" x14ac:dyDescent="0.2"/>
    <row r="6234" s="2043" customFormat="1" x14ac:dyDescent="0.2"/>
    <row r="6235" s="2043" customFormat="1" x14ac:dyDescent="0.2"/>
    <row r="6236" s="2043" customFormat="1" x14ac:dyDescent="0.2"/>
    <row r="6237" s="2043" customFormat="1" x14ac:dyDescent="0.2"/>
    <row r="6238" s="2043" customFormat="1" x14ac:dyDescent="0.2"/>
    <row r="6239" s="2043" customFormat="1" x14ac:dyDescent="0.2"/>
    <row r="6240" s="2043" customFormat="1" x14ac:dyDescent="0.2"/>
    <row r="6241" s="2043" customFormat="1" x14ac:dyDescent="0.2"/>
    <row r="6242" s="2043" customFormat="1" x14ac:dyDescent="0.2"/>
    <row r="6243" s="2043" customFormat="1" x14ac:dyDescent="0.2"/>
    <row r="6244" s="2043" customFormat="1" x14ac:dyDescent="0.2"/>
    <row r="6245" s="2043" customFormat="1" x14ac:dyDescent="0.2"/>
    <row r="6246" s="2043" customFormat="1" x14ac:dyDescent="0.2"/>
    <row r="6247" s="2043" customFormat="1" x14ac:dyDescent="0.2"/>
    <row r="6248" s="2043" customFormat="1" x14ac:dyDescent="0.2"/>
    <row r="6249" s="2043" customFormat="1" x14ac:dyDescent="0.2"/>
    <row r="6250" s="2043" customFormat="1" x14ac:dyDescent="0.2"/>
    <row r="6251" s="2043" customFormat="1" x14ac:dyDescent="0.2"/>
    <row r="6252" s="2043" customFormat="1" x14ac:dyDescent="0.2"/>
    <row r="6253" s="2043" customFormat="1" x14ac:dyDescent="0.2"/>
    <row r="6254" s="2043" customFormat="1" x14ac:dyDescent="0.2"/>
    <row r="6255" s="2043" customFormat="1" x14ac:dyDescent="0.2"/>
    <row r="6256" s="2043" customFormat="1" x14ac:dyDescent="0.2"/>
    <row r="6257" s="2043" customFormat="1" x14ac:dyDescent="0.2"/>
    <row r="6258" s="2043" customFormat="1" x14ac:dyDescent="0.2"/>
    <row r="6259" s="2043" customFormat="1" x14ac:dyDescent="0.2"/>
    <row r="6260" s="2043" customFormat="1" x14ac:dyDescent="0.2"/>
    <row r="6261" s="2043" customFormat="1" x14ac:dyDescent="0.2"/>
    <row r="6262" s="2043" customFormat="1" x14ac:dyDescent="0.2"/>
    <row r="6263" s="2043" customFormat="1" x14ac:dyDescent="0.2"/>
    <row r="6264" s="2043" customFormat="1" x14ac:dyDescent="0.2"/>
    <row r="6265" s="2043" customFormat="1" x14ac:dyDescent="0.2"/>
    <row r="6266" s="2043" customFormat="1" x14ac:dyDescent="0.2"/>
    <row r="6267" s="2043" customFormat="1" x14ac:dyDescent="0.2"/>
    <row r="6268" s="2043" customFormat="1" x14ac:dyDescent="0.2"/>
    <row r="6269" s="2043" customFormat="1" x14ac:dyDescent="0.2"/>
    <row r="6270" s="2043" customFormat="1" x14ac:dyDescent="0.2"/>
    <row r="6271" s="2043" customFormat="1" x14ac:dyDescent="0.2"/>
    <row r="6272" s="2043" customFormat="1" x14ac:dyDescent="0.2"/>
    <row r="6273" s="2043" customFormat="1" x14ac:dyDescent="0.2"/>
    <row r="6274" s="2043" customFormat="1" x14ac:dyDescent="0.2"/>
    <row r="6275" s="2043" customFormat="1" x14ac:dyDescent="0.2"/>
    <row r="6276" s="2043" customFormat="1" x14ac:dyDescent="0.2"/>
    <row r="6277" s="2043" customFormat="1" x14ac:dyDescent="0.2"/>
    <row r="6278" s="2043" customFormat="1" x14ac:dyDescent="0.2"/>
    <row r="6279" s="2043" customFormat="1" x14ac:dyDescent="0.2"/>
    <row r="6280" s="2043" customFormat="1" x14ac:dyDescent="0.2"/>
    <row r="6281" s="2043" customFormat="1" x14ac:dyDescent="0.2"/>
    <row r="6282" s="2043" customFormat="1" x14ac:dyDescent="0.2"/>
    <row r="6283" s="2043" customFormat="1" x14ac:dyDescent="0.2"/>
    <row r="6284" s="2043" customFormat="1" x14ac:dyDescent="0.2"/>
    <row r="6285" s="2043" customFormat="1" x14ac:dyDescent="0.2"/>
    <row r="6286" s="2043" customFormat="1" x14ac:dyDescent="0.2"/>
    <row r="6287" s="2043" customFormat="1" x14ac:dyDescent="0.2"/>
    <row r="6288" s="2043" customFormat="1" x14ac:dyDescent="0.2"/>
    <row r="6289" s="2043" customFormat="1" x14ac:dyDescent="0.2"/>
    <row r="6290" s="2043" customFormat="1" x14ac:dyDescent="0.2"/>
    <row r="6291" s="2043" customFormat="1" x14ac:dyDescent="0.2"/>
    <row r="6292" s="2043" customFormat="1" x14ac:dyDescent="0.2"/>
    <row r="6293" s="2043" customFormat="1" x14ac:dyDescent="0.2"/>
    <row r="6294" s="2043" customFormat="1" x14ac:dyDescent="0.2"/>
    <row r="6295" s="2043" customFormat="1" x14ac:dyDescent="0.2"/>
    <row r="6296" s="2043" customFormat="1" x14ac:dyDescent="0.2"/>
    <row r="6297" s="2043" customFormat="1" x14ac:dyDescent="0.2"/>
    <row r="6298" s="2043" customFormat="1" x14ac:dyDescent="0.2"/>
    <row r="6299" s="2043" customFormat="1" x14ac:dyDescent="0.2"/>
    <row r="6300" s="2043" customFormat="1" x14ac:dyDescent="0.2"/>
    <row r="6301" s="2043" customFormat="1" x14ac:dyDescent="0.2"/>
    <row r="6302" s="2043" customFormat="1" x14ac:dyDescent="0.2"/>
    <row r="6303" s="2043" customFormat="1" x14ac:dyDescent="0.2"/>
    <row r="6304" s="2043" customFormat="1" x14ac:dyDescent="0.2"/>
    <row r="6305" s="2043" customFormat="1" x14ac:dyDescent="0.2"/>
    <row r="6306" s="2043" customFormat="1" x14ac:dyDescent="0.2"/>
    <row r="6307" s="2043" customFormat="1" x14ac:dyDescent="0.2"/>
    <row r="6308" s="2043" customFormat="1" x14ac:dyDescent="0.2"/>
    <row r="6309" s="2043" customFormat="1" x14ac:dyDescent="0.2"/>
    <row r="6310" s="2043" customFormat="1" x14ac:dyDescent="0.2"/>
    <row r="6311" s="2043" customFormat="1" x14ac:dyDescent="0.2"/>
    <row r="6312" s="2043" customFormat="1" x14ac:dyDescent="0.2"/>
    <row r="6313" s="2043" customFormat="1" x14ac:dyDescent="0.2"/>
    <row r="6314" s="2043" customFormat="1" x14ac:dyDescent="0.2"/>
    <row r="6315" s="2043" customFormat="1" x14ac:dyDescent="0.2"/>
    <row r="6316" s="2043" customFormat="1" x14ac:dyDescent="0.2"/>
    <row r="6317" s="2043" customFormat="1" x14ac:dyDescent="0.2"/>
    <row r="6318" s="2043" customFormat="1" x14ac:dyDescent="0.2"/>
    <row r="6319" s="2043" customFormat="1" x14ac:dyDescent="0.2"/>
    <row r="6320" s="2043" customFormat="1" x14ac:dyDescent="0.2"/>
    <row r="6321" s="2043" customFormat="1" x14ac:dyDescent="0.2"/>
    <row r="6322" s="2043" customFormat="1" x14ac:dyDescent="0.2"/>
    <row r="6323" s="2043" customFormat="1" x14ac:dyDescent="0.2"/>
    <row r="6324" s="2043" customFormat="1" x14ac:dyDescent="0.2"/>
    <row r="6325" s="2043" customFormat="1" x14ac:dyDescent="0.2"/>
    <row r="6326" s="2043" customFormat="1" x14ac:dyDescent="0.2"/>
    <row r="6327" s="2043" customFormat="1" x14ac:dyDescent="0.2"/>
    <row r="6328" s="2043" customFormat="1" x14ac:dyDescent="0.2"/>
    <row r="6329" s="2043" customFormat="1" x14ac:dyDescent="0.2"/>
    <row r="6330" s="2043" customFormat="1" x14ac:dyDescent="0.2"/>
    <row r="6331" s="2043" customFormat="1" x14ac:dyDescent="0.2"/>
    <row r="6332" s="2043" customFormat="1" x14ac:dyDescent="0.2"/>
    <row r="6333" s="2043" customFormat="1" x14ac:dyDescent="0.2"/>
    <row r="6334" s="2043" customFormat="1" x14ac:dyDescent="0.2"/>
    <row r="6335" s="2043" customFormat="1" x14ac:dyDescent="0.2"/>
    <row r="6336" s="2043" customFormat="1" x14ac:dyDescent="0.2"/>
    <row r="6337" s="2043" customFormat="1" x14ac:dyDescent="0.2"/>
    <row r="6338" s="2043" customFormat="1" x14ac:dyDescent="0.2"/>
    <row r="6339" s="2043" customFormat="1" x14ac:dyDescent="0.2"/>
    <row r="6340" s="2043" customFormat="1" x14ac:dyDescent="0.2"/>
    <row r="6341" s="2043" customFormat="1" x14ac:dyDescent="0.2"/>
    <row r="6342" s="2043" customFormat="1" x14ac:dyDescent="0.2"/>
    <row r="6343" s="2043" customFormat="1" x14ac:dyDescent="0.2"/>
    <row r="6344" s="2043" customFormat="1" x14ac:dyDescent="0.2"/>
    <row r="6345" s="2043" customFormat="1" x14ac:dyDescent="0.2"/>
    <row r="6346" s="2043" customFormat="1" x14ac:dyDescent="0.2"/>
    <row r="6347" s="2043" customFormat="1" x14ac:dyDescent="0.2"/>
    <row r="6348" s="2043" customFormat="1" x14ac:dyDescent="0.2"/>
    <row r="6349" s="2043" customFormat="1" x14ac:dyDescent="0.2"/>
    <row r="6350" s="2043" customFormat="1" x14ac:dyDescent="0.2"/>
    <row r="6351" s="2043" customFormat="1" x14ac:dyDescent="0.2"/>
    <row r="6352" s="2043" customFormat="1" x14ac:dyDescent="0.2"/>
    <row r="6353" s="2043" customFormat="1" x14ac:dyDescent="0.2"/>
    <row r="6354" s="2043" customFormat="1" x14ac:dyDescent="0.2"/>
    <row r="6355" s="2043" customFormat="1" x14ac:dyDescent="0.2"/>
    <row r="6356" s="2043" customFormat="1" x14ac:dyDescent="0.2"/>
    <row r="6357" s="2043" customFormat="1" x14ac:dyDescent="0.2"/>
    <row r="6358" s="2043" customFormat="1" x14ac:dyDescent="0.2"/>
    <row r="6359" s="2043" customFormat="1" x14ac:dyDescent="0.2"/>
    <row r="6360" s="2043" customFormat="1" x14ac:dyDescent="0.2"/>
    <row r="6361" s="2043" customFormat="1" x14ac:dyDescent="0.2"/>
    <row r="6362" s="2043" customFormat="1" x14ac:dyDescent="0.2"/>
    <row r="6363" s="2043" customFormat="1" x14ac:dyDescent="0.2"/>
    <row r="6364" s="2043" customFormat="1" x14ac:dyDescent="0.2"/>
    <row r="6365" s="2043" customFormat="1" x14ac:dyDescent="0.2"/>
    <row r="6366" s="2043" customFormat="1" x14ac:dyDescent="0.2"/>
    <row r="6367" s="2043" customFormat="1" x14ac:dyDescent="0.2"/>
    <row r="6368" s="2043" customFormat="1" x14ac:dyDescent="0.2"/>
    <row r="6369" s="2043" customFormat="1" x14ac:dyDescent="0.2"/>
    <row r="6370" s="2043" customFormat="1" x14ac:dyDescent="0.2"/>
    <row r="6371" s="2043" customFormat="1" x14ac:dyDescent="0.2"/>
    <row r="6372" s="2043" customFormat="1" x14ac:dyDescent="0.2"/>
    <row r="6373" s="2043" customFormat="1" x14ac:dyDescent="0.2"/>
    <row r="6374" s="2043" customFormat="1" x14ac:dyDescent="0.2"/>
    <row r="6375" s="2043" customFormat="1" x14ac:dyDescent="0.2"/>
    <row r="6376" s="2043" customFormat="1" x14ac:dyDescent="0.2"/>
    <row r="6377" s="2043" customFormat="1" x14ac:dyDescent="0.2"/>
    <row r="6378" s="2043" customFormat="1" x14ac:dyDescent="0.2"/>
    <row r="6379" s="2043" customFormat="1" x14ac:dyDescent="0.2"/>
    <row r="6380" s="2043" customFormat="1" x14ac:dyDescent="0.2"/>
    <row r="6381" s="2043" customFormat="1" x14ac:dyDescent="0.2"/>
    <row r="6382" s="2043" customFormat="1" x14ac:dyDescent="0.2"/>
    <row r="6383" s="2043" customFormat="1" x14ac:dyDescent="0.2"/>
    <row r="6384" s="2043" customFormat="1" x14ac:dyDescent="0.2"/>
    <row r="6385" s="2043" customFormat="1" x14ac:dyDescent="0.2"/>
    <row r="6386" s="2043" customFormat="1" x14ac:dyDescent="0.2"/>
    <row r="6387" s="2043" customFormat="1" x14ac:dyDescent="0.2"/>
    <row r="6388" s="2043" customFormat="1" x14ac:dyDescent="0.2"/>
    <row r="6389" s="2043" customFormat="1" x14ac:dyDescent="0.2"/>
    <row r="6390" s="2043" customFormat="1" x14ac:dyDescent="0.2"/>
    <row r="6391" s="2043" customFormat="1" x14ac:dyDescent="0.2"/>
    <row r="6392" s="2043" customFormat="1" x14ac:dyDescent="0.2"/>
    <row r="6393" s="2043" customFormat="1" x14ac:dyDescent="0.2"/>
    <row r="6394" s="2043" customFormat="1" x14ac:dyDescent="0.2"/>
    <row r="6395" s="2043" customFormat="1" x14ac:dyDescent="0.2"/>
    <row r="6396" s="2043" customFormat="1" x14ac:dyDescent="0.2"/>
    <row r="6397" s="2043" customFormat="1" x14ac:dyDescent="0.2"/>
    <row r="6398" s="2043" customFormat="1" x14ac:dyDescent="0.2"/>
    <row r="6399" s="2043" customFormat="1" x14ac:dyDescent="0.2"/>
    <row r="6400" s="2043" customFormat="1" x14ac:dyDescent="0.2"/>
    <row r="6401" s="2043" customFormat="1" x14ac:dyDescent="0.2"/>
    <row r="6402" s="2043" customFormat="1" x14ac:dyDescent="0.2"/>
    <row r="6403" s="2043" customFormat="1" x14ac:dyDescent="0.2"/>
    <row r="6404" s="2043" customFormat="1" x14ac:dyDescent="0.2"/>
    <row r="6405" s="2043" customFormat="1" x14ac:dyDescent="0.2"/>
    <row r="6406" s="2043" customFormat="1" x14ac:dyDescent="0.2"/>
    <row r="6407" s="2043" customFormat="1" x14ac:dyDescent="0.2"/>
    <row r="6408" s="2043" customFormat="1" x14ac:dyDescent="0.2"/>
    <row r="6409" s="2043" customFormat="1" x14ac:dyDescent="0.2"/>
    <row r="6410" s="2043" customFormat="1" x14ac:dyDescent="0.2"/>
    <row r="6411" s="2043" customFormat="1" x14ac:dyDescent="0.2"/>
    <row r="6412" s="2043" customFormat="1" x14ac:dyDescent="0.2"/>
    <row r="6413" s="2043" customFormat="1" x14ac:dyDescent="0.2"/>
    <row r="6414" s="2043" customFormat="1" x14ac:dyDescent="0.2"/>
    <row r="6415" s="2043" customFormat="1" x14ac:dyDescent="0.2"/>
    <row r="6416" s="2043" customFormat="1" x14ac:dyDescent="0.2"/>
    <row r="6417" s="2043" customFormat="1" x14ac:dyDescent="0.2"/>
    <row r="6418" s="2043" customFormat="1" x14ac:dyDescent="0.2"/>
    <row r="6419" s="2043" customFormat="1" x14ac:dyDescent="0.2"/>
    <row r="6420" s="2043" customFormat="1" x14ac:dyDescent="0.2"/>
    <row r="6421" s="2043" customFormat="1" x14ac:dyDescent="0.2"/>
    <row r="6422" s="2043" customFormat="1" x14ac:dyDescent="0.2"/>
    <row r="6423" s="2043" customFormat="1" x14ac:dyDescent="0.2"/>
    <row r="6424" s="2043" customFormat="1" x14ac:dyDescent="0.2"/>
    <row r="6425" s="2043" customFormat="1" x14ac:dyDescent="0.2"/>
    <row r="6426" s="2043" customFormat="1" x14ac:dyDescent="0.2"/>
    <row r="6427" s="2043" customFormat="1" x14ac:dyDescent="0.2"/>
    <row r="6428" s="2043" customFormat="1" x14ac:dyDescent="0.2"/>
    <row r="6429" s="2043" customFormat="1" x14ac:dyDescent="0.2"/>
    <row r="6430" s="2043" customFormat="1" x14ac:dyDescent="0.2"/>
    <row r="6431" s="2043" customFormat="1" x14ac:dyDescent="0.2"/>
    <row r="6432" s="2043" customFormat="1" x14ac:dyDescent="0.2"/>
    <row r="6433" s="2043" customFormat="1" x14ac:dyDescent="0.2"/>
    <row r="6434" s="2043" customFormat="1" x14ac:dyDescent="0.2"/>
    <row r="6435" s="2043" customFormat="1" x14ac:dyDescent="0.2"/>
    <row r="6436" s="2043" customFormat="1" x14ac:dyDescent="0.2"/>
    <row r="6437" s="2043" customFormat="1" x14ac:dyDescent="0.2"/>
    <row r="6438" s="2043" customFormat="1" x14ac:dyDescent="0.2"/>
    <row r="6439" s="2043" customFormat="1" x14ac:dyDescent="0.2"/>
    <row r="6440" s="2043" customFormat="1" x14ac:dyDescent="0.2"/>
    <row r="6441" s="2043" customFormat="1" x14ac:dyDescent="0.2"/>
    <row r="6442" s="2043" customFormat="1" x14ac:dyDescent="0.2"/>
    <row r="6443" s="2043" customFormat="1" x14ac:dyDescent="0.2"/>
    <row r="6444" s="2043" customFormat="1" x14ac:dyDescent="0.2"/>
    <row r="6445" s="2043" customFormat="1" x14ac:dyDescent="0.2"/>
    <row r="6446" s="2043" customFormat="1" x14ac:dyDescent="0.2"/>
    <row r="6447" s="2043" customFormat="1" x14ac:dyDescent="0.2"/>
    <row r="6448" s="2043" customFormat="1" x14ac:dyDescent="0.2"/>
    <row r="6449" s="2043" customFormat="1" x14ac:dyDescent="0.2"/>
    <row r="6450" s="2043" customFormat="1" x14ac:dyDescent="0.2"/>
    <row r="6451" s="2043" customFormat="1" x14ac:dyDescent="0.2"/>
    <row r="6452" s="2043" customFormat="1" x14ac:dyDescent="0.2"/>
    <row r="6453" s="2043" customFormat="1" x14ac:dyDescent="0.2"/>
    <row r="6454" s="2043" customFormat="1" x14ac:dyDescent="0.2"/>
    <row r="6455" s="2043" customFormat="1" x14ac:dyDescent="0.2"/>
    <row r="6456" s="2043" customFormat="1" x14ac:dyDescent="0.2"/>
    <row r="6457" s="2043" customFormat="1" x14ac:dyDescent="0.2"/>
    <row r="6458" s="2043" customFormat="1" x14ac:dyDescent="0.2"/>
    <row r="6459" s="2043" customFormat="1" x14ac:dyDescent="0.2"/>
    <row r="6460" s="2043" customFormat="1" x14ac:dyDescent="0.2"/>
    <row r="6461" s="2043" customFormat="1" x14ac:dyDescent="0.2"/>
    <row r="6462" s="2043" customFormat="1" x14ac:dyDescent="0.2"/>
    <row r="6463" s="2043" customFormat="1" x14ac:dyDescent="0.2"/>
    <row r="6464" s="2043" customFormat="1" x14ac:dyDescent="0.2"/>
    <row r="6465" s="2043" customFormat="1" x14ac:dyDescent="0.2"/>
    <row r="6466" s="2043" customFormat="1" x14ac:dyDescent="0.2"/>
    <row r="6467" s="2043" customFormat="1" x14ac:dyDescent="0.2"/>
    <row r="6468" s="2043" customFormat="1" x14ac:dyDescent="0.2"/>
    <row r="6469" s="2043" customFormat="1" x14ac:dyDescent="0.2"/>
    <row r="6470" s="2043" customFormat="1" x14ac:dyDescent="0.2"/>
    <row r="6471" s="2043" customFormat="1" x14ac:dyDescent="0.2"/>
    <row r="6472" s="2043" customFormat="1" x14ac:dyDescent="0.2"/>
    <row r="6473" s="2043" customFormat="1" x14ac:dyDescent="0.2"/>
    <row r="6474" s="2043" customFormat="1" x14ac:dyDescent="0.2"/>
    <row r="6475" s="2043" customFormat="1" x14ac:dyDescent="0.2"/>
    <row r="6476" s="2043" customFormat="1" x14ac:dyDescent="0.2"/>
    <row r="6477" s="2043" customFormat="1" x14ac:dyDescent="0.2"/>
    <row r="6478" s="2043" customFormat="1" x14ac:dyDescent="0.2"/>
    <row r="6479" s="2043" customFormat="1" x14ac:dyDescent="0.2"/>
    <row r="6480" s="2043" customFormat="1" x14ac:dyDescent="0.2"/>
    <row r="6481" s="2043" customFormat="1" x14ac:dyDescent="0.2"/>
    <row r="6482" s="2043" customFormat="1" x14ac:dyDescent="0.2"/>
    <row r="6483" s="2043" customFormat="1" x14ac:dyDescent="0.2"/>
    <row r="6484" s="2043" customFormat="1" x14ac:dyDescent="0.2"/>
    <row r="6485" s="2043" customFormat="1" x14ac:dyDescent="0.2"/>
    <row r="6486" s="2043" customFormat="1" x14ac:dyDescent="0.2"/>
    <row r="6487" s="2043" customFormat="1" x14ac:dyDescent="0.2"/>
    <row r="6488" s="2043" customFormat="1" x14ac:dyDescent="0.2"/>
    <row r="6489" s="2043" customFormat="1" x14ac:dyDescent="0.2"/>
    <row r="6490" s="2043" customFormat="1" x14ac:dyDescent="0.2"/>
    <row r="6491" s="2043" customFormat="1" x14ac:dyDescent="0.2"/>
    <row r="6492" s="2043" customFormat="1" x14ac:dyDescent="0.2"/>
    <row r="6493" s="2043" customFormat="1" x14ac:dyDescent="0.2"/>
    <row r="6494" s="2043" customFormat="1" x14ac:dyDescent="0.2"/>
    <row r="6495" s="2043" customFormat="1" x14ac:dyDescent="0.2"/>
    <row r="6496" s="2043" customFormat="1" x14ac:dyDescent="0.2"/>
    <row r="6497" s="2043" customFormat="1" x14ac:dyDescent="0.2"/>
    <row r="6498" s="2043" customFormat="1" x14ac:dyDescent="0.2"/>
    <row r="6499" s="2043" customFormat="1" x14ac:dyDescent="0.2"/>
    <row r="6500" s="2043" customFormat="1" x14ac:dyDescent="0.2"/>
    <row r="6501" s="2043" customFormat="1" x14ac:dyDescent="0.2"/>
    <row r="6502" s="2043" customFormat="1" x14ac:dyDescent="0.2"/>
    <row r="6503" s="2043" customFormat="1" x14ac:dyDescent="0.2"/>
    <row r="6504" s="2043" customFormat="1" x14ac:dyDescent="0.2"/>
    <row r="6505" s="2043" customFormat="1" x14ac:dyDescent="0.2"/>
    <row r="6506" s="2043" customFormat="1" x14ac:dyDescent="0.2"/>
    <row r="6507" s="2043" customFormat="1" x14ac:dyDescent="0.2"/>
    <row r="6508" s="2043" customFormat="1" x14ac:dyDescent="0.2"/>
    <row r="6509" s="2043" customFormat="1" x14ac:dyDescent="0.2"/>
    <row r="6510" s="2043" customFormat="1" x14ac:dyDescent="0.2"/>
    <row r="6511" s="2043" customFormat="1" x14ac:dyDescent="0.2"/>
    <row r="6512" s="2043" customFormat="1" x14ac:dyDescent="0.2"/>
    <row r="6513" s="2043" customFormat="1" x14ac:dyDescent="0.2"/>
    <row r="6514" s="2043" customFormat="1" x14ac:dyDescent="0.2"/>
    <row r="6515" s="2043" customFormat="1" x14ac:dyDescent="0.2"/>
    <row r="6516" s="2043" customFormat="1" x14ac:dyDescent="0.2"/>
    <row r="6517" s="2043" customFormat="1" x14ac:dyDescent="0.2"/>
    <row r="6518" s="2043" customFormat="1" x14ac:dyDescent="0.2"/>
    <row r="6519" s="2043" customFormat="1" x14ac:dyDescent="0.2"/>
    <row r="6520" s="2043" customFormat="1" x14ac:dyDescent="0.2"/>
    <row r="6521" s="2043" customFormat="1" x14ac:dyDescent="0.2"/>
    <row r="6522" s="2043" customFormat="1" x14ac:dyDescent="0.2"/>
    <row r="6523" s="2043" customFormat="1" x14ac:dyDescent="0.2"/>
    <row r="6524" s="2043" customFormat="1" x14ac:dyDescent="0.2"/>
    <row r="6525" s="2043" customFormat="1" x14ac:dyDescent="0.2"/>
    <row r="6526" s="2043" customFormat="1" x14ac:dyDescent="0.2"/>
    <row r="6527" s="2043" customFormat="1" x14ac:dyDescent="0.2"/>
    <row r="6528" s="2043" customFormat="1" x14ac:dyDescent="0.2"/>
    <row r="6529" s="2043" customFormat="1" x14ac:dyDescent="0.2"/>
    <row r="6530" s="2043" customFormat="1" x14ac:dyDescent="0.2"/>
    <row r="6531" s="2043" customFormat="1" x14ac:dyDescent="0.2"/>
    <row r="6532" s="2043" customFormat="1" x14ac:dyDescent="0.2"/>
    <row r="6533" s="2043" customFormat="1" x14ac:dyDescent="0.2"/>
    <row r="6534" s="2043" customFormat="1" x14ac:dyDescent="0.2"/>
    <row r="6535" s="2043" customFormat="1" x14ac:dyDescent="0.2"/>
    <row r="6536" s="2043" customFormat="1" x14ac:dyDescent="0.2"/>
    <row r="6537" s="2043" customFormat="1" x14ac:dyDescent="0.2"/>
    <row r="6538" s="2043" customFormat="1" x14ac:dyDescent="0.2"/>
    <row r="6539" s="2043" customFormat="1" x14ac:dyDescent="0.2"/>
    <row r="6540" s="2043" customFormat="1" x14ac:dyDescent="0.2"/>
    <row r="6541" s="2043" customFormat="1" x14ac:dyDescent="0.2"/>
    <row r="6542" s="2043" customFormat="1" x14ac:dyDescent="0.2"/>
    <row r="6543" s="2043" customFormat="1" x14ac:dyDescent="0.2"/>
    <row r="6544" s="2043" customFormat="1" x14ac:dyDescent="0.2"/>
    <row r="6545" s="2043" customFormat="1" x14ac:dyDescent="0.2"/>
    <row r="6546" s="2043" customFormat="1" x14ac:dyDescent="0.2"/>
    <row r="6547" s="2043" customFormat="1" x14ac:dyDescent="0.2"/>
    <row r="6548" s="2043" customFormat="1" x14ac:dyDescent="0.2"/>
    <row r="6549" s="2043" customFormat="1" x14ac:dyDescent="0.2"/>
    <row r="6550" s="2043" customFormat="1" x14ac:dyDescent="0.2"/>
    <row r="6551" s="2043" customFormat="1" x14ac:dyDescent="0.2"/>
    <row r="6552" s="2043" customFormat="1" x14ac:dyDescent="0.2"/>
    <row r="6553" s="2043" customFormat="1" x14ac:dyDescent="0.2"/>
    <row r="6554" s="2043" customFormat="1" x14ac:dyDescent="0.2"/>
    <row r="6555" s="2043" customFormat="1" x14ac:dyDescent="0.2"/>
    <row r="6556" s="2043" customFormat="1" x14ac:dyDescent="0.2"/>
    <row r="6557" s="2043" customFormat="1" x14ac:dyDescent="0.2"/>
    <row r="6558" s="2043" customFormat="1" x14ac:dyDescent="0.2"/>
    <row r="6559" s="2043" customFormat="1" x14ac:dyDescent="0.2"/>
    <row r="6560" s="2043" customFormat="1" x14ac:dyDescent="0.2"/>
    <row r="6561" s="2043" customFormat="1" x14ac:dyDescent="0.2"/>
    <row r="6562" s="2043" customFormat="1" x14ac:dyDescent="0.2"/>
    <row r="6563" s="2043" customFormat="1" x14ac:dyDescent="0.2"/>
    <row r="6564" s="2043" customFormat="1" x14ac:dyDescent="0.2"/>
    <row r="6565" s="2043" customFormat="1" x14ac:dyDescent="0.2"/>
    <row r="6566" s="2043" customFormat="1" x14ac:dyDescent="0.2"/>
    <row r="6567" s="2043" customFormat="1" x14ac:dyDescent="0.2"/>
    <row r="6568" s="2043" customFormat="1" x14ac:dyDescent="0.2"/>
    <row r="6569" s="2043" customFormat="1" x14ac:dyDescent="0.2"/>
    <row r="6570" s="2043" customFormat="1" x14ac:dyDescent="0.2"/>
    <row r="6571" s="2043" customFormat="1" x14ac:dyDescent="0.2"/>
    <row r="6572" s="2043" customFormat="1" x14ac:dyDescent="0.2"/>
    <row r="6573" s="2043" customFormat="1" x14ac:dyDescent="0.2"/>
    <row r="6574" s="2043" customFormat="1" x14ac:dyDescent="0.2"/>
    <row r="6575" s="2043" customFormat="1" x14ac:dyDescent="0.2"/>
    <row r="6576" s="2043" customFormat="1" x14ac:dyDescent="0.2"/>
    <row r="6577" s="2043" customFormat="1" x14ac:dyDescent="0.2"/>
    <row r="6578" s="2043" customFormat="1" x14ac:dyDescent="0.2"/>
    <row r="6579" s="2043" customFormat="1" x14ac:dyDescent="0.2"/>
    <row r="6580" s="2043" customFormat="1" x14ac:dyDescent="0.2"/>
    <row r="6581" s="2043" customFormat="1" x14ac:dyDescent="0.2"/>
    <row r="6582" s="2043" customFormat="1" x14ac:dyDescent="0.2"/>
    <row r="6583" s="2043" customFormat="1" x14ac:dyDescent="0.2"/>
    <row r="6584" s="2043" customFormat="1" x14ac:dyDescent="0.2"/>
    <row r="6585" s="2043" customFormat="1" x14ac:dyDescent="0.2"/>
    <row r="6586" s="2043" customFormat="1" x14ac:dyDescent="0.2"/>
    <row r="6587" s="2043" customFormat="1" x14ac:dyDescent="0.2"/>
    <row r="6588" s="2043" customFormat="1" x14ac:dyDescent="0.2"/>
    <row r="6589" s="2043" customFormat="1" x14ac:dyDescent="0.2"/>
    <row r="6590" s="2043" customFormat="1" x14ac:dyDescent="0.2"/>
    <row r="6591" s="2043" customFormat="1" x14ac:dyDescent="0.2"/>
    <row r="6592" s="2043" customFormat="1" x14ac:dyDescent="0.2"/>
    <row r="6593" s="2043" customFormat="1" x14ac:dyDescent="0.2"/>
    <row r="6594" s="2043" customFormat="1" x14ac:dyDescent="0.2"/>
    <row r="6595" s="2043" customFormat="1" x14ac:dyDescent="0.2"/>
    <row r="6596" s="2043" customFormat="1" x14ac:dyDescent="0.2"/>
    <row r="6597" s="2043" customFormat="1" x14ac:dyDescent="0.2"/>
    <row r="6598" s="2043" customFormat="1" x14ac:dyDescent="0.2"/>
    <row r="6599" s="2043" customFormat="1" x14ac:dyDescent="0.2"/>
    <row r="6600" s="2043" customFormat="1" x14ac:dyDescent="0.2"/>
    <row r="6601" s="2043" customFormat="1" x14ac:dyDescent="0.2"/>
    <row r="6602" s="2043" customFormat="1" x14ac:dyDescent="0.2"/>
    <row r="6603" s="2043" customFormat="1" x14ac:dyDescent="0.2"/>
    <row r="6604" s="2043" customFormat="1" x14ac:dyDescent="0.2"/>
    <row r="6605" s="2043" customFormat="1" x14ac:dyDescent="0.2"/>
    <row r="6606" s="2043" customFormat="1" x14ac:dyDescent="0.2"/>
    <row r="6607" s="2043" customFormat="1" x14ac:dyDescent="0.2"/>
    <row r="6608" s="2043" customFormat="1" x14ac:dyDescent="0.2"/>
    <row r="6609" s="2043" customFormat="1" x14ac:dyDescent="0.2"/>
    <row r="6610" s="2043" customFormat="1" x14ac:dyDescent="0.2"/>
    <row r="6611" s="2043" customFormat="1" x14ac:dyDescent="0.2"/>
    <row r="6612" s="2043" customFormat="1" x14ac:dyDescent="0.2"/>
    <row r="6613" s="2043" customFormat="1" x14ac:dyDescent="0.2"/>
    <row r="6614" s="2043" customFormat="1" x14ac:dyDescent="0.2"/>
    <row r="6615" s="2043" customFormat="1" x14ac:dyDescent="0.2"/>
    <row r="6616" s="2043" customFormat="1" x14ac:dyDescent="0.2"/>
    <row r="6617" s="2043" customFormat="1" x14ac:dyDescent="0.2"/>
    <row r="6618" s="2043" customFormat="1" x14ac:dyDescent="0.2"/>
    <row r="6619" s="2043" customFormat="1" x14ac:dyDescent="0.2"/>
    <row r="6620" s="2043" customFormat="1" x14ac:dyDescent="0.2"/>
    <row r="6621" s="2043" customFormat="1" x14ac:dyDescent="0.2"/>
    <row r="6622" s="2043" customFormat="1" x14ac:dyDescent="0.2"/>
    <row r="6623" s="2043" customFormat="1" x14ac:dyDescent="0.2"/>
    <row r="6624" s="2043" customFormat="1" x14ac:dyDescent="0.2"/>
    <row r="6625" s="2043" customFormat="1" x14ac:dyDescent="0.2"/>
    <row r="6626" s="2043" customFormat="1" x14ac:dyDescent="0.2"/>
    <row r="6627" s="2043" customFormat="1" x14ac:dyDescent="0.2"/>
    <row r="6628" s="2043" customFormat="1" x14ac:dyDescent="0.2"/>
    <row r="6629" s="2043" customFormat="1" x14ac:dyDescent="0.2"/>
    <row r="6630" s="2043" customFormat="1" x14ac:dyDescent="0.2"/>
    <row r="6631" s="2043" customFormat="1" x14ac:dyDescent="0.2"/>
    <row r="6632" s="2043" customFormat="1" x14ac:dyDescent="0.2"/>
    <row r="6633" s="2043" customFormat="1" x14ac:dyDescent="0.2"/>
    <row r="6634" s="2043" customFormat="1" x14ac:dyDescent="0.2"/>
    <row r="6635" s="2043" customFormat="1" x14ac:dyDescent="0.2"/>
    <row r="6636" s="2043" customFormat="1" x14ac:dyDescent="0.2"/>
    <row r="6637" s="2043" customFormat="1" x14ac:dyDescent="0.2"/>
    <row r="6638" s="2043" customFormat="1" x14ac:dyDescent="0.2"/>
    <row r="6639" s="2043" customFormat="1" x14ac:dyDescent="0.2"/>
    <row r="6640" s="2043" customFormat="1" x14ac:dyDescent="0.2"/>
    <row r="6641" s="2043" customFormat="1" x14ac:dyDescent="0.2"/>
    <row r="6642" s="2043" customFormat="1" x14ac:dyDescent="0.2"/>
    <row r="6643" s="2043" customFormat="1" x14ac:dyDescent="0.2"/>
    <row r="6644" s="2043" customFormat="1" x14ac:dyDescent="0.2"/>
    <row r="6645" s="2043" customFormat="1" x14ac:dyDescent="0.2"/>
    <row r="6646" s="2043" customFormat="1" x14ac:dyDescent="0.2"/>
    <row r="6647" s="2043" customFormat="1" x14ac:dyDescent="0.2"/>
    <row r="6648" s="2043" customFormat="1" x14ac:dyDescent="0.2"/>
    <row r="6649" s="2043" customFormat="1" x14ac:dyDescent="0.2"/>
    <row r="6650" s="2043" customFormat="1" x14ac:dyDescent="0.2"/>
    <row r="6651" s="2043" customFormat="1" x14ac:dyDescent="0.2"/>
    <row r="6652" s="2043" customFormat="1" x14ac:dyDescent="0.2"/>
    <row r="6653" s="2043" customFormat="1" x14ac:dyDescent="0.2"/>
    <row r="6654" s="2043" customFormat="1" x14ac:dyDescent="0.2"/>
    <row r="6655" s="2043" customFormat="1" x14ac:dyDescent="0.2"/>
    <row r="6656" s="2043" customFormat="1" x14ac:dyDescent="0.2"/>
    <row r="6657" s="2043" customFormat="1" x14ac:dyDescent="0.2"/>
    <row r="6658" s="2043" customFormat="1" x14ac:dyDescent="0.2"/>
    <row r="6659" s="2043" customFormat="1" x14ac:dyDescent="0.2"/>
    <row r="6660" s="2043" customFormat="1" x14ac:dyDescent="0.2"/>
    <row r="6661" s="2043" customFormat="1" x14ac:dyDescent="0.2"/>
    <row r="6662" s="2043" customFormat="1" x14ac:dyDescent="0.2"/>
    <row r="6663" s="2043" customFormat="1" x14ac:dyDescent="0.2"/>
    <row r="6664" s="2043" customFormat="1" x14ac:dyDescent="0.2"/>
    <row r="6665" s="2043" customFormat="1" x14ac:dyDescent="0.2"/>
    <row r="6666" s="2043" customFormat="1" x14ac:dyDescent="0.2"/>
    <row r="6667" s="2043" customFormat="1" x14ac:dyDescent="0.2"/>
    <row r="6668" s="2043" customFormat="1" x14ac:dyDescent="0.2"/>
    <row r="6669" s="2043" customFormat="1" x14ac:dyDescent="0.2"/>
    <row r="6670" s="2043" customFormat="1" x14ac:dyDescent="0.2"/>
    <row r="6671" s="2043" customFormat="1" x14ac:dyDescent="0.2"/>
    <row r="6672" s="2043" customFormat="1" x14ac:dyDescent="0.2"/>
    <row r="6673" s="2043" customFormat="1" x14ac:dyDescent="0.2"/>
    <row r="6674" s="2043" customFormat="1" x14ac:dyDescent="0.2"/>
    <row r="6675" s="2043" customFormat="1" x14ac:dyDescent="0.2"/>
    <row r="6676" s="2043" customFormat="1" x14ac:dyDescent="0.2"/>
    <row r="6677" s="2043" customFormat="1" x14ac:dyDescent="0.2"/>
    <row r="6678" s="2043" customFormat="1" x14ac:dyDescent="0.2"/>
    <row r="6679" s="2043" customFormat="1" x14ac:dyDescent="0.2"/>
    <row r="6680" s="2043" customFormat="1" x14ac:dyDescent="0.2"/>
    <row r="6681" s="2043" customFormat="1" x14ac:dyDescent="0.2"/>
    <row r="6682" s="2043" customFormat="1" x14ac:dyDescent="0.2"/>
    <row r="6683" s="2043" customFormat="1" x14ac:dyDescent="0.2"/>
    <row r="6684" s="2043" customFormat="1" x14ac:dyDescent="0.2"/>
    <row r="6685" s="2043" customFormat="1" x14ac:dyDescent="0.2"/>
    <row r="6686" s="2043" customFormat="1" x14ac:dyDescent="0.2"/>
    <row r="6687" s="2043" customFormat="1" x14ac:dyDescent="0.2"/>
    <row r="6688" s="2043" customFormat="1" x14ac:dyDescent="0.2"/>
    <row r="6689" s="2043" customFormat="1" x14ac:dyDescent="0.2"/>
    <row r="6690" s="2043" customFormat="1" x14ac:dyDescent="0.2"/>
    <row r="6691" s="2043" customFormat="1" x14ac:dyDescent="0.2"/>
    <row r="6692" s="2043" customFormat="1" x14ac:dyDescent="0.2"/>
    <row r="6693" s="2043" customFormat="1" x14ac:dyDescent="0.2"/>
    <row r="6694" s="2043" customFormat="1" x14ac:dyDescent="0.2"/>
    <row r="6695" s="2043" customFormat="1" x14ac:dyDescent="0.2"/>
    <row r="6696" s="2043" customFormat="1" x14ac:dyDescent="0.2"/>
    <row r="6697" s="2043" customFormat="1" x14ac:dyDescent="0.2"/>
    <row r="6698" s="2043" customFormat="1" x14ac:dyDescent="0.2"/>
    <row r="6699" s="2043" customFormat="1" x14ac:dyDescent="0.2"/>
    <row r="6700" s="2043" customFormat="1" x14ac:dyDescent="0.2"/>
    <row r="6701" s="2043" customFormat="1" x14ac:dyDescent="0.2"/>
    <row r="6702" s="2043" customFormat="1" x14ac:dyDescent="0.2"/>
    <row r="6703" s="2043" customFormat="1" x14ac:dyDescent="0.2"/>
    <row r="6704" s="2043" customFormat="1" x14ac:dyDescent="0.2"/>
    <row r="6705" s="2043" customFormat="1" x14ac:dyDescent="0.2"/>
    <row r="6706" s="2043" customFormat="1" x14ac:dyDescent="0.2"/>
    <row r="6707" s="2043" customFormat="1" x14ac:dyDescent="0.2"/>
    <row r="6708" s="2043" customFormat="1" x14ac:dyDescent="0.2"/>
    <row r="6709" s="2043" customFormat="1" x14ac:dyDescent="0.2"/>
    <row r="6710" s="2043" customFormat="1" x14ac:dyDescent="0.2"/>
    <row r="6711" s="2043" customFormat="1" x14ac:dyDescent="0.2"/>
    <row r="6712" s="2043" customFormat="1" x14ac:dyDescent="0.2"/>
    <row r="6713" s="2043" customFormat="1" x14ac:dyDescent="0.2"/>
    <row r="6714" s="2043" customFormat="1" x14ac:dyDescent="0.2"/>
    <row r="6715" s="2043" customFormat="1" x14ac:dyDescent="0.2"/>
    <row r="6716" s="2043" customFormat="1" x14ac:dyDescent="0.2"/>
    <row r="6717" s="2043" customFormat="1" x14ac:dyDescent="0.2"/>
    <row r="6718" s="2043" customFormat="1" x14ac:dyDescent="0.2"/>
    <row r="6719" s="2043" customFormat="1" x14ac:dyDescent="0.2"/>
    <row r="6720" s="2043" customFormat="1" x14ac:dyDescent="0.2"/>
    <row r="6721" s="2043" customFormat="1" x14ac:dyDescent="0.2"/>
    <row r="6722" s="2043" customFormat="1" x14ac:dyDescent="0.2"/>
    <row r="6723" s="2043" customFormat="1" x14ac:dyDescent="0.2"/>
    <row r="6724" s="2043" customFormat="1" x14ac:dyDescent="0.2"/>
    <row r="6725" s="2043" customFormat="1" x14ac:dyDescent="0.2"/>
    <row r="6726" s="2043" customFormat="1" x14ac:dyDescent="0.2"/>
    <row r="6727" s="2043" customFormat="1" x14ac:dyDescent="0.2"/>
    <row r="6728" s="2043" customFormat="1" x14ac:dyDescent="0.2"/>
    <row r="6729" s="2043" customFormat="1" x14ac:dyDescent="0.2"/>
    <row r="6730" s="2043" customFormat="1" x14ac:dyDescent="0.2"/>
    <row r="6731" s="2043" customFormat="1" x14ac:dyDescent="0.2"/>
    <row r="6732" s="2043" customFormat="1" x14ac:dyDescent="0.2"/>
    <row r="6733" s="2043" customFormat="1" x14ac:dyDescent="0.2"/>
    <row r="6734" s="2043" customFormat="1" x14ac:dyDescent="0.2"/>
    <row r="6735" s="2043" customFormat="1" x14ac:dyDescent="0.2"/>
    <row r="6736" s="2043" customFormat="1" x14ac:dyDescent="0.2"/>
    <row r="6737" s="2043" customFormat="1" x14ac:dyDescent="0.2"/>
    <row r="6738" s="2043" customFormat="1" x14ac:dyDescent="0.2"/>
    <row r="6739" s="2043" customFormat="1" x14ac:dyDescent="0.2"/>
    <row r="6740" s="2043" customFormat="1" x14ac:dyDescent="0.2"/>
    <row r="6741" s="2043" customFormat="1" x14ac:dyDescent="0.2"/>
    <row r="6742" s="2043" customFormat="1" x14ac:dyDescent="0.2"/>
    <row r="6743" s="2043" customFormat="1" x14ac:dyDescent="0.2"/>
    <row r="6744" s="2043" customFormat="1" x14ac:dyDescent="0.2"/>
    <row r="6745" s="2043" customFormat="1" x14ac:dyDescent="0.2"/>
    <row r="6746" s="2043" customFormat="1" x14ac:dyDescent="0.2"/>
    <row r="6747" s="2043" customFormat="1" x14ac:dyDescent="0.2"/>
    <row r="6748" s="2043" customFormat="1" x14ac:dyDescent="0.2"/>
    <row r="6749" s="2043" customFormat="1" x14ac:dyDescent="0.2"/>
    <row r="6750" s="2043" customFormat="1" x14ac:dyDescent="0.2"/>
    <row r="6751" s="2043" customFormat="1" x14ac:dyDescent="0.2"/>
    <row r="6752" s="2043" customFormat="1" x14ac:dyDescent="0.2"/>
    <row r="6753" s="2043" customFormat="1" x14ac:dyDescent="0.2"/>
    <row r="6754" s="2043" customFormat="1" x14ac:dyDescent="0.2"/>
    <row r="6755" s="2043" customFormat="1" x14ac:dyDescent="0.2"/>
    <row r="6756" s="2043" customFormat="1" x14ac:dyDescent="0.2"/>
    <row r="6757" s="2043" customFormat="1" x14ac:dyDescent="0.2"/>
    <row r="6758" s="2043" customFormat="1" x14ac:dyDescent="0.2"/>
    <row r="6759" s="2043" customFormat="1" x14ac:dyDescent="0.2"/>
    <row r="6760" s="2043" customFormat="1" x14ac:dyDescent="0.2"/>
    <row r="6761" s="2043" customFormat="1" x14ac:dyDescent="0.2"/>
    <row r="6762" s="2043" customFormat="1" x14ac:dyDescent="0.2"/>
    <row r="6763" s="2043" customFormat="1" x14ac:dyDescent="0.2"/>
    <row r="6764" s="2043" customFormat="1" x14ac:dyDescent="0.2"/>
    <row r="6765" s="2043" customFormat="1" x14ac:dyDescent="0.2"/>
    <row r="6766" s="2043" customFormat="1" x14ac:dyDescent="0.2"/>
    <row r="6767" s="2043" customFormat="1" x14ac:dyDescent="0.2"/>
    <row r="6768" s="2043" customFormat="1" x14ac:dyDescent="0.2"/>
    <row r="6769" s="2043" customFormat="1" x14ac:dyDescent="0.2"/>
    <row r="6770" s="2043" customFormat="1" x14ac:dyDescent="0.2"/>
    <row r="6771" s="2043" customFormat="1" x14ac:dyDescent="0.2"/>
    <row r="6772" s="2043" customFormat="1" x14ac:dyDescent="0.2"/>
    <row r="6773" s="2043" customFormat="1" x14ac:dyDescent="0.2"/>
    <row r="6774" s="2043" customFormat="1" x14ac:dyDescent="0.2"/>
    <row r="6775" s="2043" customFormat="1" x14ac:dyDescent="0.2"/>
    <row r="6776" s="2043" customFormat="1" x14ac:dyDescent="0.2"/>
    <row r="6777" s="2043" customFormat="1" x14ac:dyDescent="0.2"/>
    <row r="6778" s="2043" customFormat="1" x14ac:dyDescent="0.2"/>
    <row r="6779" s="2043" customFormat="1" x14ac:dyDescent="0.2"/>
    <row r="6780" s="2043" customFormat="1" x14ac:dyDescent="0.2"/>
    <row r="6781" s="2043" customFormat="1" x14ac:dyDescent="0.2"/>
    <row r="6782" s="2043" customFormat="1" x14ac:dyDescent="0.2"/>
    <row r="6783" s="2043" customFormat="1" x14ac:dyDescent="0.2"/>
    <row r="6784" s="2043" customFormat="1" x14ac:dyDescent="0.2"/>
    <row r="6785" s="2043" customFormat="1" x14ac:dyDescent="0.2"/>
    <row r="6786" s="2043" customFormat="1" x14ac:dyDescent="0.2"/>
    <row r="6787" s="2043" customFormat="1" x14ac:dyDescent="0.2"/>
    <row r="6788" s="2043" customFormat="1" x14ac:dyDescent="0.2"/>
    <row r="6789" s="2043" customFormat="1" x14ac:dyDescent="0.2"/>
    <row r="6790" s="2043" customFormat="1" x14ac:dyDescent="0.2"/>
    <row r="6791" s="2043" customFormat="1" x14ac:dyDescent="0.2"/>
    <row r="6792" s="2043" customFormat="1" x14ac:dyDescent="0.2"/>
    <row r="6793" s="2043" customFormat="1" x14ac:dyDescent="0.2"/>
    <row r="6794" s="2043" customFormat="1" x14ac:dyDescent="0.2"/>
    <row r="6795" s="2043" customFormat="1" x14ac:dyDescent="0.2"/>
    <row r="6796" s="2043" customFormat="1" x14ac:dyDescent="0.2"/>
    <row r="6797" s="2043" customFormat="1" x14ac:dyDescent="0.2"/>
    <row r="6798" s="2043" customFormat="1" x14ac:dyDescent="0.2"/>
    <row r="6799" s="2043" customFormat="1" x14ac:dyDescent="0.2"/>
    <row r="6800" s="2043" customFormat="1" x14ac:dyDescent="0.2"/>
    <row r="6801" s="2043" customFormat="1" x14ac:dyDescent="0.2"/>
    <row r="6802" s="2043" customFormat="1" x14ac:dyDescent="0.2"/>
    <row r="6803" s="2043" customFormat="1" x14ac:dyDescent="0.2"/>
    <row r="6804" s="2043" customFormat="1" x14ac:dyDescent="0.2"/>
    <row r="6805" s="2043" customFormat="1" x14ac:dyDescent="0.2"/>
    <row r="6806" s="2043" customFormat="1" x14ac:dyDescent="0.2"/>
    <row r="6807" s="2043" customFormat="1" x14ac:dyDescent="0.2"/>
    <row r="6808" s="2043" customFormat="1" x14ac:dyDescent="0.2"/>
    <row r="6809" s="2043" customFormat="1" x14ac:dyDescent="0.2"/>
    <row r="6810" s="2043" customFormat="1" x14ac:dyDescent="0.2"/>
    <row r="6811" s="2043" customFormat="1" x14ac:dyDescent="0.2"/>
    <row r="6812" s="2043" customFormat="1" x14ac:dyDescent="0.2"/>
    <row r="6813" s="2043" customFormat="1" x14ac:dyDescent="0.2"/>
    <row r="6814" s="2043" customFormat="1" x14ac:dyDescent="0.2"/>
    <row r="6815" s="2043" customFormat="1" x14ac:dyDescent="0.2"/>
    <row r="6816" s="2043" customFormat="1" x14ac:dyDescent="0.2"/>
    <row r="6817" s="2043" customFormat="1" x14ac:dyDescent="0.2"/>
    <row r="6818" s="2043" customFormat="1" x14ac:dyDescent="0.2"/>
    <row r="6819" s="2043" customFormat="1" x14ac:dyDescent="0.2"/>
    <row r="6820" s="2043" customFormat="1" x14ac:dyDescent="0.2"/>
    <row r="6821" s="2043" customFormat="1" x14ac:dyDescent="0.2"/>
    <row r="6822" s="2043" customFormat="1" x14ac:dyDescent="0.2"/>
    <row r="6823" s="2043" customFormat="1" x14ac:dyDescent="0.2"/>
    <row r="6824" s="2043" customFormat="1" x14ac:dyDescent="0.2"/>
    <row r="6825" s="2043" customFormat="1" x14ac:dyDescent="0.2"/>
    <row r="6826" s="2043" customFormat="1" x14ac:dyDescent="0.2"/>
    <row r="6827" s="2043" customFormat="1" x14ac:dyDescent="0.2"/>
    <row r="6828" s="2043" customFormat="1" x14ac:dyDescent="0.2"/>
    <row r="6829" s="2043" customFormat="1" x14ac:dyDescent="0.2"/>
    <row r="6830" s="2043" customFormat="1" x14ac:dyDescent="0.2"/>
    <row r="6831" s="2043" customFormat="1" x14ac:dyDescent="0.2"/>
    <row r="6832" s="2043" customFormat="1" x14ac:dyDescent="0.2"/>
    <row r="6833" s="2043" customFormat="1" x14ac:dyDescent="0.2"/>
    <row r="6834" s="2043" customFormat="1" x14ac:dyDescent="0.2"/>
    <row r="6835" s="2043" customFormat="1" x14ac:dyDescent="0.2"/>
    <row r="6836" s="2043" customFormat="1" x14ac:dyDescent="0.2"/>
    <row r="6837" s="2043" customFormat="1" x14ac:dyDescent="0.2"/>
    <row r="6838" s="2043" customFormat="1" x14ac:dyDescent="0.2"/>
    <row r="6839" s="2043" customFormat="1" x14ac:dyDescent="0.2"/>
    <row r="6840" s="2043" customFormat="1" x14ac:dyDescent="0.2"/>
    <row r="6841" s="2043" customFormat="1" x14ac:dyDescent="0.2"/>
    <row r="6842" s="2043" customFormat="1" x14ac:dyDescent="0.2"/>
    <row r="6843" s="2043" customFormat="1" x14ac:dyDescent="0.2"/>
    <row r="6844" s="2043" customFormat="1" x14ac:dyDescent="0.2"/>
    <row r="6845" s="2043" customFormat="1" x14ac:dyDescent="0.2"/>
    <row r="6846" s="2043" customFormat="1" x14ac:dyDescent="0.2"/>
    <row r="6847" s="2043" customFormat="1" x14ac:dyDescent="0.2"/>
    <row r="6848" s="2043" customFormat="1" x14ac:dyDescent="0.2"/>
    <row r="6849" s="2043" customFormat="1" x14ac:dyDescent="0.2"/>
    <row r="6850" s="2043" customFormat="1" x14ac:dyDescent="0.2"/>
    <row r="6851" s="2043" customFormat="1" x14ac:dyDescent="0.2"/>
    <row r="6852" s="2043" customFormat="1" x14ac:dyDescent="0.2"/>
    <row r="6853" s="2043" customFormat="1" x14ac:dyDescent="0.2"/>
    <row r="6854" s="2043" customFormat="1" x14ac:dyDescent="0.2"/>
    <row r="6855" s="2043" customFormat="1" x14ac:dyDescent="0.2"/>
    <row r="6856" s="2043" customFormat="1" x14ac:dyDescent="0.2"/>
    <row r="6857" s="2043" customFormat="1" x14ac:dyDescent="0.2"/>
    <row r="6858" s="2043" customFormat="1" x14ac:dyDescent="0.2"/>
    <row r="6859" s="2043" customFormat="1" x14ac:dyDescent="0.2"/>
    <row r="6860" s="2043" customFormat="1" x14ac:dyDescent="0.2"/>
    <row r="6861" s="2043" customFormat="1" x14ac:dyDescent="0.2"/>
    <row r="6862" s="2043" customFormat="1" x14ac:dyDescent="0.2"/>
    <row r="6863" s="2043" customFormat="1" x14ac:dyDescent="0.2"/>
    <row r="6864" s="2043" customFormat="1" x14ac:dyDescent="0.2"/>
    <row r="6865" s="2043" customFormat="1" x14ac:dyDescent="0.2"/>
    <row r="6866" s="2043" customFormat="1" x14ac:dyDescent="0.2"/>
    <row r="6867" s="2043" customFormat="1" x14ac:dyDescent="0.2"/>
    <row r="6868" s="2043" customFormat="1" x14ac:dyDescent="0.2"/>
    <row r="6869" s="2043" customFormat="1" x14ac:dyDescent="0.2"/>
    <row r="6870" s="2043" customFormat="1" x14ac:dyDescent="0.2"/>
    <row r="6871" s="2043" customFormat="1" x14ac:dyDescent="0.2"/>
    <row r="6872" s="2043" customFormat="1" x14ac:dyDescent="0.2"/>
    <row r="6873" s="2043" customFormat="1" x14ac:dyDescent="0.2"/>
    <row r="6874" s="2043" customFormat="1" x14ac:dyDescent="0.2"/>
    <row r="6875" s="2043" customFormat="1" x14ac:dyDescent="0.2"/>
    <row r="6876" s="2043" customFormat="1" x14ac:dyDescent="0.2"/>
    <row r="6877" s="2043" customFormat="1" x14ac:dyDescent="0.2"/>
    <row r="6878" s="2043" customFormat="1" x14ac:dyDescent="0.2"/>
    <row r="6879" s="2043" customFormat="1" x14ac:dyDescent="0.2"/>
    <row r="6880" s="2043" customFormat="1" x14ac:dyDescent="0.2"/>
    <row r="6881" s="2043" customFormat="1" x14ac:dyDescent="0.2"/>
    <row r="6882" s="2043" customFormat="1" x14ac:dyDescent="0.2"/>
    <row r="6883" s="2043" customFormat="1" x14ac:dyDescent="0.2"/>
    <row r="6884" s="2043" customFormat="1" x14ac:dyDescent="0.2"/>
    <row r="6885" s="2043" customFormat="1" x14ac:dyDescent="0.2"/>
    <row r="6886" s="2043" customFormat="1" x14ac:dyDescent="0.2"/>
    <row r="6887" s="2043" customFormat="1" x14ac:dyDescent="0.2"/>
    <row r="6888" s="2043" customFormat="1" x14ac:dyDescent="0.2"/>
    <row r="6889" s="2043" customFormat="1" x14ac:dyDescent="0.2"/>
    <row r="6890" s="2043" customFormat="1" x14ac:dyDescent="0.2"/>
    <row r="6891" s="2043" customFormat="1" x14ac:dyDescent="0.2"/>
    <row r="6892" s="2043" customFormat="1" x14ac:dyDescent="0.2"/>
    <row r="6893" s="2043" customFormat="1" x14ac:dyDescent="0.2"/>
    <row r="6894" s="2043" customFormat="1" x14ac:dyDescent="0.2"/>
    <row r="6895" s="2043" customFormat="1" x14ac:dyDescent="0.2"/>
    <row r="6896" s="2043" customFormat="1" x14ac:dyDescent="0.2"/>
    <row r="6897" s="2043" customFormat="1" x14ac:dyDescent="0.2"/>
    <row r="6898" s="2043" customFormat="1" x14ac:dyDescent="0.2"/>
    <row r="6899" s="2043" customFormat="1" x14ac:dyDescent="0.2"/>
    <row r="6900" s="2043" customFormat="1" x14ac:dyDescent="0.2"/>
    <row r="6901" s="2043" customFormat="1" x14ac:dyDescent="0.2"/>
    <row r="6902" s="2043" customFormat="1" x14ac:dyDescent="0.2"/>
    <row r="6903" s="2043" customFormat="1" x14ac:dyDescent="0.2"/>
    <row r="6904" s="2043" customFormat="1" x14ac:dyDescent="0.2"/>
    <row r="6905" s="2043" customFormat="1" x14ac:dyDescent="0.2"/>
    <row r="6906" s="2043" customFormat="1" x14ac:dyDescent="0.2"/>
    <row r="6907" s="2043" customFormat="1" x14ac:dyDescent="0.2"/>
    <row r="6908" s="2043" customFormat="1" x14ac:dyDescent="0.2"/>
    <row r="6909" s="2043" customFormat="1" x14ac:dyDescent="0.2"/>
    <row r="6910" s="2043" customFormat="1" x14ac:dyDescent="0.2"/>
    <row r="6911" s="2043" customFormat="1" x14ac:dyDescent="0.2"/>
    <row r="6912" s="2043" customFormat="1" x14ac:dyDescent="0.2"/>
    <row r="6913" s="2043" customFormat="1" x14ac:dyDescent="0.2"/>
    <row r="6914" s="2043" customFormat="1" x14ac:dyDescent="0.2"/>
    <row r="6915" s="2043" customFormat="1" x14ac:dyDescent="0.2"/>
    <row r="6916" s="2043" customFormat="1" x14ac:dyDescent="0.2"/>
    <row r="6917" s="2043" customFormat="1" x14ac:dyDescent="0.2"/>
    <row r="6918" s="2043" customFormat="1" x14ac:dyDescent="0.2"/>
    <row r="6919" s="2043" customFormat="1" x14ac:dyDescent="0.2"/>
    <row r="6920" s="2043" customFormat="1" x14ac:dyDescent="0.2"/>
    <row r="6921" s="2043" customFormat="1" x14ac:dyDescent="0.2"/>
    <row r="6922" s="2043" customFormat="1" x14ac:dyDescent="0.2"/>
    <row r="6923" s="2043" customFormat="1" x14ac:dyDescent="0.2"/>
    <row r="6924" s="2043" customFormat="1" x14ac:dyDescent="0.2"/>
    <row r="6925" s="2043" customFormat="1" x14ac:dyDescent="0.2"/>
    <row r="6926" s="2043" customFormat="1" x14ac:dyDescent="0.2"/>
    <row r="6927" s="2043" customFormat="1" x14ac:dyDescent="0.2"/>
    <row r="6928" s="2043" customFormat="1" x14ac:dyDescent="0.2"/>
    <row r="6929" s="2043" customFormat="1" x14ac:dyDescent="0.2"/>
    <row r="6930" s="2043" customFormat="1" x14ac:dyDescent="0.2"/>
    <row r="6931" s="2043" customFormat="1" x14ac:dyDescent="0.2"/>
    <row r="6932" s="2043" customFormat="1" x14ac:dyDescent="0.2"/>
    <row r="6933" s="2043" customFormat="1" x14ac:dyDescent="0.2"/>
    <row r="6934" s="2043" customFormat="1" x14ac:dyDescent="0.2"/>
    <row r="6935" s="2043" customFormat="1" x14ac:dyDescent="0.2"/>
    <row r="6936" s="2043" customFormat="1" x14ac:dyDescent="0.2"/>
    <row r="6937" s="2043" customFormat="1" x14ac:dyDescent="0.2"/>
    <row r="6938" s="2043" customFormat="1" x14ac:dyDescent="0.2"/>
    <row r="6939" s="2043" customFormat="1" x14ac:dyDescent="0.2"/>
    <row r="6940" s="2043" customFormat="1" x14ac:dyDescent="0.2"/>
    <row r="6941" s="2043" customFormat="1" x14ac:dyDescent="0.2"/>
    <row r="6942" s="2043" customFormat="1" x14ac:dyDescent="0.2"/>
    <row r="6943" s="2043" customFormat="1" x14ac:dyDescent="0.2"/>
    <row r="6944" s="2043" customFormat="1" x14ac:dyDescent="0.2"/>
    <row r="6945" s="2043" customFormat="1" x14ac:dyDescent="0.2"/>
    <row r="6946" s="2043" customFormat="1" x14ac:dyDescent="0.2"/>
    <row r="6947" s="2043" customFormat="1" x14ac:dyDescent="0.2"/>
    <row r="6948" s="2043" customFormat="1" x14ac:dyDescent="0.2"/>
    <row r="6949" s="2043" customFormat="1" x14ac:dyDescent="0.2"/>
    <row r="6950" s="2043" customFormat="1" x14ac:dyDescent="0.2"/>
    <row r="6951" s="2043" customFormat="1" x14ac:dyDescent="0.2"/>
    <row r="6952" s="2043" customFormat="1" x14ac:dyDescent="0.2"/>
    <row r="6953" s="2043" customFormat="1" x14ac:dyDescent="0.2"/>
    <row r="6954" s="2043" customFormat="1" x14ac:dyDescent="0.2"/>
    <row r="6955" s="2043" customFormat="1" x14ac:dyDescent="0.2"/>
    <row r="6956" s="2043" customFormat="1" x14ac:dyDescent="0.2"/>
    <row r="6957" s="2043" customFormat="1" x14ac:dyDescent="0.2"/>
    <row r="6958" s="2043" customFormat="1" x14ac:dyDescent="0.2"/>
    <row r="6959" s="2043" customFormat="1" x14ac:dyDescent="0.2"/>
    <row r="6960" s="2043" customFormat="1" x14ac:dyDescent="0.2"/>
    <row r="6961" s="2043" customFormat="1" x14ac:dyDescent="0.2"/>
    <row r="6962" s="2043" customFormat="1" x14ac:dyDescent="0.2"/>
    <row r="6963" s="2043" customFormat="1" x14ac:dyDescent="0.2"/>
    <row r="6964" s="2043" customFormat="1" x14ac:dyDescent="0.2"/>
    <row r="6965" s="2043" customFormat="1" x14ac:dyDescent="0.2"/>
    <row r="6966" s="2043" customFormat="1" x14ac:dyDescent="0.2"/>
    <row r="6967" s="2043" customFormat="1" x14ac:dyDescent="0.2"/>
    <row r="6968" s="2043" customFormat="1" x14ac:dyDescent="0.2"/>
    <row r="6969" s="2043" customFormat="1" x14ac:dyDescent="0.2"/>
    <row r="6970" s="2043" customFormat="1" x14ac:dyDescent="0.2"/>
    <row r="6971" s="2043" customFormat="1" x14ac:dyDescent="0.2"/>
    <row r="6972" s="2043" customFormat="1" x14ac:dyDescent="0.2"/>
    <row r="6973" s="2043" customFormat="1" x14ac:dyDescent="0.2"/>
    <row r="6974" s="2043" customFormat="1" x14ac:dyDescent="0.2"/>
    <row r="6975" s="2043" customFormat="1" x14ac:dyDescent="0.2"/>
    <row r="6976" s="2043" customFormat="1" x14ac:dyDescent="0.2"/>
    <row r="6977" s="2043" customFormat="1" x14ac:dyDescent="0.2"/>
    <row r="6978" s="2043" customFormat="1" x14ac:dyDescent="0.2"/>
    <row r="6979" s="2043" customFormat="1" x14ac:dyDescent="0.2"/>
    <row r="6980" s="2043" customFormat="1" x14ac:dyDescent="0.2"/>
    <row r="6981" s="2043" customFormat="1" x14ac:dyDescent="0.2"/>
    <row r="6982" s="2043" customFormat="1" x14ac:dyDescent="0.2"/>
    <row r="6983" s="2043" customFormat="1" x14ac:dyDescent="0.2"/>
    <row r="6984" s="2043" customFormat="1" x14ac:dyDescent="0.2"/>
    <row r="6985" s="2043" customFormat="1" x14ac:dyDescent="0.2"/>
    <row r="6986" s="2043" customFormat="1" x14ac:dyDescent="0.2"/>
    <row r="6987" s="2043" customFormat="1" x14ac:dyDescent="0.2"/>
    <row r="6988" s="2043" customFormat="1" x14ac:dyDescent="0.2"/>
    <row r="6989" s="2043" customFormat="1" x14ac:dyDescent="0.2"/>
    <row r="6990" s="2043" customFormat="1" x14ac:dyDescent="0.2"/>
    <row r="6991" s="2043" customFormat="1" x14ac:dyDescent="0.2"/>
    <row r="6992" s="2043" customFormat="1" x14ac:dyDescent="0.2"/>
    <row r="6993" s="2043" customFormat="1" x14ac:dyDescent="0.2"/>
    <row r="6994" s="2043" customFormat="1" x14ac:dyDescent="0.2"/>
    <row r="6995" s="2043" customFormat="1" x14ac:dyDescent="0.2"/>
    <row r="6996" s="2043" customFormat="1" x14ac:dyDescent="0.2"/>
    <row r="6997" s="2043" customFormat="1" x14ac:dyDescent="0.2"/>
    <row r="6998" s="2043" customFormat="1" x14ac:dyDescent="0.2"/>
    <row r="6999" s="2043" customFormat="1" x14ac:dyDescent="0.2"/>
    <row r="7000" s="2043" customFormat="1" x14ac:dyDescent="0.2"/>
    <row r="7001" s="2043" customFormat="1" x14ac:dyDescent="0.2"/>
    <row r="7002" s="2043" customFormat="1" x14ac:dyDescent="0.2"/>
    <row r="7003" s="2043" customFormat="1" x14ac:dyDescent="0.2"/>
    <row r="7004" s="2043" customFormat="1" x14ac:dyDescent="0.2"/>
    <row r="7005" s="2043" customFormat="1" x14ac:dyDescent="0.2"/>
    <row r="7006" s="2043" customFormat="1" x14ac:dyDescent="0.2"/>
    <row r="7007" s="2043" customFormat="1" x14ac:dyDescent="0.2"/>
    <row r="7008" s="2043" customFormat="1" x14ac:dyDescent="0.2"/>
    <row r="7009" s="2043" customFormat="1" x14ac:dyDescent="0.2"/>
    <row r="7010" s="2043" customFormat="1" x14ac:dyDescent="0.2"/>
    <row r="7011" s="2043" customFormat="1" x14ac:dyDescent="0.2"/>
    <row r="7012" s="2043" customFormat="1" x14ac:dyDescent="0.2"/>
    <row r="7013" s="2043" customFormat="1" x14ac:dyDescent="0.2"/>
    <row r="7014" s="2043" customFormat="1" x14ac:dyDescent="0.2"/>
    <row r="7015" s="2043" customFormat="1" x14ac:dyDescent="0.2"/>
    <row r="7016" s="2043" customFormat="1" x14ac:dyDescent="0.2"/>
    <row r="7017" s="2043" customFormat="1" x14ac:dyDescent="0.2"/>
    <row r="7018" s="2043" customFormat="1" x14ac:dyDescent="0.2"/>
    <row r="7019" s="2043" customFormat="1" x14ac:dyDescent="0.2"/>
    <row r="7020" s="2043" customFormat="1" x14ac:dyDescent="0.2"/>
    <row r="7021" s="2043" customFormat="1" x14ac:dyDescent="0.2"/>
    <row r="7022" s="2043" customFormat="1" x14ac:dyDescent="0.2"/>
    <row r="7023" s="2043" customFormat="1" x14ac:dyDescent="0.2"/>
    <row r="7024" s="2043" customFormat="1" x14ac:dyDescent="0.2"/>
    <row r="7025" s="2043" customFormat="1" x14ac:dyDescent="0.2"/>
    <row r="7026" s="2043" customFormat="1" x14ac:dyDescent="0.2"/>
    <row r="7027" s="2043" customFormat="1" x14ac:dyDescent="0.2"/>
    <row r="7028" s="2043" customFormat="1" x14ac:dyDescent="0.2"/>
    <row r="7029" s="2043" customFormat="1" x14ac:dyDescent="0.2"/>
    <row r="7030" s="2043" customFormat="1" x14ac:dyDescent="0.2"/>
    <row r="7031" s="2043" customFormat="1" x14ac:dyDescent="0.2"/>
    <row r="7032" s="2043" customFormat="1" x14ac:dyDescent="0.2"/>
    <row r="7033" s="2043" customFormat="1" x14ac:dyDescent="0.2"/>
    <row r="7034" s="2043" customFormat="1" x14ac:dyDescent="0.2"/>
    <row r="7035" s="2043" customFormat="1" x14ac:dyDescent="0.2"/>
    <row r="7036" s="2043" customFormat="1" x14ac:dyDescent="0.2"/>
    <row r="7037" s="2043" customFormat="1" x14ac:dyDescent="0.2"/>
    <row r="7038" s="2043" customFormat="1" x14ac:dyDescent="0.2"/>
    <row r="7039" s="2043" customFormat="1" x14ac:dyDescent="0.2"/>
    <row r="7040" s="2043" customFormat="1" x14ac:dyDescent="0.2"/>
    <row r="7041" s="2043" customFormat="1" x14ac:dyDescent="0.2"/>
    <row r="7042" s="2043" customFormat="1" x14ac:dyDescent="0.2"/>
    <row r="7043" s="2043" customFormat="1" x14ac:dyDescent="0.2"/>
    <row r="7044" s="2043" customFormat="1" x14ac:dyDescent="0.2"/>
    <row r="7045" s="2043" customFormat="1" x14ac:dyDescent="0.2"/>
    <row r="7046" s="2043" customFormat="1" x14ac:dyDescent="0.2"/>
    <row r="7047" s="2043" customFormat="1" x14ac:dyDescent="0.2"/>
    <row r="7048" s="2043" customFormat="1" x14ac:dyDescent="0.2"/>
    <row r="7049" s="2043" customFormat="1" x14ac:dyDescent="0.2"/>
    <row r="7050" s="2043" customFormat="1" x14ac:dyDescent="0.2"/>
    <row r="7051" s="2043" customFormat="1" x14ac:dyDescent="0.2"/>
    <row r="7052" s="2043" customFormat="1" x14ac:dyDescent="0.2"/>
    <row r="7053" s="2043" customFormat="1" x14ac:dyDescent="0.2"/>
    <row r="7054" s="2043" customFormat="1" x14ac:dyDescent="0.2"/>
    <row r="7055" s="2043" customFormat="1" x14ac:dyDescent="0.2"/>
    <row r="7056" s="2043" customFormat="1" x14ac:dyDescent="0.2"/>
    <row r="7057" s="2043" customFormat="1" x14ac:dyDescent="0.2"/>
    <row r="7058" s="2043" customFormat="1" x14ac:dyDescent="0.2"/>
    <row r="7059" s="2043" customFormat="1" x14ac:dyDescent="0.2"/>
    <row r="7060" s="2043" customFormat="1" x14ac:dyDescent="0.2"/>
    <row r="7061" s="2043" customFormat="1" x14ac:dyDescent="0.2"/>
    <row r="7062" s="2043" customFormat="1" x14ac:dyDescent="0.2"/>
    <row r="7063" s="2043" customFormat="1" x14ac:dyDescent="0.2"/>
    <row r="7064" s="2043" customFormat="1" x14ac:dyDescent="0.2"/>
    <row r="7065" s="2043" customFormat="1" x14ac:dyDescent="0.2"/>
    <row r="7066" s="2043" customFormat="1" x14ac:dyDescent="0.2"/>
    <row r="7067" s="2043" customFormat="1" x14ac:dyDescent="0.2"/>
    <row r="7068" s="2043" customFormat="1" x14ac:dyDescent="0.2"/>
    <row r="7069" s="2043" customFormat="1" x14ac:dyDescent="0.2"/>
    <row r="7070" s="2043" customFormat="1" x14ac:dyDescent="0.2"/>
    <row r="7071" s="2043" customFormat="1" x14ac:dyDescent="0.2"/>
    <row r="7072" s="2043" customFormat="1" x14ac:dyDescent="0.2"/>
    <row r="7073" s="2043" customFormat="1" x14ac:dyDescent="0.2"/>
    <row r="7074" s="2043" customFormat="1" x14ac:dyDescent="0.2"/>
    <row r="7075" s="2043" customFormat="1" x14ac:dyDescent="0.2"/>
    <row r="7076" s="2043" customFormat="1" x14ac:dyDescent="0.2"/>
    <row r="7077" s="2043" customFormat="1" x14ac:dyDescent="0.2"/>
    <row r="7078" s="2043" customFormat="1" x14ac:dyDescent="0.2"/>
    <row r="7079" s="2043" customFormat="1" x14ac:dyDescent="0.2"/>
    <row r="7080" s="2043" customFormat="1" x14ac:dyDescent="0.2"/>
    <row r="7081" s="2043" customFormat="1" x14ac:dyDescent="0.2"/>
    <row r="7082" s="2043" customFormat="1" x14ac:dyDescent="0.2"/>
    <row r="7083" s="2043" customFormat="1" x14ac:dyDescent="0.2"/>
    <row r="7084" s="2043" customFormat="1" x14ac:dyDescent="0.2"/>
    <row r="7085" s="2043" customFormat="1" x14ac:dyDescent="0.2"/>
    <row r="7086" s="2043" customFormat="1" x14ac:dyDescent="0.2"/>
    <row r="7087" s="2043" customFormat="1" x14ac:dyDescent="0.2"/>
    <row r="7088" s="2043" customFormat="1" x14ac:dyDescent="0.2"/>
    <row r="7089" s="2043" customFormat="1" x14ac:dyDescent="0.2"/>
    <row r="7090" s="2043" customFormat="1" x14ac:dyDescent="0.2"/>
    <row r="7091" s="2043" customFormat="1" x14ac:dyDescent="0.2"/>
    <row r="7092" s="2043" customFormat="1" x14ac:dyDescent="0.2"/>
    <row r="7093" s="2043" customFormat="1" x14ac:dyDescent="0.2"/>
    <row r="7094" s="2043" customFormat="1" x14ac:dyDescent="0.2"/>
    <row r="7095" s="2043" customFormat="1" x14ac:dyDescent="0.2"/>
    <row r="7096" s="2043" customFormat="1" x14ac:dyDescent="0.2"/>
    <row r="7097" s="2043" customFormat="1" x14ac:dyDescent="0.2"/>
    <row r="7098" s="2043" customFormat="1" x14ac:dyDescent="0.2"/>
    <row r="7099" s="2043" customFormat="1" x14ac:dyDescent="0.2"/>
    <row r="7100" s="2043" customFormat="1" x14ac:dyDescent="0.2"/>
    <row r="7101" s="2043" customFormat="1" x14ac:dyDescent="0.2"/>
    <row r="7102" s="2043" customFormat="1" x14ac:dyDescent="0.2"/>
    <row r="7103" s="2043" customFormat="1" x14ac:dyDescent="0.2"/>
    <row r="7104" s="2043" customFormat="1" x14ac:dyDescent="0.2"/>
    <row r="7105" s="2043" customFormat="1" x14ac:dyDescent="0.2"/>
    <row r="7106" s="2043" customFormat="1" x14ac:dyDescent="0.2"/>
    <row r="7107" s="2043" customFormat="1" x14ac:dyDescent="0.2"/>
    <row r="7108" s="2043" customFormat="1" x14ac:dyDescent="0.2"/>
    <row r="7109" s="2043" customFormat="1" x14ac:dyDescent="0.2"/>
    <row r="7110" s="2043" customFormat="1" x14ac:dyDescent="0.2"/>
    <row r="7111" s="2043" customFormat="1" x14ac:dyDescent="0.2"/>
    <row r="7112" s="2043" customFormat="1" x14ac:dyDescent="0.2"/>
    <row r="7113" s="2043" customFormat="1" x14ac:dyDescent="0.2"/>
    <row r="7114" s="2043" customFormat="1" x14ac:dyDescent="0.2"/>
    <row r="7115" s="2043" customFormat="1" x14ac:dyDescent="0.2"/>
    <row r="7116" s="2043" customFormat="1" x14ac:dyDescent="0.2"/>
    <row r="7117" s="2043" customFormat="1" x14ac:dyDescent="0.2"/>
    <row r="7118" s="2043" customFormat="1" x14ac:dyDescent="0.2"/>
    <row r="7119" s="2043" customFormat="1" x14ac:dyDescent="0.2"/>
    <row r="7120" s="2043" customFormat="1" x14ac:dyDescent="0.2"/>
    <row r="7121" s="2043" customFormat="1" x14ac:dyDescent="0.2"/>
    <row r="7122" s="2043" customFormat="1" x14ac:dyDescent="0.2"/>
    <row r="7123" s="2043" customFormat="1" x14ac:dyDescent="0.2"/>
    <row r="7124" s="2043" customFormat="1" x14ac:dyDescent="0.2"/>
    <row r="7125" s="2043" customFormat="1" x14ac:dyDescent="0.2"/>
    <row r="7126" s="2043" customFormat="1" x14ac:dyDescent="0.2"/>
    <row r="7127" s="2043" customFormat="1" x14ac:dyDescent="0.2"/>
    <row r="7128" s="2043" customFormat="1" x14ac:dyDescent="0.2"/>
    <row r="7129" s="2043" customFormat="1" x14ac:dyDescent="0.2"/>
    <row r="7130" s="2043" customFormat="1" x14ac:dyDescent="0.2"/>
    <row r="7131" s="2043" customFormat="1" x14ac:dyDescent="0.2"/>
    <row r="7132" s="2043" customFormat="1" x14ac:dyDescent="0.2"/>
    <row r="7133" s="2043" customFormat="1" x14ac:dyDescent="0.2"/>
    <row r="7134" s="2043" customFormat="1" x14ac:dyDescent="0.2"/>
    <row r="7135" s="2043" customFormat="1" x14ac:dyDescent="0.2"/>
    <row r="7136" s="2043" customFormat="1" x14ac:dyDescent="0.2"/>
    <row r="7137" s="2043" customFormat="1" x14ac:dyDescent="0.2"/>
    <row r="7138" s="2043" customFormat="1" x14ac:dyDescent="0.2"/>
    <row r="7139" s="2043" customFormat="1" x14ac:dyDescent="0.2"/>
    <row r="7140" s="2043" customFormat="1" x14ac:dyDescent="0.2"/>
    <row r="7141" s="2043" customFormat="1" x14ac:dyDescent="0.2"/>
    <row r="7142" s="2043" customFormat="1" x14ac:dyDescent="0.2"/>
    <row r="7143" s="2043" customFormat="1" x14ac:dyDescent="0.2"/>
    <row r="7144" s="2043" customFormat="1" x14ac:dyDescent="0.2"/>
    <row r="7145" s="2043" customFormat="1" x14ac:dyDescent="0.2"/>
    <row r="7146" s="2043" customFormat="1" x14ac:dyDescent="0.2"/>
    <row r="7147" s="2043" customFormat="1" x14ac:dyDescent="0.2"/>
    <row r="7148" s="2043" customFormat="1" x14ac:dyDescent="0.2"/>
    <row r="7149" s="2043" customFormat="1" x14ac:dyDescent="0.2"/>
    <row r="7150" s="2043" customFormat="1" x14ac:dyDescent="0.2"/>
    <row r="7151" s="2043" customFormat="1" x14ac:dyDescent="0.2"/>
    <row r="7152" s="2043" customFormat="1" x14ac:dyDescent="0.2"/>
    <row r="7153" s="2043" customFormat="1" x14ac:dyDescent="0.2"/>
    <row r="7154" s="2043" customFormat="1" x14ac:dyDescent="0.2"/>
    <row r="7155" s="2043" customFormat="1" x14ac:dyDescent="0.2"/>
    <row r="7156" s="2043" customFormat="1" x14ac:dyDescent="0.2"/>
    <row r="7157" s="2043" customFormat="1" x14ac:dyDescent="0.2"/>
    <row r="7158" s="2043" customFormat="1" x14ac:dyDescent="0.2"/>
    <row r="7159" s="2043" customFormat="1" x14ac:dyDescent="0.2"/>
    <row r="7160" s="2043" customFormat="1" x14ac:dyDescent="0.2"/>
    <row r="7161" s="2043" customFormat="1" x14ac:dyDescent="0.2"/>
    <row r="7162" s="2043" customFormat="1" x14ac:dyDescent="0.2"/>
    <row r="7163" s="2043" customFormat="1" x14ac:dyDescent="0.2"/>
    <row r="7164" s="2043" customFormat="1" x14ac:dyDescent="0.2"/>
    <row r="7165" s="2043" customFormat="1" x14ac:dyDescent="0.2"/>
    <row r="7166" s="2043" customFormat="1" x14ac:dyDescent="0.2"/>
    <row r="7167" s="2043" customFormat="1" x14ac:dyDescent="0.2"/>
    <row r="7168" s="2043" customFormat="1" x14ac:dyDescent="0.2"/>
    <row r="7169" s="2043" customFormat="1" x14ac:dyDescent="0.2"/>
    <row r="7170" s="2043" customFormat="1" x14ac:dyDescent="0.2"/>
    <row r="7171" s="2043" customFormat="1" x14ac:dyDescent="0.2"/>
    <row r="7172" s="2043" customFormat="1" x14ac:dyDescent="0.2"/>
    <row r="7173" s="2043" customFormat="1" x14ac:dyDescent="0.2"/>
    <row r="7174" s="2043" customFormat="1" x14ac:dyDescent="0.2"/>
    <row r="7175" s="2043" customFormat="1" x14ac:dyDescent="0.2"/>
    <row r="7176" s="2043" customFormat="1" x14ac:dyDescent="0.2"/>
    <row r="7177" s="2043" customFormat="1" x14ac:dyDescent="0.2"/>
    <row r="7178" s="2043" customFormat="1" x14ac:dyDescent="0.2"/>
    <row r="7179" s="2043" customFormat="1" x14ac:dyDescent="0.2"/>
    <row r="7180" s="2043" customFormat="1" x14ac:dyDescent="0.2"/>
    <row r="7181" s="2043" customFormat="1" x14ac:dyDescent="0.2"/>
    <row r="7182" s="2043" customFormat="1" x14ac:dyDescent="0.2"/>
    <row r="7183" s="2043" customFormat="1" x14ac:dyDescent="0.2"/>
    <row r="7184" s="2043" customFormat="1" x14ac:dyDescent="0.2"/>
    <row r="7185" s="2043" customFormat="1" x14ac:dyDescent="0.2"/>
    <row r="7186" s="2043" customFormat="1" x14ac:dyDescent="0.2"/>
    <row r="7187" s="2043" customFormat="1" x14ac:dyDescent="0.2"/>
    <row r="7188" s="2043" customFormat="1" x14ac:dyDescent="0.2"/>
    <row r="7189" s="2043" customFormat="1" x14ac:dyDescent="0.2"/>
    <row r="7190" s="2043" customFormat="1" x14ac:dyDescent="0.2"/>
    <row r="7191" s="2043" customFormat="1" x14ac:dyDescent="0.2"/>
    <row r="7192" s="2043" customFormat="1" x14ac:dyDescent="0.2"/>
    <row r="7193" s="2043" customFormat="1" x14ac:dyDescent="0.2"/>
    <row r="7194" s="2043" customFormat="1" x14ac:dyDescent="0.2"/>
    <row r="7195" s="2043" customFormat="1" x14ac:dyDescent="0.2"/>
    <row r="7196" s="2043" customFormat="1" x14ac:dyDescent="0.2"/>
    <row r="7197" s="2043" customFormat="1" x14ac:dyDescent="0.2"/>
    <row r="7198" s="2043" customFormat="1" x14ac:dyDescent="0.2"/>
    <row r="7199" s="2043" customFormat="1" x14ac:dyDescent="0.2"/>
    <row r="7200" s="2043" customFormat="1" x14ac:dyDescent="0.2"/>
    <row r="7201" s="2043" customFormat="1" x14ac:dyDescent="0.2"/>
    <row r="7202" s="2043" customFormat="1" x14ac:dyDescent="0.2"/>
    <row r="7203" s="2043" customFormat="1" x14ac:dyDescent="0.2"/>
    <row r="7204" s="2043" customFormat="1" x14ac:dyDescent="0.2"/>
    <row r="7205" s="2043" customFormat="1" x14ac:dyDescent="0.2"/>
    <row r="7206" s="2043" customFormat="1" x14ac:dyDescent="0.2"/>
    <row r="7207" s="2043" customFormat="1" x14ac:dyDescent="0.2"/>
    <row r="7208" s="2043" customFormat="1" x14ac:dyDescent="0.2"/>
    <row r="7209" s="2043" customFormat="1" x14ac:dyDescent="0.2"/>
    <row r="7210" s="2043" customFormat="1" x14ac:dyDescent="0.2"/>
    <row r="7211" s="2043" customFormat="1" x14ac:dyDescent="0.2"/>
    <row r="7212" s="2043" customFormat="1" x14ac:dyDescent="0.2"/>
    <row r="7213" s="2043" customFormat="1" x14ac:dyDescent="0.2"/>
    <row r="7214" s="2043" customFormat="1" x14ac:dyDescent="0.2"/>
    <row r="7215" s="2043" customFormat="1" x14ac:dyDescent="0.2"/>
    <row r="7216" s="2043" customFormat="1" x14ac:dyDescent="0.2"/>
    <row r="7217" s="2043" customFormat="1" x14ac:dyDescent="0.2"/>
    <row r="7218" s="2043" customFormat="1" x14ac:dyDescent="0.2"/>
    <row r="7219" s="2043" customFormat="1" x14ac:dyDescent="0.2"/>
    <row r="7220" s="2043" customFormat="1" x14ac:dyDescent="0.2"/>
    <row r="7221" s="2043" customFormat="1" x14ac:dyDescent="0.2"/>
    <row r="7222" s="2043" customFormat="1" x14ac:dyDescent="0.2"/>
    <row r="7223" s="2043" customFormat="1" x14ac:dyDescent="0.2"/>
    <row r="7224" s="2043" customFormat="1" x14ac:dyDescent="0.2"/>
    <row r="7225" s="2043" customFormat="1" x14ac:dyDescent="0.2"/>
    <row r="7226" s="2043" customFormat="1" x14ac:dyDescent="0.2"/>
    <row r="7227" s="2043" customFormat="1" x14ac:dyDescent="0.2"/>
    <row r="7228" s="2043" customFormat="1" x14ac:dyDescent="0.2"/>
    <row r="7229" s="2043" customFormat="1" x14ac:dyDescent="0.2"/>
    <row r="7230" s="2043" customFormat="1" x14ac:dyDescent="0.2"/>
    <row r="7231" s="2043" customFormat="1" x14ac:dyDescent="0.2"/>
    <row r="7232" s="2043" customFormat="1" x14ac:dyDescent="0.2"/>
    <row r="7233" s="2043" customFormat="1" x14ac:dyDescent="0.2"/>
    <row r="7234" s="2043" customFormat="1" x14ac:dyDescent="0.2"/>
    <row r="7235" s="2043" customFormat="1" x14ac:dyDescent="0.2"/>
    <row r="7236" s="2043" customFormat="1" x14ac:dyDescent="0.2"/>
    <row r="7237" s="2043" customFormat="1" x14ac:dyDescent="0.2"/>
    <row r="7238" s="2043" customFormat="1" x14ac:dyDescent="0.2"/>
    <row r="7239" s="2043" customFormat="1" x14ac:dyDescent="0.2"/>
    <row r="7240" s="2043" customFormat="1" x14ac:dyDescent="0.2"/>
    <row r="7241" s="2043" customFormat="1" x14ac:dyDescent="0.2"/>
    <row r="7242" s="2043" customFormat="1" x14ac:dyDescent="0.2"/>
    <row r="7243" s="2043" customFormat="1" x14ac:dyDescent="0.2"/>
    <row r="7244" s="2043" customFormat="1" x14ac:dyDescent="0.2"/>
    <row r="7245" s="2043" customFormat="1" x14ac:dyDescent="0.2"/>
    <row r="7246" s="2043" customFormat="1" x14ac:dyDescent="0.2"/>
    <row r="7247" s="2043" customFormat="1" x14ac:dyDescent="0.2"/>
    <row r="7248" s="2043" customFormat="1" x14ac:dyDescent="0.2"/>
    <row r="7249" s="2043" customFormat="1" x14ac:dyDescent="0.2"/>
    <row r="7250" s="2043" customFormat="1" x14ac:dyDescent="0.2"/>
    <row r="7251" s="2043" customFormat="1" x14ac:dyDescent="0.2"/>
    <row r="7252" s="2043" customFormat="1" x14ac:dyDescent="0.2"/>
    <row r="7253" s="2043" customFormat="1" x14ac:dyDescent="0.2"/>
    <row r="7254" s="2043" customFormat="1" x14ac:dyDescent="0.2"/>
    <row r="7255" s="2043" customFormat="1" x14ac:dyDescent="0.2"/>
    <row r="7256" s="2043" customFormat="1" x14ac:dyDescent="0.2"/>
    <row r="7257" s="2043" customFormat="1" x14ac:dyDescent="0.2"/>
    <row r="7258" s="2043" customFormat="1" x14ac:dyDescent="0.2"/>
    <row r="7259" s="2043" customFormat="1" x14ac:dyDescent="0.2"/>
    <row r="7260" s="2043" customFormat="1" x14ac:dyDescent="0.2"/>
    <row r="7261" s="2043" customFormat="1" x14ac:dyDescent="0.2"/>
    <row r="7262" s="2043" customFormat="1" x14ac:dyDescent="0.2"/>
    <row r="7263" s="2043" customFormat="1" x14ac:dyDescent="0.2"/>
    <row r="7264" s="2043" customFormat="1" x14ac:dyDescent="0.2"/>
    <row r="7265" s="2043" customFormat="1" x14ac:dyDescent="0.2"/>
    <row r="7266" s="2043" customFormat="1" x14ac:dyDescent="0.2"/>
    <row r="7267" s="2043" customFormat="1" x14ac:dyDescent="0.2"/>
    <row r="7268" s="2043" customFormat="1" x14ac:dyDescent="0.2"/>
    <row r="7269" s="2043" customFormat="1" x14ac:dyDescent="0.2"/>
    <row r="7270" s="2043" customFormat="1" x14ac:dyDescent="0.2"/>
    <row r="7271" s="2043" customFormat="1" x14ac:dyDescent="0.2"/>
    <row r="7272" s="2043" customFormat="1" x14ac:dyDescent="0.2"/>
    <row r="7273" s="2043" customFormat="1" x14ac:dyDescent="0.2"/>
    <row r="7274" s="2043" customFormat="1" x14ac:dyDescent="0.2"/>
    <row r="7275" s="2043" customFormat="1" x14ac:dyDescent="0.2"/>
    <row r="7276" s="2043" customFormat="1" x14ac:dyDescent="0.2"/>
    <row r="7277" s="2043" customFormat="1" x14ac:dyDescent="0.2"/>
    <row r="7278" s="2043" customFormat="1" x14ac:dyDescent="0.2"/>
    <row r="7279" s="2043" customFormat="1" x14ac:dyDescent="0.2"/>
    <row r="7280" s="2043" customFormat="1" x14ac:dyDescent="0.2"/>
    <row r="7281" s="2043" customFormat="1" x14ac:dyDescent="0.2"/>
    <row r="7282" s="2043" customFormat="1" x14ac:dyDescent="0.2"/>
    <row r="7283" s="2043" customFormat="1" x14ac:dyDescent="0.2"/>
    <row r="7284" s="2043" customFormat="1" x14ac:dyDescent="0.2"/>
    <row r="7285" s="2043" customFormat="1" x14ac:dyDescent="0.2"/>
    <row r="7286" s="2043" customFormat="1" x14ac:dyDescent="0.2"/>
    <row r="7287" s="2043" customFormat="1" x14ac:dyDescent="0.2"/>
    <row r="7288" s="2043" customFormat="1" x14ac:dyDescent="0.2"/>
    <row r="7289" s="2043" customFormat="1" x14ac:dyDescent="0.2"/>
    <row r="7290" s="2043" customFormat="1" x14ac:dyDescent="0.2"/>
    <row r="7291" s="2043" customFormat="1" x14ac:dyDescent="0.2"/>
    <row r="7292" s="2043" customFormat="1" x14ac:dyDescent="0.2"/>
    <row r="7293" s="2043" customFormat="1" x14ac:dyDescent="0.2"/>
    <row r="7294" s="2043" customFormat="1" x14ac:dyDescent="0.2"/>
    <row r="7295" s="2043" customFormat="1" x14ac:dyDescent="0.2"/>
    <row r="7296" s="2043" customFormat="1" x14ac:dyDescent="0.2"/>
    <row r="7297" s="2043" customFormat="1" x14ac:dyDescent="0.2"/>
    <row r="7298" s="2043" customFormat="1" x14ac:dyDescent="0.2"/>
    <row r="7299" s="2043" customFormat="1" x14ac:dyDescent="0.2"/>
    <row r="7300" s="2043" customFormat="1" x14ac:dyDescent="0.2"/>
    <row r="7301" s="2043" customFormat="1" x14ac:dyDescent="0.2"/>
    <row r="7302" s="2043" customFormat="1" x14ac:dyDescent="0.2"/>
    <row r="7303" s="2043" customFormat="1" x14ac:dyDescent="0.2"/>
    <row r="7304" s="2043" customFormat="1" x14ac:dyDescent="0.2"/>
    <row r="7305" s="2043" customFormat="1" x14ac:dyDescent="0.2"/>
    <row r="7306" s="2043" customFormat="1" x14ac:dyDescent="0.2"/>
    <row r="7307" s="2043" customFormat="1" x14ac:dyDescent="0.2"/>
    <row r="7308" s="2043" customFormat="1" x14ac:dyDescent="0.2"/>
    <row r="7309" s="2043" customFormat="1" x14ac:dyDescent="0.2"/>
    <row r="7310" s="2043" customFormat="1" x14ac:dyDescent="0.2"/>
    <row r="7311" s="2043" customFormat="1" x14ac:dyDescent="0.2"/>
    <row r="7312" s="2043" customFormat="1" x14ac:dyDescent="0.2"/>
    <row r="7313" s="2043" customFormat="1" x14ac:dyDescent="0.2"/>
    <row r="7314" s="2043" customFormat="1" x14ac:dyDescent="0.2"/>
    <row r="7315" s="2043" customFormat="1" x14ac:dyDescent="0.2"/>
    <row r="7316" s="2043" customFormat="1" x14ac:dyDescent="0.2"/>
    <row r="7317" s="2043" customFormat="1" x14ac:dyDescent="0.2"/>
    <row r="7318" s="2043" customFormat="1" x14ac:dyDescent="0.2"/>
    <row r="7319" s="2043" customFormat="1" x14ac:dyDescent="0.2"/>
    <row r="7320" s="2043" customFormat="1" x14ac:dyDescent="0.2"/>
    <row r="7321" s="2043" customFormat="1" x14ac:dyDescent="0.2"/>
    <row r="7322" s="2043" customFormat="1" x14ac:dyDescent="0.2"/>
    <row r="7323" s="2043" customFormat="1" x14ac:dyDescent="0.2"/>
    <row r="7324" s="2043" customFormat="1" x14ac:dyDescent="0.2"/>
    <row r="7325" s="2043" customFormat="1" x14ac:dyDescent="0.2"/>
    <row r="7326" s="2043" customFormat="1" x14ac:dyDescent="0.2"/>
    <row r="7327" s="2043" customFormat="1" x14ac:dyDescent="0.2"/>
    <row r="7328" s="2043" customFormat="1" x14ac:dyDescent="0.2"/>
    <row r="7329" s="2043" customFormat="1" x14ac:dyDescent="0.2"/>
    <row r="7330" s="2043" customFormat="1" x14ac:dyDescent="0.2"/>
    <row r="7331" s="2043" customFormat="1" x14ac:dyDescent="0.2"/>
    <row r="7332" s="2043" customFormat="1" x14ac:dyDescent="0.2"/>
    <row r="7333" s="2043" customFormat="1" x14ac:dyDescent="0.2"/>
    <row r="7334" s="2043" customFormat="1" x14ac:dyDescent="0.2"/>
    <row r="7335" s="2043" customFormat="1" x14ac:dyDescent="0.2"/>
    <row r="7336" s="2043" customFormat="1" x14ac:dyDescent="0.2"/>
    <row r="7337" s="2043" customFormat="1" x14ac:dyDescent="0.2"/>
    <row r="7338" s="2043" customFormat="1" x14ac:dyDescent="0.2"/>
    <row r="7339" s="2043" customFormat="1" x14ac:dyDescent="0.2"/>
    <row r="7340" s="2043" customFormat="1" x14ac:dyDescent="0.2"/>
    <row r="7341" s="2043" customFormat="1" x14ac:dyDescent="0.2"/>
    <row r="7342" s="2043" customFormat="1" x14ac:dyDescent="0.2"/>
    <row r="7343" s="2043" customFormat="1" x14ac:dyDescent="0.2"/>
    <row r="7344" s="2043" customFormat="1" x14ac:dyDescent="0.2"/>
    <row r="7345" s="2043" customFormat="1" x14ac:dyDescent="0.2"/>
    <row r="7346" s="2043" customFormat="1" x14ac:dyDescent="0.2"/>
    <row r="7347" s="2043" customFormat="1" x14ac:dyDescent="0.2"/>
    <row r="7348" s="2043" customFormat="1" x14ac:dyDescent="0.2"/>
    <row r="7349" s="2043" customFormat="1" x14ac:dyDescent="0.2"/>
    <row r="7350" s="2043" customFormat="1" x14ac:dyDescent="0.2"/>
    <row r="7351" s="2043" customFormat="1" x14ac:dyDescent="0.2"/>
    <row r="7352" s="2043" customFormat="1" x14ac:dyDescent="0.2"/>
    <row r="7353" s="2043" customFormat="1" x14ac:dyDescent="0.2"/>
    <row r="7354" s="2043" customFormat="1" x14ac:dyDescent="0.2"/>
    <row r="7355" s="2043" customFormat="1" x14ac:dyDescent="0.2"/>
    <row r="7356" s="2043" customFormat="1" x14ac:dyDescent="0.2"/>
    <row r="7357" s="2043" customFormat="1" x14ac:dyDescent="0.2"/>
    <row r="7358" s="2043" customFormat="1" x14ac:dyDescent="0.2"/>
    <row r="7359" s="2043" customFormat="1" x14ac:dyDescent="0.2"/>
    <row r="7360" s="2043" customFormat="1" x14ac:dyDescent="0.2"/>
    <row r="7361" s="2043" customFormat="1" x14ac:dyDescent="0.2"/>
    <row r="7362" s="2043" customFormat="1" x14ac:dyDescent="0.2"/>
    <row r="7363" s="2043" customFormat="1" x14ac:dyDescent="0.2"/>
    <row r="7364" s="2043" customFormat="1" x14ac:dyDescent="0.2"/>
    <row r="7365" s="2043" customFormat="1" x14ac:dyDescent="0.2"/>
    <row r="7366" s="2043" customFormat="1" x14ac:dyDescent="0.2"/>
    <row r="7367" s="2043" customFormat="1" x14ac:dyDescent="0.2"/>
    <row r="7368" s="2043" customFormat="1" x14ac:dyDescent="0.2"/>
    <row r="7369" s="2043" customFormat="1" x14ac:dyDescent="0.2"/>
    <row r="7370" s="2043" customFormat="1" x14ac:dyDescent="0.2"/>
    <row r="7371" s="2043" customFormat="1" x14ac:dyDescent="0.2"/>
    <row r="7372" s="2043" customFormat="1" x14ac:dyDescent="0.2"/>
    <row r="7373" s="2043" customFormat="1" x14ac:dyDescent="0.2"/>
    <row r="7374" s="2043" customFormat="1" x14ac:dyDescent="0.2"/>
    <row r="7375" s="2043" customFormat="1" x14ac:dyDescent="0.2"/>
    <row r="7376" s="2043" customFormat="1" x14ac:dyDescent="0.2"/>
    <row r="7377" s="2043" customFormat="1" x14ac:dyDescent="0.2"/>
    <row r="7378" s="2043" customFormat="1" x14ac:dyDescent="0.2"/>
    <row r="7379" s="2043" customFormat="1" x14ac:dyDescent="0.2"/>
    <row r="7380" s="2043" customFormat="1" x14ac:dyDescent="0.2"/>
    <row r="7381" s="2043" customFormat="1" x14ac:dyDescent="0.2"/>
    <row r="7382" s="2043" customFormat="1" x14ac:dyDescent="0.2"/>
    <row r="7383" s="2043" customFormat="1" x14ac:dyDescent="0.2"/>
    <row r="7384" s="2043" customFormat="1" x14ac:dyDescent="0.2"/>
    <row r="7385" s="2043" customFormat="1" x14ac:dyDescent="0.2"/>
    <row r="7386" s="2043" customFormat="1" x14ac:dyDescent="0.2"/>
    <row r="7387" s="2043" customFormat="1" x14ac:dyDescent="0.2"/>
    <row r="7388" s="2043" customFormat="1" x14ac:dyDescent="0.2"/>
    <row r="7389" s="2043" customFormat="1" x14ac:dyDescent="0.2"/>
    <row r="7390" s="2043" customFormat="1" x14ac:dyDescent="0.2"/>
    <row r="7391" s="2043" customFormat="1" x14ac:dyDescent="0.2"/>
    <row r="7392" s="2043" customFormat="1" x14ac:dyDescent="0.2"/>
    <row r="7393" s="2043" customFormat="1" x14ac:dyDescent="0.2"/>
    <row r="7394" s="2043" customFormat="1" x14ac:dyDescent="0.2"/>
    <row r="7395" s="2043" customFormat="1" x14ac:dyDescent="0.2"/>
    <row r="7396" s="2043" customFormat="1" x14ac:dyDescent="0.2"/>
    <row r="7397" s="2043" customFormat="1" x14ac:dyDescent="0.2"/>
    <row r="7398" s="2043" customFormat="1" x14ac:dyDescent="0.2"/>
    <row r="7399" s="2043" customFormat="1" x14ac:dyDescent="0.2"/>
    <row r="7400" s="2043" customFormat="1" x14ac:dyDescent="0.2"/>
    <row r="7401" s="2043" customFormat="1" x14ac:dyDescent="0.2"/>
    <row r="7402" s="2043" customFormat="1" x14ac:dyDescent="0.2"/>
    <row r="7403" s="2043" customFormat="1" x14ac:dyDescent="0.2"/>
    <row r="7404" s="2043" customFormat="1" x14ac:dyDescent="0.2"/>
    <row r="7405" s="2043" customFormat="1" x14ac:dyDescent="0.2"/>
    <row r="7406" s="2043" customFormat="1" x14ac:dyDescent="0.2"/>
    <row r="7407" s="2043" customFormat="1" x14ac:dyDescent="0.2"/>
    <row r="7408" s="2043" customFormat="1" x14ac:dyDescent="0.2"/>
    <row r="7409" s="2043" customFormat="1" x14ac:dyDescent="0.2"/>
    <row r="7410" s="2043" customFormat="1" x14ac:dyDescent="0.2"/>
    <row r="7411" s="2043" customFormat="1" x14ac:dyDescent="0.2"/>
    <row r="7412" s="2043" customFormat="1" x14ac:dyDescent="0.2"/>
    <row r="7413" s="2043" customFormat="1" x14ac:dyDescent="0.2"/>
    <row r="7414" s="2043" customFormat="1" x14ac:dyDescent="0.2"/>
    <row r="7415" s="2043" customFormat="1" x14ac:dyDescent="0.2"/>
    <row r="7416" s="2043" customFormat="1" x14ac:dyDescent="0.2"/>
    <row r="7417" s="2043" customFormat="1" x14ac:dyDescent="0.2"/>
    <row r="7418" s="2043" customFormat="1" x14ac:dyDescent="0.2"/>
    <row r="7419" s="2043" customFormat="1" x14ac:dyDescent="0.2"/>
    <row r="7420" s="2043" customFormat="1" x14ac:dyDescent="0.2"/>
    <row r="7421" s="2043" customFormat="1" x14ac:dyDescent="0.2"/>
    <row r="7422" s="2043" customFormat="1" x14ac:dyDescent="0.2"/>
    <row r="7423" s="2043" customFormat="1" x14ac:dyDescent="0.2"/>
    <row r="7424" s="2043" customFormat="1" x14ac:dyDescent="0.2"/>
    <row r="7425" s="2043" customFormat="1" x14ac:dyDescent="0.2"/>
    <row r="7426" s="2043" customFormat="1" x14ac:dyDescent="0.2"/>
    <row r="7427" s="2043" customFormat="1" x14ac:dyDescent="0.2"/>
    <row r="7428" s="2043" customFormat="1" x14ac:dyDescent="0.2"/>
    <row r="7429" s="2043" customFormat="1" x14ac:dyDescent="0.2"/>
    <row r="7430" s="2043" customFormat="1" x14ac:dyDescent="0.2"/>
    <row r="7431" s="2043" customFormat="1" x14ac:dyDescent="0.2"/>
    <row r="7432" s="2043" customFormat="1" x14ac:dyDescent="0.2"/>
    <row r="7433" s="2043" customFormat="1" x14ac:dyDescent="0.2"/>
    <row r="7434" s="2043" customFormat="1" x14ac:dyDescent="0.2"/>
    <row r="7435" s="2043" customFormat="1" x14ac:dyDescent="0.2"/>
    <row r="7436" s="2043" customFormat="1" x14ac:dyDescent="0.2"/>
    <row r="7437" s="2043" customFormat="1" x14ac:dyDescent="0.2"/>
    <row r="7438" s="2043" customFormat="1" x14ac:dyDescent="0.2"/>
    <row r="7439" s="2043" customFormat="1" x14ac:dyDescent="0.2"/>
    <row r="7440" s="2043" customFormat="1" x14ac:dyDescent="0.2"/>
    <row r="7441" s="2043" customFormat="1" x14ac:dyDescent="0.2"/>
    <row r="7442" s="2043" customFormat="1" x14ac:dyDescent="0.2"/>
    <row r="7443" s="2043" customFormat="1" x14ac:dyDescent="0.2"/>
    <row r="7444" s="2043" customFormat="1" x14ac:dyDescent="0.2"/>
    <row r="7445" s="2043" customFormat="1" x14ac:dyDescent="0.2"/>
    <row r="7446" s="2043" customFormat="1" x14ac:dyDescent="0.2"/>
    <row r="7447" s="2043" customFormat="1" x14ac:dyDescent="0.2"/>
    <row r="7448" s="2043" customFormat="1" x14ac:dyDescent="0.2"/>
    <row r="7449" s="2043" customFormat="1" x14ac:dyDescent="0.2"/>
    <row r="7450" s="2043" customFormat="1" x14ac:dyDescent="0.2"/>
    <row r="7451" s="2043" customFormat="1" x14ac:dyDescent="0.2"/>
    <row r="7452" s="2043" customFormat="1" x14ac:dyDescent="0.2"/>
    <row r="7453" s="2043" customFormat="1" x14ac:dyDescent="0.2"/>
    <row r="7454" s="2043" customFormat="1" x14ac:dyDescent="0.2"/>
    <row r="7455" s="2043" customFormat="1" x14ac:dyDescent="0.2"/>
    <row r="7456" s="2043" customFormat="1" x14ac:dyDescent="0.2"/>
    <row r="7457" s="2043" customFormat="1" x14ac:dyDescent="0.2"/>
    <row r="7458" s="2043" customFormat="1" x14ac:dyDescent="0.2"/>
    <row r="7459" s="2043" customFormat="1" x14ac:dyDescent="0.2"/>
    <row r="7460" s="2043" customFormat="1" x14ac:dyDescent="0.2"/>
    <row r="7461" s="2043" customFormat="1" x14ac:dyDescent="0.2"/>
    <row r="7462" s="2043" customFormat="1" x14ac:dyDescent="0.2"/>
    <row r="7463" s="2043" customFormat="1" x14ac:dyDescent="0.2"/>
    <row r="7464" s="2043" customFormat="1" x14ac:dyDescent="0.2"/>
    <row r="7465" s="2043" customFormat="1" x14ac:dyDescent="0.2"/>
    <row r="7466" s="2043" customFormat="1" x14ac:dyDescent="0.2"/>
    <row r="7467" s="2043" customFormat="1" x14ac:dyDescent="0.2"/>
    <row r="7468" s="2043" customFormat="1" x14ac:dyDescent="0.2"/>
    <row r="7469" s="2043" customFormat="1" x14ac:dyDescent="0.2"/>
    <row r="7470" s="2043" customFormat="1" x14ac:dyDescent="0.2"/>
    <row r="7471" s="2043" customFormat="1" x14ac:dyDescent="0.2"/>
    <row r="7472" s="2043" customFormat="1" x14ac:dyDescent="0.2"/>
    <row r="7473" s="2043" customFormat="1" x14ac:dyDescent="0.2"/>
    <row r="7474" s="2043" customFormat="1" x14ac:dyDescent="0.2"/>
    <row r="7475" s="2043" customFormat="1" x14ac:dyDescent="0.2"/>
    <row r="7476" s="2043" customFormat="1" x14ac:dyDescent="0.2"/>
    <row r="7477" s="2043" customFormat="1" x14ac:dyDescent="0.2"/>
    <row r="7478" s="2043" customFormat="1" x14ac:dyDescent="0.2"/>
    <row r="7479" s="2043" customFormat="1" x14ac:dyDescent="0.2"/>
    <row r="7480" s="2043" customFormat="1" x14ac:dyDescent="0.2"/>
    <row r="7481" s="2043" customFormat="1" x14ac:dyDescent="0.2"/>
    <row r="7482" s="2043" customFormat="1" x14ac:dyDescent="0.2"/>
    <row r="7483" s="2043" customFormat="1" x14ac:dyDescent="0.2"/>
    <row r="7484" s="2043" customFormat="1" x14ac:dyDescent="0.2"/>
    <row r="7485" s="2043" customFormat="1" x14ac:dyDescent="0.2"/>
    <row r="7486" s="2043" customFormat="1" x14ac:dyDescent="0.2"/>
    <row r="7487" s="2043" customFormat="1" x14ac:dyDescent="0.2"/>
    <row r="7488" s="2043" customFormat="1" x14ac:dyDescent="0.2"/>
    <row r="7489" s="2043" customFormat="1" x14ac:dyDescent="0.2"/>
    <row r="7490" s="2043" customFormat="1" x14ac:dyDescent="0.2"/>
    <row r="7491" s="2043" customFormat="1" x14ac:dyDescent="0.2"/>
    <row r="7492" s="2043" customFormat="1" x14ac:dyDescent="0.2"/>
    <row r="7493" s="2043" customFormat="1" x14ac:dyDescent="0.2"/>
    <row r="7494" s="2043" customFormat="1" x14ac:dyDescent="0.2"/>
    <row r="7495" s="2043" customFormat="1" x14ac:dyDescent="0.2"/>
    <row r="7496" s="2043" customFormat="1" x14ac:dyDescent="0.2"/>
    <row r="7497" s="2043" customFormat="1" x14ac:dyDescent="0.2"/>
    <row r="7498" s="2043" customFormat="1" x14ac:dyDescent="0.2"/>
    <row r="7499" s="2043" customFormat="1" x14ac:dyDescent="0.2"/>
    <row r="7500" s="2043" customFormat="1" x14ac:dyDescent="0.2"/>
    <row r="7501" s="2043" customFormat="1" x14ac:dyDescent="0.2"/>
    <row r="7502" s="2043" customFormat="1" x14ac:dyDescent="0.2"/>
    <row r="7503" s="2043" customFormat="1" x14ac:dyDescent="0.2"/>
    <row r="7504" s="2043" customFormat="1" x14ac:dyDescent="0.2"/>
    <row r="7505" s="2043" customFormat="1" x14ac:dyDescent="0.2"/>
    <row r="7506" s="2043" customFormat="1" x14ac:dyDescent="0.2"/>
    <row r="7507" s="2043" customFormat="1" x14ac:dyDescent="0.2"/>
    <row r="7508" s="2043" customFormat="1" x14ac:dyDescent="0.2"/>
    <row r="7509" s="2043" customFormat="1" x14ac:dyDescent="0.2"/>
    <row r="7510" s="2043" customFormat="1" x14ac:dyDescent="0.2"/>
    <row r="7511" s="2043" customFormat="1" x14ac:dyDescent="0.2"/>
    <row r="7512" s="2043" customFormat="1" x14ac:dyDescent="0.2"/>
    <row r="7513" s="2043" customFormat="1" x14ac:dyDescent="0.2"/>
    <row r="7514" s="2043" customFormat="1" x14ac:dyDescent="0.2"/>
    <row r="7515" s="2043" customFormat="1" x14ac:dyDescent="0.2"/>
    <row r="7516" s="2043" customFormat="1" x14ac:dyDescent="0.2"/>
    <row r="7517" s="2043" customFormat="1" x14ac:dyDescent="0.2"/>
    <row r="7518" s="2043" customFormat="1" x14ac:dyDescent="0.2"/>
    <row r="7519" s="2043" customFormat="1" x14ac:dyDescent="0.2"/>
    <row r="7520" s="2043" customFormat="1" x14ac:dyDescent="0.2"/>
    <row r="7521" s="2043" customFormat="1" x14ac:dyDescent="0.2"/>
    <row r="7522" s="2043" customFormat="1" x14ac:dyDescent="0.2"/>
    <row r="7523" s="2043" customFormat="1" x14ac:dyDescent="0.2"/>
    <row r="7524" s="2043" customFormat="1" x14ac:dyDescent="0.2"/>
    <row r="7525" s="2043" customFormat="1" x14ac:dyDescent="0.2"/>
    <row r="7526" s="2043" customFormat="1" x14ac:dyDescent="0.2"/>
    <row r="7527" s="2043" customFormat="1" x14ac:dyDescent="0.2"/>
    <row r="7528" s="2043" customFormat="1" x14ac:dyDescent="0.2"/>
    <row r="7529" s="2043" customFormat="1" x14ac:dyDescent="0.2"/>
    <row r="7530" s="2043" customFormat="1" x14ac:dyDescent="0.2"/>
    <row r="7531" s="2043" customFormat="1" x14ac:dyDescent="0.2"/>
    <row r="7532" s="2043" customFormat="1" x14ac:dyDescent="0.2"/>
    <row r="7533" s="2043" customFormat="1" x14ac:dyDescent="0.2"/>
    <row r="7534" s="2043" customFormat="1" x14ac:dyDescent="0.2"/>
    <row r="7535" s="2043" customFormat="1" x14ac:dyDescent="0.2"/>
    <row r="7536" s="2043" customFormat="1" x14ac:dyDescent="0.2"/>
    <row r="7537" s="2043" customFormat="1" x14ac:dyDescent="0.2"/>
    <row r="7538" s="2043" customFormat="1" x14ac:dyDescent="0.2"/>
    <row r="7539" s="2043" customFormat="1" x14ac:dyDescent="0.2"/>
    <row r="7540" s="2043" customFormat="1" x14ac:dyDescent="0.2"/>
    <row r="7541" s="2043" customFormat="1" x14ac:dyDescent="0.2"/>
    <row r="7542" s="2043" customFormat="1" x14ac:dyDescent="0.2"/>
    <row r="7543" s="2043" customFormat="1" x14ac:dyDescent="0.2"/>
    <row r="7544" s="2043" customFormat="1" x14ac:dyDescent="0.2"/>
    <row r="7545" s="2043" customFormat="1" x14ac:dyDescent="0.2"/>
    <row r="7546" s="2043" customFormat="1" x14ac:dyDescent="0.2"/>
    <row r="7547" s="2043" customFormat="1" x14ac:dyDescent="0.2"/>
    <row r="7548" s="2043" customFormat="1" x14ac:dyDescent="0.2"/>
    <row r="7549" s="2043" customFormat="1" x14ac:dyDescent="0.2"/>
    <row r="7550" s="2043" customFormat="1" x14ac:dyDescent="0.2"/>
    <row r="7551" s="2043" customFormat="1" x14ac:dyDescent="0.2"/>
    <row r="7552" s="2043" customFormat="1" x14ac:dyDescent="0.2"/>
    <row r="7553" s="2043" customFormat="1" x14ac:dyDescent="0.2"/>
    <row r="7554" s="2043" customFormat="1" x14ac:dyDescent="0.2"/>
    <row r="7555" s="2043" customFormat="1" x14ac:dyDescent="0.2"/>
    <row r="7556" s="2043" customFormat="1" x14ac:dyDescent="0.2"/>
    <row r="7557" s="2043" customFormat="1" x14ac:dyDescent="0.2"/>
    <row r="7558" s="2043" customFormat="1" x14ac:dyDescent="0.2"/>
    <row r="7559" s="2043" customFormat="1" x14ac:dyDescent="0.2"/>
    <row r="7560" s="2043" customFormat="1" x14ac:dyDescent="0.2"/>
    <row r="7561" s="2043" customFormat="1" x14ac:dyDescent="0.2"/>
    <row r="7562" s="2043" customFormat="1" x14ac:dyDescent="0.2"/>
    <row r="7563" s="2043" customFormat="1" x14ac:dyDescent="0.2"/>
    <row r="7564" s="2043" customFormat="1" x14ac:dyDescent="0.2"/>
    <row r="7565" s="2043" customFormat="1" x14ac:dyDescent="0.2"/>
    <row r="7566" s="2043" customFormat="1" x14ac:dyDescent="0.2"/>
    <row r="7567" s="2043" customFormat="1" x14ac:dyDescent="0.2"/>
    <row r="7568" s="2043" customFormat="1" x14ac:dyDescent="0.2"/>
    <row r="7569" s="2043" customFormat="1" x14ac:dyDescent="0.2"/>
    <row r="7570" s="2043" customFormat="1" x14ac:dyDescent="0.2"/>
    <row r="7571" s="2043" customFormat="1" x14ac:dyDescent="0.2"/>
    <row r="7572" s="2043" customFormat="1" x14ac:dyDescent="0.2"/>
    <row r="7573" s="2043" customFormat="1" x14ac:dyDescent="0.2"/>
    <row r="7574" s="2043" customFormat="1" x14ac:dyDescent="0.2"/>
    <row r="7575" s="2043" customFormat="1" x14ac:dyDescent="0.2"/>
    <row r="7576" s="2043" customFormat="1" x14ac:dyDescent="0.2"/>
    <row r="7577" s="2043" customFormat="1" x14ac:dyDescent="0.2"/>
    <row r="7578" s="2043" customFormat="1" x14ac:dyDescent="0.2"/>
    <row r="7579" s="2043" customFormat="1" x14ac:dyDescent="0.2"/>
    <row r="7580" s="2043" customFormat="1" x14ac:dyDescent="0.2"/>
    <row r="7581" s="2043" customFormat="1" x14ac:dyDescent="0.2"/>
    <row r="7582" s="2043" customFormat="1" x14ac:dyDescent="0.2"/>
    <row r="7583" s="2043" customFormat="1" x14ac:dyDescent="0.2"/>
    <row r="7584" s="2043" customFormat="1" x14ac:dyDescent="0.2"/>
    <row r="7585" s="2043" customFormat="1" x14ac:dyDescent="0.2"/>
    <row r="7586" s="2043" customFormat="1" x14ac:dyDescent="0.2"/>
    <row r="7587" s="2043" customFormat="1" x14ac:dyDescent="0.2"/>
    <row r="7588" s="2043" customFormat="1" x14ac:dyDescent="0.2"/>
    <row r="7589" s="2043" customFormat="1" x14ac:dyDescent="0.2"/>
    <row r="7590" s="2043" customFormat="1" x14ac:dyDescent="0.2"/>
    <row r="7591" s="2043" customFormat="1" x14ac:dyDescent="0.2"/>
    <row r="7592" s="2043" customFormat="1" x14ac:dyDescent="0.2"/>
    <row r="7593" s="2043" customFormat="1" x14ac:dyDescent="0.2"/>
    <row r="7594" s="2043" customFormat="1" x14ac:dyDescent="0.2"/>
    <row r="7595" s="2043" customFormat="1" x14ac:dyDescent="0.2"/>
    <row r="7596" s="2043" customFormat="1" x14ac:dyDescent="0.2"/>
    <row r="7597" s="2043" customFormat="1" x14ac:dyDescent="0.2"/>
    <row r="7598" s="2043" customFormat="1" x14ac:dyDescent="0.2"/>
    <row r="7599" s="2043" customFormat="1" x14ac:dyDescent="0.2"/>
    <row r="7600" s="2043" customFormat="1" x14ac:dyDescent="0.2"/>
    <row r="7601" s="2043" customFormat="1" x14ac:dyDescent="0.2"/>
    <row r="7602" s="2043" customFormat="1" x14ac:dyDescent="0.2"/>
    <row r="7603" s="2043" customFormat="1" x14ac:dyDescent="0.2"/>
    <row r="7604" s="2043" customFormat="1" x14ac:dyDescent="0.2"/>
    <row r="7605" s="2043" customFormat="1" x14ac:dyDescent="0.2"/>
    <row r="7606" s="2043" customFormat="1" x14ac:dyDescent="0.2"/>
    <row r="7607" s="2043" customFormat="1" x14ac:dyDescent="0.2"/>
    <row r="7608" s="2043" customFormat="1" x14ac:dyDescent="0.2"/>
    <row r="7609" s="2043" customFormat="1" x14ac:dyDescent="0.2"/>
    <row r="7610" s="2043" customFormat="1" x14ac:dyDescent="0.2"/>
    <row r="7611" s="2043" customFormat="1" x14ac:dyDescent="0.2"/>
    <row r="7612" s="2043" customFormat="1" x14ac:dyDescent="0.2"/>
    <row r="7613" s="2043" customFormat="1" x14ac:dyDescent="0.2"/>
    <row r="7614" s="2043" customFormat="1" x14ac:dyDescent="0.2"/>
    <row r="7615" s="2043" customFormat="1" x14ac:dyDescent="0.2"/>
    <row r="7616" s="2043" customFormat="1" x14ac:dyDescent="0.2"/>
    <row r="7617" s="2043" customFormat="1" x14ac:dyDescent="0.2"/>
    <row r="7618" s="2043" customFormat="1" x14ac:dyDescent="0.2"/>
    <row r="7619" s="2043" customFormat="1" x14ac:dyDescent="0.2"/>
    <row r="7620" s="2043" customFormat="1" x14ac:dyDescent="0.2"/>
    <row r="7621" s="2043" customFormat="1" x14ac:dyDescent="0.2"/>
    <row r="7622" s="2043" customFormat="1" x14ac:dyDescent="0.2"/>
    <row r="7623" s="2043" customFormat="1" x14ac:dyDescent="0.2"/>
    <row r="7624" s="2043" customFormat="1" x14ac:dyDescent="0.2"/>
    <row r="7625" s="2043" customFormat="1" x14ac:dyDescent="0.2"/>
    <row r="7626" s="2043" customFormat="1" x14ac:dyDescent="0.2"/>
    <row r="7627" s="2043" customFormat="1" x14ac:dyDescent="0.2"/>
    <row r="7628" s="2043" customFormat="1" x14ac:dyDescent="0.2"/>
    <row r="7629" s="2043" customFormat="1" x14ac:dyDescent="0.2"/>
    <row r="7630" s="2043" customFormat="1" x14ac:dyDescent="0.2"/>
    <row r="7631" s="2043" customFormat="1" x14ac:dyDescent="0.2"/>
    <row r="7632" s="2043" customFormat="1" x14ac:dyDescent="0.2"/>
    <row r="7633" s="2043" customFormat="1" x14ac:dyDescent="0.2"/>
    <row r="7634" s="2043" customFormat="1" x14ac:dyDescent="0.2"/>
    <row r="7635" s="2043" customFormat="1" x14ac:dyDescent="0.2"/>
    <row r="7636" s="2043" customFormat="1" x14ac:dyDescent="0.2"/>
    <row r="7637" s="2043" customFormat="1" x14ac:dyDescent="0.2"/>
    <row r="7638" s="2043" customFormat="1" x14ac:dyDescent="0.2"/>
    <row r="7639" s="2043" customFormat="1" x14ac:dyDescent="0.2"/>
    <row r="7640" s="2043" customFormat="1" x14ac:dyDescent="0.2"/>
    <row r="7641" s="2043" customFormat="1" x14ac:dyDescent="0.2"/>
    <row r="7642" s="2043" customFormat="1" x14ac:dyDescent="0.2"/>
    <row r="7643" s="2043" customFormat="1" x14ac:dyDescent="0.2"/>
    <row r="7644" s="2043" customFormat="1" x14ac:dyDescent="0.2"/>
    <row r="7645" s="2043" customFormat="1" x14ac:dyDescent="0.2"/>
    <row r="7646" s="2043" customFormat="1" x14ac:dyDescent="0.2"/>
    <row r="7647" s="2043" customFormat="1" x14ac:dyDescent="0.2"/>
    <row r="7648" s="2043" customFormat="1" x14ac:dyDescent="0.2"/>
    <row r="7649" s="2043" customFormat="1" x14ac:dyDescent="0.2"/>
    <row r="7650" s="2043" customFormat="1" x14ac:dyDescent="0.2"/>
    <row r="7651" s="2043" customFormat="1" x14ac:dyDescent="0.2"/>
    <row r="7652" s="2043" customFormat="1" x14ac:dyDescent="0.2"/>
    <row r="7653" s="2043" customFormat="1" x14ac:dyDescent="0.2"/>
    <row r="7654" s="2043" customFormat="1" x14ac:dyDescent="0.2"/>
    <row r="7655" s="2043" customFormat="1" x14ac:dyDescent="0.2"/>
    <row r="7656" s="2043" customFormat="1" x14ac:dyDescent="0.2"/>
    <row r="7657" s="2043" customFormat="1" x14ac:dyDescent="0.2"/>
    <row r="7658" s="2043" customFormat="1" x14ac:dyDescent="0.2"/>
    <row r="7659" s="2043" customFormat="1" x14ac:dyDescent="0.2"/>
    <row r="7660" s="2043" customFormat="1" x14ac:dyDescent="0.2"/>
    <row r="7661" s="2043" customFormat="1" x14ac:dyDescent="0.2"/>
    <row r="7662" s="2043" customFormat="1" x14ac:dyDescent="0.2"/>
    <row r="7663" s="2043" customFormat="1" x14ac:dyDescent="0.2"/>
    <row r="7664" s="2043" customFormat="1" x14ac:dyDescent="0.2"/>
    <row r="7665" s="2043" customFormat="1" x14ac:dyDescent="0.2"/>
    <row r="7666" s="2043" customFormat="1" x14ac:dyDescent="0.2"/>
    <row r="7667" s="2043" customFormat="1" x14ac:dyDescent="0.2"/>
    <row r="7668" s="2043" customFormat="1" x14ac:dyDescent="0.2"/>
    <row r="7669" s="2043" customFormat="1" x14ac:dyDescent="0.2"/>
    <row r="7670" s="2043" customFormat="1" x14ac:dyDescent="0.2"/>
    <row r="7671" s="2043" customFormat="1" x14ac:dyDescent="0.2"/>
    <row r="7672" s="2043" customFormat="1" x14ac:dyDescent="0.2"/>
    <row r="7673" s="2043" customFormat="1" x14ac:dyDescent="0.2"/>
    <row r="7674" s="2043" customFormat="1" x14ac:dyDescent="0.2"/>
    <row r="7675" s="2043" customFormat="1" x14ac:dyDescent="0.2"/>
    <row r="7676" s="2043" customFormat="1" x14ac:dyDescent="0.2"/>
    <row r="7677" s="2043" customFormat="1" x14ac:dyDescent="0.2"/>
    <row r="7678" s="2043" customFormat="1" x14ac:dyDescent="0.2"/>
    <row r="7679" s="2043" customFormat="1" x14ac:dyDescent="0.2"/>
    <row r="7680" s="2043" customFormat="1" x14ac:dyDescent="0.2"/>
    <row r="7681" s="2043" customFormat="1" x14ac:dyDescent="0.2"/>
    <row r="7682" s="2043" customFormat="1" x14ac:dyDescent="0.2"/>
    <row r="7683" s="2043" customFormat="1" x14ac:dyDescent="0.2"/>
    <row r="7684" s="2043" customFormat="1" x14ac:dyDescent="0.2"/>
    <row r="7685" s="2043" customFormat="1" x14ac:dyDescent="0.2"/>
    <row r="7686" s="2043" customFormat="1" x14ac:dyDescent="0.2"/>
    <row r="7687" s="2043" customFormat="1" x14ac:dyDescent="0.2"/>
    <row r="7688" s="2043" customFormat="1" x14ac:dyDescent="0.2"/>
    <row r="7689" s="2043" customFormat="1" x14ac:dyDescent="0.2"/>
    <row r="7690" s="2043" customFormat="1" x14ac:dyDescent="0.2"/>
    <row r="7691" s="2043" customFormat="1" x14ac:dyDescent="0.2"/>
    <row r="7692" s="2043" customFormat="1" x14ac:dyDescent="0.2"/>
    <row r="7693" s="2043" customFormat="1" x14ac:dyDescent="0.2"/>
    <row r="7694" s="2043" customFormat="1" x14ac:dyDescent="0.2"/>
    <row r="7695" s="2043" customFormat="1" x14ac:dyDescent="0.2"/>
    <row r="7696" s="2043" customFormat="1" x14ac:dyDescent="0.2"/>
    <row r="7697" s="2043" customFormat="1" x14ac:dyDescent="0.2"/>
    <row r="7698" s="2043" customFormat="1" x14ac:dyDescent="0.2"/>
    <row r="7699" s="2043" customFormat="1" x14ac:dyDescent="0.2"/>
    <row r="7700" s="2043" customFormat="1" x14ac:dyDescent="0.2"/>
    <row r="7701" s="2043" customFormat="1" x14ac:dyDescent="0.2"/>
    <row r="7702" s="2043" customFormat="1" x14ac:dyDescent="0.2"/>
    <row r="7703" s="2043" customFormat="1" x14ac:dyDescent="0.2"/>
    <row r="7704" s="2043" customFormat="1" x14ac:dyDescent="0.2"/>
    <row r="7705" s="2043" customFormat="1" x14ac:dyDescent="0.2"/>
    <row r="7706" s="2043" customFormat="1" x14ac:dyDescent="0.2"/>
    <row r="7707" s="2043" customFormat="1" x14ac:dyDescent="0.2"/>
    <row r="7708" s="2043" customFormat="1" x14ac:dyDescent="0.2"/>
    <row r="7709" s="2043" customFormat="1" x14ac:dyDescent="0.2"/>
    <row r="7710" s="2043" customFormat="1" x14ac:dyDescent="0.2"/>
    <row r="7711" s="2043" customFormat="1" x14ac:dyDescent="0.2"/>
    <row r="7712" s="2043" customFormat="1" x14ac:dyDescent="0.2"/>
    <row r="7713" s="2043" customFormat="1" x14ac:dyDescent="0.2"/>
    <row r="7714" s="2043" customFormat="1" x14ac:dyDescent="0.2"/>
    <row r="7715" s="2043" customFormat="1" x14ac:dyDescent="0.2"/>
    <row r="7716" s="2043" customFormat="1" x14ac:dyDescent="0.2"/>
    <row r="7717" s="2043" customFormat="1" x14ac:dyDescent="0.2"/>
    <row r="7718" s="2043" customFormat="1" x14ac:dyDescent="0.2"/>
    <row r="7719" s="2043" customFormat="1" x14ac:dyDescent="0.2"/>
    <row r="7720" s="2043" customFormat="1" x14ac:dyDescent="0.2"/>
    <row r="7721" s="2043" customFormat="1" x14ac:dyDescent="0.2"/>
    <row r="7722" s="2043" customFormat="1" x14ac:dyDescent="0.2"/>
    <row r="7723" s="2043" customFormat="1" x14ac:dyDescent="0.2"/>
    <row r="7724" s="2043" customFormat="1" x14ac:dyDescent="0.2"/>
    <row r="7725" s="2043" customFormat="1" x14ac:dyDescent="0.2"/>
    <row r="7726" s="2043" customFormat="1" x14ac:dyDescent="0.2"/>
    <row r="7727" s="2043" customFormat="1" x14ac:dyDescent="0.2"/>
    <row r="7728" s="2043" customFormat="1" x14ac:dyDescent="0.2"/>
    <row r="7729" s="2043" customFormat="1" x14ac:dyDescent="0.2"/>
    <row r="7730" s="2043" customFormat="1" x14ac:dyDescent="0.2"/>
    <row r="7731" s="2043" customFormat="1" x14ac:dyDescent="0.2"/>
    <row r="7732" s="2043" customFormat="1" x14ac:dyDescent="0.2"/>
    <row r="7733" s="2043" customFormat="1" x14ac:dyDescent="0.2"/>
    <row r="7734" s="2043" customFormat="1" x14ac:dyDescent="0.2"/>
    <row r="7735" s="2043" customFormat="1" x14ac:dyDescent="0.2"/>
    <row r="7736" s="2043" customFormat="1" x14ac:dyDescent="0.2"/>
    <row r="7737" s="2043" customFormat="1" x14ac:dyDescent="0.2"/>
    <row r="7738" s="2043" customFormat="1" x14ac:dyDescent="0.2"/>
    <row r="7739" s="2043" customFormat="1" x14ac:dyDescent="0.2"/>
    <row r="7740" s="2043" customFormat="1" x14ac:dyDescent="0.2"/>
    <row r="7741" s="2043" customFormat="1" x14ac:dyDescent="0.2"/>
    <row r="7742" s="2043" customFormat="1" x14ac:dyDescent="0.2"/>
    <row r="7743" s="2043" customFormat="1" x14ac:dyDescent="0.2"/>
    <row r="7744" s="2043" customFormat="1" x14ac:dyDescent="0.2"/>
    <row r="7745" s="2043" customFormat="1" x14ac:dyDescent="0.2"/>
    <row r="7746" s="2043" customFormat="1" x14ac:dyDescent="0.2"/>
    <row r="7747" s="2043" customFormat="1" x14ac:dyDescent="0.2"/>
    <row r="7748" s="2043" customFormat="1" x14ac:dyDescent="0.2"/>
    <row r="7749" s="2043" customFormat="1" x14ac:dyDescent="0.2"/>
    <row r="7750" s="2043" customFormat="1" x14ac:dyDescent="0.2"/>
    <row r="7751" s="2043" customFormat="1" x14ac:dyDescent="0.2"/>
    <row r="7752" s="2043" customFormat="1" x14ac:dyDescent="0.2"/>
    <row r="7753" s="2043" customFormat="1" x14ac:dyDescent="0.2"/>
    <row r="7754" s="2043" customFormat="1" x14ac:dyDescent="0.2"/>
    <row r="7755" s="2043" customFormat="1" x14ac:dyDescent="0.2"/>
    <row r="7756" s="2043" customFormat="1" x14ac:dyDescent="0.2"/>
    <row r="7757" s="2043" customFormat="1" x14ac:dyDescent="0.2"/>
    <row r="7758" s="2043" customFormat="1" x14ac:dyDescent="0.2"/>
    <row r="7759" s="2043" customFormat="1" x14ac:dyDescent="0.2"/>
    <row r="7760" s="2043" customFormat="1" x14ac:dyDescent="0.2"/>
    <row r="7761" s="2043" customFormat="1" x14ac:dyDescent="0.2"/>
    <row r="7762" s="2043" customFormat="1" x14ac:dyDescent="0.2"/>
    <row r="7763" s="2043" customFormat="1" x14ac:dyDescent="0.2"/>
    <row r="7764" s="2043" customFormat="1" x14ac:dyDescent="0.2"/>
    <row r="7765" s="2043" customFormat="1" x14ac:dyDescent="0.2"/>
    <row r="7766" s="2043" customFormat="1" x14ac:dyDescent="0.2"/>
    <row r="7767" s="2043" customFormat="1" x14ac:dyDescent="0.2"/>
    <row r="7768" s="2043" customFormat="1" x14ac:dyDescent="0.2"/>
    <row r="7769" s="2043" customFormat="1" x14ac:dyDescent="0.2"/>
    <row r="7770" s="2043" customFormat="1" x14ac:dyDescent="0.2"/>
    <row r="7771" s="2043" customFormat="1" x14ac:dyDescent="0.2"/>
    <row r="7772" s="2043" customFormat="1" x14ac:dyDescent="0.2"/>
    <row r="7773" s="2043" customFormat="1" x14ac:dyDescent="0.2"/>
    <row r="7774" s="2043" customFormat="1" x14ac:dyDescent="0.2"/>
    <row r="7775" s="2043" customFormat="1" x14ac:dyDescent="0.2"/>
    <row r="7776" s="2043" customFormat="1" x14ac:dyDescent="0.2"/>
    <row r="7777" s="2043" customFormat="1" x14ac:dyDescent="0.2"/>
    <row r="7778" s="2043" customFormat="1" x14ac:dyDescent="0.2"/>
    <row r="7779" s="2043" customFormat="1" x14ac:dyDescent="0.2"/>
    <row r="7780" s="2043" customFormat="1" x14ac:dyDescent="0.2"/>
    <row r="7781" s="2043" customFormat="1" x14ac:dyDescent="0.2"/>
    <row r="7782" s="2043" customFormat="1" x14ac:dyDescent="0.2"/>
    <row r="7783" s="2043" customFormat="1" x14ac:dyDescent="0.2"/>
    <row r="7784" s="2043" customFormat="1" x14ac:dyDescent="0.2"/>
    <row r="7785" s="2043" customFormat="1" x14ac:dyDescent="0.2"/>
    <row r="7786" s="2043" customFormat="1" x14ac:dyDescent="0.2"/>
    <row r="7787" s="2043" customFormat="1" x14ac:dyDescent="0.2"/>
    <row r="7788" s="2043" customFormat="1" x14ac:dyDescent="0.2"/>
    <row r="7789" s="2043" customFormat="1" x14ac:dyDescent="0.2"/>
    <row r="7790" s="2043" customFormat="1" x14ac:dyDescent="0.2"/>
    <row r="7791" s="2043" customFormat="1" x14ac:dyDescent="0.2"/>
    <row r="7792" s="2043" customFormat="1" x14ac:dyDescent="0.2"/>
    <row r="7793" s="2043" customFormat="1" x14ac:dyDescent="0.2"/>
    <row r="7794" s="2043" customFormat="1" x14ac:dyDescent="0.2"/>
    <row r="7795" s="2043" customFormat="1" x14ac:dyDescent="0.2"/>
    <row r="7796" s="2043" customFormat="1" x14ac:dyDescent="0.2"/>
    <row r="7797" s="2043" customFormat="1" x14ac:dyDescent="0.2"/>
    <row r="7798" s="2043" customFormat="1" x14ac:dyDescent="0.2"/>
    <row r="7799" s="2043" customFormat="1" x14ac:dyDescent="0.2"/>
    <row r="7800" s="2043" customFormat="1" x14ac:dyDescent="0.2"/>
    <row r="7801" s="2043" customFormat="1" x14ac:dyDescent="0.2"/>
    <row r="7802" s="2043" customFormat="1" x14ac:dyDescent="0.2"/>
    <row r="7803" s="2043" customFormat="1" x14ac:dyDescent="0.2"/>
    <row r="7804" s="2043" customFormat="1" x14ac:dyDescent="0.2"/>
    <row r="7805" s="2043" customFormat="1" x14ac:dyDescent="0.2"/>
    <row r="7806" s="2043" customFormat="1" x14ac:dyDescent="0.2"/>
    <row r="7807" s="2043" customFormat="1" x14ac:dyDescent="0.2"/>
    <row r="7808" s="2043" customFormat="1" x14ac:dyDescent="0.2"/>
    <row r="7809" s="2043" customFormat="1" x14ac:dyDescent="0.2"/>
    <row r="7810" s="2043" customFormat="1" x14ac:dyDescent="0.2"/>
    <row r="7811" s="2043" customFormat="1" x14ac:dyDescent="0.2"/>
    <row r="7812" s="2043" customFormat="1" x14ac:dyDescent="0.2"/>
    <row r="7813" s="2043" customFormat="1" x14ac:dyDescent="0.2"/>
    <row r="7814" s="2043" customFormat="1" x14ac:dyDescent="0.2"/>
    <row r="7815" s="2043" customFormat="1" x14ac:dyDescent="0.2"/>
    <row r="7816" s="2043" customFormat="1" x14ac:dyDescent="0.2"/>
    <row r="7817" s="2043" customFormat="1" x14ac:dyDescent="0.2"/>
    <row r="7818" s="2043" customFormat="1" x14ac:dyDescent="0.2"/>
    <row r="7819" s="2043" customFormat="1" x14ac:dyDescent="0.2"/>
    <row r="7820" s="2043" customFormat="1" x14ac:dyDescent="0.2"/>
    <row r="7821" s="2043" customFormat="1" x14ac:dyDescent="0.2"/>
    <row r="7822" s="2043" customFormat="1" x14ac:dyDescent="0.2"/>
    <row r="7823" s="2043" customFormat="1" x14ac:dyDescent="0.2"/>
    <row r="7824" s="2043" customFormat="1" x14ac:dyDescent="0.2"/>
    <row r="7825" s="2043" customFormat="1" x14ac:dyDescent="0.2"/>
    <row r="7826" s="2043" customFormat="1" x14ac:dyDescent="0.2"/>
    <row r="7827" s="2043" customFormat="1" x14ac:dyDescent="0.2"/>
    <row r="7828" s="2043" customFormat="1" x14ac:dyDescent="0.2"/>
    <row r="7829" s="2043" customFormat="1" x14ac:dyDescent="0.2"/>
    <row r="7830" s="2043" customFormat="1" x14ac:dyDescent="0.2"/>
    <row r="7831" s="2043" customFormat="1" x14ac:dyDescent="0.2"/>
    <row r="7832" s="2043" customFormat="1" x14ac:dyDescent="0.2"/>
    <row r="7833" s="2043" customFormat="1" x14ac:dyDescent="0.2"/>
    <row r="7834" s="2043" customFormat="1" x14ac:dyDescent="0.2"/>
    <row r="7835" s="2043" customFormat="1" x14ac:dyDescent="0.2"/>
    <row r="7836" s="2043" customFormat="1" x14ac:dyDescent="0.2"/>
    <row r="7837" s="2043" customFormat="1" x14ac:dyDescent="0.2"/>
    <row r="7838" s="2043" customFormat="1" x14ac:dyDescent="0.2"/>
    <row r="7839" s="2043" customFormat="1" x14ac:dyDescent="0.2"/>
    <row r="7840" s="2043" customFormat="1" x14ac:dyDescent="0.2"/>
    <row r="7841" s="2043" customFormat="1" x14ac:dyDescent="0.2"/>
    <row r="7842" s="2043" customFormat="1" x14ac:dyDescent="0.2"/>
    <row r="7843" s="2043" customFormat="1" x14ac:dyDescent="0.2"/>
    <row r="7844" s="2043" customFormat="1" x14ac:dyDescent="0.2"/>
    <row r="7845" s="2043" customFormat="1" x14ac:dyDescent="0.2"/>
    <row r="7846" s="2043" customFormat="1" x14ac:dyDescent="0.2"/>
    <row r="7847" s="2043" customFormat="1" x14ac:dyDescent="0.2"/>
    <row r="7848" s="2043" customFormat="1" x14ac:dyDescent="0.2"/>
    <row r="7849" s="2043" customFormat="1" x14ac:dyDescent="0.2"/>
    <row r="7850" s="2043" customFormat="1" x14ac:dyDescent="0.2"/>
    <row r="7851" s="2043" customFormat="1" x14ac:dyDescent="0.2"/>
    <row r="7852" s="2043" customFormat="1" x14ac:dyDescent="0.2"/>
    <row r="7853" s="2043" customFormat="1" x14ac:dyDescent="0.2"/>
    <row r="7854" s="2043" customFormat="1" x14ac:dyDescent="0.2"/>
    <row r="7855" s="2043" customFormat="1" x14ac:dyDescent="0.2"/>
    <row r="7856" s="2043" customFormat="1" x14ac:dyDescent="0.2"/>
    <row r="7857" s="2043" customFormat="1" x14ac:dyDescent="0.2"/>
    <row r="7858" s="2043" customFormat="1" x14ac:dyDescent="0.2"/>
    <row r="7859" s="2043" customFormat="1" x14ac:dyDescent="0.2"/>
    <row r="7860" s="2043" customFormat="1" x14ac:dyDescent="0.2"/>
    <row r="7861" s="2043" customFormat="1" x14ac:dyDescent="0.2"/>
    <row r="7862" s="2043" customFormat="1" x14ac:dyDescent="0.2"/>
    <row r="7863" s="2043" customFormat="1" x14ac:dyDescent="0.2"/>
    <row r="7864" s="2043" customFormat="1" x14ac:dyDescent="0.2"/>
    <row r="7865" s="2043" customFormat="1" x14ac:dyDescent="0.2"/>
    <row r="7866" s="2043" customFormat="1" x14ac:dyDescent="0.2"/>
    <row r="7867" s="2043" customFormat="1" x14ac:dyDescent="0.2"/>
    <row r="7868" s="2043" customFormat="1" x14ac:dyDescent="0.2"/>
    <row r="7869" s="2043" customFormat="1" x14ac:dyDescent="0.2"/>
    <row r="7870" s="2043" customFormat="1" x14ac:dyDescent="0.2"/>
    <row r="7871" s="2043" customFormat="1" x14ac:dyDescent="0.2"/>
    <row r="7872" s="2043" customFormat="1" x14ac:dyDescent="0.2"/>
    <row r="7873" s="2043" customFormat="1" x14ac:dyDescent="0.2"/>
    <row r="7874" s="2043" customFormat="1" x14ac:dyDescent="0.2"/>
    <row r="7875" s="2043" customFormat="1" x14ac:dyDescent="0.2"/>
    <row r="7876" s="2043" customFormat="1" x14ac:dyDescent="0.2"/>
    <row r="7877" s="2043" customFormat="1" x14ac:dyDescent="0.2"/>
    <row r="7878" s="2043" customFormat="1" x14ac:dyDescent="0.2"/>
    <row r="7879" s="2043" customFormat="1" x14ac:dyDescent="0.2"/>
    <row r="7880" s="2043" customFormat="1" x14ac:dyDescent="0.2"/>
    <row r="7881" s="2043" customFormat="1" x14ac:dyDescent="0.2"/>
    <row r="7882" s="2043" customFormat="1" x14ac:dyDescent="0.2"/>
    <row r="7883" s="2043" customFormat="1" x14ac:dyDescent="0.2"/>
    <row r="7884" s="2043" customFormat="1" x14ac:dyDescent="0.2"/>
    <row r="7885" s="2043" customFormat="1" x14ac:dyDescent="0.2"/>
    <row r="7886" s="2043" customFormat="1" x14ac:dyDescent="0.2"/>
    <row r="7887" s="2043" customFormat="1" x14ac:dyDescent="0.2"/>
    <row r="7888" s="2043" customFormat="1" x14ac:dyDescent="0.2"/>
    <row r="7889" s="2043" customFormat="1" x14ac:dyDescent="0.2"/>
    <row r="7890" s="2043" customFormat="1" x14ac:dyDescent="0.2"/>
    <row r="7891" s="2043" customFormat="1" x14ac:dyDescent="0.2"/>
    <row r="7892" s="2043" customFormat="1" x14ac:dyDescent="0.2"/>
    <row r="7893" s="2043" customFormat="1" x14ac:dyDescent="0.2"/>
    <row r="7894" s="2043" customFormat="1" x14ac:dyDescent="0.2"/>
    <row r="7895" s="2043" customFormat="1" x14ac:dyDescent="0.2"/>
    <row r="7896" s="2043" customFormat="1" x14ac:dyDescent="0.2"/>
    <row r="7897" s="2043" customFormat="1" x14ac:dyDescent="0.2"/>
    <row r="7898" s="2043" customFormat="1" x14ac:dyDescent="0.2"/>
    <row r="7899" s="2043" customFormat="1" x14ac:dyDescent="0.2"/>
    <row r="7900" s="2043" customFormat="1" x14ac:dyDescent="0.2"/>
    <row r="7901" s="2043" customFormat="1" x14ac:dyDescent="0.2"/>
    <row r="7902" s="2043" customFormat="1" x14ac:dyDescent="0.2"/>
    <row r="7903" s="2043" customFormat="1" x14ac:dyDescent="0.2"/>
    <row r="7904" s="2043" customFormat="1" x14ac:dyDescent="0.2"/>
    <row r="7905" s="2043" customFormat="1" x14ac:dyDescent="0.2"/>
    <row r="7906" s="2043" customFormat="1" x14ac:dyDescent="0.2"/>
    <row r="7907" s="2043" customFormat="1" x14ac:dyDescent="0.2"/>
    <row r="7908" s="2043" customFormat="1" x14ac:dyDescent="0.2"/>
    <row r="7909" s="2043" customFormat="1" x14ac:dyDescent="0.2"/>
    <row r="7910" s="2043" customFormat="1" x14ac:dyDescent="0.2"/>
    <row r="7911" s="2043" customFormat="1" x14ac:dyDescent="0.2"/>
    <row r="7912" s="2043" customFormat="1" x14ac:dyDescent="0.2"/>
    <row r="7913" s="2043" customFormat="1" x14ac:dyDescent="0.2"/>
    <row r="7914" s="2043" customFormat="1" x14ac:dyDescent="0.2"/>
    <row r="7915" s="2043" customFormat="1" x14ac:dyDescent="0.2"/>
    <row r="7916" s="2043" customFormat="1" x14ac:dyDescent="0.2"/>
    <row r="7917" s="2043" customFormat="1" x14ac:dyDescent="0.2"/>
    <row r="7918" s="2043" customFormat="1" x14ac:dyDescent="0.2"/>
    <row r="7919" s="2043" customFormat="1" x14ac:dyDescent="0.2"/>
    <row r="7920" s="2043" customFormat="1" x14ac:dyDescent="0.2"/>
    <row r="7921" s="2043" customFormat="1" x14ac:dyDescent="0.2"/>
    <row r="7922" s="2043" customFormat="1" x14ac:dyDescent="0.2"/>
    <row r="7923" s="2043" customFormat="1" x14ac:dyDescent="0.2"/>
    <row r="7924" s="2043" customFormat="1" x14ac:dyDescent="0.2"/>
    <row r="7925" s="2043" customFormat="1" x14ac:dyDescent="0.2"/>
    <row r="7926" s="2043" customFormat="1" x14ac:dyDescent="0.2"/>
    <row r="7927" s="2043" customFormat="1" x14ac:dyDescent="0.2"/>
    <row r="7928" s="2043" customFormat="1" x14ac:dyDescent="0.2"/>
    <row r="7929" s="2043" customFormat="1" x14ac:dyDescent="0.2"/>
    <row r="7930" s="2043" customFormat="1" x14ac:dyDescent="0.2"/>
    <row r="7931" s="2043" customFormat="1" x14ac:dyDescent="0.2"/>
    <row r="7932" s="2043" customFormat="1" x14ac:dyDescent="0.2"/>
    <row r="7933" s="2043" customFormat="1" x14ac:dyDescent="0.2"/>
    <row r="7934" s="2043" customFormat="1" x14ac:dyDescent="0.2"/>
    <row r="7935" s="2043" customFormat="1" x14ac:dyDescent="0.2"/>
    <row r="7936" s="2043" customFormat="1" x14ac:dyDescent="0.2"/>
    <row r="7937" s="2043" customFormat="1" x14ac:dyDescent="0.2"/>
    <row r="7938" s="2043" customFormat="1" x14ac:dyDescent="0.2"/>
    <row r="7939" s="2043" customFormat="1" x14ac:dyDescent="0.2"/>
    <row r="7940" s="2043" customFormat="1" x14ac:dyDescent="0.2"/>
    <row r="7941" s="2043" customFormat="1" x14ac:dyDescent="0.2"/>
    <row r="7942" s="2043" customFormat="1" x14ac:dyDescent="0.2"/>
    <row r="7943" s="2043" customFormat="1" x14ac:dyDescent="0.2"/>
    <row r="7944" s="2043" customFormat="1" x14ac:dyDescent="0.2"/>
    <row r="7945" s="2043" customFormat="1" x14ac:dyDescent="0.2"/>
    <row r="7946" s="2043" customFormat="1" x14ac:dyDescent="0.2"/>
    <row r="7947" s="2043" customFormat="1" x14ac:dyDescent="0.2"/>
    <row r="7948" s="2043" customFormat="1" x14ac:dyDescent="0.2"/>
    <row r="7949" s="2043" customFormat="1" x14ac:dyDescent="0.2"/>
    <row r="7950" s="2043" customFormat="1" x14ac:dyDescent="0.2"/>
    <row r="7951" s="2043" customFormat="1" x14ac:dyDescent="0.2"/>
    <row r="7952" s="2043" customFormat="1" x14ac:dyDescent="0.2"/>
    <row r="7953" s="2043" customFormat="1" x14ac:dyDescent="0.2"/>
    <row r="7954" s="2043" customFormat="1" x14ac:dyDescent="0.2"/>
    <row r="7955" s="2043" customFormat="1" x14ac:dyDescent="0.2"/>
    <row r="7956" s="2043" customFormat="1" x14ac:dyDescent="0.2"/>
    <row r="7957" s="2043" customFormat="1" x14ac:dyDescent="0.2"/>
    <row r="7958" s="2043" customFormat="1" x14ac:dyDescent="0.2"/>
    <row r="7959" s="2043" customFormat="1" x14ac:dyDescent="0.2"/>
    <row r="7960" s="2043" customFormat="1" x14ac:dyDescent="0.2"/>
    <row r="7961" s="2043" customFormat="1" x14ac:dyDescent="0.2"/>
    <row r="7962" s="2043" customFormat="1" x14ac:dyDescent="0.2"/>
    <row r="7963" s="2043" customFormat="1" x14ac:dyDescent="0.2"/>
    <row r="7964" s="2043" customFormat="1" x14ac:dyDescent="0.2"/>
    <row r="7965" s="2043" customFormat="1" x14ac:dyDescent="0.2"/>
    <row r="7966" s="2043" customFormat="1" x14ac:dyDescent="0.2"/>
    <row r="7967" s="2043" customFormat="1" x14ac:dyDescent="0.2"/>
    <row r="7968" s="2043" customFormat="1" x14ac:dyDescent="0.2"/>
    <row r="7969" s="2043" customFormat="1" x14ac:dyDescent="0.2"/>
    <row r="7970" s="2043" customFormat="1" x14ac:dyDescent="0.2"/>
    <row r="7971" s="2043" customFormat="1" x14ac:dyDescent="0.2"/>
    <row r="7972" s="2043" customFormat="1" x14ac:dyDescent="0.2"/>
    <row r="7973" s="2043" customFormat="1" x14ac:dyDescent="0.2"/>
    <row r="7974" s="2043" customFormat="1" x14ac:dyDescent="0.2"/>
    <row r="7975" s="2043" customFormat="1" x14ac:dyDescent="0.2"/>
    <row r="7976" s="2043" customFormat="1" x14ac:dyDescent="0.2"/>
    <row r="7977" s="2043" customFormat="1" x14ac:dyDescent="0.2"/>
    <row r="7978" s="2043" customFormat="1" x14ac:dyDescent="0.2"/>
    <row r="7979" s="2043" customFormat="1" x14ac:dyDescent="0.2"/>
    <row r="7980" s="2043" customFormat="1" x14ac:dyDescent="0.2"/>
    <row r="7981" s="2043" customFormat="1" x14ac:dyDescent="0.2"/>
    <row r="7982" s="2043" customFormat="1" x14ac:dyDescent="0.2"/>
    <row r="7983" s="2043" customFormat="1" x14ac:dyDescent="0.2"/>
    <row r="7984" s="2043" customFormat="1" x14ac:dyDescent="0.2"/>
    <row r="7985" s="2043" customFormat="1" x14ac:dyDescent="0.2"/>
    <row r="7986" s="2043" customFormat="1" x14ac:dyDescent="0.2"/>
    <row r="7987" s="2043" customFormat="1" x14ac:dyDescent="0.2"/>
    <row r="7988" s="2043" customFormat="1" x14ac:dyDescent="0.2"/>
    <row r="7989" s="2043" customFormat="1" x14ac:dyDescent="0.2"/>
    <row r="7990" s="2043" customFormat="1" x14ac:dyDescent="0.2"/>
    <row r="7991" s="2043" customFormat="1" x14ac:dyDescent="0.2"/>
    <row r="7992" s="2043" customFormat="1" x14ac:dyDescent="0.2"/>
    <row r="7993" s="2043" customFormat="1" x14ac:dyDescent="0.2"/>
    <row r="7994" s="2043" customFormat="1" x14ac:dyDescent="0.2"/>
    <row r="7995" s="2043" customFormat="1" x14ac:dyDescent="0.2"/>
    <row r="7996" s="2043" customFormat="1" x14ac:dyDescent="0.2"/>
    <row r="7997" s="2043" customFormat="1" x14ac:dyDescent="0.2"/>
    <row r="7998" s="2043" customFormat="1" x14ac:dyDescent="0.2"/>
    <row r="7999" s="2043" customFormat="1" x14ac:dyDescent="0.2"/>
    <row r="8000" s="2043" customFormat="1" x14ac:dyDescent="0.2"/>
    <row r="8001" s="2043" customFormat="1" x14ac:dyDescent="0.2"/>
    <row r="8002" s="2043" customFormat="1" x14ac:dyDescent="0.2"/>
    <row r="8003" s="2043" customFormat="1" x14ac:dyDescent="0.2"/>
    <row r="8004" s="2043" customFormat="1" x14ac:dyDescent="0.2"/>
    <row r="8005" s="2043" customFormat="1" x14ac:dyDescent="0.2"/>
    <row r="8006" s="2043" customFormat="1" x14ac:dyDescent="0.2"/>
    <row r="8007" s="2043" customFormat="1" x14ac:dyDescent="0.2"/>
    <row r="8008" s="2043" customFormat="1" x14ac:dyDescent="0.2"/>
    <row r="8009" s="2043" customFormat="1" x14ac:dyDescent="0.2"/>
    <row r="8010" s="2043" customFormat="1" x14ac:dyDescent="0.2"/>
    <row r="8011" s="2043" customFormat="1" x14ac:dyDescent="0.2"/>
    <row r="8012" s="2043" customFormat="1" x14ac:dyDescent="0.2"/>
    <row r="8013" s="2043" customFormat="1" x14ac:dyDescent="0.2"/>
    <row r="8014" s="2043" customFormat="1" x14ac:dyDescent="0.2"/>
    <row r="8015" s="2043" customFormat="1" x14ac:dyDescent="0.2"/>
    <row r="8016" s="2043" customFormat="1" x14ac:dyDescent="0.2"/>
    <row r="8017" s="2043" customFormat="1" x14ac:dyDescent="0.2"/>
    <row r="8018" s="2043" customFormat="1" x14ac:dyDescent="0.2"/>
    <row r="8019" s="2043" customFormat="1" x14ac:dyDescent="0.2"/>
    <row r="8020" s="2043" customFormat="1" x14ac:dyDescent="0.2"/>
    <row r="8021" s="2043" customFormat="1" x14ac:dyDescent="0.2"/>
    <row r="8022" s="2043" customFormat="1" x14ac:dyDescent="0.2"/>
    <row r="8023" s="2043" customFormat="1" x14ac:dyDescent="0.2"/>
    <row r="8024" s="2043" customFormat="1" x14ac:dyDescent="0.2"/>
    <row r="8025" s="2043" customFormat="1" x14ac:dyDescent="0.2"/>
    <row r="8026" s="2043" customFormat="1" x14ac:dyDescent="0.2"/>
    <row r="8027" s="2043" customFormat="1" x14ac:dyDescent="0.2"/>
    <row r="8028" s="2043" customFormat="1" x14ac:dyDescent="0.2"/>
    <row r="8029" s="2043" customFormat="1" x14ac:dyDescent="0.2"/>
    <row r="8030" s="2043" customFormat="1" x14ac:dyDescent="0.2"/>
    <row r="8031" s="2043" customFormat="1" x14ac:dyDescent="0.2"/>
    <row r="8032" s="2043" customFormat="1" x14ac:dyDescent="0.2"/>
    <row r="8033" s="2043" customFormat="1" x14ac:dyDescent="0.2"/>
    <row r="8034" s="2043" customFormat="1" x14ac:dyDescent="0.2"/>
    <row r="8035" s="2043" customFormat="1" x14ac:dyDescent="0.2"/>
    <row r="8036" s="2043" customFormat="1" x14ac:dyDescent="0.2"/>
    <row r="8037" s="2043" customFormat="1" x14ac:dyDescent="0.2"/>
    <row r="8038" s="2043" customFormat="1" x14ac:dyDescent="0.2"/>
    <row r="8039" s="2043" customFormat="1" x14ac:dyDescent="0.2"/>
    <row r="8040" s="2043" customFormat="1" x14ac:dyDescent="0.2"/>
    <row r="8041" s="2043" customFormat="1" x14ac:dyDescent="0.2"/>
    <row r="8042" s="2043" customFormat="1" x14ac:dyDescent="0.2"/>
    <row r="8043" s="2043" customFormat="1" x14ac:dyDescent="0.2"/>
    <row r="8044" s="2043" customFormat="1" x14ac:dyDescent="0.2"/>
    <row r="8045" s="2043" customFormat="1" x14ac:dyDescent="0.2"/>
    <row r="8046" s="2043" customFormat="1" x14ac:dyDescent="0.2"/>
    <row r="8047" s="2043" customFormat="1" x14ac:dyDescent="0.2"/>
    <row r="8048" s="2043" customFormat="1" x14ac:dyDescent="0.2"/>
    <row r="8049" s="2043" customFormat="1" x14ac:dyDescent="0.2"/>
    <row r="8050" s="2043" customFormat="1" x14ac:dyDescent="0.2"/>
    <row r="8051" s="2043" customFormat="1" x14ac:dyDescent="0.2"/>
    <row r="8052" s="2043" customFormat="1" x14ac:dyDescent="0.2"/>
    <row r="8053" s="2043" customFormat="1" x14ac:dyDescent="0.2"/>
    <row r="8054" s="2043" customFormat="1" x14ac:dyDescent="0.2"/>
    <row r="8055" s="2043" customFormat="1" x14ac:dyDescent="0.2"/>
    <row r="8056" s="2043" customFormat="1" x14ac:dyDescent="0.2"/>
    <row r="8057" s="2043" customFormat="1" x14ac:dyDescent="0.2"/>
    <row r="8058" s="2043" customFormat="1" x14ac:dyDescent="0.2"/>
    <row r="8059" s="2043" customFormat="1" x14ac:dyDescent="0.2"/>
    <row r="8060" s="2043" customFormat="1" x14ac:dyDescent="0.2"/>
    <row r="8061" s="2043" customFormat="1" x14ac:dyDescent="0.2"/>
    <row r="8062" s="2043" customFormat="1" x14ac:dyDescent="0.2"/>
    <row r="8063" s="2043" customFormat="1" x14ac:dyDescent="0.2"/>
    <row r="8064" s="2043" customFormat="1" x14ac:dyDescent="0.2"/>
    <row r="8065" s="2043" customFormat="1" x14ac:dyDescent="0.2"/>
    <row r="8066" s="2043" customFormat="1" x14ac:dyDescent="0.2"/>
    <row r="8067" s="2043" customFormat="1" x14ac:dyDescent="0.2"/>
    <row r="8068" s="2043" customFormat="1" x14ac:dyDescent="0.2"/>
    <row r="8069" s="2043" customFormat="1" x14ac:dyDescent="0.2"/>
    <row r="8070" s="2043" customFormat="1" x14ac:dyDescent="0.2"/>
    <row r="8071" s="2043" customFormat="1" x14ac:dyDescent="0.2"/>
    <row r="8072" s="2043" customFormat="1" x14ac:dyDescent="0.2"/>
    <row r="8073" s="2043" customFormat="1" x14ac:dyDescent="0.2"/>
    <row r="8074" s="2043" customFormat="1" x14ac:dyDescent="0.2"/>
    <row r="8075" s="2043" customFormat="1" x14ac:dyDescent="0.2"/>
    <row r="8076" s="2043" customFormat="1" x14ac:dyDescent="0.2"/>
    <row r="8077" s="2043" customFormat="1" x14ac:dyDescent="0.2"/>
    <row r="8078" s="2043" customFormat="1" x14ac:dyDescent="0.2"/>
    <row r="8079" s="2043" customFormat="1" x14ac:dyDescent="0.2"/>
    <row r="8080" s="2043" customFormat="1" x14ac:dyDescent="0.2"/>
    <row r="8081" s="2043" customFormat="1" x14ac:dyDescent="0.2"/>
    <row r="8082" s="2043" customFormat="1" x14ac:dyDescent="0.2"/>
    <row r="8083" s="2043" customFormat="1" x14ac:dyDescent="0.2"/>
    <row r="8084" s="2043" customFormat="1" x14ac:dyDescent="0.2"/>
    <row r="8085" s="2043" customFormat="1" x14ac:dyDescent="0.2"/>
    <row r="8086" s="2043" customFormat="1" x14ac:dyDescent="0.2"/>
    <row r="8087" s="2043" customFormat="1" x14ac:dyDescent="0.2"/>
    <row r="8088" s="2043" customFormat="1" x14ac:dyDescent="0.2"/>
    <row r="8089" s="2043" customFormat="1" x14ac:dyDescent="0.2"/>
    <row r="8090" s="2043" customFormat="1" x14ac:dyDescent="0.2"/>
    <row r="8091" s="2043" customFormat="1" x14ac:dyDescent="0.2"/>
    <row r="8092" s="2043" customFormat="1" x14ac:dyDescent="0.2"/>
    <row r="8093" s="2043" customFormat="1" x14ac:dyDescent="0.2"/>
    <row r="8094" s="2043" customFormat="1" x14ac:dyDescent="0.2"/>
    <row r="8095" s="2043" customFormat="1" x14ac:dyDescent="0.2"/>
    <row r="8096" s="2043" customFormat="1" x14ac:dyDescent="0.2"/>
    <row r="8097" s="2043" customFormat="1" x14ac:dyDescent="0.2"/>
    <row r="8098" s="2043" customFormat="1" x14ac:dyDescent="0.2"/>
    <row r="8099" s="2043" customFormat="1" x14ac:dyDescent="0.2"/>
    <row r="8100" s="2043" customFormat="1" x14ac:dyDescent="0.2"/>
    <row r="8101" s="2043" customFormat="1" x14ac:dyDescent="0.2"/>
    <row r="8102" s="2043" customFormat="1" x14ac:dyDescent="0.2"/>
    <row r="8103" s="2043" customFormat="1" x14ac:dyDescent="0.2"/>
    <row r="8104" s="2043" customFormat="1" x14ac:dyDescent="0.2"/>
    <row r="8105" s="2043" customFormat="1" x14ac:dyDescent="0.2"/>
    <row r="8106" s="2043" customFormat="1" x14ac:dyDescent="0.2"/>
    <row r="8107" s="2043" customFormat="1" x14ac:dyDescent="0.2"/>
    <row r="8108" s="2043" customFormat="1" x14ac:dyDescent="0.2"/>
    <row r="8109" s="2043" customFormat="1" x14ac:dyDescent="0.2"/>
    <row r="8110" s="2043" customFormat="1" x14ac:dyDescent="0.2"/>
    <row r="8111" s="2043" customFormat="1" x14ac:dyDescent="0.2"/>
    <row r="8112" s="2043" customFormat="1" x14ac:dyDescent="0.2"/>
    <row r="8113" s="2043" customFormat="1" x14ac:dyDescent="0.2"/>
    <row r="8114" s="2043" customFormat="1" x14ac:dyDescent="0.2"/>
    <row r="8115" s="2043" customFormat="1" x14ac:dyDescent="0.2"/>
    <row r="8116" s="2043" customFormat="1" x14ac:dyDescent="0.2"/>
    <row r="8117" s="2043" customFormat="1" x14ac:dyDescent="0.2"/>
    <row r="8118" s="2043" customFormat="1" x14ac:dyDescent="0.2"/>
    <row r="8119" s="2043" customFormat="1" x14ac:dyDescent="0.2"/>
    <row r="8120" s="2043" customFormat="1" x14ac:dyDescent="0.2"/>
    <row r="8121" s="2043" customFormat="1" x14ac:dyDescent="0.2"/>
    <row r="8122" s="2043" customFormat="1" x14ac:dyDescent="0.2"/>
    <row r="8123" s="2043" customFormat="1" x14ac:dyDescent="0.2"/>
    <row r="8124" s="2043" customFormat="1" x14ac:dyDescent="0.2"/>
    <row r="8125" s="2043" customFormat="1" x14ac:dyDescent="0.2"/>
    <row r="8126" s="2043" customFormat="1" x14ac:dyDescent="0.2"/>
    <row r="8127" s="2043" customFormat="1" x14ac:dyDescent="0.2"/>
    <row r="8128" s="2043" customFormat="1" x14ac:dyDescent="0.2"/>
    <row r="8129" s="2043" customFormat="1" x14ac:dyDescent="0.2"/>
    <row r="8130" s="2043" customFormat="1" x14ac:dyDescent="0.2"/>
    <row r="8131" s="2043" customFormat="1" x14ac:dyDescent="0.2"/>
    <row r="8132" s="2043" customFormat="1" x14ac:dyDescent="0.2"/>
    <row r="8133" s="2043" customFormat="1" x14ac:dyDescent="0.2"/>
    <row r="8134" s="2043" customFormat="1" x14ac:dyDescent="0.2"/>
    <row r="8135" s="2043" customFormat="1" x14ac:dyDescent="0.2"/>
    <row r="8136" s="2043" customFormat="1" x14ac:dyDescent="0.2"/>
    <row r="8137" s="2043" customFormat="1" x14ac:dyDescent="0.2"/>
    <row r="8138" s="2043" customFormat="1" x14ac:dyDescent="0.2"/>
    <row r="8139" s="2043" customFormat="1" x14ac:dyDescent="0.2"/>
    <row r="8140" s="2043" customFormat="1" x14ac:dyDescent="0.2"/>
    <row r="8141" s="2043" customFormat="1" x14ac:dyDescent="0.2"/>
    <row r="8142" s="2043" customFormat="1" x14ac:dyDescent="0.2"/>
    <row r="8143" s="2043" customFormat="1" x14ac:dyDescent="0.2"/>
    <row r="8144" s="2043" customFormat="1" x14ac:dyDescent="0.2"/>
    <row r="8145" s="2043" customFormat="1" x14ac:dyDescent="0.2"/>
    <row r="8146" s="2043" customFormat="1" x14ac:dyDescent="0.2"/>
    <row r="8147" s="2043" customFormat="1" x14ac:dyDescent="0.2"/>
    <row r="8148" s="2043" customFormat="1" x14ac:dyDescent="0.2"/>
    <row r="8149" s="2043" customFormat="1" x14ac:dyDescent="0.2"/>
    <row r="8150" s="2043" customFormat="1" x14ac:dyDescent="0.2"/>
    <row r="8151" s="2043" customFormat="1" x14ac:dyDescent="0.2"/>
    <row r="8152" s="2043" customFormat="1" x14ac:dyDescent="0.2"/>
    <row r="8153" s="2043" customFormat="1" x14ac:dyDescent="0.2"/>
    <row r="8154" s="2043" customFormat="1" x14ac:dyDescent="0.2"/>
    <row r="8155" s="2043" customFormat="1" x14ac:dyDescent="0.2"/>
    <row r="8156" s="2043" customFormat="1" x14ac:dyDescent="0.2"/>
    <row r="8157" s="2043" customFormat="1" x14ac:dyDescent="0.2"/>
    <row r="8158" s="2043" customFormat="1" x14ac:dyDescent="0.2"/>
    <row r="8159" s="2043" customFormat="1" x14ac:dyDescent="0.2"/>
    <row r="8160" s="2043" customFormat="1" x14ac:dyDescent="0.2"/>
    <row r="8161" s="2043" customFormat="1" x14ac:dyDescent="0.2"/>
    <row r="8162" s="2043" customFormat="1" x14ac:dyDescent="0.2"/>
    <row r="8163" s="2043" customFormat="1" x14ac:dyDescent="0.2"/>
    <row r="8164" s="2043" customFormat="1" x14ac:dyDescent="0.2"/>
    <row r="8165" s="2043" customFormat="1" x14ac:dyDescent="0.2"/>
    <row r="8166" s="2043" customFormat="1" x14ac:dyDescent="0.2"/>
    <row r="8167" s="2043" customFormat="1" x14ac:dyDescent="0.2"/>
    <row r="8168" s="2043" customFormat="1" x14ac:dyDescent="0.2"/>
    <row r="8169" s="2043" customFormat="1" x14ac:dyDescent="0.2"/>
    <row r="8170" s="2043" customFormat="1" x14ac:dyDescent="0.2"/>
    <row r="8171" s="2043" customFormat="1" x14ac:dyDescent="0.2"/>
    <row r="8172" s="2043" customFormat="1" x14ac:dyDescent="0.2"/>
    <row r="8173" s="2043" customFormat="1" x14ac:dyDescent="0.2"/>
    <row r="8174" s="2043" customFormat="1" x14ac:dyDescent="0.2"/>
    <row r="8175" s="2043" customFormat="1" x14ac:dyDescent="0.2"/>
    <row r="8176" s="2043" customFormat="1" x14ac:dyDescent="0.2"/>
    <row r="8177" s="2043" customFormat="1" x14ac:dyDescent="0.2"/>
    <row r="8178" s="2043" customFormat="1" x14ac:dyDescent="0.2"/>
    <row r="8179" s="2043" customFormat="1" x14ac:dyDescent="0.2"/>
    <row r="8180" s="2043" customFormat="1" x14ac:dyDescent="0.2"/>
    <row r="8181" s="2043" customFormat="1" x14ac:dyDescent="0.2"/>
    <row r="8182" s="2043" customFormat="1" x14ac:dyDescent="0.2"/>
    <row r="8183" s="2043" customFormat="1" x14ac:dyDescent="0.2"/>
    <row r="8184" s="2043" customFormat="1" x14ac:dyDescent="0.2"/>
    <row r="8185" s="2043" customFormat="1" x14ac:dyDescent="0.2"/>
    <row r="8186" s="2043" customFormat="1" x14ac:dyDescent="0.2"/>
    <row r="8187" s="2043" customFormat="1" x14ac:dyDescent="0.2"/>
    <row r="8188" s="2043" customFormat="1" x14ac:dyDescent="0.2"/>
    <row r="8189" s="2043" customFormat="1" x14ac:dyDescent="0.2"/>
    <row r="8190" s="2043" customFormat="1" x14ac:dyDescent="0.2"/>
    <row r="8191" s="2043" customFormat="1" x14ac:dyDescent="0.2"/>
    <row r="8192" s="2043" customFormat="1" x14ac:dyDescent="0.2"/>
    <row r="8193" s="2043" customFormat="1" x14ac:dyDescent="0.2"/>
    <row r="8194" s="2043" customFormat="1" x14ac:dyDescent="0.2"/>
    <row r="8195" s="2043" customFormat="1" x14ac:dyDescent="0.2"/>
    <row r="8196" s="2043" customFormat="1" x14ac:dyDescent="0.2"/>
    <row r="8197" s="2043" customFormat="1" x14ac:dyDescent="0.2"/>
    <row r="8198" s="2043" customFormat="1" x14ac:dyDescent="0.2"/>
    <row r="8199" s="2043" customFormat="1" x14ac:dyDescent="0.2"/>
    <row r="8200" s="2043" customFormat="1" x14ac:dyDescent="0.2"/>
    <row r="8201" s="2043" customFormat="1" x14ac:dyDescent="0.2"/>
    <row r="8202" s="2043" customFormat="1" x14ac:dyDescent="0.2"/>
    <row r="8203" s="2043" customFormat="1" x14ac:dyDescent="0.2"/>
    <row r="8204" s="2043" customFormat="1" x14ac:dyDescent="0.2"/>
    <row r="8205" s="2043" customFormat="1" x14ac:dyDescent="0.2"/>
    <row r="8206" s="2043" customFormat="1" x14ac:dyDescent="0.2"/>
    <row r="8207" s="2043" customFormat="1" x14ac:dyDescent="0.2"/>
    <row r="8208" s="2043" customFormat="1" x14ac:dyDescent="0.2"/>
    <row r="8209" s="2043" customFormat="1" x14ac:dyDescent="0.2"/>
    <row r="8210" s="2043" customFormat="1" x14ac:dyDescent="0.2"/>
    <row r="8211" s="2043" customFormat="1" x14ac:dyDescent="0.2"/>
    <row r="8212" s="2043" customFormat="1" x14ac:dyDescent="0.2"/>
    <row r="8213" s="2043" customFormat="1" x14ac:dyDescent="0.2"/>
    <row r="8214" s="2043" customFormat="1" x14ac:dyDescent="0.2"/>
    <row r="8215" s="2043" customFormat="1" x14ac:dyDescent="0.2"/>
    <row r="8216" s="2043" customFormat="1" x14ac:dyDescent="0.2"/>
    <row r="8217" s="2043" customFormat="1" x14ac:dyDescent="0.2"/>
    <row r="8218" s="2043" customFormat="1" x14ac:dyDescent="0.2"/>
    <row r="8219" s="2043" customFormat="1" x14ac:dyDescent="0.2"/>
    <row r="8220" s="2043" customFormat="1" x14ac:dyDescent="0.2"/>
    <row r="8221" s="2043" customFormat="1" x14ac:dyDescent="0.2"/>
    <row r="8222" s="2043" customFormat="1" x14ac:dyDescent="0.2"/>
    <row r="8223" s="2043" customFormat="1" x14ac:dyDescent="0.2"/>
    <row r="8224" s="2043" customFormat="1" x14ac:dyDescent="0.2"/>
    <row r="8225" s="2043" customFormat="1" x14ac:dyDescent="0.2"/>
    <row r="8226" s="2043" customFormat="1" x14ac:dyDescent="0.2"/>
    <row r="8227" s="2043" customFormat="1" x14ac:dyDescent="0.2"/>
    <row r="8228" s="2043" customFormat="1" x14ac:dyDescent="0.2"/>
    <row r="8229" s="2043" customFormat="1" x14ac:dyDescent="0.2"/>
    <row r="8230" s="2043" customFormat="1" x14ac:dyDescent="0.2"/>
    <row r="8231" s="2043" customFormat="1" x14ac:dyDescent="0.2"/>
    <row r="8232" s="2043" customFormat="1" x14ac:dyDescent="0.2"/>
    <row r="8233" s="2043" customFormat="1" x14ac:dyDescent="0.2"/>
    <row r="8234" s="2043" customFormat="1" x14ac:dyDescent="0.2"/>
    <row r="8235" s="2043" customFormat="1" x14ac:dyDescent="0.2"/>
    <row r="8236" s="2043" customFormat="1" x14ac:dyDescent="0.2"/>
    <row r="8237" s="2043" customFormat="1" x14ac:dyDescent="0.2"/>
    <row r="8238" s="2043" customFormat="1" x14ac:dyDescent="0.2"/>
    <row r="8239" s="2043" customFormat="1" x14ac:dyDescent="0.2"/>
    <row r="8240" s="2043" customFormat="1" x14ac:dyDescent="0.2"/>
    <row r="8241" s="2043" customFormat="1" x14ac:dyDescent="0.2"/>
    <row r="8242" s="2043" customFormat="1" x14ac:dyDescent="0.2"/>
    <row r="8243" s="2043" customFormat="1" x14ac:dyDescent="0.2"/>
    <row r="8244" s="2043" customFormat="1" x14ac:dyDescent="0.2"/>
    <row r="8245" s="2043" customFormat="1" x14ac:dyDescent="0.2"/>
    <row r="8246" s="2043" customFormat="1" x14ac:dyDescent="0.2"/>
    <row r="8247" s="2043" customFormat="1" x14ac:dyDescent="0.2"/>
    <row r="8248" s="2043" customFormat="1" x14ac:dyDescent="0.2"/>
    <row r="8249" s="2043" customFormat="1" x14ac:dyDescent="0.2"/>
    <row r="8250" s="2043" customFormat="1" x14ac:dyDescent="0.2"/>
    <row r="8251" s="2043" customFormat="1" x14ac:dyDescent="0.2"/>
    <row r="8252" s="2043" customFormat="1" x14ac:dyDescent="0.2"/>
    <row r="8253" s="2043" customFormat="1" x14ac:dyDescent="0.2"/>
    <row r="8254" s="2043" customFormat="1" x14ac:dyDescent="0.2"/>
    <row r="8255" s="2043" customFormat="1" x14ac:dyDescent="0.2"/>
    <row r="8256" s="2043" customFormat="1" x14ac:dyDescent="0.2"/>
    <row r="8257" s="2043" customFormat="1" x14ac:dyDescent="0.2"/>
    <row r="8258" s="2043" customFormat="1" x14ac:dyDescent="0.2"/>
    <row r="8259" s="2043" customFormat="1" x14ac:dyDescent="0.2"/>
    <row r="8260" s="2043" customFormat="1" x14ac:dyDescent="0.2"/>
    <row r="8261" s="2043" customFormat="1" x14ac:dyDescent="0.2"/>
    <row r="8262" s="2043" customFormat="1" x14ac:dyDescent="0.2"/>
    <row r="8263" s="2043" customFormat="1" x14ac:dyDescent="0.2"/>
    <row r="8264" s="2043" customFormat="1" x14ac:dyDescent="0.2"/>
    <row r="8265" s="2043" customFormat="1" x14ac:dyDescent="0.2"/>
    <row r="8266" s="2043" customFormat="1" x14ac:dyDescent="0.2"/>
    <row r="8267" s="2043" customFormat="1" x14ac:dyDescent="0.2"/>
    <row r="8268" s="2043" customFormat="1" x14ac:dyDescent="0.2"/>
    <row r="8269" s="2043" customFormat="1" x14ac:dyDescent="0.2"/>
    <row r="8270" s="2043" customFormat="1" x14ac:dyDescent="0.2"/>
    <row r="8271" s="2043" customFormat="1" x14ac:dyDescent="0.2"/>
    <row r="8272" s="2043" customFormat="1" x14ac:dyDescent="0.2"/>
    <row r="8273" s="2043" customFormat="1" x14ac:dyDescent="0.2"/>
    <row r="8274" s="2043" customFormat="1" x14ac:dyDescent="0.2"/>
    <row r="8275" s="2043" customFormat="1" x14ac:dyDescent="0.2"/>
    <row r="8276" s="2043" customFormat="1" x14ac:dyDescent="0.2"/>
    <row r="8277" s="2043" customFormat="1" x14ac:dyDescent="0.2"/>
    <row r="8278" s="2043" customFormat="1" x14ac:dyDescent="0.2"/>
    <row r="8279" s="2043" customFormat="1" x14ac:dyDescent="0.2"/>
    <row r="8280" s="2043" customFormat="1" x14ac:dyDescent="0.2"/>
    <row r="8281" s="2043" customFormat="1" x14ac:dyDescent="0.2"/>
    <row r="8282" s="2043" customFormat="1" x14ac:dyDescent="0.2"/>
    <row r="8283" s="2043" customFormat="1" x14ac:dyDescent="0.2"/>
    <row r="8284" s="2043" customFormat="1" x14ac:dyDescent="0.2"/>
    <row r="8285" s="2043" customFormat="1" x14ac:dyDescent="0.2"/>
    <row r="8286" s="2043" customFormat="1" x14ac:dyDescent="0.2"/>
    <row r="8287" s="2043" customFormat="1" x14ac:dyDescent="0.2"/>
    <row r="8288" s="2043" customFormat="1" x14ac:dyDescent="0.2"/>
    <row r="8289" s="2043" customFormat="1" x14ac:dyDescent="0.2"/>
    <row r="8290" s="2043" customFormat="1" x14ac:dyDescent="0.2"/>
    <row r="8291" s="2043" customFormat="1" x14ac:dyDescent="0.2"/>
    <row r="8292" s="2043" customFormat="1" x14ac:dyDescent="0.2"/>
    <row r="8293" s="2043" customFormat="1" x14ac:dyDescent="0.2"/>
    <row r="8294" s="2043" customFormat="1" x14ac:dyDescent="0.2"/>
    <row r="8295" s="2043" customFormat="1" x14ac:dyDescent="0.2"/>
    <row r="8296" s="2043" customFormat="1" x14ac:dyDescent="0.2"/>
    <row r="8297" s="2043" customFormat="1" x14ac:dyDescent="0.2"/>
    <row r="8298" s="2043" customFormat="1" x14ac:dyDescent="0.2"/>
    <row r="8299" s="2043" customFormat="1" x14ac:dyDescent="0.2"/>
    <row r="8300" s="2043" customFormat="1" x14ac:dyDescent="0.2"/>
    <row r="8301" s="2043" customFormat="1" x14ac:dyDescent="0.2"/>
    <row r="8302" s="2043" customFormat="1" x14ac:dyDescent="0.2"/>
    <row r="8303" s="2043" customFormat="1" x14ac:dyDescent="0.2"/>
    <row r="8304" s="2043" customFormat="1" x14ac:dyDescent="0.2"/>
    <row r="8305" s="2043" customFormat="1" x14ac:dyDescent="0.2"/>
    <row r="8306" s="2043" customFormat="1" x14ac:dyDescent="0.2"/>
    <row r="8307" s="2043" customFormat="1" x14ac:dyDescent="0.2"/>
    <row r="8308" s="2043" customFormat="1" x14ac:dyDescent="0.2"/>
    <row r="8309" s="2043" customFormat="1" x14ac:dyDescent="0.2"/>
    <row r="8310" s="2043" customFormat="1" x14ac:dyDescent="0.2"/>
    <row r="8311" s="2043" customFormat="1" x14ac:dyDescent="0.2"/>
    <row r="8312" s="2043" customFormat="1" x14ac:dyDescent="0.2"/>
    <row r="8313" s="2043" customFormat="1" x14ac:dyDescent="0.2"/>
    <row r="8314" s="2043" customFormat="1" x14ac:dyDescent="0.2"/>
    <row r="8315" s="2043" customFormat="1" x14ac:dyDescent="0.2"/>
    <row r="8316" s="2043" customFormat="1" x14ac:dyDescent="0.2"/>
    <row r="8317" s="2043" customFormat="1" x14ac:dyDescent="0.2"/>
    <row r="8318" s="2043" customFormat="1" x14ac:dyDescent="0.2"/>
    <row r="8319" s="2043" customFormat="1" x14ac:dyDescent="0.2"/>
    <row r="8320" s="2043" customFormat="1" x14ac:dyDescent="0.2"/>
    <row r="8321" s="2043" customFormat="1" x14ac:dyDescent="0.2"/>
    <row r="8322" s="2043" customFormat="1" x14ac:dyDescent="0.2"/>
    <row r="8323" s="2043" customFormat="1" x14ac:dyDescent="0.2"/>
    <row r="8324" s="2043" customFormat="1" x14ac:dyDescent="0.2"/>
    <row r="8325" s="2043" customFormat="1" x14ac:dyDescent="0.2"/>
    <row r="8326" s="2043" customFormat="1" x14ac:dyDescent="0.2"/>
    <row r="8327" s="2043" customFormat="1" x14ac:dyDescent="0.2"/>
    <row r="8328" s="2043" customFormat="1" x14ac:dyDescent="0.2"/>
    <row r="8329" s="2043" customFormat="1" x14ac:dyDescent="0.2"/>
    <row r="8330" s="2043" customFormat="1" x14ac:dyDescent="0.2"/>
    <row r="8331" s="2043" customFormat="1" x14ac:dyDescent="0.2"/>
    <row r="8332" s="2043" customFormat="1" x14ac:dyDescent="0.2"/>
    <row r="8333" s="2043" customFormat="1" x14ac:dyDescent="0.2"/>
    <row r="8334" s="2043" customFormat="1" x14ac:dyDescent="0.2"/>
    <row r="8335" s="2043" customFormat="1" x14ac:dyDescent="0.2"/>
    <row r="8336" s="2043" customFormat="1" x14ac:dyDescent="0.2"/>
    <row r="8337" s="2043" customFormat="1" x14ac:dyDescent="0.2"/>
    <row r="8338" s="2043" customFormat="1" x14ac:dyDescent="0.2"/>
    <row r="8339" s="2043" customFormat="1" x14ac:dyDescent="0.2"/>
    <row r="8340" s="2043" customFormat="1" x14ac:dyDescent="0.2"/>
    <row r="8341" s="2043" customFormat="1" x14ac:dyDescent="0.2"/>
    <row r="8342" s="2043" customFormat="1" x14ac:dyDescent="0.2"/>
    <row r="8343" s="2043" customFormat="1" x14ac:dyDescent="0.2"/>
    <row r="8344" s="2043" customFormat="1" x14ac:dyDescent="0.2"/>
    <row r="8345" s="2043" customFormat="1" x14ac:dyDescent="0.2"/>
    <row r="8346" s="2043" customFormat="1" x14ac:dyDescent="0.2"/>
    <row r="8347" s="2043" customFormat="1" x14ac:dyDescent="0.2"/>
    <row r="8348" s="2043" customFormat="1" x14ac:dyDescent="0.2"/>
    <row r="8349" s="2043" customFormat="1" x14ac:dyDescent="0.2"/>
    <row r="8350" s="2043" customFormat="1" x14ac:dyDescent="0.2"/>
    <row r="8351" s="2043" customFormat="1" x14ac:dyDescent="0.2"/>
    <row r="8352" s="2043" customFormat="1" x14ac:dyDescent="0.2"/>
    <row r="8353" s="2043" customFormat="1" x14ac:dyDescent="0.2"/>
    <row r="8354" s="2043" customFormat="1" x14ac:dyDescent="0.2"/>
    <row r="8355" s="2043" customFormat="1" x14ac:dyDescent="0.2"/>
    <row r="8356" s="2043" customFormat="1" x14ac:dyDescent="0.2"/>
    <row r="8357" s="2043" customFormat="1" x14ac:dyDescent="0.2"/>
    <row r="8358" s="2043" customFormat="1" x14ac:dyDescent="0.2"/>
    <row r="8359" s="2043" customFormat="1" x14ac:dyDescent="0.2"/>
    <row r="8360" s="2043" customFormat="1" x14ac:dyDescent="0.2"/>
    <row r="8361" s="2043" customFormat="1" x14ac:dyDescent="0.2"/>
    <row r="8362" s="2043" customFormat="1" x14ac:dyDescent="0.2"/>
    <row r="8363" s="2043" customFormat="1" x14ac:dyDescent="0.2"/>
    <row r="8364" s="2043" customFormat="1" x14ac:dyDescent="0.2"/>
    <row r="8365" s="2043" customFormat="1" x14ac:dyDescent="0.2"/>
    <row r="8366" s="2043" customFormat="1" x14ac:dyDescent="0.2"/>
    <row r="8367" s="2043" customFormat="1" x14ac:dyDescent="0.2"/>
    <row r="8368" s="2043" customFormat="1" x14ac:dyDescent="0.2"/>
    <row r="8369" s="2043" customFormat="1" x14ac:dyDescent="0.2"/>
    <row r="8370" s="2043" customFormat="1" x14ac:dyDescent="0.2"/>
    <row r="8371" s="2043" customFormat="1" x14ac:dyDescent="0.2"/>
    <row r="8372" s="2043" customFormat="1" x14ac:dyDescent="0.2"/>
    <row r="8373" s="2043" customFormat="1" x14ac:dyDescent="0.2"/>
    <row r="8374" s="2043" customFormat="1" x14ac:dyDescent="0.2"/>
    <row r="8375" s="2043" customFormat="1" x14ac:dyDescent="0.2"/>
    <row r="8376" s="2043" customFormat="1" x14ac:dyDescent="0.2"/>
    <row r="8377" s="2043" customFormat="1" x14ac:dyDescent="0.2"/>
    <row r="8378" s="2043" customFormat="1" x14ac:dyDescent="0.2"/>
    <row r="8379" s="2043" customFormat="1" x14ac:dyDescent="0.2"/>
    <row r="8380" s="2043" customFormat="1" x14ac:dyDescent="0.2"/>
    <row r="8381" s="2043" customFormat="1" x14ac:dyDescent="0.2"/>
    <row r="8382" s="2043" customFormat="1" x14ac:dyDescent="0.2"/>
    <row r="8383" s="2043" customFormat="1" x14ac:dyDescent="0.2"/>
    <row r="8384" s="2043" customFormat="1" x14ac:dyDescent="0.2"/>
    <row r="8385" s="2043" customFormat="1" x14ac:dyDescent="0.2"/>
    <row r="8386" s="2043" customFormat="1" x14ac:dyDescent="0.2"/>
    <row r="8387" s="2043" customFormat="1" x14ac:dyDescent="0.2"/>
    <row r="8388" s="2043" customFormat="1" x14ac:dyDescent="0.2"/>
    <row r="8389" s="2043" customFormat="1" x14ac:dyDescent="0.2"/>
    <row r="8390" s="2043" customFormat="1" x14ac:dyDescent="0.2"/>
    <row r="8391" s="2043" customFormat="1" x14ac:dyDescent="0.2"/>
    <row r="8392" s="2043" customFormat="1" x14ac:dyDescent="0.2"/>
    <row r="8393" s="2043" customFormat="1" x14ac:dyDescent="0.2"/>
    <row r="8394" s="2043" customFormat="1" x14ac:dyDescent="0.2"/>
    <row r="8395" s="2043" customFormat="1" x14ac:dyDescent="0.2"/>
    <row r="8396" s="2043" customFormat="1" x14ac:dyDescent="0.2"/>
    <row r="8397" s="2043" customFormat="1" x14ac:dyDescent="0.2"/>
    <row r="8398" s="2043" customFormat="1" x14ac:dyDescent="0.2"/>
    <row r="8399" s="2043" customFormat="1" x14ac:dyDescent="0.2"/>
    <row r="8400" s="2043" customFormat="1" x14ac:dyDescent="0.2"/>
    <row r="8401" s="2043" customFormat="1" x14ac:dyDescent="0.2"/>
    <row r="8402" s="2043" customFormat="1" x14ac:dyDescent="0.2"/>
    <row r="8403" s="2043" customFormat="1" x14ac:dyDescent="0.2"/>
    <row r="8404" s="2043" customFormat="1" x14ac:dyDescent="0.2"/>
    <row r="8405" s="2043" customFormat="1" x14ac:dyDescent="0.2"/>
    <row r="8406" s="2043" customFormat="1" x14ac:dyDescent="0.2"/>
    <row r="8407" s="2043" customFormat="1" x14ac:dyDescent="0.2"/>
    <row r="8408" s="2043" customFormat="1" x14ac:dyDescent="0.2"/>
    <row r="8409" s="2043" customFormat="1" x14ac:dyDescent="0.2"/>
    <row r="8410" s="2043" customFormat="1" x14ac:dyDescent="0.2"/>
    <row r="8411" s="2043" customFormat="1" x14ac:dyDescent="0.2"/>
    <row r="8412" s="2043" customFormat="1" x14ac:dyDescent="0.2"/>
    <row r="8413" s="2043" customFormat="1" x14ac:dyDescent="0.2"/>
    <row r="8414" s="2043" customFormat="1" x14ac:dyDescent="0.2"/>
    <row r="8415" s="2043" customFormat="1" x14ac:dyDescent="0.2"/>
    <row r="8416" s="2043" customFormat="1" x14ac:dyDescent="0.2"/>
    <row r="8417" s="2043" customFormat="1" x14ac:dyDescent="0.2"/>
    <row r="8418" s="2043" customFormat="1" x14ac:dyDescent="0.2"/>
    <row r="8419" s="2043" customFormat="1" x14ac:dyDescent="0.2"/>
    <row r="8420" s="2043" customFormat="1" x14ac:dyDescent="0.2"/>
    <row r="8421" s="2043" customFormat="1" x14ac:dyDescent="0.2"/>
    <row r="8422" s="2043" customFormat="1" x14ac:dyDescent="0.2"/>
    <row r="8423" s="2043" customFormat="1" x14ac:dyDescent="0.2"/>
    <row r="8424" s="2043" customFormat="1" x14ac:dyDescent="0.2"/>
    <row r="8425" s="2043" customFormat="1" x14ac:dyDescent="0.2"/>
    <row r="8426" s="2043" customFormat="1" x14ac:dyDescent="0.2"/>
    <row r="8427" s="2043" customFormat="1" x14ac:dyDescent="0.2"/>
    <row r="8428" s="2043" customFormat="1" x14ac:dyDescent="0.2"/>
    <row r="8429" s="2043" customFormat="1" x14ac:dyDescent="0.2"/>
    <row r="8430" s="2043" customFormat="1" x14ac:dyDescent="0.2"/>
    <row r="8431" s="2043" customFormat="1" x14ac:dyDescent="0.2"/>
    <row r="8432" s="2043" customFormat="1" x14ac:dyDescent="0.2"/>
    <row r="8433" s="2043" customFormat="1" x14ac:dyDescent="0.2"/>
    <row r="8434" s="2043" customFormat="1" x14ac:dyDescent="0.2"/>
    <row r="8435" s="2043" customFormat="1" x14ac:dyDescent="0.2"/>
    <row r="8436" s="2043" customFormat="1" x14ac:dyDescent="0.2"/>
    <row r="8437" s="2043" customFormat="1" x14ac:dyDescent="0.2"/>
    <row r="8438" s="2043" customFormat="1" x14ac:dyDescent="0.2"/>
    <row r="8439" s="2043" customFormat="1" x14ac:dyDescent="0.2"/>
    <row r="8440" s="2043" customFormat="1" x14ac:dyDescent="0.2"/>
    <row r="8441" s="2043" customFormat="1" x14ac:dyDescent="0.2"/>
    <row r="8442" s="2043" customFormat="1" x14ac:dyDescent="0.2"/>
    <row r="8443" s="2043" customFormat="1" x14ac:dyDescent="0.2"/>
    <row r="8444" s="2043" customFormat="1" x14ac:dyDescent="0.2"/>
    <row r="8445" s="2043" customFormat="1" x14ac:dyDescent="0.2"/>
    <row r="8446" s="2043" customFormat="1" x14ac:dyDescent="0.2"/>
    <row r="8447" s="2043" customFormat="1" x14ac:dyDescent="0.2"/>
    <row r="8448" s="2043" customFormat="1" x14ac:dyDescent="0.2"/>
    <row r="8449" s="2043" customFormat="1" x14ac:dyDescent="0.2"/>
    <row r="8450" s="2043" customFormat="1" x14ac:dyDescent="0.2"/>
    <row r="8451" s="2043" customFormat="1" x14ac:dyDescent="0.2"/>
    <row r="8452" s="2043" customFormat="1" x14ac:dyDescent="0.2"/>
    <row r="8453" s="2043" customFormat="1" x14ac:dyDescent="0.2"/>
    <row r="8454" s="2043" customFormat="1" x14ac:dyDescent="0.2"/>
    <row r="8455" s="2043" customFormat="1" x14ac:dyDescent="0.2"/>
    <row r="8456" s="2043" customFormat="1" x14ac:dyDescent="0.2"/>
    <row r="8457" s="2043" customFormat="1" x14ac:dyDescent="0.2"/>
    <row r="8458" s="2043" customFormat="1" x14ac:dyDescent="0.2"/>
    <row r="8459" s="2043" customFormat="1" x14ac:dyDescent="0.2"/>
    <row r="8460" s="2043" customFormat="1" x14ac:dyDescent="0.2"/>
    <row r="8461" s="2043" customFormat="1" x14ac:dyDescent="0.2"/>
    <row r="8462" s="2043" customFormat="1" x14ac:dyDescent="0.2"/>
    <row r="8463" s="2043" customFormat="1" x14ac:dyDescent="0.2"/>
    <row r="8464" s="2043" customFormat="1" x14ac:dyDescent="0.2"/>
    <row r="8465" s="2043" customFormat="1" x14ac:dyDescent="0.2"/>
    <row r="8466" s="2043" customFormat="1" x14ac:dyDescent="0.2"/>
    <row r="8467" s="2043" customFormat="1" x14ac:dyDescent="0.2"/>
    <row r="8468" s="2043" customFormat="1" x14ac:dyDescent="0.2"/>
    <row r="8469" s="2043" customFormat="1" x14ac:dyDescent="0.2"/>
    <row r="8470" s="2043" customFormat="1" x14ac:dyDescent="0.2"/>
    <row r="8471" s="2043" customFormat="1" x14ac:dyDescent="0.2"/>
    <row r="8472" s="2043" customFormat="1" x14ac:dyDescent="0.2"/>
    <row r="8473" s="2043" customFormat="1" x14ac:dyDescent="0.2"/>
    <row r="8474" s="2043" customFormat="1" x14ac:dyDescent="0.2"/>
    <row r="8475" s="2043" customFormat="1" x14ac:dyDescent="0.2"/>
    <row r="8476" s="2043" customFormat="1" x14ac:dyDescent="0.2"/>
    <row r="8477" s="2043" customFormat="1" x14ac:dyDescent="0.2"/>
    <row r="8478" s="2043" customFormat="1" x14ac:dyDescent="0.2"/>
    <row r="8479" s="2043" customFormat="1" x14ac:dyDescent="0.2"/>
    <row r="8480" s="2043" customFormat="1" x14ac:dyDescent="0.2"/>
    <row r="8481" s="2043" customFormat="1" x14ac:dyDescent="0.2"/>
    <row r="8482" s="2043" customFormat="1" x14ac:dyDescent="0.2"/>
    <row r="8483" s="2043" customFormat="1" x14ac:dyDescent="0.2"/>
    <row r="8484" s="2043" customFormat="1" x14ac:dyDescent="0.2"/>
    <row r="8485" s="2043" customFormat="1" x14ac:dyDescent="0.2"/>
    <row r="8486" s="2043" customFormat="1" x14ac:dyDescent="0.2"/>
    <row r="8487" s="2043" customFormat="1" x14ac:dyDescent="0.2"/>
    <row r="8488" s="2043" customFormat="1" x14ac:dyDescent="0.2"/>
    <row r="8489" s="2043" customFormat="1" x14ac:dyDescent="0.2"/>
    <row r="8490" s="2043" customFormat="1" x14ac:dyDescent="0.2"/>
    <row r="8491" s="2043" customFormat="1" x14ac:dyDescent="0.2"/>
    <row r="8492" s="2043" customFormat="1" x14ac:dyDescent="0.2"/>
    <row r="8493" s="2043" customFormat="1" x14ac:dyDescent="0.2"/>
    <row r="8494" s="2043" customFormat="1" x14ac:dyDescent="0.2"/>
    <row r="8495" s="2043" customFormat="1" x14ac:dyDescent="0.2"/>
    <row r="8496" s="2043" customFormat="1" x14ac:dyDescent="0.2"/>
    <row r="8497" s="2043" customFormat="1" x14ac:dyDescent="0.2"/>
    <row r="8498" s="2043" customFormat="1" x14ac:dyDescent="0.2"/>
    <row r="8499" s="2043" customFormat="1" x14ac:dyDescent="0.2"/>
    <row r="8500" s="2043" customFormat="1" x14ac:dyDescent="0.2"/>
    <row r="8501" s="2043" customFormat="1" x14ac:dyDescent="0.2"/>
    <row r="8502" s="2043" customFormat="1" x14ac:dyDescent="0.2"/>
    <row r="8503" s="2043" customFormat="1" x14ac:dyDescent="0.2"/>
    <row r="8504" s="2043" customFormat="1" x14ac:dyDescent="0.2"/>
    <row r="8505" s="2043" customFormat="1" x14ac:dyDescent="0.2"/>
    <row r="8506" s="2043" customFormat="1" x14ac:dyDescent="0.2"/>
    <row r="8507" s="2043" customFormat="1" x14ac:dyDescent="0.2"/>
    <row r="8508" s="2043" customFormat="1" x14ac:dyDescent="0.2"/>
    <row r="8509" s="2043" customFormat="1" x14ac:dyDescent="0.2"/>
    <row r="8510" s="2043" customFormat="1" x14ac:dyDescent="0.2"/>
    <row r="8511" s="2043" customFormat="1" x14ac:dyDescent="0.2"/>
    <row r="8512" s="2043" customFormat="1" x14ac:dyDescent="0.2"/>
    <row r="8513" s="2043" customFormat="1" x14ac:dyDescent="0.2"/>
    <row r="8514" s="2043" customFormat="1" x14ac:dyDescent="0.2"/>
    <row r="8515" s="2043" customFormat="1" x14ac:dyDescent="0.2"/>
    <row r="8516" s="2043" customFormat="1" x14ac:dyDescent="0.2"/>
    <row r="8517" s="2043" customFormat="1" x14ac:dyDescent="0.2"/>
    <row r="8518" s="2043" customFormat="1" x14ac:dyDescent="0.2"/>
    <row r="8519" s="2043" customFormat="1" x14ac:dyDescent="0.2"/>
    <row r="8520" s="2043" customFormat="1" x14ac:dyDescent="0.2"/>
    <row r="8521" s="2043" customFormat="1" x14ac:dyDescent="0.2"/>
    <row r="8522" s="2043" customFormat="1" x14ac:dyDescent="0.2"/>
    <row r="8523" s="2043" customFormat="1" x14ac:dyDescent="0.2"/>
    <row r="8524" s="2043" customFormat="1" x14ac:dyDescent="0.2"/>
    <row r="8525" s="2043" customFormat="1" x14ac:dyDescent="0.2"/>
    <row r="8526" s="2043" customFormat="1" x14ac:dyDescent="0.2"/>
    <row r="8527" s="2043" customFormat="1" x14ac:dyDescent="0.2"/>
    <row r="8528" s="2043" customFormat="1" x14ac:dyDescent="0.2"/>
    <row r="8529" s="2043" customFormat="1" x14ac:dyDescent="0.2"/>
    <row r="8530" s="2043" customFormat="1" x14ac:dyDescent="0.2"/>
    <row r="8531" s="2043" customFormat="1" x14ac:dyDescent="0.2"/>
    <row r="8532" s="2043" customFormat="1" x14ac:dyDescent="0.2"/>
    <row r="8533" s="2043" customFormat="1" x14ac:dyDescent="0.2"/>
    <row r="8534" s="2043" customFormat="1" x14ac:dyDescent="0.2"/>
    <row r="8535" s="2043" customFormat="1" x14ac:dyDescent="0.2"/>
    <row r="8536" s="2043" customFormat="1" x14ac:dyDescent="0.2"/>
    <row r="8537" s="2043" customFormat="1" x14ac:dyDescent="0.2"/>
    <row r="8538" s="2043" customFormat="1" x14ac:dyDescent="0.2"/>
    <row r="8539" s="2043" customFormat="1" x14ac:dyDescent="0.2"/>
    <row r="8540" s="2043" customFormat="1" x14ac:dyDescent="0.2"/>
    <row r="8541" s="2043" customFormat="1" x14ac:dyDescent="0.2"/>
    <row r="8542" s="2043" customFormat="1" x14ac:dyDescent="0.2"/>
    <row r="8543" s="2043" customFormat="1" x14ac:dyDescent="0.2"/>
    <row r="8544" s="2043" customFormat="1" x14ac:dyDescent="0.2"/>
    <row r="8545" s="2043" customFormat="1" x14ac:dyDescent="0.2"/>
    <row r="8546" s="2043" customFormat="1" x14ac:dyDescent="0.2"/>
    <row r="8547" s="2043" customFormat="1" x14ac:dyDescent="0.2"/>
    <row r="8548" s="2043" customFormat="1" x14ac:dyDescent="0.2"/>
    <row r="8549" s="2043" customFormat="1" x14ac:dyDescent="0.2"/>
    <row r="8550" s="2043" customFormat="1" x14ac:dyDescent="0.2"/>
    <row r="8551" s="2043" customFormat="1" x14ac:dyDescent="0.2"/>
    <row r="8552" s="2043" customFormat="1" x14ac:dyDescent="0.2"/>
    <row r="8553" s="2043" customFormat="1" x14ac:dyDescent="0.2"/>
    <row r="8554" s="2043" customFormat="1" x14ac:dyDescent="0.2"/>
    <row r="8555" s="2043" customFormat="1" x14ac:dyDescent="0.2"/>
    <row r="8556" s="2043" customFormat="1" x14ac:dyDescent="0.2"/>
    <row r="8557" s="2043" customFormat="1" x14ac:dyDescent="0.2"/>
    <row r="8558" s="2043" customFormat="1" x14ac:dyDescent="0.2"/>
    <row r="8559" s="2043" customFormat="1" x14ac:dyDescent="0.2"/>
    <row r="8560" s="2043" customFormat="1" x14ac:dyDescent="0.2"/>
    <row r="8561" s="2043" customFormat="1" x14ac:dyDescent="0.2"/>
    <row r="8562" s="2043" customFormat="1" x14ac:dyDescent="0.2"/>
    <row r="8563" s="2043" customFormat="1" x14ac:dyDescent="0.2"/>
    <row r="8564" s="2043" customFormat="1" x14ac:dyDescent="0.2"/>
    <row r="8565" s="2043" customFormat="1" x14ac:dyDescent="0.2"/>
    <row r="8566" s="2043" customFormat="1" x14ac:dyDescent="0.2"/>
    <row r="8567" s="2043" customFormat="1" x14ac:dyDescent="0.2"/>
    <row r="8568" s="2043" customFormat="1" x14ac:dyDescent="0.2"/>
    <row r="8569" s="2043" customFormat="1" x14ac:dyDescent="0.2"/>
    <row r="8570" s="2043" customFormat="1" x14ac:dyDescent="0.2"/>
    <row r="8571" s="2043" customFormat="1" x14ac:dyDescent="0.2"/>
    <row r="8572" s="2043" customFormat="1" x14ac:dyDescent="0.2"/>
    <row r="8573" s="2043" customFormat="1" x14ac:dyDescent="0.2"/>
    <row r="8574" s="2043" customFormat="1" x14ac:dyDescent="0.2"/>
    <row r="8575" s="2043" customFormat="1" x14ac:dyDescent="0.2"/>
    <row r="8576" s="2043" customFormat="1" x14ac:dyDescent="0.2"/>
    <row r="8577" s="2043" customFormat="1" x14ac:dyDescent="0.2"/>
    <row r="8578" s="2043" customFormat="1" x14ac:dyDescent="0.2"/>
    <row r="8579" s="2043" customFormat="1" x14ac:dyDescent="0.2"/>
    <row r="8580" s="2043" customFormat="1" x14ac:dyDescent="0.2"/>
    <row r="8581" s="2043" customFormat="1" x14ac:dyDescent="0.2"/>
    <row r="8582" s="2043" customFormat="1" x14ac:dyDescent="0.2"/>
    <row r="8583" s="2043" customFormat="1" x14ac:dyDescent="0.2"/>
    <row r="8584" s="2043" customFormat="1" x14ac:dyDescent="0.2"/>
    <row r="8585" s="2043" customFormat="1" x14ac:dyDescent="0.2"/>
    <row r="8586" s="2043" customFormat="1" x14ac:dyDescent="0.2"/>
    <row r="8587" s="2043" customFormat="1" x14ac:dyDescent="0.2"/>
    <row r="8588" s="2043" customFormat="1" x14ac:dyDescent="0.2"/>
    <row r="8589" s="2043" customFormat="1" x14ac:dyDescent="0.2"/>
    <row r="8590" s="2043" customFormat="1" x14ac:dyDescent="0.2"/>
    <row r="8591" s="2043" customFormat="1" x14ac:dyDescent="0.2"/>
    <row r="8592" s="2043" customFormat="1" x14ac:dyDescent="0.2"/>
    <row r="8593" s="2043" customFormat="1" x14ac:dyDescent="0.2"/>
    <row r="8594" s="2043" customFormat="1" x14ac:dyDescent="0.2"/>
    <row r="8595" s="2043" customFormat="1" x14ac:dyDescent="0.2"/>
    <row r="8596" s="2043" customFormat="1" x14ac:dyDescent="0.2"/>
    <row r="8597" s="2043" customFormat="1" x14ac:dyDescent="0.2"/>
    <row r="8598" s="2043" customFormat="1" x14ac:dyDescent="0.2"/>
    <row r="8599" s="2043" customFormat="1" x14ac:dyDescent="0.2"/>
    <row r="8600" s="2043" customFormat="1" x14ac:dyDescent="0.2"/>
    <row r="8601" s="2043" customFormat="1" x14ac:dyDescent="0.2"/>
    <row r="8602" s="2043" customFormat="1" x14ac:dyDescent="0.2"/>
    <row r="8603" s="2043" customFormat="1" x14ac:dyDescent="0.2"/>
    <row r="8604" s="2043" customFormat="1" x14ac:dyDescent="0.2"/>
    <row r="8605" s="2043" customFormat="1" x14ac:dyDescent="0.2"/>
    <row r="8606" s="2043" customFormat="1" x14ac:dyDescent="0.2"/>
    <row r="8607" s="2043" customFormat="1" x14ac:dyDescent="0.2"/>
    <row r="8608" s="2043" customFormat="1" x14ac:dyDescent="0.2"/>
    <row r="8609" s="2043" customFormat="1" x14ac:dyDescent="0.2"/>
    <row r="8610" s="2043" customFormat="1" x14ac:dyDescent="0.2"/>
    <row r="8611" s="2043" customFormat="1" x14ac:dyDescent="0.2"/>
    <row r="8612" s="2043" customFormat="1" x14ac:dyDescent="0.2"/>
    <row r="8613" s="2043" customFormat="1" x14ac:dyDescent="0.2"/>
    <row r="8614" s="2043" customFormat="1" x14ac:dyDescent="0.2"/>
    <row r="8615" s="2043" customFormat="1" x14ac:dyDescent="0.2"/>
    <row r="8616" s="2043" customFormat="1" x14ac:dyDescent="0.2"/>
    <row r="8617" s="2043" customFormat="1" x14ac:dyDescent="0.2"/>
    <row r="8618" s="2043" customFormat="1" x14ac:dyDescent="0.2"/>
    <row r="8619" s="2043" customFormat="1" x14ac:dyDescent="0.2"/>
    <row r="8620" s="2043" customFormat="1" x14ac:dyDescent="0.2"/>
    <row r="8621" s="2043" customFormat="1" x14ac:dyDescent="0.2"/>
    <row r="8622" s="2043" customFormat="1" x14ac:dyDescent="0.2"/>
    <row r="8623" s="2043" customFormat="1" x14ac:dyDescent="0.2"/>
    <row r="8624" s="2043" customFormat="1" x14ac:dyDescent="0.2"/>
    <row r="8625" s="2043" customFormat="1" x14ac:dyDescent="0.2"/>
    <row r="8626" s="2043" customFormat="1" x14ac:dyDescent="0.2"/>
    <row r="8627" s="2043" customFormat="1" x14ac:dyDescent="0.2"/>
    <row r="8628" s="2043" customFormat="1" x14ac:dyDescent="0.2"/>
    <row r="8629" s="2043" customFormat="1" x14ac:dyDescent="0.2"/>
    <row r="8630" s="2043" customFormat="1" x14ac:dyDescent="0.2"/>
    <row r="8631" s="2043" customFormat="1" x14ac:dyDescent="0.2"/>
    <row r="8632" s="2043" customFormat="1" x14ac:dyDescent="0.2"/>
    <row r="8633" s="2043" customFormat="1" x14ac:dyDescent="0.2"/>
    <row r="8634" s="2043" customFormat="1" x14ac:dyDescent="0.2"/>
    <row r="8635" s="2043" customFormat="1" x14ac:dyDescent="0.2"/>
    <row r="8636" s="2043" customFormat="1" x14ac:dyDescent="0.2"/>
    <row r="8637" s="2043" customFormat="1" x14ac:dyDescent="0.2"/>
    <row r="8638" s="2043" customFormat="1" x14ac:dyDescent="0.2"/>
    <row r="8639" s="2043" customFormat="1" x14ac:dyDescent="0.2"/>
    <row r="8640" s="2043" customFormat="1" x14ac:dyDescent="0.2"/>
    <row r="8641" s="2043" customFormat="1" x14ac:dyDescent="0.2"/>
    <row r="8642" s="2043" customFormat="1" x14ac:dyDescent="0.2"/>
    <row r="8643" s="2043" customFormat="1" x14ac:dyDescent="0.2"/>
    <row r="8644" s="2043" customFormat="1" x14ac:dyDescent="0.2"/>
    <row r="8645" s="2043" customFormat="1" x14ac:dyDescent="0.2"/>
    <row r="8646" s="2043" customFormat="1" x14ac:dyDescent="0.2"/>
    <row r="8647" s="2043" customFormat="1" x14ac:dyDescent="0.2"/>
    <row r="8648" s="2043" customFormat="1" x14ac:dyDescent="0.2"/>
    <row r="8649" s="2043" customFormat="1" x14ac:dyDescent="0.2"/>
    <row r="8650" s="2043" customFormat="1" x14ac:dyDescent="0.2"/>
    <row r="8651" s="2043" customFormat="1" x14ac:dyDescent="0.2"/>
    <row r="8652" s="2043" customFormat="1" x14ac:dyDescent="0.2"/>
    <row r="8653" s="2043" customFormat="1" x14ac:dyDescent="0.2"/>
    <row r="8654" s="2043" customFormat="1" x14ac:dyDescent="0.2"/>
    <row r="8655" s="2043" customFormat="1" x14ac:dyDescent="0.2"/>
    <row r="8656" s="2043" customFormat="1" x14ac:dyDescent="0.2"/>
    <row r="8657" s="2043" customFormat="1" x14ac:dyDescent="0.2"/>
    <row r="8658" s="2043" customFormat="1" x14ac:dyDescent="0.2"/>
    <row r="8659" s="2043" customFormat="1" x14ac:dyDescent="0.2"/>
    <row r="8660" s="2043" customFormat="1" x14ac:dyDescent="0.2"/>
    <row r="8661" s="2043" customFormat="1" x14ac:dyDescent="0.2"/>
    <row r="8662" s="2043" customFormat="1" x14ac:dyDescent="0.2"/>
    <row r="8663" s="2043" customFormat="1" x14ac:dyDescent="0.2"/>
    <row r="8664" s="2043" customFormat="1" x14ac:dyDescent="0.2"/>
    <row r="8665" s="2043" customFormat="1" x14ac:dyDescent="0.2"/>
    <row r="8666" s="2043" customFormat="1" x14ac:dyDescent="0.2"/>
    <row r="8667" s="2043" customFormat="1" x14ac:dyDescent="0.2"/>
    <row r="8668" s="2043" customFormat="1" x14ac:dyDescent="0.2"/>
    <row r="8669" s="2043" customFormat="1" x14ac:dyDescent="0.2"/>
    <row r="8670" s="2043" customFormat="1" x14ac:dyDescent="0.2"/>
    <row r="8671" s="2043" customFormat="1" x14ac:dyDescent="0.2"/>
    <row r="8672" s="2043" customFormat="1" x14ac:dyDescent="0.2"/>
    <row r="8673" s="2043" customFormat="1" x14ac:dyDescent="0.2"/>
    <row r="8674" s="2043" customFormat="1" x14ac:dyDescent="0.2"/>
    <row r="8675" s="2043" customFormat="1" x14ac:dyDescent="0.2"/>
    <row r="8676" s="2043" customFormat="1" x14ac:dyDescent="0.2"/>
    <row r="8677" s="2043" customFormat="1" x14ac:dyDescent="0.2"/>
    <row r="8678" s="2043" customFormat="1" x14ac:dyDescent="0.2"/>
    <row r="8679" s="2043" customFormat="1" x14ac:dyDescent="0.2"/>
    <row r="8680" s="2043" customFormat="1" x14ac:dyDescent="0.2"/>
    <row r="8681" s="2043" customFormat="1" x14ac:dyDescent="0.2"/>
    <row r="8682" s="2043" customFormat="1" x14ac:dyDescent="0.2"/>
    <row r="8683" s="2043" customFormat="1" x14ac:dyDescent="0.2"/>
    <row r="8684" s="2043" customFormat="1" x14ac:dyDescent="0.2"/>
    <row r="8685" s="2043" customFormat="1" x14ac:dyDescent="0.2"/>
    <row r="8686" s="2043" customFormat="1" x14ac:dyDescent="0.2"/>
    <row r="8687" s="2043" customFormat="1" x14ac:dyDescent="0.2"/>
    <row r="8688" s="2043" customFormat="1" x14ac:dyDescent="0.2"/>
    <row r="8689" s="2043" customFormat="1" x14ac:dyDescent="0.2"/>
    <row r="8690" s="2043" customFormat="1" x14ac:dyDescent="0.2"/>
    <row r="8691" s="2043" customFormat="1" x14ac:dyDescent="0.2"/>
    <row r="8692" s="2043" customFormat="1" x14ac:dyDescent="0.2"/>
    <row r="8693" s="2043" customFormat="1" x14ac:dyDescent="0.2"/>
    <row r="8694" s="2043" customFormat="1" x14ac:dyDescent="0.2"/>
    <row r="8695" s="2043" customFormat="1" x14ac:dyDescent="0.2"/>
    <row r="8696" s="2043" customFormat="1" x14ac:dyDescent="0.2"/>
    <row r="8697" s="2043" customFormat="1" x14ac:dyDescent="0.2"/>
    <row r="8698" s="2043" customFormat="1" x14ac:dyDescent="0.2"/>
    <row r="8699" s="2043" customFormat="1" x14ac:dyDescent="0.2"/>
    <row r="8700" s="2043" customFormat="1" x14ac:dyDescent="0.2"/>
    <row r="8701" s="2043" customFormat="1" x14ac:dyDescent="0.2"/>
    <row r="8702" s="2043" customFormat="1" x14ac:dyDescent="0.2"/>
    <row r="8703" s="2043" customFormat="1" x14ac:dyDescent="0.2"/>
    <row r="8704" s="2043" customFormat="1" x14ac:dyDescent="0.2"/>
    <row r="8705" s="2043" customFormat="1" x14ac:dyDescent="0.2"/>
    <row r="8706" s="2043" customFormat="1" x14ac:dyDescent="0.2"/>
    <row r="8707" s="2043" customFormat="1" x14ac:dyDescent="0.2"/>
    <row r="8708" s="2043" customFormat="1" x14ac:dyDescent="0.2"/>
    <row r="8709" s="2043" customFormat="1" x14ac:dyDescent="0.2"/>
    <row r="8710" s="2043" customFormat="1" x14ac:dyDescent="0.2"/>
    <row r="8711" s="2043" customFormat="1" x14ac:dyDescent="0.2"/>
    <row r="8712" s="2043" customFormat="1" x14ac:dyDescent="0.2"/>
    <row r="8713" s="2043" customFormat="1" x14ac:dyDescent="0.2"/>
    <row r="8714" s="2043" customFormat="1" x14ac:dyDescent="0.2"/>
    <row r="8715" s="2043" customFormat="1" x14ac:dyDescent="0.2"/>
    <row r="8716" s="2043" customFormat="1" x14ac:dyDescent="0.2"/>
    <row r="8717" s="2043" customFormat="1" x14ac:dyDescent="0.2"/>
    <row r="8718" s="2043" customFormat="1" x14ac:dyDescent="0.2"/>
    <row r="8719" s="2043" customFormat="1" x14ac:dyDescent="0.2"/>
    <row r="8720" s="2043" customFormat="1" x14ac:dyDescent="0.2"/>
    <row r="8721" s="2043" customFormat="1" x14ac:dyDescent="0.2"/>
    <row r="8722" s="2043" customFormat="1" x14ac:dyDescent="0.2"/>
    <row r="8723" s="2043" customFormat="1" x14ac:dyDescent="0.2"/>
    <row r="8724" s="2043" customFormat="1" x14ac:dyDescent="0.2"/>
    <row r="8725" s="2043" customFormat="1" x14ac:dyDescent="0.2"/>
    <row r="8726" s="2043" customFormat="1" x14ac:dyDescent="0.2"/>
    <row r="8727" s="2043" customFormat="1" x14ac:dyDescent="0.2"/>
    <row r="8728" s="2043" customFormat="1" x14ac:dyDescent="0.2"/>
    <row r="8729" s="2043" customFormat="1" x14ac:dyDescent="0.2"/>
    <row r="8730" s="2043" customFormat="1" x14ac:dyDescent="0.2"/>
    <row r="8731" s="2043" customFormat="1" x14ac:dyDescent="0.2"/>
    <row r="8732" s="2043" customFormat="1" x14ac:dyDescent="0.2"/>
    <row r="8733" s="2043" customFormat="1" x14ac:dyDescent="0.2"/>
    <row r="8734" s="2043" customFormat="1" x14ac:dyDescent="0.2"/>
    <row r="8735" s="2043" customFormat="1" x14ac:dyDescent="0.2"/>
    <row r="8736" s="2043" customFormat="1" x14ac:dyDescent="0.2"/>
    <row r="8737" s="2043" customFormat="1" x14ac:dyDescent="0.2"/>
    <row r="8738" s="2043" customFormat="1" x14ac:dyDescent="0.2"/>
    <row r="8739" s="2043" customFormat="1" x14ac:dyDescent="0.2"/>
    <row r="8740" s="2043" customFormat="1" x14ac:dyDescent="0.2"/>
    <row r="8741" s="2043" customFormat="1" x14ac:dyDescent="0.2"/>
    <row r="8742" s="2043" customFormat="1" x14ac:dyDescent="0.2"/>
    <row r="8743" s="2043" customFormat="1" x14ac:dyDescent="0.2"/>
    <row r="8744" s="2043" customFormat="1" x14ac:dyDescent="0.2"/>
    <row r="8745" s="2043" customFormat="1" x14ac:dyDescent="0.2"/>
    <row r="8746" s="2043" customFormat="1" x14ac:dyDescent="0.2"/>
    <row r="8747" s="2043" customFormat="1" x14ac:dyDescent="0.2"/>
    <row r="8748" s="2043" customFormat="1" x14ac:dyDescent="0.2"/>
    <row r="8749" s="2043" customFormat="1" x14ac:dyDescent="0.2"/>
    <row r="8750" s="2043" customFormat="1" x14ac:dyDescent="0.2"/>
    <row r="8751" s="2043" customFormat="1" x14ac:dyDescent="0.2"/>
    <row r="8752" s="2043" customFormat="1" x14ac:dyDescent="0.2"/>
    <row r="8753" s="2043" customFormat="1" x14ac:dyDescent="0.2"/>
    <row r="8754" s="2043" customFormat="1" x14ac:dyDescent="0.2"/>
    <row r="8755" s="2043" customFormat="1" x14ac:dyDescent="0.2"/>
    <row r="8756" s="2043" customFormat="1" x14ac:dyDescent="0.2"/>
    <row r="8757" s="2043" customFormat="1" x14ac:dyDescent="0.2"/>
    <row r="8758" s="2043" customFormat="1" x14ac:dyDescent="0.2"/>
    <row r="8759" s="2043" customFormat="1" x14ac:dyDescent="0.2"/>
    <row r="8760" s="2043" customFormat="1" x14ac:dyDescent="0.2"/>
    <row r="8761" s="2043" customFormat="1" x14ac:dyDescent="0.2"/>
    <row r="8762" s="2043" customFormat="1" x14ac:dyDescent="0.2"/>
    <row r="8763" s="2043" customFormat="1" x14ac:dyDescent="0.2"/>
    <row r="8764" s="2043" customFormat="1" x14ac:dyDescent="0.2"/>
    <row r="8765" s="2043" customFormat="1" x14ac:dyDescent="0.2"/>
    <row r="8766" s="2043" customFormat="1" x14ac:dyDescent="0.2"/>
    <row r="8767" s="2043" customFormat="1" x14ac:dyDescent="0.2"/>
    <row r="8768" s="2043" customFormat="1" x14ac:dyDescent="0.2"/>
    <row r="8769" s="2043" customFormat="1" x14ac:dyDescent="0.2"/>
    <row r="8770" s="2043" customFormat="1" x14ac:dyDescent="0.2"/>
    <row r="8771" s="2043" customFormat="1" x14ac:dyDescent="0.2"/>
    <row r="8772" s="2043" customFormat="1" x14ac:dyDescent="0.2"/>
    <row r="8773" s="2043" customFormat="1" x14ac:dyDescent="0.2"/>
    <row r="8774" s="2043" customFormat="1" x14ac:dyDescent="0.2"/>
    <row r="8775" s="2043" customFormat="1" x14ac:dyDescent="0.2"/>
    <row r="8776" s="2043" customFormat="1" x14ac:dyDescent="0.2"/>
    <row r="8777" s="2043" customFormat="1" x14ac:dyDescent="0.2"/>
    <row r="8778" s="2043" customFormat="1" x14ac:dyDescent="0.2"/>
    <row r="8779" s="2043" customFormat="1" x14ac:dyDescent="0.2"/>
    <row r="8780" s="2043" customFormat="1" x14ac:dyDescent="0.2"/>
    <row r="8781" s="2043" customFormat="1" x14ac:dyDescent="0.2"/>
    <row r="8782" s="2043" customFormat="1" x14ac:dyDescent="0.2"/>
    <row r="8783" s="2043" customFormat="1" x14ac:dyDescent="0.2"/>
    <row r="8784" s="2043" customFormat="1" x14ac:dyDescent="0.2"/>
    <row r="8785" s="2043" customFormat="1" x14ac:dyDescent="0.2"/>
    <row r="8786" s="2043" customFormat="1" x14ac:dyDescent="0.2"/>
    <row r="8787" s="2043" customFormat="1" x14ac:dyDescent="0.2"/>
    <row r="8788" s="2043" customFormat="1" x14ac:dyDescent="0.2"/>
    <row r="8789" s="2043" customFormat="1" x14ac:dyDescent="0.2"/>
    <row r="8790" s="2043" customFormat="1" x14ac:dyDescent="0.2"/>
    <row r="8791" s="2043" customFormat="1" x14ac:dyDescent="0.2"/>
    <row r="8792" s="2043" customFormat="1" x14ac:dyDescent="0.2"/>
    <row r="8793" s="2043" customFormat="1" x14ac:dyDescent="0.2"/>
    <row r="8794" s="2043" customFormat="1" x14ac:dyDescent="0.2"/>
    <row r="8795" s="2043" customFormat="1" x14ac:dyDescent="0.2"/>
    <row r="8796" s="2043" customFormat="1" x14ac:dyDescent="0.2"/>
    <row r="8797" s="2043" customFormat="1" x14ac:dyDescent="0.2"/>
    <row r="8798" s="2043" customFormat="1" x14ac:dyDescent="0.2"/>
    <row r="8799" s="2043" customFormat="1" x14ac:dyDescent="0.2"/>
    <row r="8800" s="2043" customFormat="1" x14ac:dyDescent="0.2"/>
    <row r="8801" s="2043" customFormat="1" x14ac:dyDescent="0.2"/>
    <row r="8802" s="2043" customFormat="1" x14ac:dyDescent="0.2"/>
    <row r="8803" s="2043" customFormat="1" x14ac:dyDescent="0.2"/>
    <row r="8804" s="2043" customFormat="1" x14ac:dyDescent="0.2"/>
    <row r="8805" s="2043" customFormat="1" x14ac:dyDescent="0.2"/>
    <row r="8806" s="2043" customFormat="1" x14ac:dyDescent="0.2"/>
    <row r="8807" s="2043" customFormat="1" x14ac:dyDescent="0.2"/>
    <row r="8808" s="2043" customFormat="1" x14ac:dyDescent="0.2"/>
    <row r="8809" s="2043" customFormat="1" x14ac:dyDescent="0.2"/>
    <row r="8810" s="2043" customFormat="1" x14ac:dyDescent="0.2"/>
    <row r="8811" s="2043" customFormat="1" x14ac:dyDescent="0.2"/>
    <row r="8812" s="2043" customFormat="1" x14ac:dyDescent="0.2"/>
    <row r="8813" s="2043" customFormat="1" x14ac:dyDescent="0.2"/>
    <row r="8814" s="2043" customFormat="1" x14ac:dyDescent="0.2"/>
    <row r="8815" s="2043" customFormat="1" x14ac:dyDescent="0.2"/>
    <row r="8816" s="2043" customFormat="1" x14ac:dyDescent="0.2"/>
    <row r="8817" s="2043" customFormat="1" x14ac:dyDescent="0.2"/>
    <row r="8818" s="2043" customFormat="1" x14ac:dyDescent="0.2"/>
    <row r="8819" s="2043" customFormat="1" x14ac:dyDescent="0.2"/>
    <row r="8820" s="2043" customFormat="1" x14ac:dyDescent="0.2"/>
    <row r="8821" s="2043" customFormat="1" x14ac:dyDescent="0.2"/>
    <row r="8822" s="2043" customFormat="1" x14ac:dyDescent="0.2"/>
    <row r="8823" s="2043" customFormat="1" x14ac:dyDescent="0.2"/>
    <row r="8824" s="2043" customFormat="1" x14ac:dyDescent="0.2"/>
    <row r="8825" s="2043" customFormat="1" x14ac:dyDescent="0.2"/>
    <row r="8826" s="2043" customFormat="1" x14ac:dyDescent="0.2"/>
    <row r="8827" s="2043" customFormat="1" x14ac:dyDescent="0.2"/>
    <row r="8828" s="2043" customFormat="1" x14ac:dyDescent="0.2"/>
    <row r="8829" s="2043" customFormat="1" x14ac:dyDescent="0.2"/>
    <row r="8830" s="2043" customFormat="1" x14ac:dyDescent="0.2"/>
    <row r="8831" s="2043" customFormat="1" x14ac:dyDescent="0.2"/>
    <row r="8832" s="2043" customFormat="1" x14ac:dyDescent="0.2"/>
    <row r="8833" s="2043" customFormat="1" x14ac:dyDescent="0.2"/>
    <row r="8834" s="2043" customFormat="1" x14ac:dyDescent="0.2"/>
    <row r="8835" s="2043" customFormat="1" x14ac:dyDescent="0.2"/>
    <row r="8836" s="2043" customFormat="1" x14ac:dyDescent="0.2"/>
    <row r="8837" s="2043" customFormat="1" x14ac:dyDescent="0.2"/>
    <row r="8838" s="2043" customFormat="1" x14ac:dyDescent="0.2"/>
    <row r="8839" s="2043" customFormat="1" x14ac:dyDescent="0.2"/>
    <row r="8840" s="2043" customFormat="1" x14ac:dyDescent="0.2"/>
    <row r="8841" s="2043" customFormat="1" x14ac:dyDescent="0.2"/>
    <row r="8842" s="2043" customFormat="1" x14ac:dyDescent="0.2"/>
    <row r="8843" s="2043" customFormat="1" x14ac:dyDescent="0.2"/>
    <row r="8844" s="2043" customFormat="1" x14ac:dyDescent="0.2"/>
    <row r="8845" s="2043" customFormat="1" x14ac:dyDescent="0.2"/>
    <row r="8846" s="2043" customFormat="1" x14ac:dyDescent="0.2"/>
    <row r="8847" s="2043" customFormat="1" x14ac:dyDescent="0.2"/>
    <row r="8848" s="2043" customFormat="1" x14ac:dyDescent="0.2"/>
    <row r="8849" s="2043" customFormat="1" x14ac:dyDescent="0.2"/>
    <row r="8850" s="2043" customFormat="1" x14ac:dyDescent="0.2"/>
    <row r="8851" s="2043" customFormat="1" x14ac:dyDescent="0.2"/>
    <row r="8852" s="2043" customFormat="1" x14ac:dyDescent="0.2"/>
    <row r="8853" s="2043" customFormat="1" x14ac:dyDescent="0.2"/>
    <row r="8854" s="2043" customFormat="1" x14ac:dyDescent="0.2"/>
    <row r="8855" s="2043" customFormat="1" x14ac:dyDescent="0.2"/>
    <row r="8856" s="2043" customFormat="1" x14ac:dyDescent="0.2"/>
    <row r="8857" s="2043" customFormat="1" x14ac:dyDescent="0.2"/>
    <row r="8858" s="2043" customFormat="1" x14ac:dyDescent="0.2"/>
    <row r="8859" s="2043" customFormat="1" x14ac:dyDescent="0.2"/>
    <row r="8860" s="2043" customFormat="1" x14ac:dyDescent="0.2"/>
    <row r="8861" s="2043" customFormat="1" x14ac:dyDescent="0.2"/>
    <row r="8862" s="2043" customFormat="1" x14ac:dyDescent="0.2"/>
    <row r="8863" s="2043" customFormat="1" x14ac:dyDescent="0.2"/>
    <row r="8864" s="2043" customFormat="1" x14ac:dyDescent="0.2"/>
    <row r="8865" s="2043" customFormat="1" x14ac:dyDescent="0.2"/>
    <row r="8866" s="2043" customFormat="1" x14ac:dyDescent="0.2"/>
    <row r="8867" s="2043" customFormat="1" x14ac:dyDescent="0.2"/>
    <row r="8868" s="2043" customFormat="1" x14ac:dyDescent="0.2"/>
    <row r="8869" s="2043" customFormat="1" x14ac:dyDescent="0.2"/>
    <row r="8870" s="2043" customFormat="1" x14ac:dyDescent="0.2"/>
    <row r="8871" s="2043" customFormat="1" x14ac:dyDescent="0.2"/>
    <row r="8872" s="2043" customFormat="1" x14ac:dyDescent="0.2"/>
    <row r="8873" s="2043" customFormat="1" x14ac:dyDescent="0.2"/>
    <row r="8874" s="2043" customFormat="1" x14ac:dyDescent="0.2"/>
    <row r="8875" s="2043" customFormat="1" x14ac:dyDescent="0.2"/>
    <row r="8876" s="2043" customFormat="1" x14ac:dyDescent="0.2"/>
    <row r="8877" s="2043" customFormat="1" x14ac:dyDescent="0.2"/>
    <row r="8878" s="2043" customFormat="1" x14ac:dyDescent="0.2"/>
    <row r="8879" s="2043" customFormat="1" x14ac:dyDescent="0.2"/>
    <row r="8880" s="2043" customFormat="1" x14ac:dyDescent="0.2"/>
    <row r="8881" s="2043" customFormat="1" x14ac:dyDescent="0.2"/>
    <row r="8882" s="2043" customFormat="1" x14ac:dyDescent="0.2"/>
    <row r="8883" s="2043" customFormat="1" x14ac:dyDescent="0.2"/>
    <row r="8884" s="2043" customFormat="1" x14ac:dyDescent="0.2"/>
    <row r="8885" s="2043" customFormat="1" x14ac:dyDescent="0.2"/>
    <row r="8886" s="2043" customFormat="1" x14ac:dyDescent="0.2"/>
    <row r="8887" s="2043" customFormat="1" x14ac:dyDescent="0.2"/>
    <row r="8888" s="2043" customFormat="1" x14ac:dyDescent="0.2"/>
    <row r="8889" s="2043" customFormat="1" x14ac:dyDescent="0.2"/>
    <row r="8890" s="2043" customFormat="1" x14ac:dyDescent="0.2"/>
    <row r="8891" s="2043" customFormat="1" x14ac:dyDescent="0.2"/>
    <row r="8892" s="2043" customFormat="1" x14ac:dyDescent="0.2"/>
    <row r="8893" s="2043" customFormat="1" x14ac:dyDescent="0.2"/>
    <row r="8894" s="2043" customFormat="1" x14ac:dyDescent="0.2"/>
    <row r="8895" s="2043" customFormat="1" x14ac:dyDescent="0.2"/>
    <row r="8896" s="2043" customFormat="1" x14ac:dyDescent="0.2"/>
    <row r="8897" s="2043" customFormat="1" x14ac:dyDescent="0.2"/>
    <row r="8898" s="2043" customFormat="1" x14ac:dyDescent="0.2"/>
    <row r="8899" s="2043" customFormat="1" x14ac:dyDescent="0.2"/>
    <row r="8900" s="2043" customFormat="1" x14ac:dyDescent="0.2"/>
    <row r="8901" s="2043" customFormat="1" x14ac:dyDescent="0.2"/>
    <row r="8902" s="2043" customFormat="1" x14ac:dyDescent="0.2"/>
    <row r="8903" s="2043" customFormat="1" x14ac:dyDescent="0.2"/>
    <row r="8904" s="2043" customFormat="1" x14ac:dyDescent="0.2"/>
    <row r="8905" s="2043" customFormat="1" x14ac:dyDescent="0.2"/>
    <row r="8906" s="2043" customFormat="1" x14ac:dyDescent="0.2"/>
    <row r="8907" s="2043" customFormat="1" x14ac:dyDescent="0.2"/>
    <row r="8908" s="2043" customFormat="1" x14ac:dyDescent="0.2"/>
    <row r="8909" s="2043" customFormat="1" x14ac:dyDescent="0.2"/>
    <row r="8910" s="2043" customFormat="1" x14ac:dyDescent="0.2"/>
    <row r="8911" s="2043" customFormat="1" x14ac:dyDescent="0.2"/>
    <row r="8912" s="2043" customFormat="1" x14ac:dyDescent="0.2"/>
    <row r="8913" s="2043" customFormat="1" x14ac:dyDescent="0.2"/>
    <row r="8914" s="2043" customFormat="1" x14ac:dyDescent="0.2"/>
    <row r="8915" s="2043" customFormat="1" x14ac:dyDescent="0.2"/>
    <row r="8916" s="2043" customFormat="1" x14ac:dyDescent="0.2"/>
    <row r="8917" s="2043" customFormat="1" x14ac:dyDescent="0.2"/>
    <row r="8918" s="2043" customFormat="1" x14ac:dyDescent="0.2"/>
    <row r="8919" s="2043" customFormat="1" x14ac:dyDescent="0.2"/>
    <row r="8920" s="2043" customFormat="1" x14ac:dyDescent="0.2"/>
    <row r="8921" s="2043" customFormat="1" x14ac:dyDescent="0.2"/>
    <row r="8922" s="2043" customFormat="1" x14ac:dyDescent="0.2"/>
    <row r="8923" s="2043" customFormat="1" x14ac:dyDescent="0.2"/>
    <row r="8924" s="2043" customFormat="1" x14ac:dyDescent="0.2"/>
    <row r="8925" s="2043" customFormat="1" x14ac:dyDescent="0.2"/>
    <row r="8926" s="2043" customFormat="1" x14ac:dyDescent="0.2"/>
    <row r="8927" s="2043" customFormat="1" x14ac:dyDescent="0.2"/>
    <row r="8928" s="2043" customFormat="1" x14ac:dyDescent="0.2"/>
    <row r="8929" s="2043" customFormat="1" x14ac:dyDescent="0.2"/>
    <row r="8930" s="2043" customFormat="1" x14ac:dyDescent="0.2"/>
    <row r="8931" s="2043" customFormat="1" x14ac:dyDescent="0.2"/>
    <row r="8932" s="2043" customFormat="1" x14ac:dyDescent="0.2"/>
    <row r="8933" s="2043" customFormat="1" x14ac:dyDescent="0.2"/>
    <row r="8934" s="2043" customFormat="1" x14ac:dyDescent="0.2"/>
    <row r="8935" s="2043" customFormat="1" x14ac:dyDescent="0.2"/>
    <row r="8936" s="2043" customFormat="1" x14ac:dyDescent="0.2"/>
    <row r="8937" s="2043" customFormat="1" x14ac:dyDescent="0.2"/>
    <row r="8938" s="2043" customFormat="1" x14ac:dyDescent="0.2"/>
    <row r="8939" s="2043" customFormat="1" x14ac:dyDescent="0.2"/>
    <row r="8940" s="2043" customFormat="1" x14ac:dyDescent="0.2"/>
    <row r="8941" s="2043" customFormat="1" x14ac:dyDescent="0.2"/>
    <row r="8942" s="2043" customFormat="1" x14ac:dyDescent="0.2"/>
    <row r="8943" s="2043" customFormat="1" x14ac:dyDescent="0.2"/>
    <row r="8944" s="2043" customFormat="1" x14ac:dyDescent="0.2"/>
    <row r="8945" s="2043" customFormat="1" x14ac:dyDescent="0.2"/>
    <row r="8946" s="2043" customFormat="1" x14ac:dyDescent="0.2"/>
    <row r="8947" s="2043" customFormat="1" x14ac:dyDescent="0.2"/>
    <row r="8948" s="2043" customFormat="1" x14ac:dyDescent="0.2"/>
    <row r="8949" s="2043" customFormat="1" x14ac:dyDescent="0.2"/>
    <row r="8950" s="2043" customFormat="1" x14ac:dyDescent="0.2"/>
    <row r="8951" s="2043" customFormat="1" x14ac:dyDescent="0.2"/>
    <row r="8952" s="2043" customFormat="1" x14ac:dyDescent="0.2"/>
    <row r="8953" s="2043" customFormat="1" x14ac:dyDescent="0.2"/>
    <row r="8954" s="2043" customFormat="1" x14ac:dyDescent="0.2"/>
    <row r="8955" s="2043" customFormat="1" x14ac:dyDescent="0.2"/>
    <row r="8956" s="2043" customFormat="1" x14ac:dyDescent="0.2"/>
    <row r="8957" s="2043" customFormat="1" x14ac:dyDescent="0.2"/>
    <row r="8958" s="2043" customFormat="1" x14ac:dyDescent="0.2"/>
    <row r="8959" s="2043" customFormat="1" x14ac:dyDescent="0.2"/>
    <row r="8960" s="2043" customFormat="1" x14ac:dyDescent="0.2"/>
    <row r="8961" s="2043" customFormat="1" x14ac:dyDescent="0.2"/>
    <row r="8962" s="2043" customFormat="1" x14ac:dyDescent="0.2"/>
    <row r="8963" s="2043" customFormat="1" x14ac:dyDescent="0.2"/>
    <row r="8964" s="2043" customFormat="1" x14ac:dyDescent="0.2"/>
    <row r="8965" s="2043" customFormat="1" x14ac:dyDescent="0.2"/>
    <row r="8966" s="2043" customFormat="1" x14ac:dyDescent="0.2"/>
    <row r="8967" s="2043" customFormat="1" x14ac:dyDescent="0.2"/>
    <row r="8968" s="2043" customFormat="1" x14ac:dyDescent="0.2"/>
    <row r="8969" s="2043" customFormat="1" x14ac:dyDescent="0.2"/>
    <row r="8970" s="2043" customFormat="1" x14ac:dyDescent="0.2"/>
    <row r="8971" s="2043" customFormat="1" x14ac:dyDescent="0.2"/>
    <row r="8972" s="2043" customFormat="1" x14ac:dyDescent="0.2"/>
    <row r="8973" s="2043" customFormat="1" x14ac:dyDescent="0.2"/>
    <row r="8974" s="2043" customFormat="1" x14ac:dyDescent="0.2"/>
    <row r="8975" s="2043" customFormat="1" x14ac:dyDescent="0.2"/>
    <row r="8976" s="2043" customFormat="1" x14ac:dyDescent="0.2"/>
    <row r="8977" s="2043" customFormat="1" x14ac:dyDescent="0.2"/>
    <row r="8978" s="2043" customFormat="1" x14ac:dyDescent="0.2"/>
    <row r="8979" s="2043" customFormat="1" x14ac:dyDescent="0.2"/>
    <row r="8980" s="2043" customFormat="1" x14ac:dyDescent="0.2"/>
    <row r="8981" s="2043" customFormat="1" x14ac:dyDescent="0.2"/>
    <row r="8982" s="2043" customFormat="1" x14ac:dyDescent="0.2"/>
    <row r="8983" s="2043" customFormat="1" x14ac:dyDescent="0.2"/>
    <row r="8984" s="2043" customFormat="1" x14ac:dyDescent="0.2"/>
    <row r="8985" s="2043" customFormat="1" x14ac:dyDescent="0.2"/>
    <row r="8986" s="2043" customFormat="1" x14ac:dyDescent="0.2"/>
    <row r="8987" s="2043" customFormat="1" x14ac:dyDescent="0.2"/>
    <row r="8988" s="2043" customFormat="1" x14ac:dyDescent="0.2"/>
    <row r="8989" s="2043" customFormat="1" x14ac:dyDescent="0.2"/>
    <row r="8990" s="2043" customFormat="1" x14ac:dyDescent="0.2"/>
    <row r="8991" s="2043" customFormat="1" x14ac:dyDescent="0.2"/>
    <row r="8992" s="2043" customFormat="1" x14ac:dyDescent="0.2"/>
    <row r="8993" s="2043" customFormat="1" x14ac:dyDescent="0.2"/>
    <row r="8994" s="2043" customFormat="1" x14ac:dyDescent="0.2"/>
    <row r="8995" s="2043" customFormat="1" x14ac:dyDescent="0.2"/>
    <row r="8996" s="2043" customFormat="1" x14ac:dyDescent="0.2"/>
    <row r="8997" s="2043" customFormat="1" x14ac:dyDescent="0.2"/>
    <row r="8998" s="2043" customFormat="1" x14ac:dyDescent="0.2"/>
    <row r="8999" s="2043" customFormat="1" x14ac:dyDescent="0.2"/>
    <row r="9000" s="2043" customFormat="1" x14ac:dyDescent="0.2"/>
    <row r="9001" s="2043" customFormat="1" x14ac:dyDescent="0.2"/>
    <row r="9002" s="2043" customFormat="1" x14ac:dyDescent="0.2"/>
    <row r="9003" s="2043" customFormat="1" x14ac:dyDescent="0.2"/>
    <row r="9004" s="2043" customFormat="1" x14ac:dyDescent="0.2"/>
    <row r="9005" s="2043" customFormat="1" x14ac:dyDescent="0.2"/>
    <row r="9006" s="2043" customFormat="1" x14ac:dyDescent="0.2"/>
    <row r="9007" s="2043" customFormat="1" x14ac:dyDescent="0.2"/>
    <row r="9008" s="2043" customFormat="1" x14ac:dyDescent="0.2"/>
    <row r="9009" s="2043" customFormat="1" x14ac:dyDescent="0.2"/>
    <row r="9010" s="2043" customFormat="1" x14ac:dyDescent="0.2"/>
    <row r="9011" s="2043" customFormat="1" x14ac:dyDescent="0.2"/>
    <row r="9012" s="2043" customFormat="1" x14ac:dyDescent="0.2"/>
    <row r="9013" s="2043" customFormat="1" x14ac:dyDescent="0.2"/>
    <row r="9014" s="2043" customFormat="1" x14ac:dyDescent="0.2"/>
    <row r="9015" s="2043" customFormat="1" x14ac:dyDescent="0.2"/>
    <row r="9016" s="2043" customFormat="1" x14ac:dyDescent="0.2"/>
    <row r="9017" s="2043" customFormat="1" x14ac:dyDescent="0.2"/>
    <row r="9018" s="2043" customFormat="1" x14ac:dyDescent="0.2"/>
    <row r="9019" s="2043" customFormat="1" x14ac:dyDescent="0.2"/>
    <row r="9020" s="2043" customFormat="1" x14ac:dyDescent="0.2"/>
    <row r="9021" s="2043" customFormat="1" x14ac:dyDescent="0.2"/>
    <row r="9022" s="2043" customFormat="1" x14ac:dyDescent="0.2"/>
    <row r="9023" s="2043" customFormat="1" x14ac:dyDescent="0.2"/>
    <row r="9024" s="2043" customFormat="1" x14ac:dyDescent="0.2"/>
    <row r="9025" s="2043" customFormat="1" x14ac:dyDescent="0.2"/>
    <row r="9026" s="2043" customFormat="1" x14ac:dyDescent="0.2"/>
    <row r="9027" s="2043" customFormat="1" x14ac:dyDescent="0.2"/>
    <row r="9028" s="2043" customFormat="1" x14ac:dyDescent="0.2"/>
    <row r="9029" s="2043" customFormat="1" x14ac:dyDescent="0.2"/>
    <row r="9030" s="2043" customFormat="1" x14ac:dyDescent="0.2"/>
    <row r="9031" s="2043" customFormat="1" x14ac:dyDescent="0.2"/>
    <row r="9032" s="2043" customFormat="1" x14ac:dyDescent="0.2"/>
    <row r="9033" s="2043" customFormat="1" x14ac:dyDescent="0.2"/>
    <row r="9034" s="2043" customFormat="1" x14ac:dyDescent="0.2"/>
    <row r="9035" s="2043" customFormat="1" x14ac:dyDescent="0.2"/>
    <row r="9036" s="2043" customFormat="1" x14ac:dyDescent="0.2"/>
    <row r="9037" s="2043" customFormat="1" x14ac:dyDescent="0.2"/>
    <row r="9038" s="2043" customFormat="1" x14ac:dyDescent="0.2"/>
    <row r="9039" s="2043" customFormat="1" x14ac:dyDescent="0.2"/>
    <row r="9040" s="2043" customFormat="1" x14ac:dyDescent="0.2"/>
    <row r="9041" s="2043" customFormat="1" x14ac:dyDescent="0.2"/>
    <row r="9042" s="2043" customFormat="1" x14ac:dyDescent="0.2"/>
    <row r="9043" s="2043" customFormat="1" x14ac:dyDescent="0.2"/>
    <row r="9044" s="2043" customFormat="1" x14ac:dyDescent="0.2"/>
    <row r="9045" s="2043" customFormat="1" x14ac:dyDescent="0.2"/>
    <row r="9046" s="2043" customFormat="1" x14ac:dyDescent="0.2"/>
    <row r="9047" s="2043" customFormat="1" x14ac:dyDescent="0.2"/>
    <row r="9048" s="2043" customFormat="1" x14ac:dyDescent="0.2"/>
    <row r="9049" s="2043" customFormat="1" x14ac:dyDescent="0.2"/>
    <row r="9050" s="2043" customFormat="1" x14ac:dyDescent="0.2"/>
    <row r="9051" s="2043" customFormat="1" x14ac:dyDescent="0.2"/>
    <row r="9052" s="2043" customFormat="1" x14ac:dyDescent="0.2"/>
    <row r="9053" s="2043" customFormat="1" x14ac:dyDescent="0.2"/>
    <row r="9054" s="2043" customFormat="1" x14ac:dyDescent="0.2"/>
    <row r="9055" s="2043" customFormat="1" x14ac:dyDescent="0.2"/>
    <row r="9056" s="2043" customFormat="1" x14ac:dyDescent="0.2"/>
    <row r="9057" s="2043" customFormat="1" x14ac:dyDescent="0.2"/>
    <row r="9058" s="2043" customFormat="1" x14ac:dyDescent="0.2"/>
    <row r="9059" s="2043" customFormat="1" x14ac:dyDescent="0.2"/>
    <row r="9060" s="2043" customFormat="1" x14ac:dyDescent="0.2"/>
    <row r="9061" s="2043" customFormat="1" x14ac:dyDescent="0.2"/>
    <row r="9062" s="2043" customFormat="1" x14ac:dyDescent="0.2"/>
    <row r="9063" s="2043" customFormat="1" x14ac:dyDescent="0.2"/>
    <row r="9064" s="2043" customFormat="1" x14ac:dyDescent="0.2"/>
    <row r="9065" s="2043" customFormat="1" x14ac:dyDescent="0.2"/>
    <row r="9066" s="2043" customFormat="1" x14ac:dyDescent="0.2"/>
    <row r="9067" s="2043" customFormat="1" x14ac:dyDescent="0.2"/>
    <row r="9068" s="2043" customFormat="1" x14ac:dyDescent="0.2"/>
    <row r="9069" s="2043" customFormat="1" x14ac:dyDescent="0.2"/>
    <row r="9070" s="2043" customFormat="1" x14ac:dyDescent="0.2"/>
    <row r="9071" s="2043" customFormat="1" x14ac:dyDescent="0.2"/>
    <row r="9072" s="2043" customFormat="1" x14ac:dyDescent="0.2"/>
    <row r="9073" s="2043" customFormat="1" x14ac:dyDescent="0.2"/>
    <row r="9074" s="2043" customFormat="1" x14ac:dyDescent="0.2"/>
    <row r="9075" s="2043" customFormat="1" x14ac:dyDescent="0.2"/>
    <row r="9076" s="2043" customFormat="1" x14ac:dyDescent="0.2"/>
    <row r="9077" s="2043" customFormat="1" x14ac:dyDescent="0.2"/>
    <row r="9078" s="2043" customFormat="1" x14ac:dyDescent="0.2"/>
    <row r="9079" s="2043" customFormat="1" x14ac:dyDescent="0.2"/>
    <row r="9080" s="2043" customFormat="1" x14ac:dyDescent="0.2"/>
    <row r="9081" s="2043" customFormat="1" x14ac:dyDescent="0.2"/>
    <row r="9082" s="2043" customFormat="1" x14ac:dyDescent="0.2"/>
    <row r="9083" s="2043" customFormat="1" x14ac:dyDescent="0.2"/>
    <row r="9084" s="2043" customFormat="1" x14ac:dyDescent="0.2"/>
    <row r="9085" s="2043" customFormat="1" x14ac:dyDescent="0.2"/>
    <row r="9086" s="2043" customFormat="1" x14ac:dyDescent="0.2"/>
    <row r="9087" s="2043" customFormat="1" x14ac:dyDescent="0.2"/>
    <row r="9088" s="2043" customFormat="1" x14ac:dyDescent="0.2"/>
    <row r="9089" s="2043" customFormat="1" x14ac:dyDescent="0.2"/>
    <row r="9090" s="2043" customFormat="1" x14ac:dyDescent="0.2"/>
    <row r="9091" s="2043" customFormat="1" x14ac:dyDescent="0.2"/>
    <row r="9092" s="2043" customFormat="1" x14ac:dyDescent="0.2"/>
    <row r="9093" s="2043" customFormat="1" x14ac:dyDescent="0.2"/>
    <row r="9094" s="2043" customFormat="1" x14ac:dyDescent="0.2"/>
    <row r="9095" s="2043" customFormat="1" x14ac:dyDescent="0.2"/>
    <row r="9096" s="2043" customFormat="1" x14ac:dyDescent="0.2"/>
    <row r="9097" s="2043" customFormat="1" x14ac:dyDescent="0.2"/>
    <row r="9098" s="2043" customFormat="1" x14ac:dyDescent="0.2"/>
    <row r="9099" s="2043" customFormat="1" x14ac:dyDescent="0.2"/>
    <row r="9100" s="2043" customFormat="1" x14ac:dyDescent="0.2"/>
    <row r="9101" s="2043" customFormat="1" x14ac:dyDescent="0.2"/>
    <row r="9102" s="2043" customFormat="1" x14ac:dyDescent="0.2"/>
    <row r="9103" s="2043" customFormat="1" x14ac:dyDescent="0.2"/>
    <row r="9104" s="2043" customFormat="1" x14ac:dyDescent="0.2"/>
    <row r="9105" s="2043" customFormat="1" x14ac:dyDescent="0.2"/>
    <row r="9106" s="2043" customFormat="1" x14ac:dyDescent="0.2"/>
    <row r="9107" s="2043" customFormat="1" x14ac:dyDescent="0.2"/>
    <row r="9108" s="2043" customFormat="1" x14ac:dyDescent="0.2"/>
    <row r="9109" s="2043" customFormat="1" x14ac:dyDescent="0.2"/>
    <row r="9110" s="2043" customFormat="1" x14ac:dyDescent="0.2"/>
    <row r="9111" s="2043" customFormat="1" x14ac:dyDescent="0.2"/>
    <row r="9112" s="2043" customFormat="1" x14ac:dyDescent="0.2"/>
    <row r="9113" s="2043" customFormat="1" x14ac:dyDescent="0.2"/>
    <row r="9114" s="2043" customFormat="1" x14ac:dyDescent="0.2"/>
    <row r="9115" s="2043" customFormat="1" x14ac:dyDescent="0.2"/>
    <row r="9116" s="2043" customFormat="1" x14ac:dyDescent="0.2"/>
    <row r="9117" s="2043" customFormat="1" x14ac:dyDescent="0.2"/>
    <row r="9118" s="2043" customFormat="1" x14ac:dyDescent="0.2"/>
    <row r="9119" s="2043" customFormat="1" x14ac:dyDescent="0.2"/>
    <row r="9120" s="2043" customFormat="1" x14ac:dyDescent="0.2"/>
    <row r="9121" s="2043" customFormat="1" x14ac:dyDescent="0.2"/>
    <row r="9122" s="2043" customFormat="1" x14ac:dyDescent="0.2"/>
    <row r="9123" s="2043" customFormat="1" x14ac:dyDescent="0.2"/>
    <row r="9124" s="2043" customFormat="1" x14ac:dyDescent="0.2"/>
    <row r="9125" s="2043" customFormat="1" x14ac:dyDescent="0.2"/>
    <row r="9126" s="2043" customFormat="1" x14ac:dyDescent="0.2"/>
    <row r="9127" s="2043" customFormat="1" x14ac:dyDescent="0.2"/>
    <row r="9128" s="2043" customFormat="1" x14ac:dyDescent="0.2"/>
    <row r="9129" s="2043" customFormat="1" x14ac:dyDescent="0.2"/>
    <row r="9130" s="2043" customFormat="1" x14ac:dyDescent="0.2"/>
    <row r="9131" s="2043" customFormat="1" x14ac:dyDescent="0.2"/>
    <row r="9132" s="2043" customFormat="1" x14ac:dyDescent="0.2"/>
    <row r="9133" s="2043" customFormat="1" x14ac:dyDescent="0.2"/>
    <row r="9134" s="2043" customFormat="1" x14ac:dyDescent="0.2"/>
    <row r="9135" s="2043" customFormat="1" x14ac:dyDescent="0.2"/>
    <row r="9136" s="2043" customFormat="1" x14ac:dyDescent="0.2"/>
    <row r="9137" s="2043" customFormat="1" x14ac:dyDescent="0.2"/>
    <row r="9138" s="2043" customFormat="1" x14ac:dyDescent="0.2"/>
    <row r="9139" s="2043" customFormat="1" x14ac:dyDescent="0.2"/>
    <row r="9140" s="2043" customFormat="1" x14ac:dyDescent="0.2"/>
    <row r="9141" s="2043" customFormat="1" x14ac:dyDescent="0.2"/>
    <row r="9142" s="2043" customFormat="1" x14ac:dyDescent="0.2"/>
    <row r="9143" s="2043" customFormat="1" x14ac:dyDescent="0.2"/>
    <row r="9144" s="2043" customFormat="1" x14ac:dyDescent="0.2"/>
    <row r="9145" s="2043" customFormat="1" x14ac:dyDescent="0.2"/>
    <row r="9146" s="2043" customFormat="1" x14ac:dyDescent="0.2"/>
    <row r="9147" s="2043" customFormat="1" x14ac:dyDescent="0.2"/>
    <row r="9148" s="2043" customFormat="1" x14ac:dyDescent="0.2"/>
    <row r="9149" s="2043" customFormat="1" x14ac:dyDescent="0.2"/>
    <row r="9150" s="2043" customFormat="1" x14ac:dyDescent="0.2"/>
    <row r="9151" s="2043" customFormat="1" x14ac:dyDescent="0.2"/>
    <row r="9152" s="2043" customFormat="1" x14ac:dyDescent="0.2"/>
    <row r="9153" s="2043" customFormat="1" x14ac:dyDescent="0.2"/>
    <row r="9154" s="2043" customFormat="1" x14ac:dyDescent="0.2"/>
    <row r="9155" s="2043" customFormat="1" x14ac:dyDescent="0.2"/>
    <row r="9156" s="2043" customFormat="1" x14ac:dyDescent="0.2"/>
    <row r="9157" s="2043" customFormat="1" x14ac:dyDescent="0.2"/>
    <row r="9158" s="2043" customFormat="1" x14ac:dyDescent="0.2"/>
    <row r="9159" s="2043" customFormat="1" x14ac:dyDescent="0.2"/>
    <row r="9160" s="2043" customFormat="1" x14ac:dyDescent="0.2"/>
    <row r="9161" s="2043" customFormat="1" x14ac:dyDescent="0.2"/>
    <row r="9162" s="2043" customFormat="1" x14ac:dyDescent="0.2"/>
    <row r="9163" s="2043" customFormat="1" x14ac:dyDescent="0.2"/>
    <row r="9164" s="2043" customFormat="1" x14ac:dyDescent="0.2"/>
    <row r="9165" s="2043" customFormat="1" x14ac:dyDescent="0.2"/>
    <row r="9166" s="2043" customFormat="1" x14ac:dyDescent="0.2"/>
    <row r="9167" s="2043" customFormat="1" x14ac:dyDescent="0.2"/>
    <row r="9168" s="2043" customFormat="1" x14ac:dyDescent="0.2"/>
    <row r="9169" s="2043" customFormat="1" x14ac:dyDescent="0.2"/>
    <row r="9170" s="2043" customFormat="1" x14ac:dyDescent="0.2"/>
    <row r="9171" s="2043" customFormat="1" x14ac:dyDescent="0.2"/>
    <row r="9172" s="2043" customFormat="1" x14ac:dyDescent="0.2"/>
    <row r="9173" s="2043" customFormat="1" x14ac:dyDescent="0.2"/>
    <row r="9174" s="2043" customFormat="1" x14ac:dyDescent="0.2"/>
    <row r="9175" s="2043" customFormat="1" x14ac:dyDescent="0.2"/>
    <row r="9176" s="2043" customFormat="1" x14ac:dyDescent="0.2"/>
    <row r="9177" s="2043" customFormat="1" x14ac:dyDescent="0.2"/>
    <row r="9178" s="2043" customFormat="1" x14ac:dyDescent="0.2"/>
    <row r="9179" s="2043" customFormat="1" x14ac:dyDescent="0.2"/>
    <row r="9180" s="2043" customFormat="1" x14ac:dyDescent="0.2"/>
    <row r="9181" s="2043" customFormat="1" x14ac:dyDescent="0.2"/>
    <row r="9182" s="2043" customFormat="1" x14ac:dyDescent="0.2"/>
    <row r="9183" s="2043" customFormat="1" x14ac:dyDescent="0.2"/>
    <row r="9184" s="2043" customFormat="1" x14ac:dyDescent="0.2"/>
    <row r="9185" s="2043" customFormat="1" x14ac:dyDescent="0.2"/>
    <row r="9186" s="2043" customFormat="1" x14ac:dyDescent="0.2"/>
    <row r="9187" s="2043" customFormat="1" x14ac:dyDescent="0.2"/>
    <row r="9188" s="2043" customFormat="1" x14ac:dyDescent="0.2"/>
    <row r="9189" s="2043" customFormat="1" x14ac:dyDescent="0.2"/>
    <row r="9190" s="2043" customFormat="1" x14ac:dyDescent="0.2"/>
    <row r="9191" s="2043" customFormat="1" x14ac:dyDescent="0.2"/>
    <row r="9192" s="2043" customFormat="1" x14ac:dyDescent="0.2"/>
    <row r="9193" s="2043" customFormat="1" x14ac:dyDescent="0.2"/>
    <row r="9194" s="2043" customFormat="1" x14ac:dyDescent="0.2"/>
    <row r="9195" s="2043" customFormat="1" x14ac:dyDescent="0.2"/>
    <row r="9196" s="2043" customFormat="1" x14ac:dyDescent="0.2"/>
    <row r="9197" s="2043" customFormat="1" x14ac:dyDescent="0.2"/>
    <row r="9198" s="2043" customFormat="1" x14ac:dyDescent="0.2"/>
    <row r="9199" s="2043" customFormat="1" x14ac:dyDescent="0.2"/>
    <row r="9200" s="2043" customFormat="1" x14ac:dyDescent="0.2"/>
    <row r="9201" s="2043" customFormat="1" x14ac:dyDescent="0.2"/>
    <row r="9202" s="2043" customFormat="1" x14ac:dyDescent="0.2"/>
    <row r="9203" s="2043" customFormat="1" x14ac:dyDescent="0.2"/>
    <row r="9204" s="2043" customFormat="1" x14ac:dyDescent="0.2"/>
    <row r="9205" s="2043" customFormat="1" x14ac:dyDescent="0.2"/>
    <row r="9206" s="2043" customFormat="1" x14ac:dyDescent="0.2"/>
    <row r="9207" s="2043" customFormat="1" x14ac:dyDescent="0.2"/>
    <row r="9208" s="2043" customFormat="1" x14ac:dyDescent="0.2"/>
    <row r="9209" s="2043" customFormat="1" x14ac:dyDescent="0.2"/>
    <row r="9210" s="2043" customFormat="1" x14ac:dyDescent="0.2"/>
    <row r="9211" s="2043" customFormat="1" x14ac:dyDescent="0.2"/>
    <row r="9212" s="2043" customFormat="1" x14ac:dyDescent="0.2"/>
    <row r="9213" s="2043" customFormat="1" x14ac:dyDescent="0.2"/>
    <row r="9214" s="2043" customFormat="1" x14ac:dyDescent="0.2"/>
    <row r="9215" s="2043" customFormat="1" x14ac:dyDescent="0.2"/>
    <row r="9216" s="2043" customFormat="1" x14ac:dyDescent="0.2"/>
    <row r="9217" s="2043" customFormat="1" x14ac:dyDescent="0.2"/>
    <row r="9218" s="2043" customFormat="1" x14ac:dyDescent="0.2"/>
    <row r="9219" s="2043" customFormat="1" x14ac:dyDescent="0.2"/>
    <row r="9220" s="2043" customFormat="1" x14ac:dyDescent="0.2"/>
    <row r="9221" s="2043" customFormat="1" x14ac:dyDescent="0.2"/>
    <row r="9222" s="2043" customFormat="1" x14ac:dyDescent="0.2"/>
    <row r="9223" s="2043" customFormat="1" x14ac:dyDescent="0.2"/>
    <row r="9224" s="2043" customFormat="1" x14ac:dyDescent="0.2"/>
    <row r="9225" s="2043" customFormat="1" x14ac:dyDescent="0.2"/>
    <row r="9226" s="2043" customFormat="1" x14ac:dyDescent="0.2"/>
    <row r="9227" s="2043" customFormat="1" x14ac:dyDescent="0.2"/>
    <row r="9228" s="2043" customFormat="1" x14ac:dyDescent="0.2"/>
    <row r="9229" s="2043" customFormat="1" x14ac:dyDescent="0.2"/>
    <row r="9230" s="2043" customFormat="1" x14ac:dyDescent="0.2"/>
    <row r="9231" s="2043" customFormat="1" x14ac:dyDescent="0.2"/>
    <row r="9232" s="2043" customFormat="1" x14ac:dyDescent="0.2"/>
    <row r="9233" s="2043" customFormat="1" x14ac:dyDescent="0.2"/>
    <row r="9234" s="2043" customFormat="1" x14ac:dyDescent="0.2"/>
    <row r="9235" s="2043" customFormat="1" x14ac:dyDescent="0.2"/>
    <row r="9236" s="2043" customFormat="1" x14ac:dyDescent="0.2"/>
    <row r="9237" s="2043" customFormat="1" x14ac:dyDescent="0.2"/>
    <row r="9238" s="2043" customFormat="1" x14ac:dyDescent="0.2"/>
    <row r="9239" s="2043" customFormat="1" x14ac:dyDescent="0.2"/>
    <row r="9240" s="2043" customFormat="1" x14ac:dyDescent="0.2"/>
    <row r="9241" s="2043" customFormat="1" x14ac:dyDescent="0.2"/>
    <row r="9242" s="2043" customFormat="1" x14ac:dyDescent="0.2"/>
    <row r="9243" s="2043" customFormat="1" x14ac:dyDescent="0.2"/>
    <row r="9244" s="2043" customFormat="1" x14ac:dyDescent="0.2"/>
    <row r="9245" s="2043" customFormat="1" x14ac:dyDescent="0.2"/>
    <row r="9246" s="2043" customFormat="1" x14ac:dyDescent="0.2"/>
    <row r="9247" s="2043" customFormat="1" x14ac:dyDescent="0.2"/>
    <row r="9248" s="2043" customFormat="1" x14ac:dyDescent="0.2"/>
    <row r="9249" s="2043" customFormat="1" x14ac:dyDescent="0.2"/>
    <row r="9250" s="2043" customFormat="1" x14ac:dyDescent="0.2"/>
    <row r="9251" s="2043" customFormat="1" x14ac:dyDescent="0.2"/>
    <row r="9252" s="2043" customFormat="1" x14ac:dyDescent="0.2"/>
    <row r="9253" s="2043" customFormat="1" x14ac:dyDescent="0.2"/>
    <row r="9254" s="2043" customFormat="1" x14ac:dyDescent="0.2"/>
    <row r="9255" s="2043" customFormat="1" x14ac:dyDescent="0.2"/>
    <row r="9256" s="2043" customFormat="1" x14ac:dyDescent="0.2"/>
    <row r="9257" s="2043" customFormat="1" x14ac:dyDescent="0.2"/>
    <row r="9258" s="2043" customFormat="1" x14ac:dyDescent="0.2"/>
    <row r="9259" s="2043" customFormat="1" x14ac:dyDescent="0.2"/>
    <row r="9260" s="2043" customFormat="1" x14ac:dyDescent="0.2"/>
    <row r="9261" s="2043" customFormat="1" x14ac:dyDescent="0.2"/>
    <row r="9262" s="2043" customFormat="1" x14ac:dyDescent="0.2"/>
    <row r="9263" s="2043" customFormat="1" x14ac:dyDescent="0.2"/>
    <row r="9264" s="2043" customFormat="1" x14ac:dyDescent="0.2"/>
    <row r="9265" s="2043" customFormat="1" x14ac:dyDescent="0.2"/>
    <row r="9266" s="2043" customFormat="1" x14ac:dyDescent="0.2"/>
    <row r="9267" s="2043" customFormat="1" x14ac:dyDescent="0.2"/>
    <row r="9268" s="2043" customFormat="1" x14ac:dyDescent="0.2"/>
    <row r="9269" s="2043" customFormat="1" x14ac:dyDescent="0.2"/>
    <row r="9270" s="2043" customFormat="1" x14ac:dyDescent="0.2"/>
    <row r="9271" s="2043" customFormat="1" x14ac:dyDescent="0.2"/>
    <row r="9272" s="2043" customFormat="1" x14ac:dyDescent="0.2"/>
    <row r="9273" s="2043" customFormat="1" x14ac:dyDescent="0.2"/>
    <row r="9274" s="2043" customFormat="1" x14ac:dyDescent="0.2"/>
    <row r="9275" s="2043" customFormat="1" x14ac:dyDescent="0.2"/>
    <row r="9276" s="2043" customFormat="1" x14ac:dyDescent="0.2"/>
    <row r="9277" s="2043" customFormat="1" x14ac:dyDescent="0.2"/>
    <row r="9278" s="2043" customFormat="1" x14ac:dyDescent="0.2"/>
    <row r="9279" s="2043" customFormat="1" x14ac:dyDescent="0.2"/>
    <row r="9280" s="2043" customFormat="1" x14ac:dyDescent="0.2"/>
    <row r="9281" s="2043" customFormat="1" x14ac:dyDescent="0.2"/>
    <row r="9282" s="2043" customFormat="1" x14ac:dyDescent="0.2"/>
    <row r="9283" s="2043" customFormat="1" x14ac:dyDescent="0.2"/>
    <row r="9284" s="2043" customFormat="1" x14ac:dyDescent="0.2"/>
    <row r="9285" s="2043" customFormat="1" x14ac:dyDescent="0.2"/>
    <row r="9286" s="2043" customFormat="1" x14ac:dyDescent="0.2"/>
    <row r="9287" s="2043" customFormat="1" x14ac:dyDescent="0.2"/>
    <row r="9288" s="2043" customFormat="1" x14ac:dyDescent="0.2"/>
    <row r="9289" s="2043" customFormat="1" x14ac:dyDescent="0.2"/>
    <row r="9290" s="2043" customFormat="1" x14ac:dyDescent="0.2"/>
    <row r="9291" s="2043" customFormat="1" x14ac:dyDescent="0.2"/>
    <row r="9292" s="2043" customFormat="1" x14ac:dyDescent="0.2"/>
    <row r="9293" s="2043" customFormat="1" x14ac:dyDescent="0.2"/>
    <row r="9294" s="2043" customFormat="1" x14ac:dyDescent="0.2"/>
    <row r="9295" s="2043" customFormat="1" x14ac:dyDescent="0.2"/>
    <row r="9296" s="2043" customFormat="1" x14ac:dyDescent="0.2"/>
    <row r="9297" s="2043" customFormat="1" x14ac:dyDescent="0.2"/>
    <row r="9298" s="2043" customFormat="1" x14ac:dyDescent="0.2"/>
    <row r="9299" s="2043" customFormat="1" x14ac:dyDescent="0.2"/>
    <row r="9300" s="2043" customFormat="1" x14ac:dyDescent="0.2"/>
    <row r="9301" s="2043" customFormat="1" x14ac:dyDescent="0.2"/>
    <row r="9302" s="2043" customFormat="1" x14ac:dyDescent="0.2"/>
    <row r="9303" s="2043" customFormat="1" x14ac:dyDescent="0.2"/>
    <row r="9304" s="2043" customFormat="1" x14ac:dyDescent="0.2"/>
    <row r="9305" s="2043" customFormat="1" x14ac:dyDescent="0.2"/>
    <row r="9306" s="2043" customFormat="1" x14ac:dyDescent="0.2"/>
    <row r="9307" s="2043" customFormat="1" x14ac:dyDescent="0.2"/>
    <row r="9308" s="2043" customFormat="1" x14ac:dyDescent="0.2"/>
    <row r="9309" s="2043" customFormat="1" x14ac:dyDescent="0.2"/>
    <row r="9310" s="2043" customFormat="1" x14ac:dyDescent="0.2"/>
    <row r="9311" s="2043" customFormat="1" x14ac:dyDescent="0.2"/>
    <row r="9312" s="2043" customFormat="1" x14ac:dyDescent="0.2"/>
    <row r="9313" s="2043" customFormat="1" x14ac:dyDescent="0.2"/>
    <row r="9314" s="2043" customFormat="1" x14ac:dyDescent="0.2"/>
    <row r="9315" s="2043" customFormat="1" x14ac:dyDescent="0.2"/>
    <row r="9316" s="2043" customFormat="1" x14ac:dyDescent="0.2"/>
    <row r="9317" s="2043" customFormat="1" x14ac:dyDescent="0.2"/>
    <row r="9318" s="2043" customFormat="1" x14ac:dyDescent="0.2"/>
    <row r="9319" s="2043" customFormat="1" x14ac:dyDescent="0.2"/>
    <row r="9320" s="2043" customFormat="1" x14ac:dyDescent="0.2"/>
    <row r="9321" s="2043" customFormat="1" x14ac:dyDescent="0.2"/>
    <row r="9322" s="2043" customFormat="1" x14ac:dyDescent="0.2"/>
    <row r="9323" s="2043" customFormat="1" x14ac:dyDescent="0.2"/>
    <row r="9324" s="2043" customFormat="1" x14ac:dyDescent="0.2"/>
    <row r="9325" s="2043" customFormat="1" x14ac:dyDescent="0.2"/>
    <row r="9326" s="2043" customFormat="1" x14ac:dyDescent="0.2"/>
    <row r="9327" s="2043" customFormat="1" x14ac:dyDescent="0.2"/>
    <row r="9328" s="2043" customFormat="1" x14ac:dyDescent="0.2"/>
    <row r="9329" s="2043" customFormat="1" x14ac:dyDescent="0.2"/>
    <row r="9330" s="2043" customFormat="1" x14ac:dyDescent="0.2"/>
    <row r="9331" s="2043" customFormat="1" x14ac:dyDescent="0.2"/>
    <row r="9332" s="2043" customFormat="1" x14ac:dyDescent="0.2"/>
    <row r="9333" s="2043" customFormat="1" x14ac:dyDescent="0.2"/>
    <row r="9334" s="2043" customFormat="1" x14ac:dyDescent="0.2"/>
    <row r="9335" s="2043" customFormat="1" x14ac:dyDescent="0.2"/>
    <row r="9336" s="2043" customFormat="1" x14ac:dyDescent="0.2"/>
    <row r="9337" s="2043" customFormat="1" x14ac:dyDescent="0.2"/>
    <row r="9338" s="2043" customFormat="1" x14ac:dyDescent="0.2"/>
    <row r="9339" s="2043" customFormat="1" x14ac:dyDescent="0.2"/>
    <row r="9340" s="2043" customFormat="1" x14ac:dyDescent="0.2"/>
    <row r="9341" s="2043" customFormat="1" x14ac:dyDescent="0.2"/>
    <row r="9342" s="2043" customFormat="1" x14ac:dyDescent="0.2"/>
    <row r="9343" s="2043" customFormat="1" x14ac:dyDescent="0.2"/>
    <row r="9344" s="2043" customFormat="1" x14ac:dyDescent="0.2"/>
    <row r="9345" s="2043" customFormat="1" x14ac:dyDescent="0.2"/>
    <row r="9346" s="2043" customFormat="1" x14ac:dyDescent="0.2"/>
    <row r="9347" s="2043" customFormat="1" x14ac:dyDescent="0.2"/>
    <row r="9348" s="2043" customFormat="1" x14ac:dyDescent="0.2"/>
    <row r="9349" s="2043" customFormat="1" x14ac:dyDescent="0.2"/>
    <row r="9350" s="2043" customFormat="1" x14ac:dyDescent="0.2"/>
    <row r="9351" s="2043" customFormat="1" x14ac:dyDescent="0.2"/>
    <row r="9352" s="2043" customFormat="1" x14ac:dyDescent="0.2"/>
    <row r="9353" s="2043" customFormat="1" x14ac:dyDescent="0.2"/>
    <row r="9354" s="2043" customFormat="1" x14ac:dyDescent="0.2"/>
    <row r="9355" s="2043" customFormat="1" x14ac:dyDescent="0.2"/>
    <row r="9356" s="2043" customFormat="1" x14ac:dyDescent="0.2"/>
    <row r="9357" s="2043" customFormat="1" x14ac:dyDescent="0.2"/>
    <row r="9358" s="2043" customFormat="1" x14ac:dyDescent="0.2"/>
    <row r="9359" s="2043" customFormat="1" x14ac:dyDescent="0.2"/>
    <row r="9360" s="2043" customFormat="1" x14ac:dyDescent="0.2"/>
    <row r="9361" s="2043" customFormat="1" x14ac:dyDescent="0.2"/>
    <row r="9362" s="2043" customFormat="1" x14ac:dyDescent="0.2"/>
    <row r="9363" s="2043" customFormat="1" x14ac:dyDescent="0.2"/>
    <row r="9364" s="2043" customFormat="1" x14ac:dyDescent="0.2"/>
    <row r="9365" s="2043" customFormat="1" x14ac:dyDescent="0.2"/>
    <row r="9366" s="2043" customFormat="1" x14ac:dyDescent="0.2"/>
    <row r="9367" s="2043" customFormat="1" x14ac:dyDescent="0.2"/>
    <row r="9368" s="2043" customFormat="1" x14ac:dyDescent="0.2"/>
    <row r="9369" s="2043" customFormat="1" x14ac:dyDescent="0.2"/>
    <row r="9370" s="2043" customFormat="1" x14ac:dyDescent="0.2"/>
    <row r="9371" s="2043" customFormat="1" x14ac:dyDescent="0.2"/>
    <row r="9372" s="2043" customFormat="1" x14ac:dyDescent="0.2"/>
    <row r="9373" s="2043" customFormat="1" x14ac:dyDescent="0.2"/>
    <row r="9374" s="2043" customFormat="1" x14ac:dyDescent="0.2"/>
    <row r="9375" s="2043" customFormat="1" x14ac:dyDescent="0.2"/>
    <row r="9376" s="2043" customFormat="1" x14ac:dyDescent="0.2"/>
    <row r="9377" s="2043" customFormat="1" x14ac:dyDescent="0.2"/>
    <row r="9378" s="2043" customFormat="1" x14ac:dyDescent="0.2"/>
    <row r="9379" s="2043" customFormat="1" x14ac:dyDescent="0.2"/>
    <row r="9380" s="2043" customFormat="1" x14ac:dyDescent="0.2"/>
    <row r="9381" s="2043" customFormat="1" x14ac:dyDescent="0.2"/>
    <row r="9382" s="2043" customFormat="1" x14ac:dyDescent="0.2"/>
    <row r="9383" s="2043" customFormat="1" x14ac:dyDescent="0.2"/>
    <row r="9384" s="2043" customFormat="1" x14ac:dyDescent="0.2"/>
    <row r="9385" s="2043" customFormat="1" x14ac:dyDescent="0.2"/>
    <row r="9386" s="2043" customFormat="1" x14ac:dyDescent="0.2"/>
    <row r="9387" s="2043" customFormat="1" x14ac:dyDescent="0.2"/>
    <row r="9388" s="2043" customFormat="1" x14ac:dyDescent="0.2"/>
    <row r="9389" s="2043" customFormat="1" x14ac:dyDescent="0.2"/>
    <row r="9390" s="2043" customFormat="1" x14ac:dyDescent="0.2"/>
    <row r="9391" s="2043" customFormat="1" x14ac:dyDescent="0.2"/>
    <row r="9392" s="2043" customFormat="1" x14ac:dyDescent="0.2"/>
    <row r="9393" s="2043" customFormat="1" x14ac:dyDescent="0.2"/>
    <row r="9394" s="2043" customFormat="1" x14ac:dyDescent="0.2"/>
    <row r="9395" s="2043" customFormat="1" x14ac:dyDescent="0.2"/>
    <row r="9396" s="2043" customFormat="1" x14ac:dyDescent="0.2"/>
    <row r="9397" s="2043" customFormat="1" x14ac:dyDescent="0.2"/>
    <row r="9398" s="2043" customFormat="1" x14ac:dyDescent="0.2"/>
    <row r="9399" s="2043" customFormat="1" x14ac:dyDescent="0.2"/>
    <row r="9400" s="2043" customFormat="1" x14ac:dyDescent="0.2"/>
    <row r="9401" s="2043" customFormat="1" x14ac:dyDescent="0.2"/>
    <row r="9402" s="2043" customFormat="1" x14ac:dyDescent="0.2"/>
    <row r="9403" s="2043" customFormat="1" x14ac:dyDescent="0.2"/>
    <row r="9404" s="2043" customFormat="1" x14ac:dyDescent="0.2"/>
    <row r="9405" s="2043" customFormat="1" x14ac:dyDescent="0.2"/>
    <row r="9406" s="2043" customFormat="1" x14ac:dyDescent="0.2"/>
    <row r="9407" s="2043" customFormat="1" x14ac:dyDescent="0.2"/>
    <row r="9408" s="2043" customFormat="1" x14ac:dyDescent="0.2"/>
    <row r="9409" s="2043" customFormat="1" x14ac:dyDescent="0.2"/>
    <row r="9410" s="2043" customFormat="1" x14ac:dyDescent="0.2"/>
    <row r="9411" s="2043" customFormat="1" x14ac:dyDescent="0.2"/>
    <row r="9412" s="2043" customFormat="1" x14ac:dyDescent="0.2"/>
    <row r="9413" s="2043" customFormat="1" x14ac:dyDescent="0.2"/>
    <row r="9414" s="2043" customFormat="1" x14ac:dyDescent="0.2"/>
    <row r="9415" s="2043" customFormat="1" x14ac:dyDescent="0.2"/>
    <row r="9416" s="2043" customFormat="1" x14ac:dyDescent="0.2"/>
    <row r="9417" s="2043" customFormat="1" x14ac:dyDescent="0.2"/>
    <row r="9418" s="2043" customFormat="1" x14ac:dyDescent="0.2"/>
    <row r="9419" s="2043" customFormat="1" x14ac:dyDescent="0.2"/>
    <row r="9420" s="2043" customFormat="1" x14ac:dyDescent="0.2"/>
    <row r="9421" s="2043" customFormat="1" x14ac:dyDescent="0.2"/>
    <row r="9422" s="2043" customFormat="1" x14ac:dyDescent="0.2"/>
    <row r="9423" s="2043" customFormat="1" x14ac:dyDescent="0.2"/>
    <row r="9424" s="2043" customFormat="1" x14ac:dyDescent="0.2"/>
    <row r="9425" s="2043" customFormat="1" x14ac:dyDescent="0.2"/>
    <row r="9426" s="2043" customFormat="1" x14ac:dyDescent="0.2"/>
    <row r="9427" s="2043" customFormat="1" x14ac:dyDescent="0.2"/>
    <row r="9428" s="2043" customFormat="1" x14ac:dyDescent="0.2"/>
    <row r="9429" s="2043" customFormat="1" x14ac:dyDescent="0.2"/>
    <row r="9430" s="2043" customFormat="1" x14ac:dyDescent="0.2"/>
    <row r="9431" s="2043" customFormat="1" x14ac:dyDescent="0.2"/>
    <row r="9432" s="2043" customFormat="1" x14ac:dyDescent="0.2"/>
    <row r="9433" s="2043" customFormat="1" x14ac:dyDescent="0.2"/>
    <row r="9434" s="2043" customFormat="1" x14ac:dyDescent="0.2"/>
    <row r="9435" s="2043" customFormat="1" x14ac:dyDescent="0.2"/>
    <row r="9436" s="2043" customFormat="1" x14ac:dyDescent="0.2"/>
    <row r="9437" s="2043" customFormat="1" x14ac:dyDescent="0.2"/>
    <row r="9438" s="2043" customFormat="1" x14ac:dyDescent="0.2"/>
    <row r="9439" s="2043" customFormat="1" x14ac:dyDescent="0.2"/>
    <row r="9440" s="2043" customFormat="1" x14ac:dyDescent="0.2"/>
    <row r="9441" s="2043" customFormat="1" x14ac:dyDescent="0.2"/>
    <row r="9442" s="2043" customFormat="1" x14ac:dyDescent="0.2"/>
    <row r="9443" s="2043" customFormat="1" x14ac:dyDescent="0.2"/>
    <row r="9444" s="2043" customFormat="1" x14ac:dyDescent="0.2"/>
    <row r="9445" s="2043" customFormat="1" x14ac:dyDescent="0.2"/>
    <row r="9446" s="2043" customFormat="1" x14ac:dyDescent="0.2"/>
    <row r="9447" s="2043" customFormat="1" x14ac:dyDescent="0.2"/>
    <row r="9448" s="2043" customFormat="1" x14ac:dyDescent="0.2"/>
    <row r="9449" s="2043" customFormat="1" x14ac:dyDescent="0.2"/>
    <row r="9450" s="2043" customFormat="1" x14ac:dyDescent="0.2"/>
    <row r="9451" s="2043" customFormat="1" x14ac:dyDescent="0.2"/>
    <row r="9452" s="2043" customFormat="1" x14ac:dyDescent="0.2"/>
    <row r="9453" s="2043" customFormat="1" x14ac:dyDescent="0.2"/>
    <row r="9454" s="2043" customFormat="1" x14ac:dyDescent="0.2"/>
    <row r="9455" s="2043" customFormat="1" x14ac:dyDescent="0.2"/>
    <row r="9456" s="2043" customFormat="1" x14ac:dyDescent="0.2"/>
    <row r="9457" s="2043" customFormat="1" x14ac:dyDescent="0.2"/>
    <row r="9458" s="2043" customFormat="1" x14ac:dyDescent="0.2"/>
    <row r="9459" s="2043" customFormat="1" x14ac:dyDescent="0.2"/>
    <row r="9460" s="2043" customFormat="1" x14ac:dyDescent="0.2"/>
    <row r="9461" s="2043" customFormat="1" x14ac:dyDescent="0.2"/>
    <row r="9462" s="2043" customFormat="1" x14ac:dyDescent="0.2"/>
    <row r="9463" s="2043" customFormat="1" x14ac:dyDescent="0.2"/>
    <row r="9464" s="2043" customFormat="1" x14ac:dyDescent="0.2"/>
    <row r="9465" s="2043" customFormat="1" x14ac:dyDescent="0.2"/>
    <row r="9466" s="2043" customFormat="1" x14ac:dyDescent="0.2"/>
    <row r="9467" s="2043" customFormat="1" x14ac:dyDescent="0.2"/>
    <row r="9468" s="2043" customFormat="1" x14ac:dyDescent="0.2"/>
    <row r="9469" s="2043" customFormat="1" x14ac:dyDescent="0.2"/>
    <row r="9470" s="2043" customFormat="1" x14ac:dyDescent="0.2"/>
    <row r="9471" s="2043" customFormat="1" x14ac:dyDescent="0.2"/>
    <row r="9472" s="2043" customFormat="1" x14ac:dyDescent="0.2"/>
    <row r="9473" s="2043" customFormat="1" x14ac:dyDescent="0.2"/>
    <row r="9474" s="2043" customFormat="1" x14ac:dyDescent="0.2"/>
    <row r="9475" s="2043" customFormat="1" x14ac:dyDescent="0.2"/>
    <row r="9476" s="2043" customFormat="1" x14ac:dyDescent="0.2"/>
    <row r="9477" s="2043" customFormat="1" x14ac:dyDescent="0.2"/>
    <row r="9478" s="2043" customFormat="1" x14ac:dyDescent="0.2"/>
    <row r="9479" s="2043" customFormat="1" x14ac:dyDescent="0.2"/>
    <row r="9480" s="2043" customFormat="1" x14ac:dyDescent="0.2"/>
    <row r="9481" s="2043" customFormat="1" x14ac:dyDescent="0.2"/>
    <row r="9482" s="2043" customFormat="1" x14ac:dyDescent="0.2"/>
    <row r="9483" s="2043" customFormat="1" x14ac:dyDescent="0.2"/>
    <row r="9484" s="2043" customFormat="1" x14ac:dyDescent="0.2"/>
    <row r="9485" s="2043" customFormat="1" x14ac:dyDescent="0.2"/>
    <row r="9486" s="2043" customFormat="1" x14ac:dyDescent="0.2"/>
    <row r="9487" s="2043" customFormat="1" x14ac:dyDescent="0.2"/>
    <row r="9488" s="2043" customFormat="1" x14ac:dyDescent="0.2"/>
    <row r="9489" s="2043" customFormat="1" x14ac:dyDescent="0.2"/>
    <row r="9490" s="2043" customFormat="1" x14ac:dyDescent="0.2"/>
    <row r="9491" s="2043" customFormat="1" x14ac:dyDescent="0.2"/>
    <row r="9492" s="2043" customFormat="1" x14ac:dyDescent="0.2"/>
    <row r="9493" s="2043" customFormat="1" x14ac:dyDescent="0.2"/>
    <row r="9494" s="2043" customFormat="1" x14ac:dyDescent="0.2"/>
    <row r="9495" s="2043" customFormat="1" x14ac:dyDescent="0.2"/>
    <row r="9496" s="2043" customFormat="1" x14ac:dyDescent="0.2"/>
    <row r="9497" s="2043" customFormat="1" x14ac:dyDescent="0.2"/>
    <row r="9498" s="2043" customFormat="1" x14ac:dyDescent="0.2"/>
    <row r="9499" s="2043" customFormat="1" x14ac:dyDescent="0.2"/>
    <row r="9500" s="2043" customFormat="1" x14ac:dyDescent="0.2"/>
    <row r="9501" s="2043" customFormat="1" x14ac:dyDescent="0.2"/>
    <row r="9502" s="2043" customFormat="1" x14ac:dyDescent="0.2"/>
    <row r="9503" s="2043" customFormat="1" x14ac:dyDescent="0.2"/>
    <row r="9504" s="2043" customFormat="1" x14ac:dyDescent="0.2"/>
    <row r="9505" s="2043" customFormat="1" x14ac:dyDescent="0.2"/>
    <row r="9506" s="2043" customFormat="1" x14ac:dyDescent="0.2"/>
    <row r="9507" s="2043" customFormat="1" x14ac:dyDescent="0.2"/>
    <row r="9508" s="2043" customFormat="1" x14ac:dyDescent="0.2"/>
    <row r="9509" s="2043" customFormat="1" x14ac:dyDescent="0.2"/>
    <row r="9510" s="2043" customFormat="1" x14ac:dyDescent="0.2"/>
    <row r="9511" s="2043" customFormat="1" x14ac:dyDescent="0.2"/>
    <row r="9512" s="2043" customFormat="1" x14ac:dyDescent="0.2"/>
    <row r="9513" s="2043" customFormat="1" x14ac:dyDescent="0.2"/>
    <row r="9514" s="2043" customFormat="1" x14ac:dyDescent="0.2"/>
    <row r="9515" s="2043" customFormat="1" x14ac:dyDescent="0.2"/>
    <row r="9516" s="2043" customFormat="1" x14ac:dyDescent="0.2"/>
    <row r="9517" s="2043" customFormat="1" x14ac:dyDescent="0.2"/>
    <row r="9518" s="2043" customFormat="1" x14ac:dyDescent="0.2"/>
    <row r="9519" s="2043" customFormat="1" x14ac:dyDescent="0.2"/>
    <row r="9520" s="2043" customFormat="1" x14ac:dyDescent="0.2"/>
    <row r="9521" s="2043" customFormat="1" x14ac:dyDescent="0.2"/>
    <row r="9522" s="2043" customFormat="1" x14ac:dyDescent="0.2"/>
    <row r="9523" s="2043" customFormat="1" x14ac:dyDescent="0.2"/>
    <row r="9524" s="2043" customFormat="1" x14ac:dyDescent="0.2"/>
    <row r="9525" s="2043" customFormat="1" x14ac:dyDescent="0.2"/>
    <row r="9526" s="2043" customFormat="1" x14ac:dyDescent="0.2"/>
    <row r="9527" s="2043" customFormat="1" x14ac:dyDescent="0.2"/>
    <row r="9528" s="2043" customFormat="1" x14ac:dyDescent="0.2"/>
    <row r="9529" s="2043" customFormat="1" x14ac:dyDescent="0.2"/>
    <row r="9530" s="2043" customFormat="1" x14ac:dyDescent="0.2"/>
    <row r="9531" s="2043" customFormat="1" x14ac:dyDescent="0.2"/>
    <row r="9532" s="2043" customFormat="1" x14ac:dyDescent="0.2"/>
    <row r="9533" s="2043" customFormat="1" x14ac:dyDescent="0.2"/>
    <row r="9534" s="2043" customFormat="1" x14ac:dyDescent="0.2"/>
    <row r="9535" s="2043" customFormat="1" x14ac:dyDescent="0.2"/>
    <row r="9536" s="2043" customFormat="1" x14ac:dyDescent="0.2"/>
    <row r="9537" s="2043" customFormat="1" x14ac:dyDescent="0.2"/>
    <row r="9538" s="2043" customFormat="1" x14ac:dyDescent="0.2"/>
    <row r="9539" s="2043" customFormat="1" x14ac:dyDescent="0.2"/>
    <row r="9540" s="2043" customFormat="1" x14ac:dyDescent="0.2"/>
    <row r="9541" s="2043" customFormat="1" x14ac:dyDescent="0.2"/>
    <row r="9542" s="2043" customFormat="1" x14ac:dyDescent="0.2"/>
    <row r="9543" s="2043" customFormat="1" x14ac:dyDescent="0.2"/>
    <row r="9544" s="2043" customFormat="1" x14ac:dyDescent="0.2"/>
    <row r="9545" s="2043" customFormat="1" x14ac:dyDescent="0.2"/>
    <row r="9546" s="2043" customFormat="1" x14ac:dyDescent="0.2"/>
    <row r="9547" s="2043" customFormat="1" x14ac:dyDescent="0.2"/>
    <row r="9548" s="2043" customFormat="1" x14ac:dyDescent="0.2"/>
    <row r="9549" s="2043" customFormat="1" x14ac:dyDescent="0.2"/>
    <row r="9550" s="2043" customFormat="1" x14ac:dyDescent="0.2"/>
    <row r="9551" s="2043" customFormat="1" x14ac:dyDescent="0.2"/>
    <row r="9552" s="2043" customFormat="1" x14ac:dyDescent="0.2"/>
    <row r="9553" s="2043" customFormat="1" x14ac:dyDescent="0.2"/>
    <row r="9554" s="2043" customFormat="1" x14ac:dyDescent="0.2"/>
    <row r="9555" s="2043" customFormat="1" x14ac:dyDescent="0.2"/>
    <row r="9556" s="2043" customFormat="1" x14ac:dyDescent="0.2"/>
    <row r="9557" s="2043" customFormat="1" x14ac:dyDescent="0.2"/>
    <row r="9558" s="2043" customFormat="1" x14ac:dyDescent="0.2"/>
    <row r="9559" s="2043" customFormat="1" x14ac:dyDescent="0.2"/>
    <row r="9560" s="2043" customFormat="1" x14ac:dyDescent="0.2"/>
    <row r="9561" s="2043" customFormat="1" x14ac:dyDescent="0.2"/>
    <row r="9562" s="2043" customFormat="1" x14ac:dyDescent="0.2"/>
    <row r="9563" s="2043" customFormat="1" x14ac:dyDescent="0.2"/>
    <row r="9564" s="2043" customFormat="1" x14ac:dyDescent="0.2"/>
    <row r="9565" s="2043" customFormat="1" x14ac:dyDescent="0.2"/>
    <row r="9566" s="2043" customFormat="1" x14ac:dyDescent="0.2"/>
    <row r="9567" s="2043" customFormat="1" x14ac:dyDescent="0.2"/>
    <row r="9568" s="2043" customFormat="1" x14ac:dyDescent="0.2"/>
    <row r="9569" s="2043" customFormat="1" x14ac:dyDescent="0.2"/>
    <row r="9570" s="2043" customFormat="1" x14ac:dyDescent="0.2"/>
    <row r="9571" s="2043" customFormat="1" x14ac:dyDescent="0.2"/>
    <row r="9572" s="2043" customFormat="1" x14ac:dyDescent="0.2"/>
    <row r="9573" s="2043" customFormat="1" x14ac:dyDescent="0.2"/>
    <row r="9574" s="2043" customFormat="1" x14ac:dyDescent="0.2"/>
    <row r="9575" s="2043" customFormat="1" x14ac:dyDescent="0.2"/>
    <row r="9576" s="2043" customFormat="1" x14ac:dyDescent="0.2"/>
    <row r="9577" s="2043" customFormat="1" x14ac:dyDescent="0.2"/>
    <row r="9578" s="2043" customFormat="1" x14ac:dyDescent="0.2"/>
    <row r="9579" s="2043" customFormat="1" x14ac:dyDescent="0.2"/>
    <row r="9580" s="2043" customFormat="1" x14ac:dyDescent="0.2"/>
    <row r="9581" s="2043" customFormat="1" x14ac:dyDescent="0.2"/>
    <row r="9582" s="2043" customFormat="1" x14ac:dyDescent="0.2"/>
    <row r="9583" s="2043" customFormat="1" x14ac:dyDescent="0.2"/>
    <row r="9584" s="2043" customFormat="1" x14ac:dyDescent="0.2"/>
    <row r="9585" s="2043" customFormat="1" x14ac:dyDescent="0.2"/>
    <row r="9586" s="2043" customFormat="1" x14ac:dyDescent="0.2"/>
    <row r="9587" s="2043" customFormat="1" x14ac:dyDescent="0.2"/>
    <row r="9588" s="2043" customFormat="1" x14ac:dyDescent="0.2"/>
    <row r="9589" s="2043" customFormat="1" x14ac:dyDescent="0.2"/>
    <row r="9590" s="2043" customFormat="1" x14ac:dyDescent="0.2"/>
    <row r="9591" s="2043" customFormat="1" x14ac:dyDescent="0.2"/>
    <row r="9592" s="2043" customFormat="1" x14ac:dyDescent="0.2"/>
    <row r="9593" s="2043" customFormat="1" x14ac:dyDescent="0.2"/>
    <row r="9594" s="2043" customFormat="1" x14ac:dyDescent="0.2"/>
    <row r="9595" s="2043" customFormat="1" x14ac:dyDescent="0.2"/>
    <row r="9596" s="2043" customFormat="1" x14ac:dyDescent="0.2"/>
    <row r="9597" s="2043" customFormat="1" x14ac:dyDescent="0.2"/>
    <row r="9598" s="2043" customFormat="1" x14ac:dyDescent="0.2"/>
    <row r="9599" s="2043" customFormat="1" x14ac:dyDescent="0.2"/>
    <row r="9600" s="2043" customFormat="1" x14ac:dyDescent="0.2"/>
    <row r="9601" s="2043" customFormat="1" x14ac:dyDescent="0.2"/>
    <row r="9602" s="2043" customFormat="1" x14ac:dyDescent="0.2"/>
    <row r="9603" s="2043" customFormat="1" x14ac:dyDescent="0.2"/>
    <row r="9604" s="2043" customFormat="1" x14ac:dyDescent="0.2"/>
    <row r="9605" s="2043" customFormat="1" x14ac:dyDescent="0.2"/>
    <row r="9606" s="2043" customFormat="1" x14ac:dyDescent="0.2"/>
    <row r="9607" s="2043" customFormat="1" x14ac:dyDescent="0.2"/>
    <row r="9608" s="2043" customFormat="1" x14ac:dyDescent="0.2"/>
    <row r="9609" s="2043" customFormat="1" x14ac:dyDescent="0.2"/>
    <row r="9610" s="2043" customFormat="1" x14ac:dyDescent="0.2"/>
    <row r="9611" s="2043" customFormat="1" x14ac:dyDescent="0.2"/>
    <row r="9612" s="2043" customFormat="1" x14ac:dyDescent="0.2"/>
    <row r="9613" s="2043" customFormat="1" x14ac:dyDescent="0.2"/>
    <row r="9614" s="2043" customFormat="1" x14ac:dyDescent="0.2"/>
    <row r="9615" s="2043" customFormat="1" x14ac:dyDescent="0.2"/>
    <row r="9616" s="2043" customFormat="1" x14ac:dyDescent="0.2"/>
    <row r="9617" s="2043" customFormat="1" x14ac:dyDescent="0.2"/>
    <row r="9618" s="2043" customFormat="1" x14ac:dyDescent="0.2"/>
    <row r="9619" s="2043" customFormat="1" x14ac:dyDescent="0.2"/>
    <row r="9620" s="2043" customFormat="1" x14ac:dyDescent="0.2"/>
    <row r="9621" s="2043" customFormat="1" x14ac:dyDescent="0.2"/>
    <row r="9622" s="2043" customFormat="1" x14ac:dyDescent="0.2"/>
    <row r="9623" s="2043" customFormat="1" x14ac:dyDescent="0.2"/>
    <row r="9624" s="2043" customFormat="1" x14ac:dyDescent="0.2"/>
    <row r="9625" s="2043" customFormat="1" x14ac:dyDescent="0.2"/>
    <row r="9626" s="2043" customFormat="1" x14ac:dyDescent="0.2"/>
    <row r="9627" s="2043" customFormat="1" x14ac:dyDescent="0.2"/>
    <row r="9628" s="2043" customFormat="1" x14ac:dyDescent="0.2"/>
    <row r="9629" s="2043" customFormat="1" x14ac:dyDescent="0.2"/>
    <row r="9630" s="2043" customFormat="1" x14ac:dyDescent="0.2"/>
    <row r="9631" s="2043" customFormat="1" x14ac:dyDescent="0.2"/>
    <row r="9632" s="2043" customFormat="1" x14ac:dyDescent="0.2"/>
    <row r="9633" s="2043" customFormat="1" x14ac:dyDescent="0.2"/>
    <row r="9634" s="2043" customFormat="1" x14ac:dyDescent="0.2"/>
    <row r="9635" s="2043" customFormat="1" x14ac:dyDescent="0.2"/>
    <row r="9636" s="2043" customFormat="1" x14ac:dyDescent="0.2"/>
    <row r="9637" s="2043" customFormat="1" x14ac:dyDescent="0.2"/>
    <row r="9638" s="2043" customFormat="1" x14ac:dyDescent="0.2"/>
    <row r="9639" s="2043" customFormat="1" x14ac:dyDescent="0.2"/>
    <row r="9640" s="2043" customFormat="1" x14ac:dyDescent="0.2"/>
    <row r="9641" s="2043" customFormat="1" x14ac:dyDescent="0.2"/>
    <row r="9642" s="2043" customFormat="1" x14ac:dyDescent="0.2"/>
    <row r="9643" s="2043" customFormat="1" x14ac:dyDescent="0.2"/>
    <row r="9644" s="2043" customFormat="1" x14ac:dyDescent="0.2"/>
    <row r="9645" s="2043" customFormat="1" x14ac:dyDescent="0.2"/>
    <row r="9646" s="2043" customFormat="1" x14ac:dyDescent="0.2"/>
    <row r="9647" s="2043" customFormat="1" x14ac:dyDescent="0.2"/>
    <row r="9648" s="2043" customFormat="1" x14ac:dyDescent="0.2"/>
    <row r="9649" s="2043" customFormat="1" x14ac:dyDescent="0.2"/>
    <row r="9650" s="2043" customFormat="1" x14ac:dyDescent="0.2"/>
    <row r="9651" s="2043" customFormat="1" x14ac:dyDescent="0.2"/>
    <row r="9652" s="2043" customFormat="1" x14ac:dyDescent="0.2"/>
    <row r="9653" s="2043" customFormat="1" x14ac:dyDescent="0.2"/>
    <row r="9654" s="2043" customFormat="1" x14ac:dyDescent="0.2"/>
    <row r="9655" s="2043" customFormat="1" x14ac:dyDescent="0.2"/>
    <row r="9656" s="2043" customFormat="1" x14ac:dyDescent="0.2"/>
    <row r="9657" s="2043" customFormat="1" x14ac:dyDescent="0.2"/>
    <row r="9658" s="2043" customFormat="1" x14ac:dyDescent="0.2"/>
    <row r="9659" s="2043" customFormat="1" x14ac:dyDescent="0.2"/>
    <row r="9660" s="2043" customFormat="1" x14ac:dyDescent="0.2"/>
    <row r="9661" s="2043" customFormat="1" x14ac:dyDescent="0.2"/>
    <row r="9662" s="2043" customFormat="1" x14ac:dyDescent="0.2"/>
    <row r="9663" s="2043" customFormat="1" x14ac:dyDescent="0.2"/>
    <row r="9664" s="2043" customFormat="1" x14ac:dyDescent="0.2"/>
    <row r="9665" s="2043" customFormat="1" x14ac:dyDescent="0.2"/>
    <row r="9666" s="2043" customFormat="1" x14ac:dyDescent="0.2"/>
    <row r="9667" s="2043" customFormat="1" x14ac:dyDescent="0.2"/>
    <row r="9668" s="2043" customFormat="1" x14ac:dyDescent="0.2"/>
    <row r="9669" s="2043" customFormat="1" x14ac:dyDescent="0.2"/>
    <row r="9670" s="2043" customFormat="1" x14ac:dyDescent="0.2"/>
    <row r="9671" s="2043" customFormat="1" x14ac:dyDescent="0.2"/>
    <row r="9672" s="2043" customFormat="1" x14ac:dyDescent="0.2"/>
    <row r="9673" s="2043" customFormat="1" x14ac:dyDescent="0.2"/>
    <row r="9674" s="2043" customFormat="1" x14ac:dyDescent="0.2"/>
    <row r="9675" s="2043" customFormat="1" x14ac:dyDescent="0.2"/>
    <row r="9676" s="2043" customFormat="1" x14ac:dyDescent="0.2"/>
    <row r="9677" s="2043" customFormat="1" x14ac:dyDescent="0.2"/>
    <row r="9678" s="2043" customFormat="1" x14ac:dyDescent="0.2"/>
    <row r="9679" s="2043" customFormat="1" x14ac:dyDescent="0.2"/>
    <row r="9680" s="2043" customFormat="1" x14ac:dyDescent="0.2"/>
    <row r="9681" s="2043" customFormat="1" x14ac:dyDescent="0.2"/>
    <row r="9682" s="2043" customFormat="1" x14ac:dyDescent="0.2"/>
    <row r="9683" s="2043" customFormat="1" x14ac:dyDescent="0.2"/>
    <row r="9684" s="2043" customFormat="1" x14ac:dyDescent="0.2"/>
    <row r="9685" s="2043" customFormat="1" x14ac:dyDescent="0.2"/>
    <row r="9686" s="2043" customFormat="1" x14ac:dyDescent="0.2"/>
    <row r="9687" s="2043" customFormat="1" x14ac:dyDescent="0.2"/>
    <row r="9688" s="2043" customFormat="1" x14ac:dyDescent="0.2"/>
    <row r="9689" s="2043" customFormat="1" x14ac:dyDescent="0.2"/>
    <row r="9690" s="2043" customFormat="1" x14ac:dyDescent="0.2"/>
    <row r="9691" s="2043" customFormat="1" x14ac:dyDescent="0.2"/>
    <row r="9692" s="2043" customFormat="1" x14ac:dyDescent="0.2"/>
    <row r="9693" s="2043" customFormat="1" x14ac:dyDescent="0.2"/>
    <row r="9694" s="2043" customFormat="1" x14ac:dyDescent="0.2"/>
    <row r="9695" s="2043" customFormat="1" x14ac:dyDescent="0.2"/>
    <row r="9696" s="2043" customFormat="1" x14ac:dyDescent="0.2"/>
    <row r="9697" s="2043" customFormat="1" x14ac:dyDescent="0.2"/>
    <row r="9698" s="2043" customFormat="1" x14ac:dyDescent="0.2"/>
    <row r="9699" s="2043" customFormat="1" x14ac:dyDescent="0.2"/>
    <row r="9700" s="2043" customFormat="1" x14ac:dyDescent="0.2"/>
    <row r="9701" s="2043" customFormat="1" x14ac:dyDescent="0.2"/>
    <row r="9702" s="2043" customFormat="1" x14ac:dyDescent="0.2"/>
    <row r="9703" s="2043" customFormat="1" x14ac:dyDescent="0.2"/>
    <row r="9704" s="2043" customFormat="1" x14ac:dyDescent="0.2"/>
    <row r="9705" s="2043" customFormat="1" x14ac:dyDescent="0.2"/>
    <row r="9706" s="2043" customFormat="1" x14ac:dyDescent="0.2"/>
    <row r="9707" s="2043" customFormat="1" x14ac:dyDescent="0.2"/>
    <row r="9708" s="2043" customFormat="1" x14ac:dyDescent="0.2"/>
    <row r="9709" s="2043" customFormat="1" x14ac:dyDescent="0.2"/>
    <row r="9710" s="2043" customFormat="1" x14ac:dyDescent="0.2"/>
    <row r="9711" s="2043" customFormat="1" x14ac:dyDescent="0.2"/>
    <row r="9712" s="2043" customFormat="1" x14ac:dyDescent="0.2"/>
    <row r="9713" s="2043" customFormat="1" x14ac:dyDescent="0.2"/>
    <row r="9714" s="2043" customFormat="1" x14ac:dyDescent="0.2"/>
    <row r="9715" s="2043" customFormat="1" x14ac:dyDescent="0.2"/>
    <row r="9716" s="2043" customFormat="1" x14ac:dyDescent="0.2"/>
    <row r="9717" s="2043" customFormat="1" x14ac:dyDescent="0.2"/>
    <row r="9718" s="2043" customFormat="1" x14ac:dyDescent="0.2"/>
    <row r="9719" s="2043" customFormat="1" x14ac:dyDescent="0.2"/>
    <row r="9720" s="2043" customFormat="1" x14ac:dyDescent="0.2"/>
    <row r="9721" s="2043" customFormat="1" x14ac:dyDescent="0.2"/>
    <row r="9722" s="2043" customFormat="1" x14ac:dyDescent="0.2"/>
    <row r="9723" s="2043" customFormat="1" x14ac:dyDescent="0.2"/>
    <row r="9724" s="2043" customFormat="1" x14ac:dyDescent="0.2"/>
    <row r="9725" s="2043" customFormat="1" x14ac:dyDescent="0.2"/>
    <row r="9726" s="2043" customFormat="1" x14ac:dyDescent="0.2"/>
    <row r="9727" s="2043" customFormat="1" x14ac:dyDescent="0.2"/>
    <row r="9728" s="2043" customFormat="1" x14ac:dyDescent="0.2"/>
    <row r="9729" s="2043" customFormat="1" x14ac:dyDescent="0.2"/>
    <row r="9730" s="2043" customFormat="1" x14ac:dyDescent="0.2"/>
    <row r="9731" s="2043" customFormat="1" x14ac:dyDescent="0.2"/>
    <row r="9732" s="2043" customFormat="1" x14ac:dyDescent="0.2"/>
    <row r="9733" s="2043" customFormat="1" x14ac:dyDescent="0.2"/>
    <row r="9734" s="2043" customFormat="1" x14ac:dyDescent="0.2"/>
    <row r="9735" s="2043" customFormat="1" x14ac:dyDescent="0.2"/>
    <row r="9736" s="2043" customFormat="1" x14ac:dyDescent="0.2"/>
    <row r="9737" s="2043" customFormat="1" x14ac:dyDescent="0.2"/>
    <row r="9738" s="2043" customFormat="1" x14ac:dyDescent="0.2"/>
    <row r="9739" s="2043" customFormat="1" x14ac:dyDescent="0.2"/>
    <row r="9740" s="2043" customFormat="1" x14ac:dyDescent="0.2"/>
    <row r="9741" s="2043" customFormat="1" x14ac:dyDescent="0.2"/>
    <row r="9742" s="2043" customFormat="1" x14ac:dyDescent="0.2"/>
    <row r="9743" s="2043" customFormat="1" x14ac:dyDescent="0.2"/>
    <row r="9744" s="2043" customFormat="1" x14ac:dyDescent="0.2"/>
    <row r="9745" s="2043" customFormat="1" x14ac:dyDescent="0.2"/>
    <row r="9746" s="2043" customFormat="1" x14ac:dyDescent="0.2"/>
    <row r="9747" s="2043" customFormat="1" x14ac:dyDescent="0.2"/>
    <row r="9748" s="2043" customFormat="1" x14ac:dyDescent="0.2"/>
    <row r="9749" s="2043" customFormat="1" x14ac:dyDescent="0.2"/>
    <row r="9750" s="2043" customFormat="1" x14ac:dyDescent="0.2"/>
    <row r="9751" s="2043" customFormat="1" x14ac:dyDescent="0.2"/>
    <row r="9752" s="2043" customFormat="1" x14ac:dyDescent="0.2"/>
    <row r="9753" s="2043" customFormat="1" x14ac:dyDescent="0.2"/>
    <row r="9754" s="2043" customFormat="1" x14ac:dyDescent="0.2"/>
    <row r="9755" s="2043" customFormat="1" x14ac:dyDescent="0.2"/>
    <row r="9756" s="2043" customFormat="1" x14ac:dyDescent="0.2"/>
    <row r="9757" s="2043" customFormat="1" x14ac:dyDescent="0.2"/>
    <row r="9758" s="2043" customFormat="1" x14ac:dyDescent="0.2"/>
    <row r="9759" s="2043" customFormat="1" x14ac:dyDescent="0.2"/>
    <row r="9760" s="2043" customFormat="1" x14ac:dyDescent="0.2"/>
    <row r="9761" s="2043" customFormat="1" x14ac:dyDescent="0.2"/>
    <row r="9762" s="2043" customFormat="1" x14ac:dyDescent="0.2"/>
    <row r="9763" s="2043" customFormat="1" x14ac:dyDescent="0.2"/>
    <row r="9764" s="2043" customFormat="1" x14ac:dyDescent="0.2"/>
    <row r="9765" s="2043" customFormat="1" x14ac:dyDescent="0.2"/>
    <row r="9766" s="2043" customFormat="1" x14ac:dyDescent="0.2"/>
    <row r="9767" s="2043" customFormat="1" x14ac:dyDescent="0.2"/>
    <row r="9768" s="2043" customFormat="1" x14ac:dyDescent="0.2"/>
    <row r="9769" s="2043" customFormat="1" x14ac:dyDescent="0.2"/>
    <row r="9770" s="2043" customFormat="1" x14ac:dyDescent="0.2"/>
    <row r="9771" s="2043" customFormat="1" x14ac:dyDescent="0.2"/>
    <row r="9772" s="2043" customFormat="1" x14ac:dyDescent="0.2"/>
    <row r="9773" s="2043" customFormat="1" x14ac:dyDescent="0.2"/>
    <row r="9774" s="2043" customFormat="1" x14ac:dyDescent="0.2"/>
    <row r="9775" s="2043" customFormat="1" x14ac:dyDescent="0.2"/>
    <row r="9776" s="2043" customFormat="1" x14ac:dyDescent="0.2"/>
    <row r="9777" s="2043" customFormat="1" x14ac:dyDescent="0.2"/>
    <row r="9778" s="2043" customFormat="1" x14ac:dyDescent="0.2"/>
    <row r="9779" s="2043" customFormat="1" x14ac:dyDescent="0.2"/>
    <row r="9780" s="2043" customFormat="1" x14ac:dyDescent="0.2"/>
    <row r="9781" s="2043" customFormat="1" x14ac:dyDescent="0.2"/>
    <row r="9782" s="2043" customFormat="1" x14ac:dyDescent="0.2"/>
    <row r="9783" s="2043" customFormat="1" x14ac:dyDescent="0.2"/>
    <row r="9784" s="2043" customFormat="1" x14ac:dyDescent="0.2"/>
    <row r="9785" s="2043" customFormat="1" x14ac:dyDescent="0.2"/>
    <row r="9786" s="2043" customFormat="1" x14ac:dyDescent="0.2"/>
    <row r="9787" s="2043" customFormat="1" x14ac:dyDescent="0.2"/>
    <row r="9788" s="2043" customFormat="1" x14ac:dyDescent="0.2"/>
    <row r="9789" s="2043" customFormat="1" x14ac:dyDescent="0.2"/>
    <row r="9790" s="2043" customFormat="1" x14ac:dyDescent="0.2"/>
    <row r="9791" s="2043" customFormat="1" x14ac:dyDescent="0.2"/>
    <row r="9792" s="2043" customFormat="1" x14ac:dyDescent="0.2"/>
    <row r="9793" s="2043" customFormat="1" x14ac:dyDescent="0.2"/>
    <row r="9794" s="2043" customFormat="1" x14ac:dyDescent="0.2"/>
    <row r="9795" s="2043" customFormat="1" x14ac:dyDescent="0.2"/>
    <row r="9796" s="2043" customFormat="1" x14ac:dyDescent="0.2"/>
    <row r="9797" s="2043" customFormat="1" x14ac:dyDescent="0.2"/>
    <row r="9798" s="2043" customFormat="1" x14ac:dyDescent="0.2"/>
    <row r="9799" s="2043" customFormat="1" x14ac:dyDescent="0.2"/>
    <row r="9800" s="2043" customFormat="1" x14ac:dyDescent="0.2"/>
    <row r="9801" s="2043" customFormat="1" x14ac:dyDescent="0.2"/>
    <row r="9802" s="2043" customFormat="1" x14ac:dyDescent="0.2"/>
    <row r="9803" s="2043" customFormat="1" x14ac:dyDescent="0.2"/>
    <row r="9804" s="2043" customFormat="1" x14ac:dyDescent="0.2"/>
    <row r="9805" s="2043" customFormat="1" x14ac:dyDescent="0.2"/>
    <row r="9806" s="2043" customFormat="1" x14ac:dyDescent="0.2"/>
    <row r="9807" s="2043" customFormat="1" x14ac:dyDescent="0.2"/>
    <row r="9808" s="2043" customFormat="1" x14ac:dyDescent="0.2"/>
    <row r="9809" s="2043" customFormat="1" x14ac:dyDescent="0.2"/>
    <row r="9810" s="2043" customFormat="1" x14ac:dyDescent="0.2"/>
    <row r="9811" s="2043" customFormat="1" x14ac:dyDescent="0.2"/>
    <row r="9812" s="2043" customFormat="1" x14ac:dyDescent="0.2"/>
    <row r="9813" s="2043" customFormat="1" x14ac:dyDescent="0.2"/>
    <row r="9814" s="2043" customFormat="1" x14ac:dyDescent="0.2"/>
    <row r="9815" s="2043" customFormat="1" x14ac:dyDescent="0.2"/>
    <row r="9816" s="2043" customFormat="1" x14ac:dyDescent="0.2"/>
    <row r="9817" s="2043" customFormat="1" x14ac:dyDescent="0.2"/>
    <row r="9818" s="2043" customFormat="1" x14ac:dyDescent="0.2"/>
    <row r="9819" s="2043" customFormat="1" x14ac:dyDescent="0.2"/>
    <row r="9820" s="2043" customFormat="1" x14ac:dyDescent="0.2"/>
    <row r="9821" s="2043" customFormat="1" x14ac:dyDescent="0.2"/>
    <row r="9822" s="2043" customFormat="1" x14ac:dyDescent="0.2"/>
    <row r="9823" s="2043" customFormat="1" x14ac:dyDescent="0.2"/>
    <row r="9824" s="2043" customFormat="1" x14ac:dyDescent="0.2"/>
    <row r="9825" s="2043" customFormat="1" x14ac:dyDescent="0.2"/>
    <row r="9826" s="2043" customFormat="1" x14ac:dyDescent="0.2"/>
    <row r="9827" s="2043" customFormat="1" x14ac:dyDescent="0.2"/>
    <row r="9828" s="2043" customFormat="1" x14ac:dyDescent="0.2"/>
    <row r="9829" s="2043" customFormat="1" x14ac:dyDescent="0.2"/>
    <row r="9830" s="2043" customFormat="1" x14ac:dyDescent="0.2"/>
    <row r="9831" s="2043" customFormat="1" x14ac:dyDescent="0.2"/>
    <row r="9832" s="2043" customFormat="1" x14ac:dyDescent="0.2"/>
    <row r="9833" s="2043" customFormat="1" x14ac:dyDescent="0.2"/>
    <row r="9834" s="2043" customFormat="1" x14ac:dyDescent="0.2"/>
    <row r="9835" s="2043" customFormat="1" x14ac:dyDescent="0.2"/>
    <row r="9836" s="2043" customFormat="1" x14ac:dyDescent="0.2"/>
    <row r="9837" s="2043" customFormat="1" x14ac:dyDescent="0.2"/>
    <row r="9838" s="2043" customFormat="1" x14ac:dyDescent="0.2"/>
    <row r="9839" s="2043" customFormat="1" x14ac:dyDescent="0.2"/>
    <row r="9840" s="2043" customFormat="1" x14ac:dyDescent="0.2"/>
    <row r="9841" s="2043" customFormat="1" x14ac:dyDescent="0.2"/>
    <row r="9842" s="2043" customFormat="1" x14ac:dyDescent="0.2"/>
    <row r="9843" s="2043" customFormat="1" x14ac:dyDescent="0.2"/>
    <row r="9844" s="2043" customFormat="1" x14ac:dyDescent="0.2"/>
    <row r="9845" s="2043" customFormat="1" x14ac:dyDescent="0.2"/>
    <row r="9846" s="2043" customFormat="1" x14ac:dyDescent="0.2"/>
    <row r="9847" s="2043" customFormat="1" x14ac:dyDescent="0.2"/>
    <row r="9848" s="2043" customFormat="1" x14ac:dyDescent="0.2"/>
    <row r="9849" s="2043" customFormat="1" x14ac:dyDescent="0.2"/>
    <row r="9850" s="2043" customFormat="1" x14ac:dyDescent="0.2"/>
    <row r="9851" s="2043" customFormat="1" x14ac:dyDescent="0.2"/>
    <row r="9852" s="2043" customFormat="1" x14ac:dyDescent="0.2"/>
    <row r="9853" s="2043" customFormat="1" x14ac:dyDescent="0.2"/>
    <row r="9854" s="2043" customFormat="1" x14ac:dyDescent="0.2"/>
    <row r="9855" s="2043" customFormat="1" x14ac:dyDescent="0.2"/>
    <row r="9856" s="2043" customFormat="1" x14ac:dyDescent="0.2"/>
    <row r="9857" s="2043" customFormat="1" x14ac:dyDescent="0.2"/>
    <row r="9858" s="2043" customFormat="1" x14ac:dyDescent="0.2"/>
    <row r="9859" s="2043" customFormat="1" x14ac:dyDescent="0.2"/>
    <row r="9860" s="2043" customFormat="1" x14ac:dyDescent="0.2"/>
    <row r="9861" s="2043" customFormat="1" x14ac:dyDescent="0.2"/>
    <row r="9862" s="2043" customFormat="1" x14ac:dyDescent="0.2"/>
    <row r="9863" s="2043" customFormat="1" x14ac:dyDescent="0.2"/>
    <row r="9864" s="2043" customFormat="1" x14ac:dyDescent="0.2"/>
    <row r="9865" s="2043" customFormat="1" x14ac:dyDescent="0.2"/>
    <row r="9866" s="2043" customFormat="1" x14ac:dyDescent="0.2"/>
    <row r="9867" s="2043" customFormat="1" x14ac:dyDescent="0.2"/>
    <row r="9868" s="2043" customFormat="1" x14ac:dyDescent="0.2"/>
    <row r="9869" s="2043" customFormat="1" x14ac:dyDescent="0.2"/>
    <row r="9870" s="2043" customFormat="1" x14ac:dyDescent="0.2"/>
    <row r="9871" s="2043" customFormat="1" x14ac:dyDescent="0.2"/>
    <row r="9872" s="2043" customFormat="1" x14ac:dyDescent="0.2"/>
    <row r="9873" s="2043" customFormat="1" x14ac:dyDescent="0.2"/>
    <row r="9874" s="2043" customFormat="1" x14ac:dyDescent="0.2"/>
    <row r="9875" s="2043" customFormat="1" x14ac:dyDescent="0.2"/>
    <row r="9876" s="2043" customFormat="1" x14ac:dyDescent="0.2"/>
    <row r="9877" s="2043" customFormat="1" x14ac:dyDescent="0.2"/>
    <row r="9878" s="2043" customFormat="1" x14ac:dyDescent="0.2"/>
    <row r="9879" s="2043" customFormat="1" x14ac:dyDescent="0.2"/>
    <row r="9880" s="2043" customFormat="1" x14ac:dyDescent="0.2"/>
    <row r="9881" s="2043" customFormat="1" x14ac:dyDescent="0.2"/>
    <row r="9882" s="2043" customFormat="1" x14ac:dyDescent="0.2"/>
    <row r="9883" s="2043" customFormat="1" x14ac:dyDescent="0.2"/>
    <row r="9884" s="2043" customFormat="1" x14ac:dyDescent="0.2"/>
    <row r="9885" s="2043" customFormat="1" x14ac:dyDescent="0.2"/>
    <row r="9886" s="2043" customFormat="1" x14ac:dyDescent="0.2"/>
    <row r="9887" s="2043" customFormat="1" x14ac:dyDescent="0.2"/>
    <row r="9888" s="2043" customFormat="1" x14ac:dyDescent="0.2"/>
    <row r="9889" s="2043" customFormat="1" x14ac:dyDescent="0.2"/>
    <row r="9890" s="2043" customFormat="1" x14ac:dyDescent="0.2"/>
    <row r="9891" s="2043" customFormat="1" x14ac:dyDescent="0.2"/>
    <row r="9892" s="2043" customFormat="1" x14ac:dyDescent="0.2"/>
    <row r="9893" s="2043" customFormat="1" x14ac:dyDescent="0.2"/>
    <row r="9894" s="2043" customFormat="1" x14ac:dyDescent="0.2"/>
    <row r="9895" s="2043" customFormat="1" x14ac:dyDescent="0.2"/>
    <row r="9896" s="2043" customFormat="1" x14ac:dyDescent="0.2"/>
    <row r="9897" s="2043" customFormat="1" x14ac:dyDescent="0.2"/>
    <row r="9898" s="2043" customFormat="1" x14ac:dyDescent="0.2"/>
    <row r="9899" s="2043" customFormat="1" x14ac:dyDescent="0.2"/>
    <row r="9900" s="2043" customFormat="1" x14ac:dyDescent="0.2"/>
    <row r="9901" s="2043" customFormat="1" x14ac:dyDescent="0.2"/>
    <row r="9902" s="2043" customFormat="1" x14ac:dyDescent="0.2"/>
    <row r="9903" s="2043" customFormat="1" x14ac:dyDescent="0.2"/>
    <row r="9904" s="2043" customFormat="1" x14ac:dyDescent="0.2"/>
    <row r="9905" s="2043" customFormat="1" x14ac:dyDescent="0.2"/>
    <row r="9906" s="2043" customFormat="1" x14ac:dyDescent="0.2"/>
    <row r="9907" s="2043" customFormat="1" x14ac:dyDescent="0.2"/>
    <row r="9908" s="2043" customFormat="1" x14ac:dyDescent="0.2"/>
    <row r="9909" s="2043" customFormat="1" x14ac:dyDescent="0.2"/>
    <row r="9910" s="2043" customFormat="1" x14ac:dyDescent="0.2"/>
    <row r="9911" s="2043" customFormat="1" x14ac:dyDescent="0.2"/>
    <row r="9912" s="2043" customFormat="1" x14ac:dyDescent="0.2"/>
    <row r="9913" s="2043" customFormat="1" x14ac:dyDescent="0.2"/>
    <row r="9914" s="2043" customFormat="1" x14ac:dyDescent="0.2"/>
    <row r="9915" s="2043" customFormat="1" x14ac:dyDescent="0.2"/>
    <row r="9916" s="2043" customFormat="1" x14ac:dyDescent="0.2"/>
    <row r="9917" s="2043" customFormat="1" x14ac:dyDescent="0.2"/>
    <row r="9918" s="2043" customFormat="1" x14ac:dyDescent="0.2"/>
    <row r="9919" s="2043" customFormat="1" x14ac:dyDescent="0.2"/>
    <row r="9920" s="2043" customFormat="1" x14ac:dyDescent="0.2"/>
    <row r="9921" s="2043" customFormat="1" x14ac:dyDescent="0.2"/>
    <row r="9922" s="2043" customFormat="1" x14ac:dyDescent="0.2"/>
    <row r="9923" s="2043" customFormat="1" x14ac:dyDescent="0.2"/>
    <row r="9924" s="2043" customFormat="1" x14ac:dyDescent="0.2"/>
    <row r="9925" s="2043" customFormat="1" x14ac:dyDescent="0.2"/>
    <row r="9926" s="2043" customFormat="1" x14ac:dyDescent="0.2"/>
    <row r="9927" s="2043" customFormat="1" x14ac:dyDescent="0.2"/>
    <row r="9928" s="2043" customFormat="1" x14ac:dyDescent="0.2"/>
    <row r="9929" s="2043" customFormat="1" x14ac:dyDescent="0.2"/>
    <row r="9930" s="2043" customFormat="1" x14ac:dyDescent="0.2"/>
    <row r="9931" s="2043" customFormat="1" x14ac:dyDescent="0.2"/>
    <row r="9932" s="2043" customFormat="1" x14ac:dyDescent="0.2"/>
    <row r="9933" s="2043" customFormat="1" x14ac:dyDescent="0.2"/>
    <row r="9934" s="2043" customFormat="1" x14ac:dyDescent="0.2"/>
    <row r="9935" s="2043" customFormat="1" x14ac:dyDescent="0.2"/>
    <row r="9936" s="2043" customFormat="1" x14ac:dyDescent="0.2"/>
    <row r="9937" s="2043" customFormat="1" x14ac:dyDescent="0.2"/>
    <row r="9938" s="2043" customFormat="1" x14ac:dyDescent="0.2"/>
    <row r="9939" s="2043" customFormat="1" x14ac:dyDescent="0.2"/>
    <row r="9940" s="2043" customFormat="1" x14ac:dyDescent="0.2"/>
    <row r="9941" s="2043" customFormat="1" x14ac:dyDescent="0.2"/>
    <row r="9942" s="2043" customFormat="1" x14ac:dyDescent="0.2"/>
    <row r="9943" s="2043" customFormat="1" x14ac:dyDescent="0.2"/>
    <row r="9944" s="2043" customFormat="1" x14ac:dyDescent="0.2"/>
    <row r="9945" s="2043" customFormat="1" x14ac:dyDescent="0.2"/>
    <row r="9946" s="2043" customFormat="1" x14ac:dyDescent="0.2"/>
    <row r="9947" s="2043" customFormat="1" x14ac:dyDescent="0.2"/>
    <row r="9948" s="2043" customFormat="1" x14ac:dyDescent="0.2"/>
    <row r="9949" s="2043" customFormat="1" x14ac:dyDescent="0.2"/>
    <row r="9950" s="2043" customFormat="1" x14ac:dyDescent="0.2"/>
    <row r="9951" s="2043" customFormat="1" x14ac:dyDescent="0.2"/>
    <row r="9952" s="2043" customFormat="1" x14ac:dyDescent="0.2"/>
    <row r="9953" s="2043" customFormat="1" x14ac:dyDescent="0.2"/>
    <row r="9954" s="2043" customFormat="1" x14ac:dyDescent="0.2"/>
    <row r="9955" s="2043" customFormat="1" x14ac:dyDescent="0.2"/>
    <row r="9956" s="2043" customFormat="1" x14ac:dyDescent="0.2"/>
    <row r="9957" s="2043" customFormat="1" x14ac:dyDescent="0.2"/>
    <row r="9958" s="2043" customFormat="1" x14ac:dyDescent="0.2"/>
    <row r="9959" s="2043" customFormat="1" x14ac:dyDescent="0.2"/>
    <row r="9960" s="2043" customFormat="1" x14ac:dyDescent="0.2"/>
    <row r="9961" s="2043" customFormat="1" x14ac:dyDescent="0.2"/>
    <row r="9962" s="2043" customFormat="1" x14ac:dyDescent="0.2"/>
    <row r="9963" s="2043" customFormat="1" x14ac:dyDescent="0.2"/>
    <row r="9964" s="2043" customFormat="1" x14ac:dyDescent="0.2"/>
    <row r="9965" s="2043" customFormat="1" x14ac:dyDescent="0.2"/>
    <row r="9966" s="2043" customFormat="1" x14ac:dyDescent="0.2"/>
    <row r="9967" s="2043" customFormat="1" x14ac:dyDescent="0.2"/>
    <row r="9968" s="2043" customFormat="1" x14ac:dyDescent="0.2"/>
    <row r="9969" s="2043" customFormat="1" x14ac:dyDescent="0.2"/>
    <row r="9970" s="2043" customFormat="1" x14ac:dyDescent="0.2"/>
    <row r="9971" s="2043" customFormat="1" x14ac:dyDescent="0.2"/>
    <row r="9972" s="2043" customFormat="1" x14ac:dyDescent="0.2"/>
    <row r="9973" s="2043" customFormat="1" x14ac:dyDescent="0.2"/>
    <row r="9974" s="2043" customFormat="1" x14ac:dyDescent="0.2"/>
    <row r="9975" s="2043" customFormat="1" x14ac:dyDescent="0.2"/>
    <row r="9976" s="2043" customFormat="1" x14ac:dyDescent="0.2"/>
    <row r="9977" s="2043" customFormat="1" x14ac:dyDescent="0.2"/>
    <row r="9978" s="2043" customFormat="1" x14ac:dyDescent="0.2"/>
    <row r="9979" s="2043" customFormat="1" x14ac:dyDescent="0.2"/>
    <row r="9980" s="2043" customFormat="1" x14ac:dyDescent="0.2"/>
    <row r="9981" s="2043" customFormat="1" x14ac:dyDescent="0.2"/>
    <row r="9982" s="2043" customFormat="1" x14ac:dyDescent="0.2"/>
    <row r="9983" s="2043" customFormat="1" x14ac:dyDescent="0.2"/>
    <row r="9984" s="2043" customFormat="1" x14ac:dyDescent="0.2"/>
    <row r="9985" s="2043" customFormat="1" x14ac:dyDescent="0.2"/>
    <row r="9986" s="2043" customFormat="1" x14ac:dyDescent="0.2"/>
    <row r="9987" s="2043" customFormat="1" x14ac:dyDescent="0.2"/>
    <row r="9988" s="2043" customFormat="1" x14ac:dyDescent="0.2"/>
    <row r="9989" s="2043" customFormat="1" x14ac:dyDescent="0.2"/>
    <row r="9990" s="2043" customFormat="1" x14ac:dyDescent="0.2"/>
    <row r="9991" s="2043" customFormat="1" x14ac:dyDescent="0.2"/>
    <row r="9992" s="2043" customFormat="1" x14ac:dyDescent="0.2"/>
    <row r="9993" s="2043" customFormat="1" x14ac:dyDescent="0.2"/>
    <row r="9994" s="2043" customFormat="1" x14ac:dyDescent="0.2"/>
    <row r="9995" s="2043" customFormat="1" x14ac:dyDescent="0.2"/>
    <row r="9996" s="2043" customFormat="1" x14ac:dyDescent="0.2"/>
    <row r="9997" s="2043" customFormat="1" x14ac:dyDescent="0.2"/>
    <row r="9998" s="2043" customFormat="1" x14ac:dyDescent="0.2"/>
    <row r="9999" s="2043" customFormat="1" x14ac:dyDescent="0.2"/>
    <row r="10000" s="2043" customFormat="1" x14ac:dyDescent="0.2"/>
    <row r="10001" s="2043" customFormat="1" x14ac:dyDescent="0.2"/>
    <row r="10002" s="2043" customFormat="1" x14ac:dyDescent="0.2"/>
    <row r="10003" s="2043" customFormat="1" x14ac:dyDescent="0.2"/>
    <row r="10004" s="2043" customFormat="1" x14ac:dyDescent="0.2"/>
    <row r="10005" s="2043" customFormat="1" x14ac:dyDescent="0.2"/>
    <row r="10006" s="2043" customFormat="1" x14ac:dyDescent="0.2"/>
    <row r="10007" s="2043" customFormat="1" x14ac:dyDescent="0.2"/>
    <row r="10008" s="2043" customFormat="1" x14ac:dyDescent="0.2"/>
    <row r="10009" s="2043" customFormat="1" x14ac:dyDescent="0.2"/>
    <row r="10010" s="2043" customFormat="1" x14ac:dyDescent="0.2"/>
    <row r="10011" s="2043" customFormat="1" x14ac:dyDescent="0.2"/>
    <row r="10012" s="2043" customFormat="1" x14ac:dyDescent="0.2"/>
    <row r="10013" s="2043" customFormat="1" x14ac:dyDescent="0.2"/>
    <row r="10014" s="2043" customFormat="1" x14ac:dyDescent="0.2"/>
    <row r="10015" s="2043" customFormat="1" x14ac:dyDescent="0.2"/>
    <row r="10016" s="2043" customFormat="1" x14ac:dyDescent="0.2"/>
    <row r="10017" s="2043" customFormat="1" x14ac:dyDescent="0.2"/>
    <row r="10018" s="2043" customFormat="1" x14ac:dyDescent="0.2"/>
    <row r="10019" s="2043" customFormat="1" x14ac:dyDescent="0.2"/>
    <row r="10020" s="2043" customFormat="1" x14ac:dyDescent="0.2"/>
    <row r="10021" s="2043" customFormat="1" x14ac:dyDescent="0.2"/>
    <row r="10022" s="2043" customFormat="1" x14ac:dyDescent="0.2"/>
    <row r="10023" s="2043" customFormat="1" x14ac:dyDescent="0.2"/>
    <row r="10024" s="2043" customFormat="1" x14ac:dyDescent="0.2"/>
    <row r="10025" s="2043" customFormat="1" x14ac:dyDescent="0.2"/>
    <row r="10026" s="2043" customFormat="1" x14ac:dyDescent="0.2"/>
    <row r="10027" s="2043" customFormat="1" x14ac:dyDescent="0.2"/>
    <row r="10028" s="2043" customFormat="1" x14ac:dyDescent="0.2"/>
    <row r="10029" s="2043" customFormat="1" x14ac:dyDescent="0.2"/>
    <row r="10030" s="2043" customFormat="1" x14ac:dyDescent="0.2"/>
    <row r="10031" s="2043" customFormat="1" x14ac:dyDescent="0.2"/>
    <row r="10032" s="2043" customFormat="1" x14ac:dyDescent="0.2"/>
    <row r="10033" s="2043" customFormat="1" x14ac:dyDescent="0.2"/>
    <row r="10034" s="2043" customFormat="1" x14ac:dyDescent="0.2"/>
    <row r="10035" s="2043" customFormat="1" x14ac:dyDescent="0.2"/>
    <row r="10036" s="2043" customFormat="1" x14ac:dyDescent="0.2"/>
    <row r="10037" s="2043" customFormat="1" x14ac:dyDescent="0.2"/>
    <row r="10038" s="2043" customFormat="1" x14ac:dyDescent="0.2"/>
    <row r="10039" s="2043" customFormat="1" x14ac:dyDescent="0.2"/>
    <row r="10040" s="2043" customFormat="1" x14ac:dyDescent="0.2"/>
    <row r="10041" s="2043" customFormat="1" x14ac:dyDescent="0.2"/>
    <row r="10042" s="2043" customFormat="1" x14ac:dyDescent="0.2"/>
    <row r="10043" s="2043" customFormat="1" x14ac:dyDescent="0.2"/>
    <row r="10044" s="2043" customFormat="1" x14ac:dyDescent="0.2"/>
    <row r="10045" s="2043" customFormat="1" x14ac:dyDescent="0.2"/>
    <row r="10046" s="2043" customFormat="1" x14ac:dyDescent="0.2"/>
    <row r="10047" s="2043" customFormat="1" x14ac:dyDescent="0.2"/>
    <row r="10048" s="2043" customFormat="1" x14ac:dyDescent="0.2"/>
    <row r="10049" s="2043" customFormat="1" x14ac:dyDescent="0.2"/>
    <row r="10050" s="2043" customFormat="1" x14ac:dyDescent="0.2"/>
    <row r="10051" s="2043" customFormat="1" x14ac:dyDescent="0.2"/>
    <row r="10052" s="2043" customFormat="1" x14ac:dyDescent="0.2"/>
    <row r="10053" s="2043" customFormat="1" x14ac:dyDescent="0.2"/>
    <row r="10054" s="2043" customFormat="1" x14ac:dyDescent="0.2"/>
    <row r="10055" s="2043" customFormat="1" x14ac:dyDescent="0.2"/>
    <row r="10056" s="2043" customFormat="1" x14ac:dyDescent="0.2"/>
    <row r="10057" s="2043" customFormat="1" x14ac:dyDescent="0.2"/>
    <row r="10058" s="2043" customFormat="1" x14ac:dyDescent="0.2"/>
    <row r="10059" s="2043" customFormat="1" x14ac:dyDescent="0.2"/>
    <row r="10060" s="2043" customFormat="1" x14ac:dyDescent="0.2"/>
    <row r="10061" s="2043" customFormat="1" x14ac:dyDescent="0.2"/>
    <row r="10062" s="2043" customFormat="1" x14ac:dyDescent="0.2"/>
    <row r="10063" s="2043" customFormat="1" x14ac:dyDescent="0.2"/>
    <row r="10064" s="2043" customFormat="1" x14ac:dyDescent="0.2"/>
    <row r="10065" s="2043" customFormat="1" x14ac:dyDescent="0.2"/>
    <row r="10066" s="2043" customFormat="1" x14ac:dyDescent="0.2"/>
    <row r="10067" s="2043" customFormat="1" x14ac:dyDescent="0.2"/>
    <row r="10068" s="2043" customFormat="1" x14ac:dyDescent="0.2"/>
    <row r="10069" s="2043" customFormat="1" x14ac:dyDescent="0.2"/>
    <row r="10070" s="2043" customFormat="1" x14ac:dyDescent="0.2"/>
    <row r="10071" s="2043" customFormat="1" x14ac:dyDescent="0.2"/>
    <row r="10072" s="2043" customFormat="1" x14ac:dyDescent="0.2"/>
    <row r="10073" s="2043" customFormat="1" x14ac:dyDescent="0.2"/>
    <row r="10074" s="2043" customFormat="1" x14ac:dyDescent="0.2"/>
    <row r="10075" s="2043" customFormat="1" x14ac:dyDescent="0.2"/>
    <row r="10076" s="2043" customFormat="1" x14ac:dyDescent="0.2"/>
    <row r="10077" s="2043" customFormat="1" x14ac:dyDescent="0.2"/>
    <row r="10078" s="2043" customFormat="1" x14ac:dyDescent="0.2"/>
    <row r="10079" s="2043" customFormat="1" x14ac:dyDescent="0.2"/>
    <row r="10080" s="2043" customFormat="1" x14ac:dyDescent="0.2"/>
    <row r="10081" s="2043" customFormat="1" x14ac:dyDescent="0.2"/>
    <row r="10082" s="2043" customFormat="1" x14ac:dyDescent="0.2"/>
    <row r="10083" s="2043" customFormat="1" x14ac:dyDescent="0.2"/>
    <row r="10084" s="2043" customFormat="1" x14ac:dyDescent="0.2"/>
    <row r="10085" s="2043" customFormat="1" x14ac:dyDescent="0.2"/>
    <row r="10086" s="2043" customFormat="1" x14ac:dyDescent="0.2"/>
    <row r="10087" s="2043" customFormat="1" x14ac:dyDescent="0.2"/>
    <row r="10088" s="2043" customFormat="1" x14ac:dyDescent="0.2"/>
    <row r="10089" s="2043" customFormat="1" x14ac:dyDescent="0.2"/>
    <row r="10090" s="2043" customFormat="1" x14ac:dyDescent="0.2"/>
    <row r="10091" s="2043" customFormat="1" x14ac:dyDescent="0.2"/>
    <row r="10092" s="2043" customFormat="1" x14ac:dyDescent="0.2"/>
    <row r="10093" s="2043" customFormat="1" x14ac:dyDescent="0.2"/>
    <row r="10094" s="2043" customFormat="1" x14ac:dyDescent="0.2"/>
    <row r="10095" s="2043" customFormat="1" x14ac:dyDescent="0.2"/>
    <row r="10096" s="2043" customFormat="1" x14ac:dyDescent="0.2"/>
    <row r="10097" s="2043" customFormat="1" x14ac:dyDescent="0.2"/>
    <row r="10098" s="2043" customFormat="1" x14ac:dyDescent="0.2"/>
    <row r="10099" s="2043" customFormat="1" x14ac:dyDescent="0.2"/>
    <row r="10100" s="2043" customFormat="1" x14ac:dyDescent="0.2"/>
    <row r="10101" s="2043" customFormat="1" x14ac:dyDescent="0.2"/>
    <row r="10102" s="2043" customFormat="1" x14ac:dyDescent="0.2"/>
    <row r="10103" s="2043" customFormat="1" x14ac:dyDescent="0.2"/>
    <row r="10104" s="2043" customFormat="1" x14ac:dyDescent="0.2"/>
    <row r="10105" s="2043" customFormat="1" x14ac:dyDescent="0.2"/>
    <row r="10106" s="2043" customFormat="1" x14ac:dyDescent="0.2"/>
    <row r="10107" s="2043" customFormat="1" x14ac:dyDescent="0.2"/>
    <row r="10108" s="2043" customFormat="1" x14ac:dyDescent="0.2"/>
    <row r="10109" s="2043" customFormat="1" x14ac:dyDescent="0.2"/>
    <row r="10110" s="2043" customFormat="1" x14ac:dyDescent="0.2"/>
    <row r="10111" s="2043" customFormat="1" x14ac:dyDescent="0.2"/>
    <row r="10112" s="2043" customFormat="1" x14ac:dyDescent="0.2"/>
    <row r="10113" s="2043" customFormat="1" x14ac:dyDescent="0.2"/>
    <row r="10114" s="2043" customFormat="1" x14ac:dyDescent="0.2"/>
    <row r="10115" s="2043" customFormat="1" x14ac:dyDescent="0.2"/>
    <row r="10116" s="2043" customFormat="1" x14ac:dyDescent="0.2"/>
    <row r="10117" s="2043" customFormat="1" x14ac:dyDescent="0.2"/>
    <row r="10118" s="2043" customFormat="1" x14ac:dyDescent="0.2"/>
    <row r="10119" s="2043" customFormat="1" x14ac:dyDescent="0.2"/>
    <row r="10120" s="2043" customFormat="1" x14ac:dyDescent="0.2"/>
    <row r="10121" s="2043" customFormat="1" x14ac:dyDescent="0.2"/>
    <row r="10122" s="2043" customFormat="1" x14ac:dyDescent="0.2"/>
    <row r="10123" s="2043" customFormat="1" x14ac:dyDescent="0.2"/>
    <row r="10124" s="2043" customFormat="1" x14ac:dyDescent="0.2"/>
    <row r="10125" s="2043" customFormat="1" x14ac:dyDescent="0.2"/>
    <row r="10126" s="2043" customFormat="1" x14ac:dyDescent="0.2"/>
    <row r="10127" s="2043" customFormat="1" x14ac:dyDescent="0.2"/>
    <row r="10128" s="2043" customFormat="1" x14ac:dyDescent="0.2"/>
    <row r="10129" s="2043" customFormat="1" x14ac:dyDescent="0.2"/>
    <row r="10130" s="2043" customFormat="1" x14ac:dyDescent="0.2"/>
    <row r="10131" s="2043" customFormat="1" x14ac:dyDescent="0.2"/>
    <row r="10132" s="2043" customFormat="1" x14ac:dyDescent="0.2"/>
    <row r="10133" s="2043" customFormat="1" x14ac:dyDescent="0.2"/>
    <row r="10134" s="2043" customFormat="1" x14ac:dyDescent="0.2"/>
    <row r="10135" s="2043" customFormat="1" x14ac:dyDescent="0.2"/>
    <row r="10136" s="2043" customFormat="1" x14ac:dyDescent="0.2"/>
    <row r="10137" s="2043" customFormat="1" x14ac:dyDescent="0.2"/>
    <row r="10138" s="2043" customFormat="1" x14ac:dyDescent="0.2"/>
    <row r="10139" s="2043" customFormat="1" x14ac:dyDescent="0.2"/>
    <row r="10140" s="2043" customFormat="1" x14ac:dyDescent="0.2"/>
    <row r="10141" s="2043" customFormat="1" x14ac:dyDescent="0.2"/>
    <row r="10142" s="2043" customFormat="1" x14ac:dyDescent="0.2"/>
    <row r="10143" s="2043" customFormat="1" x14ac:dyDescent="0.2"/>
    <row r="10144" s="2043" customFormat="1" x14ac:dyDescent="0.2"/>
    <row r="10145" s="2043" customFormat="1" x14ac:dyDescent="0.2"/>
    <row r="10146" s="2043" customFormat="1" x14ac:dyDescent="0.2"/>
    <row r="10147" s="2043" customFormat="1" x14ac:dyDescent="0.2"/>
    <row r="10148" s="2043" customFormat="1" x14ac:dyDescent="0.2"/>
    <row r="10149" s="2043" customFormat="1" x14ac:dyDescent="0.2"/>
    <row r="10150" s="2043" customFormat="1" x14ac:dyDescent="0.2"/>
    <row r="10151" s="2043" customFormat="1" x14ac:dyDescent="0.2"/>
    <row r="10152" s="2043" customFormat="1" x14ac:dyDescent="0.2"/>
    <row r="10153" s="2043" customFormat="1" x14ac:dyDescent="0.2"/>
    <row r="10154" s="2043" customFormat="1" x14ac:dyDescent="0.2"/>
    <row r="10155" s="2043" customFormat="1" x14ac:dyDescent="0.2"/>
    <row r="10156" s="2043" customFormat="1" x14ac:dyDescent="0.2"/>
    <row r="10157" s="2043" customFormat="1" x14ac:dyDescent="0.2"/>
    <row r="10158" s="2043" customFormat="1" x14ac:dyDescent="0.2"/>
    <row r="10159" s="2043" customFormat="1" x14ac:dyDescent="0.2"/>
    <row r="10160" s="2043" customFormat="1" x14ac:dyDescent="0.2"/>
    <row r="10161" s="2043" customFormat="1" x14ac:dyDescent="0.2"/>
    <row r="10162" s="2043" customFormat="1" x14ac:dyDescent="0.2"/>
    <row r="10163" s="2043" customFormat="1" x14ac:dyDescent="0.2"/>
    <row r="10164" s="2043" customFormat="1" x14ac:dyDescent="0.2"/>
    <row r="10165" s="2043" customFormat="1" x14ac:dyDescent="0.2"/>
    <row r="10166" s="2043" customFormat="1" x14ac:dyDescent="0.2"/>
    <row r="10167" s="2043" customFormat="1" x14ac:dyDescent="0.2"/>
    <row r="10168" s="2043" customFormat="1" x14ac:dyDescent="0.2"/>
    <row r="10169" s="2043" customFormat="1" x14ac:dyDescent="0.2"/>
    <row r="10170" s="2043" customFormat="1" x14ac:dyDescent="0.2"/>
    <row r="10171" s="2043" customFormat="1" x14ac:dyDescent="0.2"/>
    <row r="10172" s="2043" customFormat="1" x14ac:dyDescent="0.2"/>
    <row r="10173" s="2043" customFormat="1" x14ac:dyDescent="0.2"/>
    <row r="10174" s="2043" customFormat="1" x14ac:dyDescent="0.2"/>
    <row r="10175" s="2043" customFormat="1" x14ac:dyDescent="0.2"/>
    <row r="10176" s="2043" customFormat="1" x14ac:dyDescent="0.2"/>
    <row r="10177" s="2043" customFormat="1" x14ac:dyDescent="0.2"/>
    <row r="10178" s="2043" customFormat="1" x14ac:dyDescent="0.2"/>
    <row r="10179" s="2043" customFormat="1" x14ac:dyDescent="0.2"/>
    <row r="10180" s="2043" customFormat="1" x14ac:dyDescent="0.2"/>
    <row r="10181" s="2043" customFormat="1" x14ac:dyDescent="0.2"/>
    <row r="10182" s="2043" customFormat="1" x14ac:dyDescent="0.2"/>
    <row r="10183" s="2043" customFormat="1" x14ac:dyDescent="0.2"/>
    <row r="10184" s="2043" customFormat="1" x14ac:dyDescent="0.2"/>
    <row r="10185" s="2043" customFormat="1" x14ac:dyDescent="0.2"/>
    <row r="10186" s="2043" customFormat="1" x14ac:dyDescent="0.2"/>
    <row r="10187" s="2043" customFormat="1" x14ac:dyDescent="0.2"/>
    <row r="10188" s="2043" customFormat="1" x14ac:dyDescent="0.2"/>
    <row r="10189" s="2043" customFormat="1" x14ac:dyDescent="0.2"/>
    <row r="10190" s="2043" customFormat="1" x14ac:dyDescent="0.2"/>
    <row r="10191" s="2043" customFormat="1" x14ac:dyDescent="0.2"/>
    <row r="10192" s="2043" customFormat="1" x14ac:dyDescent="0.2"/>
    <row r="10193" s="2043" customFormat="1" x14ac:dyDescent="0.2"/>
    <row r="10194" s="2043" customFormat="1" x14ac:dyDescent="0.2"/>
    <row r="10195" s="2043" customFormat="1" x14ac:dyDescent="0.2"/>
    <row r="10196" s="2043" customFormat="1" x14ac:dyDescent="0.2"/>
    <row r="10197" s="2043" customFormat="1" x14ac:dyDescent="0.2"/>
    <row r="10198" s="2043" customFormat="1" x14ac:dyDescent="0.2"/>
    <row r="10199" s="2043" customFormat="1" x14ac:dyDescent="0.2"/>
    <row r="10200" s="2043" customFormat="1" x14ac:dyDescent="0.2"/>
    <row r="10201" s="2043" customFormat="1" x14ac:dyDescent="0.2"/>
    <row r="10202" s="2043" customFormat="1" x14ac:dyDescent="0.2"/>
    <row r="10203" s="2043" customFormat="1" x14ac:dyDescent="0.2"/>
    <row r="10204" s="2043" customFormat="1" x14ac:dyDescent="0.2"/>
    <row r="10205" s="2043" customFormat="1" x14ac:dyDescent="0.2"/>
    <row r="10206" s="2043" customFormat="1" x14ac:dyDescent="0.2"/>
    <row r="10207" s="2043" customFormat="1" x14ac:dyDescent="0.2"/>
    <row r="10208" s="2043" customFormat="1" x14ac:dyDescent="0.2"/>
    <row r="10209" s="2043" customFormat="1" x14ac:dyDescent="0.2"/>
    <row r="10210" s="2043" customFormat="1" x14ac:dyDescent="0.2"/>
    <row r="10211" s="2043" customFormat="1" x14ac:dyDescent="0.2"/>
    <row r="10212" s="2043" customFormat="1" x14ac:dyDescent="0.2"/>
    <row r="10213" s="2043" customFormat="1" x14ac:dyDescent="0.2"/>
    <row r="10214" s="2043" customFormat="1" x14ac:dyDescent="0.2"/>
    <row r="10215" s="2043" customFormat="1" x14ac:dyDescent="0.2"/>
    <row r="10216" s="2043" customFormat="1" x14ac:dyDescent="0.2"/>
    <row r="10217" s="2043" customFormat="1" x14ac:dyDescent="0.2"/>
    <row r="10218" s="2043" customFormat="1" x14ac:dyDescent="0.2"/>
    <row r="10219" s="2043" customFormat="1" x14ac:dyDescent="0.2"/>
    <row r="10220" s="2043" customFormat="1" x14ac:dyDescent="0.2"/>
    <row r="10221" s="2043" customFormat="1" x14ac:dyDescent="0.2"/>
    <row r="10222" s="2043" customFormat="1" x14ac:dyDescent="0.2"/>
    <row r="10223" s="2043" customFormat="1" x14ac:dyDescent="0.2"/>
    <row r="10224" s="2043" customFormat="1" x14ac:dyDescent="0.2"/>
    <row r="10225" s="2043" customFormat="1" x14ac:dyDescent="0.2"/>
    <row r="10226" s="2043" customFormat="1" x14ac:dyDescent="0.2"/>
    <row r="10227" s="2043" customFormat="1" x14ac:dyDescent="0.2"/>
    <row r="10228" s="2043" customFormat="1" x14ac:dyDescent="0.2"/>
    <row r="10229" s="2043" customFormat="1" x14ac:dyDescent="0.2"/>
    <row r="10230" s="2043" customFormat="1" x14ac:dyDescent="0.2"/>
    <row r="10231" s="2043" customFormat="1" x14ac:dyDescent="0.2"/>
    <row r="10232" s="2043" customFormat="1" x14ac:dyDescent="0.2"/>
    <row r="10233" s="2043" customFormat="1" x14ac:dyDescent="0.2"/>
    <row r="10234" s="2043" customFormat="1" x14ac:dyDescent="0.2"/>
    <row r="10235" s="2043" customFormat="1" x14ac:dyDescent="0.2"/>
    <row r="10236" s="2043" customFormat="1" x14ac:dyDescent="0.2"/>
    <row r="10237" s="2043" customFormat="1" x14ac:dyDescent="0.2"/>
    <row r="10238" s="2043" customFormat="1" x14ac:dyDescent="0.2"/>
    <row r="10239" s="2043" customFormat="1" x14ac:dyDescent="0.2"/>
    <row r="10240" s="2043" customFormat="1" x14ac:dyDescent="0.2"/>
    <row r="10241" s="2043" customFormat="1" x14ac:dyDescent="0.2"/>
    <row r="10242" s="2043" customFormat="1" x14ac:dyDescent="0.2"/>
    <row r="10243" s="2043" customFormat="1" x14ac:dyDescent="0.2"/>
    <row r="10244" s="2043" customFormat="1" x14ac:dyDescent="0.2"/>
    <row r="10245" s="2043" customFormat="1" x14ac:dyDescent="0.2"/>
    <row r="10246" s="2043" customFormat="1" x14ac:dyDescent="0.2"/>
    <row r="10247" s="2043" customFormat="1" x14ac:dyDescent="0.2"/>
    <row r="10248" s="2043" customFormat="1" x14ac:dyDescent="0.2"/>
    <row r="10249" s="2043" customFormat="1" x14ac:dyDescent="0.2"/>
    <row r="10250" s="2043" customFormat="1" x14ac:dyDescent="0.2"/>
    <row r="10251" s="2043" customFormat="1" x14ac:dyDescent="0.2"/>
    <row r="10252" s="2043" customFormat="1" x14ac:dyDescent="0.2"/>
    <row r="10253" s="2043" customFormat="1" x14ac:dyDescent="0.2"/>
    <row r="10254" s="2043" customFormat="1" x14ac:dyDescent="0.2"/>
    <row r="10255" s="2043" customFormat="1" x14ac:dyDescent="0.2"/>
    <row r="10256" s="2043" customFormat="1" x14ac:dyDescent="0.2"/>
    <row r="10257" s="2043" customFormat="1" x14ac:dyDescent="0.2"/>
    <row r="10258" s="2043" customFormat="1" x14ac:dyDescent="0.2"/>
    <row r="10259" s="2043" customFormat="1" x14ac:dyDescent="0.2"/>
    <row r="10260" s="2043" customFormat="1" x14ac:dyDescent="0.2"/>
    <row r="10261" s="2043" customFormat="1" x14ac:dyDescent="0.2"/>
    <row r="10262" s="2043" customFormat="1" x14ac:dyDescent="0.2"/>
    <row r="10263" s="2043" customFormat="1" x14ac:dyDescent="0.2"/>
    <row r="10264" s="2043" customFormat="1" x14ac:dyDescent="0.2"/>
    <row r="10265" s="2043" customFormat="1" x14ac:dyDescent="0.2"/>
    <row r="10266" s="2043" customFormat="1" x14ac:dyDescent="0.2"/>
    <row r="10267" s="2043" customFormat="1" x14ac:dyDescent="0.2"/>
    <row r="10268" s="2043" customFormat="1" x14ac:dyDescent="0.2"/>
    <row r="10269" s="2043" customFormat="1" x14ac:dyDescent="0.2"/>
    <row r="10270" s="2043" customFormat="1" x14ac:dyDescent="0.2"/>
    <row r="10271" s="2043" customFormat="1" x14ac:dyDescent="0.2"/>
    <row r="10272" s="2043" customFormat="1" x14ac:dyDescent="0.2"/>
    <row r="10273" s="2043" customFormat="1" x14ac:dyDescent="0.2"/>
    <row r="10274" s="2043" customFormat="1" x14ac:dyDescent="0.2"/>
    <row r="10275" s="2043" customFormat="1" x14ac:dyDescent="0.2"/>
    <row r="10276" s="2043" customFormat="1" x14ac:dyDescent="0.2"/>
    <row r="10277" s="2043" customFormat="1" x14ac:dyDescent="0.2"/>
    <row r="10278" s="2043" customFormat="1" x14ac:dyDescent="0.2"/>
    <row r="10279" s="2043" customFormat="1" x14ac:dyDescent="0.2"/>
    <row r="10280" s="2043" customFormat="1" x14ac:dyDescent="0.2"/>
    <row r="10281" s="2043" customFormat="1" x14ac:dyDescent="0.2"/>
    <row r="10282" s="2043" customFormat="1" x14ac:dyDescent="0.2"/>
    <row r="10283" s="2043" customFormat="1" x14ac:dyDescent="0.2"/>
    <row r="10284" s="2043" customFormat="1" x14ac:dyDescent="0.2"/>
    <row r="10285" s="2043" customFormat="1" x14ac:dyDescent="0.2"/>
    <row r="10286" s="2043" customFormat="1" x14ac:dyDescent="0.2"/>
    <row r="10287" s="2043" customFormat="1" x14ac:dyDescent="0.2"/>
    <row r="10288" s="2043" customFormat="1" x14ac:dyDescent="0.2"/>
    <row r="10289" s="2043" customFormat="1" x14ac:dyDescent="0.2"/>
    <row r="10290" s="2043" customFormat="1" x14ac:dyDescent="0.2"/>
    <row r="10291" s="2043" customFormat="1" x14ac:dyDescent="0.2"/>
    <row r="10292" s="2043" customFormat="1" x14ac:dyDescent="0.2"/>
    <row r="10293" s="2043" customFormat="1" x14ac:dyDescent="0.2"/>
    <row r="10294" s="2043" customFormat="1" x14ac:dyDescent="0.2"/>
    <row r="10295" s="2043" customFormat="1" x14ac:dyDescent="0.2"/>
    <row r="10296" s="2043" customFormat="1" x14ac:dyDescent="0.2"/>
    <row r="10297" s="2043" customFormat="1" x14ac:dyDescent="0.2"/>
    <row r="10298" s="2043" customFormat="1" x14ac:dyDescent="0.2"/>
    <row r="10299" s="2043" customFormat="1" x14ac:dyDescent="0.2"/>
    <row r="10300" s="2043" customFormat="1" x14ac:dyDescent="0.2"/>
    <row r="10301" s="2043" customFormat="1" x14ac:dyDescent="0.2"/>
    <row r="10302" s="2043" customFormat="1" x14ac:dyDescent="0.2"/>
    <row r="10303" s="2043" customFormat="1" x14ac:dyDescent="0.2"/>
    <row r="10304" s="2043" customFormat="1" x14ac:dyDescent="0.2"/>
    <row r="10305" s="2043" customFormat="1" x14ac:dyDescent="0.2"/>
    <row r="10306" s="2043" customFormat="1" x14ac:dyDescent="0.2"/>
    <row r="10307" s="2043" customFormat="1" x14ac:dyDescent="0.2"/>
    <row r="10308" s="2043" customFormat="1" x14ac:dyDescent="0.2"/>
    <row r="10309" s="2043" customFormat="1" x14ac:dyDescent="0.2"/>
    <row r="10310" s="2043" customFormat="1" x14ac:dyDescent="0.2"/>
    <row r="10311" s="2043" customFormat="1" x14ac:dyDescent="0.2"/>
    <row r="10312" s="2043" customFormat="1" x14ac:dyDescent="0.2"/>
    <row r="10313" s="2043" customFormat="1" x14ac:dyDescent="0.2"/>
    <row r="10314" s="2043" customFormat="1" x14ac:dyDescent="0.2"/>
    <row r="10315" s="2043" customFormat="1" x14ac:dyDescent="0.2"/>
    <row r="10316" s="2043" customFormat="1" x14ac:dyDescent="0.2"/>
    <row r="10317" s="2043" customFormat="1" x14ac:dyDescent="0.2"/>
    <row r="10318" s="2043" customFormat="1" x14ac:dyDescent="0.2"/>
    <row r="10319" s="2043" customFormat="1" x14ac:dyDescent="0.2"/>
    <row r="10320" s="2043" customFormat="1" x14ac:dyDescent="0.2"/>
    <row r="10321" s="2043" customFormat="1" x14ac:dyDescent="0.2"/>
    <row r="10322" s="2043" customFormat="1" x14ac:dyDescent="0.2"/>
    <row r="10323" s="2043" customFormat="1" x14ac:dyDescent="0.2"/>
    <row r="10324" s="2043" customFormat="1" x14ac:dyDescent="0.2"/>
    <row r="10325" s="2043" customFormat="1" x14ac:dyDescent="0.2"/>
    <row r="10326" s="2043" customFormat="1" x14ac:dyDescent="0.2"/>
    <row r="10327" s="2043" customFormat="1" x14ac:dyDescent="0.2"/>
    <row r="10328" s="2043" customFormat="1" x14ac:dyDescent="0.2"/>
    <row r="10329" s="2043" customFormat="1" x14ac:dyDescent="0.2"/>
    <row r="10330" s="2043" customFormat="1" x14ac:dyDescent="0.2"/>
    <row r="10331" s="2043" customFormat="1" x14ac:dyDescent="0.2"/>
    <row r="10332" s="2043" customFormat="1" x14ac:dyDescent="0.2"/>
    <row r="10333" s="2043" customFormat="1" x14ac:dyDescent="0.2"/>
    <row r="10334" s="2043" customFormat="1" x14ac:dyDescent="0.2"/>
    <row r="10335" s="2043" customFormat="1" x14ac:dyDescent="0.2"/>
    <row r="10336" s="2043" customFormat="1" x14ac:dyDescent="0.2"/>
    <row r="10337" s="2043" customFormat="1" x14ac:dyDescent="0.2"/>
    <row r="10338" s="2043" customFormat="1" x14ac:dyDescent="0.2"/>
    <row r="10339" s="2043" customFormat="1" x14ac:dyDescent="0.2"/>
    <row r="10340" s="2043" customFormat="1" x14ac:dyDescent="0.2"/>
    <row r="10341" s="2043" customFormat="1" x14ac:dyDescent="0.2"/>
    <row r="10342" s="2043" customFormat="1" x14ac:dyDescent="0.2"/>
    <row r="10343" s="2043" customFormat="1" x14ac:dyDescent="0.2"/>
    <row r="10344" s="2043" customFormat="1" x14ac:dyDescent="0.2"/>
    <row r="10345" s="2043" customFormat="1" x14ac:dyDescent="0.2"/>
    <row r="10346" s="2043" customFormat="1" x14ac:dyDescent="0.2"/>
    <row r="10347" s="2043" customFormat="1" x14ac:dyDescent="0.2"/>
    <row r="10348" s="2043" customFormat="1" x14ac:dyDescent="0.2"/>
    <row r="10349" s="2043" customFormat="1" x14ac:dyDescent="0.2"/>
    <row r="10350" s="2043" customFormat="1" x14ac:dyDescent="0.2"/>
    <row r="10351" s="2043" customFormat="1" x14ac:dyDescent="0.2"/>
    <row r="10352" s="2043" customFormat="1" x14ac:dyDescent="0.2"/>
    <row r="10353" s="2043" customFormat="1" x14ac:dyDescent="0.2"/>
    <row r="10354" s="2043" customFormat="1" x14ac:dyDescent="0.2"/>
    <row r="10355" s="2043" customFormat="1" x14ac:dyDescent="0.2"/>
    <row r="10356" s="2043" customFormat="1" x14ac:dyDescent="0.2"/>
    <row r="10357" s="2043" customFormat="1" x14ac:dyDescent="0.2"/>
    <row r="10358" s="2043" customFormat="1" x14ac:dyDescent="0.2"/>
    <row r="10359" s="2043" customFormat="1" x14ac:dyDescent="0.2"/>
    <row r="10360" s="2043" customFormat="1" x14ac:dyDescent="0.2"/>
    <row r="10361" s="2043" customFormat="1" x14ac:dyDescent="0.2"/>
    <row r="10362" s="2043" customFormat="1" x14ac:dyDescent="0.2"/>
    <row r="10363" s="2043" customFormat="1" x14ac:dyDescent="0.2"/>
    <row r="10364" s="2043" customFormat="1" x14ac:dyDescent="0.2"/>
    <row r="10365" s="2043" customFormat="1" x14ac:dyDescent="0.2"/>
    <row r="10366" s="2043" customFormat="1" x14ac:dyDescent="0.2"/>
    <row r="10367" s="2043" customFormat="1" x14ac:dyDescent="0.2"/>
    <row r="10368" s="2043" customFormat="1" x14ac:dyDescent="0.2"/>
    <row r="10369" s="2043" customFormat="1" x14ac:dyDescent="0.2"/>
    <row r="10370" s="2043" customFormat="1" x14ac:dyDescent="0.2"/>
    <row r="10371" s="2043" customFormat="1" x14ac:dyDescent="0.2"/>
    <row r="10372" s="2043" customFormat="1" x14ac:dyDescent="0.2"/>
    <row r="10373" s="2043" customFormat="1" x14ac:dyDescent="0.2"/>
    <row r="10374" s="2043" customFormat="1" x14ac:dyDescent="0.2"/>
    <row r="10375" s="2043" customFormat="1" x14ac:dyDescent="0.2"/>
    <row r="10376" s="2043" customFormat="1" x14ac:dyDescent="0.2"/>
    <row r="10377" s="2043" customFormat="1" x14ac:dyDescent="0.2"/>
    <row r="10378" s="2043" customFormat="1" x14ac:dyDescent="0.2"/>
    <row r="10379" s="2043" customFormat="1" x14ac:dyDescent="0.2"/>
    <row r="10380" s="2043" customFormat="1" x14ac:dyDescent="0.2"/>
    <row r="10381" s="2043" customFormat="1" x14ac:dyDescent="0.2"/>
    <row r="10382" s="2043" customFormat="1" x14ac:dyDescent="0.2"/>
    <row r="10383" s="2043" customFormat="1" x14ac:dyDescent="0.2"/>
    <row r="10384" s="2043" customFormat="1" x14ac:dyDescent="0.2"/>
    <row r="10385" s="2043" customFormat="1" x14ac:dyDescent="0.2"/>
    <row r="10386" s="2043" customFormat="1" x14ac:dyDescent="0.2"/>
    <row r="10387" s="2043" customFormat="1" x14ac:dyDescent="0.2"/>
    <row r="10388" s="2043" customFormat="1" x14ac:dyDescent="0.2"/>
    <row r="10389" s="2043" customFormat="1" x14ac:dyDescent="0.2"/>
    <row r="10390" s="2043" customFormat="1" x14ac:dyDescent="0.2"/>
    <row r="10391" s="2043" customFormat="1" x14ac:dyDescent="0.2"/>
    <row r="10392" s="2043" customFormat="1" x14ac:dyDescent="0.2"/>
    <row r="10393" s="2043" customFormat="1" x14ac:dyDescent="0.2"/>
    <row r="10394" s="2043" customFormat="1" x14ac:dyDescent="0.2"/>
    <row r="10395" s="2043" customFormat="1" x14ac:dyDescent="0.2"/>
    <row r="10396" s="2043" customFormat="1" x14ac:dyDescent="0.2"/>
    <row r="10397" s="2043" customFormat="1" x14ac:dyDescent="0.2"/>
    <row r="10398" s="2043" customFormat="1" x14ac:dyDescent="0.2"/>
    <row r="10399" s="2043" customFormat="1" x14ac:dyDescent="0.2"/>
    <row r="10400" s="2043" customFormat="1" x14ac:dyDescent="0.2"/>
    <row r="10401" s="2043" customFormat="1" x14ac:dyDescent="0.2"/>
    <row r="10402" s="2043" customFormat="1" x14ac:dyDescent="0.2"/>
    <row r="10403" s="2043" customFormat="1" x14ac:dyDescent="0.2"/>
    <row r="10404" s="2043" customFormat="1" x14ac:dyDescent="0.2"/>
    <row r="10405" s="2043" customFormat="1" x14ac:dyDescent="0.2"/>
    <row r="10406" s="2043" customFormat="1" x14ac:dyDescent="0.2"/>
    <row r="10407" s="2043" customFormat="1" x14ac:dyDescent="0.2"/>
    <row r="10408" s="2043" customFormat="1" x14ac:dyDescent="0.2"/>
    <row r="10409" s="2043" customFormat="1" x14ac:dyDescent="0.2"/>
    <row r="10410" s="2043" customFormat="1" x14ac:dyDescent="0.2"/>
    <row r="10411" s="2043" customFormat="1" x14ac:dyDescent="0.2"/>
    <row r="10412" s="2043" customFormat="1" x14ac:dyDescent="0.2"/>
    <row r="10413" s="2043" customFormat="1" x14ac:dyDescent="0.2"/>
    <row r="10414" s="2043" customFormat="1" x14ac:dyDescent="0.2"/>
    <row r="10415" s="2043" customFormat="1" x14ac:dyDescent="0.2"/>
    <row r="10416" s="2043" customFormat="1" x14ac:dyDescent="0.2"/>
    <row r="10417" s="2043" customFormat="1" x14ac:dyDescent="0.2"/>
    <row r="10418" s="2043" customFormat="1" x14ac:dyDescent="0.2"/>
    <row r="10419" s="2043" customFormat="1" x14ac:dyDescent="0.2"/>
    <row r="10420" s="2043" customFormat="1" x14ac:dyDescent="0.2"/>
    <row r="10421" s="2043" customFormat="1" x14ac:dyDescent="0.2"/>
    <row r="10422" s="2043" customFormat="1" x14ac:dyDescent="0.2"/>
    <row r="10423" s="2043" customFormat="1" x14ac:dyDescent="0.2"/>
    <row r="10424" s="2043" customFormat="1" x14ac:dyDescent="0.2"/>
    <row r="10425" s="2043" customFormat="1" x14ac:dyDescent="0.2"/>
    <row r="10426" s="2043" customFormat="1" x14ac:dyDescent="0.2"/>
    <row r="10427" s="2043" customFormat="1" x14ac:dyDescent="0.2"/>
    <row r="10428" s="2043" customFormat="1" x14ac:dyDescent="0.2"/>
    <row r="10429" s="2043" customFormat="1" x14ac:dyDescent="0.2"/>
    <row r="10430" s="2043" customFormat="1" x14ac:dyDescent="0.2"/>
    <row r="10431" s="2043" customFormat="1" x14ac:dyDescent="0.2"/>
    <row r="10432" s="2043" customFormat="1" x14ac:dyDescent="0.2"/>
    <row r="10433" s="2043" customFormat="1" x14ac:dyDescent="0.2"/>
    <row r="10434" s="2043" customFormat="1" x14ac:dyDescent="0.2"/>
    <row r="10435" s="2043" customFormat="1" x14ac:dyDescent="0.2"/>
    <row r="10436" s="2043" customFormat="1" x14ac:dyDescent="0.2"/>
    <row r="10437" s="2043" customFormat="1" x14ac:dyDescent="0.2"/>
    <row r="10438" s="2043" customFormat="1" x14ac:dyDescent="0.2"/>
    <row r="10439" s="2043" customFormat="1" x14ac:dyDescent="0.2"/>
    <row r="10440" s="2043" customFormat="1" x14ac:dyDescent="0.2"/>
    <row r="10441" s="2043" customFormat="1" x14ac:dyDescent="0.2"/>
    <row r="10442" s="2043" customFormat="1" x14ac:dyDescent="0.2"/>
    <row r="10443" s="2043" customFormat="1" x14ac:dyDescent="0.2"/>
    <row r="10444" s="2043" customFormat="1" x14ac:dyDescent="0.2"/>
    <row r="10445" s="2043" customFormat="1" x14ac:dyDescent="0.2"/>
    <row r="10446" s="2043" customFormat="1" x14ac:dyDescent="0.2"/>
    <row r="10447" s="2043" customFormat="1" x14ac:dyDescent="0.2"/>
    <row r="10448" s="2043" customFormat="1" x14ac:dyDescent="0.2"/>
    <row r="10449" s="2043" customFormat="1" x14ac:dyDescent="0.2"/>
    <row r="10450" s="2043" customFormat="1" x14ac:dyDescent="0.2"/>
    <row r="10451" s="2043" customFormat="1" x14ac:dyDescent="0.2"/>
    <row r="10452" s="2043" customFormat="1" x14ac:dyDescent="0.2"/>
    <row r="10453" s="2043" customFormat="1" x14ac:dyDescent="0.2"/>
    <row r="10454" s="2043" customFormat="1" x14ac:dyDescent="0.2"/>
    <row r="10455" s="2043" customFormat="1" x14ac:dyDescent="0.2"/>
    <row r="10456" s="2043" customFormat="1" x14ac:dyDescent="0.2"/>
    <row r="10457" s="2043" customFormat="1" x14ac:dyDescent="0.2"/>
    <row r="10458" s="2043" customFormat="1" x14ac:dyDescent="0.2"/>
    <row r="10459" s="2043" customFormat="1" x14ac:dyDescent="0.2"/>
    <row r="10460" s="2043" customFormat="1" x14ac:dyDescent="0.2"/>
    <row r="10461" s="2043" customFormat="1" x14ac:dyDescent="0.2"/>
    <row r="10462" s="2043" customFormat="1" x14ac:dyDescent="0.2"/>
    <row r="10463" s="2043" customFormat="1" x14ac:dyDescent="0.2"/>
    <row r="10464" s="2043" customFormat="1" x14ac:dyDescent="0.2"/>
    <row r="10465" s="2043" customFormat="1" x14ac:dyDescent="0.2"/>
    <row r="10466" s="2043" customFormat="1" x14ac:dyDescent="0.2"/>
    <row r="10467" s="2043" customFormat="1" x14ac:dyDescent="0.2"/>
    <row r="10468" s="2043" customFormat="1" x14ac:dyDescent="0.2"/>
    <row r="10469" s="2043" customFormat="1" x14ac:dyDescent="0.2"/>
    <row r="10470" s="2043" customFormat="1" x14ac:dyDescent="0.2"/>
    <row r="10471" s="2043" customFormat="1" x14ac:dyDescent="0.2"/>
    <row r="10472" s="2043" customFormat="1" x14ac:dyDescent="0.2"/>
    <row r="10473" s="2043" customFormat="1" x14ac:dyDescent="0.2"/>
    <row r="10474" s="2043" customFormat="1" x14ac:dyDescent="0.2"/>
    <row r="10475" s="2043" customFormat="1" x14ac:dyDescent="0.2"/>
    <row r="10476" s="2043" customFormat="1" x14ac:dyDescent="0.2"/>
    <row r="10477" s="2043" customFormat="1" x14ac:dyDescent="0.2"/>
    <row r="10478" s="2043" customFormat="1" x14ac:dyDescent="0.2"/>
    <row r="10479" s="2043" customFormat="1" x14ac:dyDescent="0.2"/>
    <row r="10480" s="2043" customFormat="1" x14ac:dyDescent="0.2"/>
    <row r="10481" s="2043" customFormat="1" x14ac:dyDescent="0.2"/>
    <row r="10482" s="2043" customFormat="1" x14ac:dyDescent="0.2"/>
    <row r="10483" s="2043" customFormat="1" x14ac:dyDescent="0.2"/>
    <row r="10484" s="2043" customFormat="1" x14ac:dyDescent="0.2"/>
    <row r="10485" s="2043" customFormat="1" x14ac:dyDescent="0.2"/>
    <row r="10486" s="2043" customFormat="1" x14ac:dyDescent="0.2"/>
    <row r="10487" s="2043" customFormat="1" x14ac:dyDescent="0.2"/>
    <row r="10488" s="2043" customFormat="1" x14ac:dyDescent="0.2"/>
    <row r="10489" s="2043" customFormat="1" x14ac:dyDescent="0.2"/>
    <row r="10490" s="2043" customFormat="1" x14ac:dyDescent="0.2"/>
    <row r="10491" s="2043" customFormat="1" x14ac:dyDescent="0.2"/>
    <row r="10492" s="2043" customFormat="1" x14ac:dyDescent="0.2"/>
    <row r="10493" s="2043" customFormat="1" x14ac:dyDescent="0.2"/>
    <row r="10494" s="2043" customFormat="1" x14ac:dyDescent="0.2"/>
    <row r="10495" s="2043" customFormat="1" x14ac:dyDescent="0.2"/>
    <row r="10496" s="2043" customFormat="1" x14ac:dyDescent="0.2"/>
    <row r="10497" s="2043" customFormat="1" x14ac:dyDescent="0.2"/>
    <row r="10498" s="2043" customFormat="1" x14ac:dyDescent="0.2"/>
    <row r="10499" s="2043" customFormat="1" x14ac:dyDescent="0.2"/>
    <row r="10500" s="2043" customFormat="1" x14ac:dyDescent="0.2"/>
    <row r="10501" s="2043" customFormat="1" x14ac:dyDescent="0.2"/>
    <row r="10502" s="2043" customFormat="1" x14ac:dyDescent="0.2"/>
    <row r="10503" s="2043" customFormat="1" x14ac:dyDescent="0.2"/>
    <row r="10504" s="2043" customFormat="1" x14ac:dyDescent="0.2"/>
    <row r="10505" s="2043" customFormat="1" x14ac:dyDescent="0.2"/>
    <row r="10506" s="2043" customFormat="1" x14ac:dyDescent="0.2"/>
    <row r="10507" s="2043" customFormat="1" x14ac:dyDescent="0.2"/>
    <row r="10508" s="2043" customFormat="1" x14ac:dyDescent="0.2"/>
    <row r="10509" s="2043" customFormat="1" x14ac:dyDescent="0.2"/>
    <row r="10510" s="2043" customFormat="1" x14ac:dyDescent="0.2"/>
    <row r="10511" s="2043" customFormat="1" x14ac:dyDescent="0.2"/>
    <row r="10512" s="2043" customFormat="1" x14ac:dyDescent="0.2"/>
    <row r="10513" s="2043" customFormat="1" x14ac:dyDescent="0.2"/>
    <row r="10514" s="2043" customFormat="1" x14ac:dyDescent="0.2"/>
    <row r="10515" s="2043" customFormat="1" x14ac:dyDescent="0.2"/>
    <row r="10516" s="2043" customFormat="1" x14ac:dyDescent="0.2"/>
    <row r="10517" s="2043" customFormat="1" x14ac:dyDescent="0.2"/>
    <row r="10518" s="2043" customFormat="1" x14ac:dyDescent="0.2"/>
    <row r="10519" s="2043" customFormat="1" x14ac:dyDescent="0.2"/>
    <row r="10520" s="2043" customFormat="1" x14ac:dyDescent="0.2"/>
    <row r="10521" s="2043" customFormat="1" x14ac:dyDescent="0.2"/>
    <row r="10522" s="2043" customFormat="1" x14ac:dyDescent="0.2"/>
    <row r="10523" s="2043" customFormat="1" x14ac:dyDescent="0.2"/>
    <row r="10524" s="2043" customFormat="1" x14ac:dyDescent="0.2"/>
    <row r="10525" s="2043" customFormat="1" x14ac:dyDescent="0.2"/>
    <row r="10526" s="2043" customFormat="1" x14ac:dyDescent="0.2"/>
    <row r="10527" s="2043" customFormat="1" x14ac:dyDescent="0.2"/>
    <row r="10528" s="2043" customFormat="1" x14ac:dyDescent="0.2"/>
    <row r="10529" s="2043" customFormat="1" x14ac:dyDescent="0.2"/>
    <row r="10530" s="2043" customFormat="1" x14ac:dyDescent="0.2"/>
    <row r="10531" s="2043" customFormat="1" x14ac:dyDescent="0.2"/>
    <row r="10532" s="2043" customFormat="1" x14ac:dyDescent="0.2"/>
    <row r="10533" s="2043" customFormat="1" x14ac:dyDescent="0.2"/>
    <row r="10534" s="2043" customFormat="1" x14ac:dyDescent="0.2"/>
    <row r="10535" s="2043" customFormat="1" x14ac:dyDescent="0.2"/>
    <row r="10536" s="2043" customFormat="1" x14ac:dyDescent="0.2"/>
    <row r="10537" s="2043" customFormat="1" x14ac:dyDescent="0.2"/>
    <row r="10538" s="2043" customFormat="1" x14ac:dyDescent="0.2"/>
    <row r="10539" s="2043" customFormat="1" x14ac:dyDescent="0.2"/>
    <row r="10540" s="2043" customFormat="1" x14ac:dyDescent="0.2"/>
    <row r="10541" s="2043" customFormat="1" x14ac:dyDescent="0.2"/>
    <row r="10542" s="2043" customFormat="1" x14ac:dyDescent="0.2"/>
    <row r="10543" s="2043" customFormat="1" x14ac:dyDescent="0.2"/>
    <row r="10544" s="2043" customFormat="1" x14ac:dyDescent="0.2"/>
    <row r="10545" s="2043" customFormat="1" x14ac:dyDescent="0.2"/>
    <row r="10546" s="2043" customFormat="1" x14ac:dyDescent="0.2"/>
    <row r="10547" s="2043" customFormat="1" x14ac:dyDescent="0.2"/>
    <row r="10548" s="2043" customFormat="1" x14ac:dyDescent="0.2"/>
    <row r="10549" s="2043" customFormat="1" x14ac:dyDescent="0.2"/>
    <row r="10550" s="2043" customFormat="1" x14ac:dyDescent="0.2"/>
    <row r="10551" s="2043" customFormat="1" x14ac:dyDescent="0.2"/>
    <row r="10552" s="2043" customFormat="1" x14ac:dyDescent="0.2"/>
    <row r="10553" s="2043" customFormat="1" x14ac:dyDescent="0.2"/>
    <row r="10554" s="2043" customFormat="1" x14ac:dyDescent="0.2"/>
    <row r="10555" s="2043" customFormat="1" x14ac:dyDescent="0.2"/>
    <row r="10556" s="2043" customFormat="1" x14ac:dyDescent="0.2"/>
    <row r="10557" s="2043" customFormat="1" x14ac:dyDescent="0.2"/>
    <row r="10558" s="2043" customFormat="1" x14ac:dyDescent="0.2"/>
    <row r="10559" s="2043" customFormat="1" x14ac:dyDescent="0.2"/>
    <row r="10560" s="2043" customFormat="1" x14ac:dyDescent="0.2"/>
    <row r="10561" s="2043" customFormat="1" x14ac:dyDescent="0.2"/>
    <row r="10562" s="2043" customFormat="1" x14ac:dyDescent="0.2"/>
    <row r="10563" s="2043" customFormat="1" x14ac:dyDescent="0.2"/>
    <row r="10564" s="2043" customFormat="1" x14ac:dyDescent="0.2"/>
    <row r="10565" s="2043" customFormat="1" x14ac:dyDescent="0.2"/>
    <row r="10566" s="2043" customFormat="1" x14ac:dyDescent="0.2"/>
    <row r="10567" s="2043" customFormat="1" x14ac:dyDescent="0.2"/>
    <row r="10568" s="2043" customFormat="1" x14ac:dyDescent="0.2"/>
    <row r="10569" s="2043" customFormat="1" x14ac:dyDescent="0.2"/>
    <row r="10570" s="2043" customFormat="1" x14ac:dyDescent="0.2"/>
    <row r="10571" s="2043" customFormat="1" x14ac:dyDescent="0.2"/>
    <row r="10572" s="2043" customFormat="1" x14ac:dyDescent="0.2"/>
    <row r="10573" s="2043" customFormat="1" x14ac:dyDescent="0.2"/>
    <row r="10574" s="2043" customFormat="1" x14ac:dyDescent="0.2"/>
    <row r="10575" s="2043" customFormat="1" x14ac:dyDescent="0.2"/>
    <row r="10576" s="2043" customFormat="1" x14ac:dyDescent="0.2"/>
    <row r="10577" s="2043" customFormat="1" x14ac:dyDescent="0.2"/>
    <row r="10578" s="2043" customFormat="1" x14ac:dyDescent="0.2"/>
    <row r="10579" s="2043" customFormat="1" x14ac:dyDescent="0.2"/>
    <row r="10580" s="2043" customFormat="1" x14ac:dyDescent="0.2"/>
    <row r="10581" s="2043" customFormat="1" x14ac:dyDescent="0.2"/>
    <row r="10582" s="2043" customFormat="1" x14ac:dyDescent="0.2"/>
    <row r="10583" s="2043" customFormat="1" x14ac:dyDescent="0.2"/>
    <row r="10584" s="2043" customFormat="1" x14ac:dyDescent="0.2"/>
    <row r="10585" s="2043" customFormat="1" x14ac:dyDescent="0.2"/>
    <row r="10586" s="2043" customFormat="1" x14ac:dyDescent="0.2"/>
    <row r="10587" s="2043" customFormat="1" x14ac:dyDescent="0.2"/>
    <row r="10588" s="2043" customFormat="1" x14ac:dyDescent="0.2"/>
    <row r="10589" s="2043" customFormat="1" x14ac:dyDescent="0.2"/>
    <row r="10590" s="2043" customFormat="1" x14ac:dyDescent="0.2"/>
    <row r="10591" s="2043" customFormat="1" x14ac:dyDescent="0.2"/>
    <row r="10592" s="2043" customFormat="1" x14ac:dyDescent="0.2"/>
    <row r="10593" s="2043" customFormat="1" x14ac:dyDescent="0.2"/>
    <row r="10594" s="2043" customFormat="1" x14ac:dyDescent="0.2"/>
    <row r="10595" s="2043" customFormat="1" x14ac:dyDescent="0.2"/>
    <row r="10596" s="2043" customFormat="1" x14ac:dyDescent="0.2"/>
    <row r="10597" s="2043" customFormat="1" x14ac:dyDescent="0.2"/>
    <row r="10598" s="2043" customFormat="1" x14ac:dyDescent="0.2"/>
    <row r="10599" s="2043" customFormat="1" x14ac:dyDescent="0.2"/>
    <row r="10600" s="2043" customFormat="1" x14ac:dyDescent="0.2"/>
    <row r="10601" s="2043" customFormat="1" x14ac:dyDescent="0.2"/>
    <row r="10602" s="2043" customFormat="1" x14ac:dyDescent="0.2"/>
    <row r="10603" s="2043" customFormat="1" x14ac:dyDescent="0.2"/>
    <row r="10604" s="2043" customFormat="1" x14ac:dyDescent="0.2"/>
    <row r="10605" s="2043" customFormat="1" x14ac:dyDescent="0.2"/>
    <row r="10606" s="2043" customFormat="1" x14ac:dyDescent="0.2"/>
    <row r="10607" s="2043" customFormat="1" x14ac:dyDescent="0.2"/>
    <row r="10608" s="2043" customFormat="1" x14ac:dyDescent="0.2"/>
    <row r="10609" s="2043" customFormat="1" x14ac:dyDescent="0.2"/>
    <row r="10610" s="2043" customFormat="1" x14ac:dyDescent="0.2"/>
    <row r="10611" s="2043" customFormat="1" x14ac:dyDescent="0.2"/>
    <row r="10612" s="2043" customFormat="1" x14ac:dyDescent="0.2"/>
    <row r="10613" s="2043" customFormat="1" x14ac:dyDescent="0.2"/>
    <row r="10614" s="2043" customFormat="1" x14ac:dyDescent="0.2"/>
    <row r="10615" s="2043" customFormat="1" x14ac:dyDescent="0.2"/>
    <row r="10616" s="2043" customFormat="1" x14ac:dyDescent="0.2"/>
    <row r="10617" s="2043" customFormat="1" x14ac:dyDescent="0.2"/>
    <row r="10618" s="2043" customFormat="1" x14ac:dyDescent="0.2"/>
    <row r="10619" s="2043" customFormat="1" x14ac:dyDescent="0.2"/>
    <row r="10620" s="2043" customFormat="1" x14ac:dyDescent="0.2"/>
    <row r="10621" s="2043" customFormat="1" x14ac:dyDescent="0.2"/>
    <row r="10622" s="2043" customFormat="1" x14ac:dyDescent="0.2"/>
    <row r="10623" s="2043" customFormat="1" x14ac:dyDescent="0.2"/>
    <row r="10624" s="2043" customFormat="1" x14ac:dyDescent="0.2"/>
    <row r="10625" s="2043" customFormat="1" x14ac:dyDescent="0.2"/>
    <row r="10626" s="2043" customFormat="1" x14ac:dyDescent="0.2"/>
    <row r="10627" s="2043" customFormat="1" x14ac:dyDescent="0.2"/>
    <row r="10628" s="2043" customFormat="1" x14ac:dyDescent="0.2"/>
    <row r="10629" s="2043" customFormat="1" x14ac:dyDescent="0.2"/>
    <row r="10630" s="2043" customFormat="1" x14ac:dyDescent="0.2"/>
    <row r="10631" s="2043" customFormat="1" x14ac:dyDescent="0.2"/>
    <row r="10632" s="2043" customFormat="1" x14ac:dyDescent="0.2"/>
    <row r="10633" s="2043" customFormat="1" x14ac:dyDescent="0.2"/>
    <row r="10634" s="2043" customFormat="1" x14ac:dyDescent="0.2"/>
    <row r="10635" s="2043" customFormat="1" x14ac:dyDescent="0.2"/>
    <row r="10636" s="2043" customFormat="1" x14ac:dyDescent="0.2"/>
    <row r="10637" s="2043" customFormat="1" x14ac:dyDescent="0.2"/>
    <row r="10638" s="2043" customFormat="1" x14ac:dyDescent="0.2"/>
    <row r="10639" s="2043" customFormat="1" x14ac:dyDescent="0.2"/>
    <row r="10640" s="2043" customFormat="1" x14ac:dyDescent="0.2"/>
    <row r="10641" s="2043" customFormat="1" x14ac:dyDescent="0.2"/>
    <row r="10642" s="2043" customFormat="1" x14ac:dyDescent="0.2"/>
    <row r="10643" s="2043" customFormat="1" x14ac:dyDescent="0.2"/>
    <row r="10644" s="2043" customFormat="1" x14ac:dyDescent="0.2"/>
    <row r="10645" s="2043" customFormat="1" x14ac:dyDescent="0.2"/>
    <row r="10646" s="2043" customFormat="1" x14ac:dyDescent="0.2"/>
    <row r="10647" s="2043" customFormat="1" x14ac:dyDescent="0.2"/>
    <row r="10648" s="2043" customFormat="1" x14ac:dyDescent="0.2"/>
    <row r="10649" s="2043" customFormat="1" x14ac:dyDescent="0.2"/>
    <row r="10650" s="2043" customFormat="1" x14ac:dyDescent="0.2"/>
    <row r="10651" s="2043" customFormat="1" x14ac:dyDescent="0.2"/>
    <row r="10652" s="2043" customFormat="1" x14ac:dyDescent="0.2"/>
    <row r="10653" s="2043" customFormat="1" x14ac:dyDescent="0.2"/>
    <row r="10654" s="2043" customFormat="1" x14ac:dyDescent="0.2"/>
    <row r="10655" s="2043" customFormat="1" x14ac:dyDescent="0.2"/>
    <row r="10656" s="2043" customFormat="1" x14ac:dyDescent="0.2"/>
    <row r="10657" s="2043" customFormat="1" x14ac:dyDescent="0.2"/>
    <row r="10658" s="2043" customFormat="1" x14ac:dyDescent="0.2"/>
    <row r="10659" s="2043" customFormat="1" x14ac:dyDescent="0.2"/>
    <row r="10660" s="2043" customFormat="1" x14ac:dyDescent="0.2"/>
    <row r="10661" s="2043" customFormat="1" x14ac:dyDescent="0.2"/>
    <row r="10662" s="2043" customFormat="1" x14ac:dyDescent="0.2"/>
    <row r="10663" s="2043" customFormat="1" x14ac:dyDescent="0.2"/>
    <row r="10664" s="2043" customFormat="1" x14ac:dyDescent="0.2"/>
    <row r="10665" s="2043" customFormat="1" x14ac:dyDescent="0.2"/>
    <row r="10666" s="2043" customFormat="1" x14ac:dyDescent="0.2"/>
    <row r="10667" s="2043" customFormat="1" x14ac:dyDescent="0.2"/>
    <row r="10668" s="2043" customFormat="1" x14ac:dyDescent="0.2"/>
    <row r="10669" s="2043" customFormat="1" x14ac:dyDescent="0.2"/>
    <row r="10670" s="2043" customFormat="1" x14ac:dyDescent="0.2"/>
    <row r="10671" s="2043" customFormat="1" x14ac:dyDescent="0.2"/>
    <row r="10672" s="2043" customFormat="1" x14ac:dyDescent="0.2"/>
    <row r="10673" s="2043" customFormat="1" x14ac:dyDescent="0.2"/>
    <row r="10674" s="2043" customFormat="1" x14ac:dyDescent="0.2"/>
    <row r="10675" s="2043" customFormat="1" x14ac:dyDescent="0.2"/>
    <row r="10676" s="2043" customFormat="1" x14ac:dyDescent="0.2"/>
    <row r="10677" s="2043" customFormat="1" x14ac:dyDescent="0.2"/>
    <row r="10678" s="2043" customFormat="1" x14ac:dyDescent="0.2"/>
    <row r="10679" s="2043" customFormat="1" x14ac:dyDescent="0.2"/>
    <row r="10680" s="2043" customFormat="1" x14ac:dyDescent="0.2"/>
    <row r="10681" s="2043" customFormat="1" x14ac:dyDescent="0.2"/>
    <row r="10682" s="2043" customFormat="1" x14ac:dyDescent="0.2"/>
    <row r="10683" s="2043" customFormat="1" x14ac:dyDescent="0.2"/>
    <row r="10684" s="2043" customFormat="1" x14ac:dyDescent="0.2"/>
    <row r="10685" s="2043" customFormat="1" x14ac:dyDescent="0.2"/>
    <row r="10686" s="2043" customFormat="1" x14ac:dyDescent="0.2"/>
    <row r="10687" s="2043" customFormat="1" x14ac:dyDescent="0.2"/>
    <row r="10688" s="2043" customFormat="1" x14ac:dyDescent="0.2"/>
    <row r="10689" s="2043" customFormat="1" x14ac:dyDescent="0.2"/>
    <row r="10690" s="2043" customFormat="1" x14ac:dyDescent="0.2"/>
    <row r="10691" s="2043" customFormat="1" x14ac:dyDescent="0.2"/>
    <row r="10692" s="2043" customFormat="1" x14ac:dyDescent="0.2"/>
    <row r="10693" s="2043" customFormat="1" x14ac:dyDescent="0.2"/>
    <row r="10694" s="2043" customFormat="1" x14ac:dyDescent="0.2"/>
    <row r="10695" s="2043" customFormat="1" x14ac:dyDescent="0.2"/>
    <row r="10696" s="2043" customFormat="1" x14ac:dyDescent="0.2"/>
    <row r="10697" s="2043" customFormat="1" x14ac:dyDescent="0.2"/>
    <row r="10698" s="2043" customFormat="1" x14ac:dyDescent="0.2"/>
    <row r="10699" s="2043" customFormat="1" x14ac:dyDescent="0.2"/>
    <row r="10700" s="2043" customFormat="1" x14ac:dyDescent="0.2"/>
    <row r="10701" s="2043" customFormat="1" x14ac:dyDescent="0.2"/>
    <row r="10702" s="2043" customFormat="1" x14ac:dyDescent="0.2"/>
    <row r="10703" s="2043" customFormat="1" x14ac:dyDescent="0.2"/>
    <row r="10704" s="2043" customFormat="1" x14ac:dyDescent="0.2"/>
    <row r="10705" s="2043" customFormat="1" x14ac:dyDescent="0.2"/>
    <row r="10706" s="2043" customFormat="1" x14ac:dyDescent="0.2"/>
    <row r="10707" s="2043" customFormat="1" x14ac:dyDescent="0.2"/>
    <row r="10708" s="2043" customFormat="1" x14ac:dyDescent="0.2"/>
    <row r="10709" s="2043" customFormat="1" x14ac:dyDescent="0.2"/>
    <row r="10710" s="2043" customFormat="1" x14ac:dyDescent="0.2"/>
    <row r="10711" s="2043" customFormat="1" x14ac:dyDescent="0.2"/>
    <row r="10712" s="2043" customFormat="1" x14ac:dyDescent="0.2"/>
    <row r="10713" s="2043" customFormat="1" x14ac:dyDescent="0.2"/>
    <row r="10714" s="2043" customFormat="1" x14ac:dyDescent="0.2"/>
    <row r="10715" s="2043" customFormat="1" x14ac:dyDescent="0.2"/>
    <row r="10716" s="2043" customFormat="1" x14ac:dyDescent="0.2"/>
    <row r="10717" s="2043" customFormat="1" x14ac:dyDescent="0.2"/>
    <row r="10718" s="2043" customFormat="1" x14ac:dyDescent="0.2"/>
    <row r="10719" s="2043" customFormat="1" x14ac:dyDescent="0.2"/>
    <row r="10720" s="2043" customFormat="1" x14ac:dyDescent="0.2"/>
    <row r="10721" s="2043" customFormat="1" x14ac:dyDescent="0.2"/>
    <row r="10722" s="2043" customFormat="1" x14ac:dyDescent="0.2"/>
    <row r="10723" s="2043" customFormat="1" x14ac:dyDescent="0.2"/>
    <row r="10724" s="2043" customFormat="1" x14ac:dyDescent="0.2"/>
    <row r="10725" s="2043" customFormat="1" x14ac:dyDescent="0.2"/>
    <row r="10726" s="2043" customFormat="1" x14ac:dyDescent="0.2"/>
    <row r="10727" s="2043" customFormat="1" x14ac:dyDescent="0.2"/>
    <row r="10728" s="2043" customFormat="1" x14ac:dyDescent="0.2"/>
    <row r="10729" s="2043" customFormat="1" x14ac:dyDescent="0.2"/>
    <row r="10730" s="2043" customFormat="1" x14ac:dyDescent="0.2"/>
    <row r="10731" s="2043" customFormat="1" x14ac:dyDescent="0.2"/>
    <row r="10732" s="2043" customFormat="1" x14ac:dyDescent="0.2"/>
    <row r="10733" s="2043" customFormat="1" x14ac:dyDescent="0.2"/>
    <row r="10734" s="2043" customFormat="1" x14ac:dyDescent="0.2"/>
    <row r="10735" s="2043" customFormat="1" x14ac:dyDescent="0.2"/>
    <row r="10736" s="2043" customFormat="1" x14ac:dyDescent="0.2"/>
    <row r="10737" s="2043" customFormat="1" x14ac:dyDescent="0.2"/>
    <row r="10738" s="2043" customFormat="1" x14ac:dyDescent="0.2"/>
    <row r="10739" s="2043" customFormat="1" x14ac:dyDescent="0.2"/>
    <row r="10740" s="2043" customFormat="1" x14ac:dyDescent="0.2"/>
    <row r="10741" s="2043" customFormat="1" x14ac:dyDescent="0.2"/>
    <row r="10742" s="2043" customFormat="1" x14ac:dyDescent="0.2"/>
    <row r="10743" s="2043" customFormat="1" x14ac:dyDescent="0.2"/>
    <row r="10744" s="2043" customFormat="1" x14ac:dyDescent="0.2"/>
    <row r="10745" s="2043" customFormat="1" x14ac:dyDescent="0.2"/>
    <row r="10746" s="2043" customFormat="1" x14ac:dyDescent="0.2"/>
    <row r="10747" s="2043" customFormat="1" x14ac:dyDescent="0.2"/>
    <row r="10748" s="2043" customFormat="1" x14ac:dyDescent="0.2"/>
    <row r="10749" s="2043" customFormat="1" x14ac:dyDescent="0.2"/>
    <row r="10750" s="2043" customFormat="1" x14ac:dyDescent="0.2"/>
    <row r="10751" s="2043" customFormat="1" x14ac:dyDescent="0.2"/>
    <row r="10752" s="2043" customFormat="1" x14ac:dyDescent="0.2"/>
    <row r="10753" s="2043" customFormat="1" x14ac:dyDescent="0.2"/>
    <row r="10754" s="2043" customFormat="1" x14ac:dyDescent="0.2"/>
    <row r="10755" s="2043" customFormat="1" x14ac:dyDescent="0.2"/>
    <row r="10756" s="2043" customFormat="1" x14ac:dyDescent="0.2"/>
    <row r="10757" s="2043" customFormat="1" x14ac:dyDescent="0.2"/>
    <row r="10758" s="2043" customFormat="1" x14ac:dyDescent="0.2"/>
    <row r="10759" s="2043" customFormat="1" x14ac:dyDescent="0.2"/>
    <row r="10760" s="2043" customFormat="1" x14ac:dyDescent="0.2"/>
    <row r="10761" s="2043" customFormat="1" x14ac:dyDescent="0.2"/>
    <row r="10762" s="2043" customFormat="1" x14ac:dyDescent="0.2"/>
    <row r="10763" s="2043" customFormat="1" x14ac:dyDescent="0.2"/>
    <row r="10764" s="2043" customFormat="1" x14ac:dyDescent="0.2"/>
    <row r="10765" s="2043" customFormat="1" x14ac:dyDescent="0.2"/>
    <row r="10766" s="2043" customFormat="1" x14ac:dyDescent="0.2"/>
    <row r="10767" s="2043" customFormat="1" x14ac:dyDescent="0.2"/>
    <row r="10768" s="2043" customFormat="1" x14ac:dyDescent="0.2"/>
    <row r="10769" s="2043" customFormat="1" x14ac:dyDescent="0.2"/>
    <row r="10770" s="2043" customFormat="1" x14ac:dyDescent="0.2"/>
    <row r="10771" s="2043" customFormat="1" x14ac:dyDescent="0.2"/>
    <row r="10772" s="2043" customFormat="1" x14ac:dyDescent="0.2"/>
    <row r="10773" s="2043" customFormat="1" x14ac:dyDescent="0.2"/>
    <row r="10774" s="2043" customFormat="1" x14ac:dyDescent="0.2"/>
    <row r="10775" s="2043" customFormat="1" x14ac:dyDescent="0.2"/>
    <row r="10776" s="2043" customFormat="1" x14ac:dyDescent="0.2"/>
    <row r="10777" s="2043" customFormat="1" x14ac:dyDescent="0.2"/>
    <row r="10778" s="2043" customFormat="1" x14ac:dyDescent="0.2"/>
    <row r="10779" s="2043" customFormat="1" x14ac:dyDescent="0.2"/>
    <row r="10780" s="2043" customFormat="1" x14ac:dyDescent="0.2"/>
    <row r="10781" s="2043" customFormat="1" x14ac:dyDescent="0.2"/>
    <row r="10782" s="2043" customFormat="1" x14ac:dyDescent="0.2"/>
    <row r="10783" s="2043" customFormat="1" x14ac:dyDescent="0.2"/>
    <row r="10784" s="2043" customFormat="1" x14ac:dyDescent="0.2"/>
    <row r="10785" s="2043" customFormat="1" x14ac:dyDescent="0.2"/>
    <row r="10786" s="2043" customFormat="1" x14ac:dyDescent="0.2"/>
    <row r="10787" s="2043" customFormat="1" x14ac:dyDescent="0.2"/>
    <row r="10788" s="2043" customFormat="1" x14ac:dyDescent="0.2"/>
    <row r="10789" s="2043" customFormat="1" x14ac:dyDescent="0.2"/>
    <row r="10790" s="2043" customFormat="1" x14ac:dyDescent="0.2"/>
    <row r="10791" s="2043" customFormat="1" x14ac:dyDescent="0.2"/>
    <row r="10792" s="2043" customFormat="1" x14ac:dyDescent="0.2"/>
    <row r="10793" s="2043" customFormat="1" x14ac:dyDescent="0.2"/>
    <row r="10794" s="2043" customFormat="1" x14ac:dyDescent="0.2"/>
    <row r="10795" s="2043" customFormat="1" x14ac:dyDescent="0.2"/>
    <row r="10796" s="2043" customFormat="1" x14ac:dyDescent="0.2"/>
    <row r="10797" s="2043" customFormat="1" x14ac:dyDescent="0.2"/>
    <row r="10798" s="2043" customFormat="1" x14ac:dyDescent="0.2"/>
    <row r="10799" s="2043" customFormat="1" x14ac:dyDescent="0.2"/>
    <row r="10800" s="2043" customFormat="1" x14ac:dyDescent="0.2"/>
    <row r="10801" s="2043" customFormat="1" x14ac:dyDescent="0.2"/>
    <row r="10802" s="2043" customFormat="1" x14ac:dyDescent="0.2"/>
    <row r="10803" s="2043" customFormat="1" x14ac:dyDescent="0.2"/>
    <row r="10804" s="2043" customFormat="1" x14ac:dyDescent="0.2"/>
    <row r="10805" s="2043" customFormat="1" x14ac:dyDescent="0.2"/>
    <row r="10806" s="2043" customFormat="1" x14ac:dyDescent="0.2"/>
    <row r="10807" s="2043" customFormat="1" x14ac:dyDescent="0.2"/>
    <row r="10808" s="2043" customFormat="1" x14ac:dyDescent="0.2"/>
    <row r="10809" s="2043" customFormat="1" x14ac:dyDescent="0.2"/>
    <row r="10810" s="2043" customFormat="1" x14ac:dyDescent="0.2"/>
    <row r="10811" s="2043" customFormat="1" x14ac:dyDescent="0.2"/>
    <row r="10812" s="2043" customFormat="1" x14ac:dyDescent="0.2"/>
    <row r="10813" s="2043" customFormat="1" x14ac:dyDescent="0.2"/>
    <row r="10814" s="2043" customFormat="1" x14ac:dyDescent="0.2"/>
    <row r="10815" s="2043" customFormat="1" x14ac:dyDescent="0.2"/>
    <row r="10816" s="2043" customFormat="1" x14ac:dyDescent="0.2"/>
    <row r="10817" s="2043" customFormat="1" x14ac:dyDescent="0.2"/>
    <row r="10818" s="2043" customFormat="1" x14ac:dyDescent="0.2"/>
    <row r="10819" s="2043" customFormat="1" x14ac:dyDescent="0.2"/>
    <row r="10820" s="2043" customFormat="1" x14ac:dyDescent="0.2"/>
    <row r="10821" s="2043" customFormat="1" x14ac:dyDescent="0.2"/>
    <row r="10822" s="2043" customFormat="1" x14ac:dyDescent="0.2"/>
    <row r="10823" s="2043" customFormat="1" x14ac:dyDescent="0.2"/>
    <row r="10824" s="2043" customFormat="1" x14ac:dyDescent="0.2"/>
    <row r="10825" s="2043" customFormat="1" x14ac:dyDescent="0.2"/>
    <row r="10826" s="2043" customFormat="1" x14ac:dyDescent="0.2"/>
    <row r="10827" s="2043" customFormat="1" x14ac:dyDescent="0.2"/>
    <row r="10828" s="2043" customFormat="1" x14ac:dyDescent="0.2"/>
    <row r="10829" s="2043" customFormat="1" x14ac:dyDescent="0.2"/>
    <row r="10830" s="2043" customFormat="1" x14ac:dyDescent="0.2"/>
    <row r="10831" s="2043" customFormat="1" x14ac:dyDescent="0.2"/>
    <row r="10832" s="2043" customFormat="1" x14ac:dyDescent="0.2"/>
    <row r="10833" s="2043" customFormat="1" x14ac:dyDescent="0.2"/>
    <row r="10834" s="2043" customFormat="1" x14ac:dyDescent="0.2"/>
    <row r="10835" s="2043" customFormat="1" x14ac:dyDescent="0.2"/>
    <row r="10836" s="2043" customFormat="1" x14ac:dyDescent="0.2"/>
    <row r="10837" s="2043" customFormat="1" x14ac:dyDescent="0.2"/>
    <row r="10838" s="2043" customFormat="1" x14ac:dyDescent="0.2"/>
    <row r="10839" s="2043" customFormat="1" x14ac:dyDescent="0.2"/>
    <row r="10840" s="2043" customFormat="1" x14ac:dyDescent="0.2"/>
    <row r="10841" s="2043" customFormat="1" x14ac:dyDescent="0.2"/>
    <row r="10842" s="2043" customFormat="1" x14ac:dyDescent="0.2"/>
    <row r="10843" s="2043" customFormat="1" x14ac:dyDescent="0.2"/>
    <row r="10844" s="2043" customFormat="1" x14ac:dyDescent="0.2"/>
    <row r="10845" s="2043" customFormat="1" x14ac:dyDescent="0.2"/>
    <row r="10846" s="2043" customFormat="1" x14ac:dyDescent="0.2"/>
    <row r="10847" s="2043" customFormat="1" x14ac:dyDescent="0.2"/>
    <row r="10848" s="2043" customFormat="1" x14ac:dyDescent="0.2"/>
    <row r="10849" s="2043" customFormat="1" x14ac:dyDescent="0.2"/>
    <row r="10850" s="2043" customFormat="1" x14ac:dyDescent="0.2"/>
    <row r="10851" s="2043" customFormat="1" x14ac:dyDescent="0.2"/>
    <row r="10852" s="2043" customFormat="1" x14ac:dyDescent="0.2"/>
    <row r="10853" s="2043" customFormat="1" x14ac:dyDescent="0.2"/>
    <row r="10854" s="2043" customFormat="1" x14ac:dyDescent="0.2"/>
    <row r="10855" s="2043" customFormat="1" x14ac:dyDescent="0.2"/>
    <row r="10856" s="2043" customFormat="1" x14ac:dyDescent="0.2"/>
    <row r="10857" s="2043" customFormat="1" x14ac:dyDescent="0.2"/>
    <row r="10858" s="2043" customFormat="1" x14ac:dyDescent="0.2"/>
    <row r="10859" s="2043" customFormat="1" x14ac:dyDescent="0.2"/>
    <row r="10860" s="2043" customFormat="1" x14ac:dyDescent="0.2"/>
    <row r="10861" s="2043" customFormat="1" x14ac:dyDescent="0.2"/>
    <row r="10862" s="2043" customFormat="1" x14ac:dyDescent="0.2"/>
    <row r="10863" s="2043" customFormat="1" x14ac:dyDescent="0.2"/>
    <row r="10864" s="2043" customFormat="1" x14ac:dyDescent="0.2"/>
    <row r="10865" s="2043" customFormat="1" x14ac:dyDescent="0.2"/>
    <row r="10866" s="2043" customFormat="1" x14ac:dyDescent="0.2"/>
    <row r="10867" s="2043" customFormat="1" x14ac:dyDescent="0.2"/>
    <row r="10868" s="2043" customFormat="1" x14ac:dyDescent="0.2"/>
    <row r="10869" s="2043" customFormat="1" x14ac:dyDescent="0.2"/>
    <row r="10870" s="2043" customFormat="1" x14ac:dyDescent="0.2"/>
    <row r="10871" s="2043" customFormat="1" x14ac:dyDescent="0.2"/>
    <row r="10872" s="2043" customFormat="1" x14ac:dyDescent="0.2"/>
    <row r="10873" s="2043" customFormat="1" x14ac:dyDescent="0.2"/>
    <row r="10874" s="2043" customFormat="1" x14ac:dyDescent="0.2"/>
    <row r="10875" s="2043" customFormat="1" x14ac:dyDescent="0.2"/>
    <row r="10876" s="2043" customFormat="1" x14ac:dyDescent="0.2"/>
    <row r="10877" s="2043" customFormat="1" x14ac:dyDescent="0.2"/>
    <row r="10878" s="2043" customFormat="1" x14ac:dyDescent="0.2"/>
    <row r="10879" s="2043" customFormat="1" x14ac:dyDescent="0.2"/>
    <row r="10880" s="2043" customFormat="1" x14ac:dyDescent="0.2"/>
    <row r="10881" s="2043" customFormat="1" x14ac:dyDescent="0.2"/>
    <row r="10882" s="2043" customFormat="1" x14ac:dyDescent="0.2"/>
    <row r="10883" s="2043" customFormat="1" x14ac:dyDescent="0.2"/>
    <row r="10884" s="2043" customFormat="1" x14ac:dyDescent="0.2"/>
    <row r="10885" s="2043" customFormat="1" x14ac:dyDescent="0.2"/>
    <row r="10886" s="2043" customFormat="1" x14ac:dyDescent="0.2"/>
    <row r="10887" s="2043" customFormat="1" x14ac:dyDescent="0.2"/>
    <row r="10888" s="2043" customFormat="1" x14ac:dyDescent="0.2"/>
    <row r="10889" s="2043" customFormat="1" x14ac:dyDescent="0.2"/>
    <row r="10890" s="2043" customFormat="1" x14ac:dyDescent="0.2"/>
    <row r="10891" s="2043" customFormat="1" x14ac:dyDescent="0.2"/>
    <row r="10892" s="2043" customFormat="1" x14ac:dyDescent="0.2"/>
    <row r="10893" s="2043" customFormat="1" x14ac:dyDescent="0.2"/>
    <row r="10894" s="2043" customFormat="1" x14ac:dyDescent="0.2"/>
    <row r="10895" s="2043" customFormat="1" x14ac:dyDescent="0.2"/>
    <row r="10896" s="2043" customFormat="1" x14ac:dyDescent="0.2"/>
    <row r="10897" s="2043" customFormat="1" x14ac:dyDescent="0.2"/>
    <row r="10898" s="2043" customFormat="1" x14ac:dyDescent="0.2"/>
    <row r="10899" s="2043" customFormat="1" x14ac:dyDescent="0.2"/>
    <row r="10900" s="2043" customFormat="1" x14ac:dyDescent="0.2"/>
    <row r="10901" s="2043" customFormat="1" x14ac:dyDescent="0.2"/>
    <row r="10902" s="2043" customFormat="1" x14ac:dyDescent="0.2"/>
    <row r="10903" s="2043" customFormat="1" x14ac:dyDescent="0.2"/>
    <row r="10904" s="2043" customFormat="1" x14ac:dyDescent="0.2"/>
    <row r="10905" s="2043" customFormat="1" x14ac:dyDescent="0.2"/>
    <row r="10906" s="2043" customFormat="1" x14ac:dyDescent="0.2"/>
    <row r="10907" s="2043" customFormat="1" x14ac:dyDescent="0.2"/>
    <row r="10908" s="2043" customFormat="1" x14ac:dyDescent="0.2"/>
    <row r="10909" s="2043" customFormat="1" x14ac:dyDescent="0.2"/>
    <row r="10910" s="2043" customFormat="1" x14ac:dyDescent="0.2"/>
    <row r="10911" s="2043" customFormat="1" x14ac:dyDescent="0.2"/>
    <row r="10912" s="2043" customFormat="1" x14ac:dyDescent="0.2"/>
    <row r="10913" s="2043" customFormat="1" x14ac:dyDescent="0.2"/>
    <row r="10914" s="2043" customFormat="1" x14ac:dyDescent="0.2"/>
    <row r="10915" s="2043" customFormat="1" x14ac:dyDescent="0.2"/>
    <row r="10916" s="2043" customFormat="1" x14ac:dyDescent="0.2"/>
    <row r="10917" s="2043" customFormat="1" x14ac:dyDescent="0.2"/>
    <row r="10918" s="2043" customFormat="1" x14ac:dyDescent="0.2"/>
    <row r="10919" s="2043" customFormat="1" x14ac:dyDescent="0.2"/>
    <row r="10920" s="2043" customFormat="1" x14ac:dyDescent="0.2"/>
    <row r="10921" s="2043" customFormat="1" x14ac:dyDescent="0.2"/>
    <row r="10922" s="2043" customFormat="1" x14ac:dyDescent="0.2"/>
    <row r="10923" s="2043" customFormat="1" x14ac:dyDescent="0.2"/>
    <row r="10924" s="2043" customFormat="1" x14ac:dyDescent="0.2"/>
    <row r="10925" s="2043" customFormat="1" x14ac:dyDescent="0.2"/>
    <row r="10926" s="2043" customFormat="1" x14ac:dyDescent="0.2"/>
    <row r="10927" s="2043" customFormat="1" x14ac:dyDescent="0.2"/>
    <row r="10928" s="2043" customFormat="1" x14ac:dyDescent="0.2"/>
    <row r="10929" s="2043" customFormat="1" x14ac:dyDescent="0.2"/>
    <row r="10930" s="2043" customFormat="1" x14ac:dyDescent="0.2"/>
    <row r="10931" s="2043" customFormat="1" x14ac:dyDescent="0.2"/>
    <row r="10932" s="2043" customFormat="1" x14ac:dyDescent="0.2"/>
    <row r="10933" s="2043" customFormat="1" x14ac:dyDescent="0.2"/>
    <row r="10934" s="2043" customFormat="1" x14ac:dyDescent="0.2"/>
    <row r="10935" s="2043" customFormat="1" x14ac:dyDescent="0.2"/>
    <row r="10936" s="2043" customFormat="1" x14ac:dyDescent="0.2"/>
    <row r="10937" s="2043" customFormat="1" x14ac:dyDescent="0.2"/>
    <row r="10938" s="2043" customFormat="1" x14ac:dyDescent="0.2"/>
    <row r="10939" s="2043" customFormat="1" x14ac:dyDescent="0.2"/>
    <row r="10940" s="2043" customFormat="1" x14ac:dyDescent="0.2"/>
    <row r="10941" s="2043" customFormat="1" x14ac:dyDescent="0.2"/>
    <row r="10942" s="2043" customFormat="1" x14ac:dyDescent="0.2"/>
    <row r="10943" s="2043" customFormat="1" x14ac:dyDescent="0.2"/>
    <row r="10944" s="2043" customFormat="1" x14ac:dyDescent="0.2"/>
    <row r="10945" s="2043" customFormat="1" x14ac:dyDescent="0.2"/>
    <row r="10946" s="2043" customFormat="1" x14ac:dyDescent="0.2"/>
    <row r="10947" s="2043" customFormat="1" x14ac:dyDescent="0.2"/>
    <row r="10948" s="2043" customFormat="1" x14ac:dyDescent="0.2"/>
    <row r="10949" s="2043" customFormat="1" x14ac:dyDescent="0.2"/>
    <row r="10950" s="2043" customFormat="1" x14ac:dyDescent="0.2"/>
    <row r="10951" s="2043" customFormat="1" x14ac:dyDescent="0.2"/>
    <row r="10952" s="2043" customFormat="1" x14ac:dyDescent="0.2"/>
    <row r="10953" s="2043" customFormat="1" x14ac:dyDescent="0.2"/>
    <row r="10954" s="2043" customFormat="1" x14ac:dyDescent="0.2"/>
    <row r="10955" s="2043" customFormat="1" x14ac:dyDescent="0.2"/>
    <row r="10956" s="2043" customFormat="1" x14ac:dyDescent="0.2"/>
    <row r="10957" s="2043" customFormat="1" x14ac:dyDescent="0.2"/>
    <row r="10958" s="2043" customFormat="1" x14ac:dyDescent="0.2"/>
    <row r="10959" s="2043" customFormat="1" x14ac:dyDescent="0.2"/>
    <row r="10960" s="2043" customFormat="1" x14ac:dyDescent="0.2"/>
    <row r="10961" s="2043" customFormat="1" x14ac:dyDescent="0.2"/>
    <row r="10962" s="2043" customFormat="1" x14ac:dyDescent="0.2"/>
    <row r="10963" s="2043" customFormat="1" x14ac:dyDescent="0.2"/>
    <row r="10964" s="2043" customFormat="1" x14ac:dyDescent="0.2"/>
    <row r="10965" s="2043" customFormat="1" x14ac:dyDescent="0.2"/>
    <row r="10966" s="2043" customFormat="1" x14ac:dyDescent="0.2"/>
    <row r="10967" s="2043" customFormat="1" x14ac:dyDescent="0.2"/>
    <row r="10968" s="2043" customFormat="1" x14ac:dyDescent="0.2"/>
    <row r="10969" s="2043" customFormat="1" x14ac:dyDescent="0.2"/>
    <row r="10970" s="2043" customFormat="1" x14ac:dyDescent="0.2"/>
    <row r="10971" s="2043" customFormat="1" x14ac:dyDescent="0.2"/>
    <row r="10972" s="2043" customFormat="1" x14ac:dyDescent="0.2"/>
    <row r="10973" s="2043" customFormat="1" x14ac:dyDescent="0.2"/>
    <row r="10974" s="2043" customFormat="1" x14ac:dyDescent="0.2"/>
    <row r="10975" s="2043" customFormat="1" x14ac:dyDescent="0.2"/>
    <row r="10976" s="2043" customFormat="1" x14ac:dyDescent="0.2"/>
    <row r="10977" s="2043" customFormat="1" x14ac:dyDescent="0.2"/>
    <row r="10978" s="2043" customFormat="1" x14ac:dyDescent="0.2"/>
    <row r="10979" s="2043" customFormat="1" x14ac:dyDescent="0.2"/>
    <row r="10980" s="2043" customFormat="1" x14ac:dyDescent="0.2"/>
    <row r="10981" s="2043" customFormat="1" x14ac:dyDescent="0.2"/>
    <row r="10982" s="2043" customFormat="1" x14ac:dyDescent="0.2"/>
    <row r="10983" s="2043" customFormat="1" x14ac:dyDescent="0.2"/>
    <row r="10984" s="2043" customFormat="1" x14ac:dyDescent="0.2"/>
    <row r="10985" s="2043" customFormat="1" x14ac:dyDescent="0.2"/>
    <row r="10986" s="2043" customFormat="1" x14ac:dyDescent="0.2"/>
    <row r="10987" s="2043" customFormat="1" x14ac:dyDescent="0.2"/>
    <row r="10988" s="2043" customFormat="1" x14ac:dyDescent="0.2"/>
    <row r="10989" s="2043" customFormat="1" x14ac:dyDescent="0.2"/>
    <row r="10990" s="2043" customFormat="1" x14ac:dyDescent="0.2"/>
    <row r="10991" s="2043" customFormat="1" x14ac:dyDescent="0.2"/>
    <row r="10992" s="2043" customFormat="1" x14ac:dyDescent="0.2"/>
    <row r="10993" s="2043" customFormat="1" x14ac:dyDescent="0.2"/>
    <row r="10994" s="2043" customFormat="1" x14ac:dyDescent="0.2"/>
    <row r="10995" s="2043" customFormat="1" x14ac:dyDescent="0.2"/>
    <row r="10996" s="2043" customFormat="1" x14ac:dyDescent="0.2"/>
    <row r="10997" s="2043" customFormat="1" x14ac:dyDescent="0.2"/>
    <row r="10998" s="2043" customFormat="1" x14ac:dyDescent="0.2"/>
    <row r="10999" s="2043" customFormat="1" x14ac:dyDescent="0.2"/>
    <row r="11000" s="2043" customFormat="1" x14ac:dyDescent="0.2"/>
    <row r="11001" s="2043" customFormat="1" x14ac:dyDescent="0.2"/>
    <row r="11002" s="2043" customFormat="1" x14ac:dyDescent="0.2"/>
    <row r="11003" s="2043" customFormat="1" x14ac:dyDescent="0.2"/>
    <row r="11004" s="2043" customFormat="1" x14ac:dyDescent="0.2"/>
    <row r="11005" s="2043" customFormat="1" x14ac:dyDescent="0.2"/>
    <row r="11006" s="2043" customFormat="1" x14ac:dyDescent="0.2"/>
    <row r="11007" s="2043" customFormat="1" x14ac:dyDescent="0.2"/>
    <row r="11008" s="2043" customFormat="1" x14ac:dyDescent="0.2"/>
    <row r="11009" s="2043" customFormat="1" x14ac:dyDescent="0.2"/>
    <row r="11010" s="2043" customFormat="1" x14ac:dyDescent="0.2"/>
    <row r="11011" s="2043" customFormat="1" x14ac:dyDescent="0.2"/>
    <row r="11012" s="2043" customFormat="1" x14ac:dyDescent="0.2"/>
    <row r="11013" s="2043" customFormat="1" x14ac:dyDescent="0.2"/>
    <row r="11014" s="2043" customFormat="1" x14ac:dyDescent="0.2"/>
    <row r="11015" s="2043" customFormat="1" x14ac:dyDescent="0.2"/>
    <row r="11016" s="2043" customFormat="1" x14ac:dyDescent="0.2"/>
    <row r="11017" s="2043" customFormat="1" x14ac:dyDescent="0.2"/>
    <row r="11018" s="2043" customFormat="1" x14ac:dyDescent="0.2"/>
    <row r="11019" s="2043" customFormat="1" x14ac:dyDescent="0.2"/>
    <row r="11020" s="2043" customFormat="1" x14ac:dyDescent="0.2"/>
    <row r="11021" s="2043" customFormat="1" x14ac:dyDescent="0.2"/>
    <row r="11022" s="2043" customFormat="1" x14ac:dyDescent="0.2"/>
    <row r="11023" s="2043" customFormat="1" x14ac:dyDescent="0.2"/>
    <row r="11024" s="2043" customFormat="1" x14ac:dyDescent="0.2"/>
    <row r="11025" s="2043" customFormat="1" x14ac:dyDescent="0.2"/>
    <row r="11026" s="2043" customFormat="1" x14ac:dyDescent="0.2"/>
    <row r="11027" s="2043" customFormat="1" x14ac:dyDescent="0.2"/>
    <row r="11028" s="2043" customFormat="1" x14ac:dyDescent="0.2"/>
    <row r="11029" s="2043" customFormat="1" x14ac:dyDescent="0.2"/>
    <row r="11030" s="2043" customFormat="1" x14ac:dyDescent="0.2"/>
    <row r="11031" s="2043" customFormat="1" x14ac:dyDescent="0.2"/>
    <row r="11032" s="2043" customFormat="1" x14ac:dyDescent="0.2"/>
    <row r="11033" s="2043" customFormat="1" x14ac:dyDescent="0.2"/>
    <row r="11034" s="2043" customFormat="1" x14ac:dyDescent="0.2"/>
    <row r="11035" s="2043" customFormat="1" x14ac:dyDescent="0.2"/>
    <row r="11036" s="2043" customFormat="1" x14ac:dyDescent="0.2"/>
    <row r="11037" s="2043" customFormat="1" x14ac:dyDescent="0.2"/>
    <row r="11038" s="2043" customFormat="1" x14ac:dyDescent="0.2"/>
    <row r="11039" s="2043" customFormat="1" x14ac:dyDescent="0.2"/>
    <row r="11040" s="2043" customFormat="1" x14ac:dyDescent="0.2"/>
    <row r="11041" s="2043" customFormat="1" x14ac:dyDescent="0.2"/>
    <row r="11042" s="2043" customFormat="1" x14ac:dyDescent="0.2"/>
    <row r="11043" s="2043" customFormat="1" x14ac:dyDescent="0.2"/>
    <row r="11044" s="2043" customFormat="1" x14ac:dyDescent="0.2"/>
    <row r="11045" s="2043" customFormat="1" x14ac:dyDescent="0.2"/>
    <row r="11046" s="2043" customFormat="1" x14ac:dyDescent="0.2"/>
    <row r="11047" s="2043" customFormat="1" x14ac:dyDescent="0.2"/>
    <row r="11048" s="2043" customFormat="1" x14ac:dyDescent="0.2"/>
    <row r="11049" s="2043" customFormat="1" x14ac:dyDescent="0.2"/>
    <row r="11050" s="2043" customFormat="1" x14ac:dyDescent="0.2"/>
    <row r="11051" s="2043" customFormat="1" x14ac:dyDescent="0.2"/>
    <row r="11052" s="2043" customFormat="1" x14ac:dyDescent="0.2"/>
    <row r="11053" s="2043" customFormat="1" x14ac:dyDescent="0.2"/>
    <row r="11054" s="2043" customFormat="1" x14ac:dyDescent="0.2"/>
    <row r="11055" s="2043" customFormat="1" x14ac:dyDescent="0.2"/>
    <row r="11056" s="2043" customFormat="1" x14ac:dyDescent="0.2"/>
    <row r="11057" s="2043" customFormat="1" x14ac:dyDescent="0.2"/>
    <row r="11058" s="2043" customFormat="1" x14ac:dyDescent="0.2"/>
    <row r="11059" s="2043" customFormat="1" x14ac:dyDescent="0.2"/>
    <row r="11060" s="2043" customFormat="1" x14ac:dyDescent="0.2"/>
    <row r="11061" s="2043" customFormat="1" x14ac:dyDescent="0.2"/>
    <row r="11062" s="2043" customFormat="1" x14ac:dyDescent="0.2"/>
    <row r="11063" s="2043" customFormat="1" x14ac:dyDescent="0.2"/>
    <row r="11064" s="2043" customFormat="1" x14ac:dyDescent="0.2"/>
    <row r="11065" s="2043" customFormat="1" x14ac:dyDescent="0.2"/>
    <row r="11066" s="2043" customFormat="1" x14ac:dyDescent="0.2"/>
    <row r="11067" s="2043" customFormat="1" x14ac:dyDescent="0.2"/>
    <row r="11068" s="2043" customFormat="1" x14ac:dyDescent="0.2"/>
    <row r="11069" s="2043" customFormat="1" x14ac:dyDescent="0.2"/>
    <row r="11070" s="2043" customFormat="1" x14ac:dyDescent="0.2"/>
    <row r="11071" s="2043" customFormat="1" x14ac:dyDescent="0.2"/>
    <row r="11072" s="2043" customFormat="1" x14ac:dyDescent="0.2"/>
    <row r="11073" s="2043" customFormat="1" x14ac:dyDescent="0.2"/>
    <row r="11074" s="2043" customFormat="1" x14ac:dyDescent="0.2"/>
    <row r="11075" s="2043" customFormat="1" x14ac:dyDescent="0.2"/>
    <row r="11076" s="2043" customFormat="1" x14ac:dyDescent="0.2"/>
    <row r="11077" s="2043" customFormat="1" x14ac:dyDescent="0.2"/>
    <row r="11078" s="2043" customFormat="1" x14ac:dyDescent="0.2"/>
    <row r="11079" s="2043" customFormat="1" x14ac:dyDescent="0.2"/>
    <row r="11080" s="2043" customFormat="1" x14ac:dyDescent="0.2"/>
    <row r="11081" s="2043" customFormat="1" x14ac:dyDescent="0.2"/>
    <row r="11082" s="2043" customFormat="1" x14ac:dyDescent="0.2"/>
    <row r="11083" s="2043" customFormat="1" x14ac:dyDescent="0.2"/>
    <row r="11084" s="2043" customFormat="1" x14ac:dyDescent="0.2"/>
    <row r="11085" s="2043" customFormat="1" x14ac:dyDescent="0.2"/>
    <row r="11086" s="2043" customFormat="1" x14ac:dyDescent="0.2"/>
    <row r="11087" s="2043" customFormat="1" x14ac:dyDescent="0.2"/>
    <row r="11088" s="2043" customFormat="1" x14ac:dyDescent="0.2"/>
    <row r="11089" s="2043" customFormat="1" x14ac:dyDescent="0.2"/>
    <row r="11090" s="2043" customFormat="1" x14ac:dyDescent="0.2"/>
    <row r="11091" s="2043" customFormat="1" x14ac:dyDescent="0.2"/>
    <row r="11092" s="2043" customFormat="1" x14ac:dyDescent="0.2"/>
    <row r="11093" s="2043" customFormat="1" x14ac:dyDescent="0.2"/>
    <row r="11094" s="2043" customFormat="1" x14ac:dyDescent="0.2"/>
    <row r="11095" s="2043" customFormat="1" x14ac:dyDescent="0.2"/>
    <row r="11096" s="2043" customFormat="1" x14ac:dyDescent="0.2"/>
    <row r="11097" s="2043" customFormat="1" x14ac:dyDescent="0.2"/>
    <row r="11098" s="2043" customFormat="1" x14ac:dyDescent="0.2"/>
    <row r="11099" s="2043" customFormat="1" x14ac:dyDescent="0.2"/>
    <row r="11100" s="2043" customFormat="1" x14ac:dyDescent="0.2"/>
    <row r="11101" s="2043" customFormat="1" x14ac:dyDescent="0.2"/>
    <row r="11102" s="2043" customFormat="1" x14ac:dyDescent="0.2"/>
    <row r="11103" s="2043" customFormat="1" x14ac:dyDescent="0.2"/>
    <row r="11104" s="2043" customFormat="1" x14ac:dyDescent="0.2"/>
    <row r="11105" s="2043" customFormat="1" x14ac:dyDescent="0.2"/>
    <row r="11106" s="2043" customFormat="1" x14ac:dyDescent="0.2"/>
    <row r="11107" s="2043" customFormat="1" x14ac:dyDescent="0.2"/>
    <row r="11108" s="2043" customFormat="1" x14ac:dyDescent="0.2"/>
    <row r="11109" s="2043" customFormat="1" x14ac:dyDescent="0.2"/>
    <row r="11110" s="2043" customFormat="1" x14ac:dyDescent="0.2"/>
    <row r="11111" s="2043" customFormat="1" x14ac:dyDescent="0.2"/>
    <row r="11112" s="2043" customFormat="1" x14ac:dyDescent="0.2"/>
    <row r="11113" s="2043" customFormat="1" x14ac:dyDescent="0.2"/>
    <row r="11114" s="2043" customFormat="1" x14ac:dyDescent="0.2"/>
    <row r="11115" s="2043" customFormat="1" x14ac:dyDescent="0.2"/>
    <row r="11116" s="2043" customFormat="1" x14ac:dyDescent="0.2"/>
    <row r="11117" s="2043" customFormat="1" x14ac:dyDescent="0.2"/>
    <row r="11118" s="2043" customFormat="1" x14ac:dyDescent="0.2"/>
    <row r="11119" s="2043" customFormat="1" x14ac:dyDescent="0.2"/>
    <row r="11120" s="2043" customFormat="1" x14ac:dyDescent="0.2"/>
    <row r="11121" s="2043" customFormat="1" x14ac:dyDescent="0.2"/>
    <row r="11122" s="2043" customFormat="1" x14ac:dyDescent="0.2"/>
    <row r="11123" s="2043" customFormat="1" x14ac:dyDescent="0.2"/>
    <row r="11124" s="2043" customFormat="1" x14ac:dyDescent="0.2"/>
    <row r="11125" s="2043" customFormat="1" x14ac:dyDescent="0.2"/>
    <row r="11126" s="2043" customFormat="1" x14ac:dyDescent="0.2"/>
    <row r="11127" s="2043" customFormat="1" x14ac:dyDescent="0.2"/>
    <row r="11128" s="2043" customFormat="1" x14ac:dyDescent="0.2"/>
    <row r="11129" s="2043" customFormat="1" x14ac:dyDescent="0.2"/>
    <row r="11130" s="2043" customFormat="1" x14ac:dyDescent="0.2"/>
    <row r="11131" s="2043" customFormat="1" x14ac:dyDescent="0.2"/>
    <row r="11132" s="2043" customFormat="1" x14ac:dyDescent="0.2"/>
    <row r="11133" s="2043" customFormat="1" x14ac:dyDescent="0.2"/>
    <row r="11134" s="2043" customFormat="1" x14ac:dyDescent="0.2"/>
    <row r="11135" s="2043" customFormat="1" x14ac:dyDescent="0.2"/>
    <row r="11136" s="2043" customFormat="1" x14ac:dyDescent="0.2"/>
    <row r="11137" s="2043" customFormat="1" x14ac:dyDescent="0.2"/>
    <row r="11138" s="2043" customFormat="1" x14ac:dyDescent="0.2"/>
    <row r="11139" s="2043" customFormat="1" x14ac:dyDescent="0.2"/>
    <row r="11140" s="2043" customFormat="1" x14ac:dyDescent="0.2"/>
    <row r="11141" s="2043" customFormat="1" x14ac:dyDescent="0.2"/>
    <row r="11142" s="2043" customFormat="1" x14ac:dyDescent="0.2"/>
    <row r="11143" s="2043" customFormat="1" x14ac:dyDescent="0.2"/>
    <row r="11144" s="2043" customFormat="1" x14ac:dyDescent="0.2"/>
    <row r="11145" s="2043" customFormat="1" x14ac:dyDescent="0.2"/>
    <row r="11146" s="2043" customFormat="1" x14ac:dyDescent="0.2"/>
    <row r="11147" s="2043" customFormat="1" x14ac:dyDescent="0.2"/>
    <row r="11148" s="2043" customFormat="1" x14ac:dyDescent="0.2"/>
    <row r="11149" s="2043" customFormat="1" x14ac:dyDescent="0.2"/>
    <row r="11150" s="2043" customFormat="1" x14ac:dyDescent="0.2"/>
    <row r="11151" s="2043" customFormat="1" x14ac:dyDescent="0.2"/>
    <row r="11152" s="2043" customFormat="1" x14ac:dyDescent="0.2"/>
    <row r="11153" s="2043" customFormat="1" x14ac:dyDescent="0.2"/>
    <row r="11154" s="2043" customFormat="1" x14ac:dyDescent="0.2"/>
    <row r="11155" s="2043" customFormat="1" x14ac:dyDescent="0.2"/>
    <row r="11156" s="2043" customFormat="1" x14ac:dyDescent="0.2"/>
    <row r="11157" s="2043" customFormat="1" x14ac:dyDescent="0.2"/>
    <row r="11158" s="2043" customFormat="1" x14ac:dyDescent="0.2"/>
    <row r="11159" s="2043" customFormat="1" x14ac:dyDescent="0.2"/>
    <row r="11160" s="2043" customFormat="1" x14ac:dyDescent="0.2"/>
    <row r="11161" s="2043" customFormat="1" x14ac:dyDescent="0.2"/>
    <row r="11162" s="2043" customFormat="1" x14ac:dyDescent="0.2"/>
    <row r="11163" s="2043" customFormat="1" x14ac:dyDescent="0.2"/>
    <row r="11164" s="2043" customFormat="1" x14ac:dyDescent="0.2"/>
    <row r="11165" s="2043" customFormat="1" x14ac:dyDescent="0.2"/>
    <row r="11166" s="2043" customFormat="1" x14ac:dyDescent="0.2"/>
    <row r="11167" s="2043" customFormat="1" x14ac:dyDescent="0.2"/>
    <row r="11168" s="2043" customFormat="1" x14ac:dyDescent="0.2"/>
    <row r="11169" s="2043" customFormat="1" x14ac:dyDescent="0.2"/>
    <row r="11170" s="2043" customFormat="1" x14ac:dyDescent="0.2"/>
    <row r="11171" s="2043" customFormat="1" x14ac:dyDescent="0.2"/>
    <row r="11172" s="2043" customFormat="1" x14ac:dyDescent="0.2"/>
    <row r="11173" s="2043" customFormat="1" x14ac:dyDescent="0.2"/>
    <row r="11174" s="2043" customFormat="1" x14ac:dyDescent="0.2"/>
    <row r="11175" s="2043" customFormat="1" x14ac:dyDescent="0.2"/>
    <row r="11176" s="2043" customFormat="1" x14ac:dyDescent="0.2"/>
    <row r="11177" s="2043" customFormat="1" x14ac:dyDescent="0.2"/>
    <row r="11178" s="2043" customFormat="1" x14ac:dyDescent="0.2"/>
    <row r="11179" s="2043" customFormat="1" x14ac:dyDescent="0.2"/>
    <row r="11180" s="2043" customFormat="1" x14ac:dyDescent="0.2"/>
    <row r="11181" s="2043" customFormat="1" x14ac:dyDescent="0.2"/>
    <row r="11182" s="2043" customFormat="1" x14ac:dyDescent="0.2"/>
    <row r="11183" s="2043" customFormat="1" x14ac:dyDescent="0.2"/>
    <row r="11184" s="2043" customFormat="1" x14ac:dyDescent="0.2"/>
    <row r="11185" s="2043" customFormat="1" x14ac:dyDescent="0.2"/>
    <row r="11186" s="2043" customFormat="1" x14ac:dyDescent="0.2"/>
    <row r="11187" s="2043" customFormat="1" x14ac:dyDescent="0.2"/>
    <row r="11188" s="2043" customFormat="1" x14ac:dyDescent="0.2"/>
    <row r="11189" s="2043" customFormat="1" x14ac:dyDescent="0.2"/>
    <row r="11190" s="2043" customFormat="1" x14ac:dyDescent="0.2"/>
    <row r="11191" s="2043" customFormat="1" x14ac:dyDescent="0.2"/>
    <row r="11192" s="2043" customFormat="1" x14ac:dyDescent="0.2"/>
    <row r="11193" s="2043" customFormat="1" x14ac:dyDescent="0.2"/>
    <row r="11194" s="2043" customFormat="1" x14ac:dyDescent="0.2"/>
    <row r="11195" s="2043" customFormat="1" x14ac:dyDescent="0.2"/>
    <row r="11196" s="2043" customFormat="1" x14ac:dyDescent="0.2"/>
    <row r="11197" s="2043" customFormat="1" x14ac:dyDescent="0.2"/>
    <row r="11198" s="2043" customFormat="1" x14ac:dyDescent="0.2"/>
    <row r="11199" s="2043" customFormat="1" x14ac:dyDescent="0.2"/>
    <row r="11200" s="2043" customFormat="1" x14ac:dyDescent="0.2"/>
    <row r="11201" s="2043" customFormat="1" x14ac:dyDescent="0.2"/>
    <row r="11202" s="2043" customFormat="1" x14ac:dyDescent="0.2"/>
    <row r="11203" s="2043" customFormat="1" x14ac:dyDescent="0.2"/>
    <row r="11204" s="2043" customFormat="1" x14ac:dyDescent="0.2"/>
    <row r="11205" s="2043" customFormat="1" x14ac:dyDescent="0.2"/>
    <row r="11206" s="2043" customFormat="1" x14ac:dyDescent="0.2"/>
    <row r="11207" s="2043" customFormat="1" x14ac:dyDescent="0.2"/>
    <row r="11208" s="2043" customFormat="1" x14ac:dyDescent="0.2"/>
    <row r="11209" s="2043" customFormat="1" x14ac:dyDescent="0.2"/>
    <row r="11210" s="2043" customFormat="1" x14ac:dyDescent="0.2"/>
    <row r="11211" s="2043" customFormat="1" x14ac:dyDescent="0.2"/>
    <row r="11212" s="2043" customFormat="1" x14ac:dyDescent="0.2"/>
    <row r="11213" s="2043" customFormat="1" x14ac:dyDescent="0.2"/>
    <row r="11214" s="2043" customFormat="1" x14ac:dyDescent="0.2"/>
    <row r="11215" s="2043" customFormat="1" x14ac:dyDescent="0.2"/>
    <row r="11216" s="2043" customFormat="1" x14ac:dyDescent="0.2"/>
    <row r="11217" s="2043" customFormat="1" x14ac:dyDescent="0.2"/>
    <row r="11218" s="2043" customFormat="1" x14ac:dyDescent="0.2"/>
    <row r="11219" s="2043" customFormat="1" x14ac:dyDescent="0.2"/>
    <row r="11220" s="2043" customFormat="1" x14ac:dyDescent="0.2"/>
    <row r="11221" s="2043" customFormat="1" x14ac:dyDescent="0.2"/>
    <row r="11222" s="2043" customFormat="1" x14ac:dyDescent="0.2"/>
    <row r="11223" s="2043" customFormat="1" x14ac:dyDescent="0.2"/>
    <row r="11224" s="2043" customFormat="1" x14ac:dyDescent="0.2"/>
    <row r="11225" s="2043" customFormat="1" x14ac:dyDescent="0.2"/>
    <row r="11226" s="2043" customFormat="1" x14ac:dyDescent="0.2"/>
    <row r="11227" s="2043" customFormat="1" x14ac:dyDescent="0.2"/>
    <row r="11228" s="2043" customFormat="1" x14ac:dyDescent="0.2"/>
    <row r="11229" s="2043" customFormat="1" x14ac:dyDescent="0.2"/>
    <row r="11230" s="2043" customFormat="1" x14ac:dyDescent="0.2"/>
    <row r="11231" s="2043" customFormat="1" x14ac:dyDescent="0.2"/>
    <row r="11232" s="2043" customFormat="1" x14ac:dyDescent="0.2"/>
    <row r="11233" s="2043" customFormat="1" x14ac:dyDescent="0.2"/>
    <row r="11234" s="2043" customFormat="1" x14ac:dyDescent="0.2"/>
    <row r="11235" s="2043" customFormat="1" x14ac:dyDescent="0.2"/>
    <row r="11236" s="2043" customFormat="1" x14ac:dyDescent="0.2"/>
    <row r="11237" s="2043" customFormat="1" x14ac:dyDescent="0.2"/>
    <row r="11238" s="2043" customFormat="1" x14ac:dyDescent="0.2"/>
    <row r="11239" s="2043" customFormat="1" x14ac:dyDescent="0.2"/>
    <row r="11240" s="2043" customFormat="1" x14ac:dyDescent="0.2"/>
    <row r="11241" s="2043" customFormat="1" x14ac:dyDescent="0.2"/>
    <row r="11242" s="2043" customFormat="1" x14ac:dyDescent="0.2"/>
    <row r="11243" s="2043" customFormat="1" x14ac:dyDescent="0.2"/>
    <row r="11244" s="2043" customFormat="1" x14ac:dyDescent="0.2"/>
    <row r="11245" s="2043" customFormat="1" x14ac:dyDescent="0.2"/>
    <row r="11246" s="2043" customFormat="1" x14ac:dyDescent="0.2"/>
    <row r="11247" s="2043" customFormat="1" x14ac:dyDescent="0.2"/>
    <row r="11248" s="2043" customFormat="1" x14ac:dyDescent="0.2"/>
    <row r="11249" s="2043" customFormat="1" x14ac:dyDescent="0.2"/>
    <row r="11250" s="2043" customFormat="1" x14ac:dyDescent="0.2"/>
    <row r="11251" s="2043" customFormat="1" x14ac:dyDescent="0.2"/>
    <row r="11252" s="2043" customFormat="1" x14ac:dyDescent="0.2"/>
    <row r="11253" s="2043" customFormat="1" x14ac:dyDescent="0.2"/>
    <row r="11254" s="2043" customFormat="1" x14ac:dyDescent="0.2"/>
    <row r="11255" s="2043" customFormat="1" x14ac:dyDescent="0.2"/>
    <row r="11256" s="2043" customFormat="1" x14ac:dyDescent="0.2"/>
    <row r="11257" s="2043" customFormat="1" x14ac:dyDescent="0.2"/>
    <row r="11258" s="2043" customFormat="1" x14ac:dyDescent="0.2"/>
    <row r="11259" s="2043" customFormat="1" x14ac:dyDescent="0.2"/>
    <row r="11260" s="2043" customFormat="1" x14ac:dyDescent="0.2"/>
    <row r="11261" s="2043" customFormat="1" x14ac:dyDescent="0.2"/>
    <row r="11262" s="2043" customFormat="1" x14ac:dyDescent="0.2"/>
    <row r="11263" s="2043" customFormat="1" x14ac:dyDescent="0.2"/>
    <row r="11264" s="2043" customFormat="1" x14ac:dyDescent="0.2"/>
    <row r="11265" s="2043" customFormat="1" x14ac:dyDescent="0.2"/>
    <row r="11266" s="2043" customFormat="1" x14ac:dyDescent="0.2"/>
    <row r="11267" s="2043" customFormat="1" x14ac:dyDescent="0.2"/>
    <row r="11268" s="2043" customFormat="1" x14ac:dyDescent="0.2"/>
    <row r="11269" s="2043" customFormat="1" x14ac:dyDescent="0.2"/>
    <row r="11270" s="2043" customFormat="1" x14ac:dyDescent="0.2"/>
    <row r="11271" s="2043" customFormat="1" x14ac:dyDescent="0.2"/>
    <row r="11272" s="2043" customFormat="1" x14ac:dyDescent="0.2"/>
    <row r="11273" s="2043" customFormat="1" x14ac:dyDescent="0.2"/>
    <row r="11274" s="2043" customFormat="1" x14ac:dyDescent="0.2"/>
    <row r="11275" s="2043" customFormat="1" x14ac:dyDescent="0.2"/>
    <row r="11276" s="2043" customFormat="1" x14ac:dyDescent="0.2"/>
    <row r="11277" s="2043" customFormat="1" x14ac:dyDescent="0.2"/>
    <row r="11278" s="2043" customFormat="1" x14ac:dyDescent="0.2"/>
    <row r="11279" s="2043" customFormat="1" x14ac:dyDescent="0.2"/>
    <row r="11280" s="2043" customFormat="1" x14ac:dyDescent="0.2"/>
    <row r="11281" s="2043" customFormat="1" x14ac:dyDescent="0.2"/>
    <row r="11282" s="2043" customFormat="1" x14ac:dyDescent="0.2"/>
    <row r="11283" s="2043" customFormat="1" x14ac:dyDescent="0.2"/>
    <row r="11284" s="2043" customFormat="1" x14ac:dyDescent="0.2"/>
    <row r="11285" s="2043" customFormat="1" x14ac:dyDescent="0.2"/>
    <row r="11286" s="2043" customFormat="1" x14ac:dyDescent="0.2"/>
    <row r="11287" s="2043" customFormat="1" x14ac:dyDescent="0.2"/>
    <row r="11288" s="2043" customFormat="1" x14ac:dyDescent="0.2"/>
    <row r="11289" s="2043" customFormat="1" x14ac:dyDescent="0.2"/>
    <row r="11290" s="2043" customFormat="1" x14ac:dyDescent="0.2"/>
    <row r="11291" s="2043" customFormat="1" x14ac:dyDescent="0.2"/>
    <row r="11292" s="2043" customFormat="1" x14ac:dyDescent="0.2"/>
    <row r="11293" s="2043" customFormat="1" x14ac:dyDescent="0.2"/>
    <row r="11294" s="2043" customFormat="1" x14ac:dyDescent="0.2"/>
    <row r="11295" s="2043" customFormat="1" x14ac:dyDescent="0.2"/>
    <row r="11296" s="2043" customFormat="1" x14ac:dyDescent="0.2"/>
    <row r="11297" s="2043" customFormat="1" x14ac:dyDescent="0.2"/>
    <row r="11298" s="2043" customFormat="1" x14ac:dyDescent="0.2"/>
    <row r="11299" s="2043" customFormat="1" x14ac:dyDescent="0.2"/>
    <row r="11300" s="2043" customFormat="1" x14ac:dyDescent="0.2"/>
    <row r="11301" s="2043" customFormat="1" x14ac:dyDescent="0.2"/>
    <row r="11302" s="2043" customFormat="1" x14ac:dyDescent="0.2"/>
    <row r="11303" s="2043" customFormat="1" x14ac:dyDescent="0.2"/>
    <row r="11304" s="2043" customFormat="1" x14ac:dyDescent="0.2"/>
    <row r="11305" s="2043" customFormat="1" x14ac:dyDescent="0.2"/>
    <row r="11306" s="2043" customFormat="1" x14ac:dyDescent="0.2"/>
    <row r="11307" s="2043" customFormat="1" x14ac:dyDescent="0.2"/>
    <row r="11308" s="2043" customFormat="1" x14ac:dyDescent="0.2"/>
    <row r="11309" s="2043" customFormat="1" x14ac:dyDescent="0.2"/>
    <row r="11310" s="2043" customFormat="1" x14ac:dyDescent="0.2"/>
    <row r="11311" s="2043" customFormat="1" x14ac:dyDescent="0.2"/>
    <row r="11312" s="2043" customFormat="1" x14ac:dyDescent="0.2"/>
    <row r="11313" s="2043" customFormat="1" x14ac:dyDescent="0.2"/>
    <row r="11314" s="2043" customFormat="1" x14ac:dyDescent="0.2"/>
    <row r="11315" s="2043" customFormat="1" x14ac:dyDescent="0.2"/>
    <row r="11316" s="2043" customFormat="1" x14ac:dyDescent="0.2"/>
    <row r="11317" s="2043" customFormat="1" x14ac:dyDescent="0.2"/>
    <row r="11318" s="2043" customFormat="1" x14ac:dyDescent="0.2"/>
    <row r="11319" s="2043" customFormat="1" x14ac:dyDescent="0.2"/>
    <row r="11320" s="2043" customFormat="1" x14ac:dyDescent="0.2"/>
    <row r="11321" s="2043" customFormat="1" x14ac:dyDescent="0.2"/>
    <row r="11322" s="2043" customFormat="1" x14ac:dyDescent="0.2"/>
    <row r="11323" s="2043" customFormat="1" x14ac:dyDescent="0.2"/>
    <row r="11324" s="2043" customFormat="1" x14ac:dyDescent="0.2"/>
    <row r="11325" s="2043" customFormat="1" x14ac:dyDescent="0.2"/>
    <row r="11326" s="2043" customFormat="1" x14ac:dyDescent="0.2"/>
    <row r="11327" s="2043" customFormat="1" x14ac:dyDescent="0.2"/>
    <row r="11328" s="2043" customFormat="1" x14ac:dyDescent="0.2"/>
    <row r="11329" s="2043" customFormat="1" x14ac:dyDescent="0.2"/>
    <row r="11330" s="2043" customFormat="1" x14ac:dyDescent="0.2"/>
    <row r="11331" s="2043" customFormat="1" x14ac:dyDescent="0.2"/>
    <row r="11332" s="2043" customFormat="1" x14ac:dyDescent="0.2"/>
    <row r="11333" s="2043" customFormat="1" x14ac:dyDescent="0.2"/>
    <row r="11334" s="2043" customFormat="1" x14ac:dyDescent="0.2"/>
    <row r="11335" s="2043" customFormat="1" x14ac:dyDescent="0.2"/>
    <row r="11336" s="2043" customFormat="1" x14ac:dyDescent="0.2"/>
    <row r="11337" s="2043" customFormat="1" x14ac:dyDescent="0.2"/>
    <row r="11338" s="2043" customFormat="1" x14ac:dyDescent="0.2"/>
    <row r="11339" s="2043" customFormat="1" x14ac:dyDescent="0.2"/>
    <row r="11340" s="2043" customFormat="1" x14ac:dyDescent="0.2"/>
    <row r="11341" s="2043" customFormat="1" x14ac:dyDescent="0.2"/>
    <row r="11342" s="2043" customFormat="1" x14ac:dyDescent="0.2"/>
    <row r="11343" s="2043" customFormat="1" x14ac:dyDescent="0.2"/>
    <row r="11344" s="2043" customFormat="1" x14ac:dyDescent="0.2"/>
    <row r="11345" s="2043" customFormat="1" x14ac:dyDescent="0.2"/>
    <row r="11346" s="2043" customFormat="1" x14ac:dyDescent="0.2"/>
    <row r="11347" s="2043" customFormat="1" x14ac:dyDescent="0.2"/>
    <row r="11348" s="2043" customFormat="1" x14ac:dyDescent="0.2"/>
    <row r="11349" s="2043" customFormat="1" x14ac:dyDescent="0.2"/>
    <row r="11350" s="2043" customFormat="1" x14ac:dyDescent="0.2"/>
    <row r="11351" s="2043" customFormat="1" x14ac:dyDescent="0.2"/>
    <row r="11352" s="2043" customFormat="1" x14ac:dyDescent="0.2"/>
    <row r="11353" s="2043" customFormat="1" x14ac:dyDescent="0.2"/>
    <row r="11354" s="2043" customFormat="1" x14ac:dyDescent="0.2"/>
    <row r="11355" s="2043" customFormat="1" x14ac:dyDescent="0.2"/>
    <row r="11356" s="2043" customFormat="1" x14ac:dyDescent="0.2"/>
    <row r="11357" s="2043" customFormat="1" x14ac:dyDescent="0.2"/>
    <row r="11358" s="2043" customFormat="1" x14ac:dyDescent="0.2"/>
    <row r="11359" s="2043" customFormat="1" x14ac:dyDescent="0.2"/>
    <row r="11360" s="2043" customFormat="1" x14ac:dyDescent="0.2"/>
    <row r="11361" s="2043" customFormat="1" x14ac:dyDescent="0.2"/>
    <row r="11362" s="2043" customFormat="1" x14ac:dyDescent="0.2"/>
    <row r="11363" s="2043" customFormat="1" x14ac:dyDescent="0.2"/>
    <row r="11364" s="2043" customFormat="1" x14ac:dyDescent="0.2"/>
    <row r="11365" s="2043" customFormat="1" x14ac:dyDescent="0.2"/>
    <row r="11366" s="2043" customFormat="1" x14ac:dyDescent="0.2"/>
    <row r="11367" s="2043" customFormat="1" x14ac:dyDescent="0.2"/>
    <row r="11368" s="2043" customFormat="1" x14ac:dyDescent="0.2"/>
    <row r="11369" s="2043" customFormat="1" x14ac:dyDescent="0.2"/>
    <row r="11370" s="2043" customFormat="1" x14ac:dyDescent="0.2"/>
    <row r="11371" s="2043" customFormat="1" x14ac:dyDescent="0.2"/>
    <row r="11372" s="2043" customFormat="1" x14ac:dyDescent="0.2"/>
    <row r="11373" s="2043" customFormat="1" x14ac:dyDescent="0.2"/>
    <row r="11374" s="2043" customFormat="1" x14ac:dyDescent="0.2"/>
    <row r="11375" s="2043" customFormat="1" x14ac:dyDescent="0.2"/>
    <row r="11376" s="2043" customFormat="1" x14ac:dyDescent="0.2"/>
    <row r="11377" s="2043" customFormat="1" x14ac:dyDescent="0.2"/>
    <row r="11378" s="2043" customFormat="1" x14ac:dyDescent="0.2"/>
    <row r="11379" s="2043" customFormat="1" x14ac:dyDescent="0.2"/>
    <row r="11380" s="2043" customFormat="1" x14ac:dyDescent="0.2"/>
    <row r="11381" s="2043" customFormat="1" x14ac:dyDescent="0.2"/>
    <row r="11382" s="2043" customFormat="1" x14ac:dyDescent="0.2"/>
    <row r="11383" s="2043" customFormat="1" x14ac:dyDescent="0.2"/>
    <row r="11384" s="2043" customFormat="1" x14ac:dyDescent="0.2"/>
    <row r="11385" s="2043" customFormat="1" x14ac:dyDescent="0.2"/>
    <row r="11386" s="2043" customFormat="1" x14ac:dyDescent="0.2"/>
    <row r="11387" s="2043" customFormat="1" x14ac:dyDescent="0.2"/>
    <row r="11388" s="2043" customFormat="1" x14ac:dyDescent="0.2"/>
    <row r="11389" s="2043" customFormat="1" x14ac:dyDescent="0.2"/>
    <row r="11390" s="2043" customFormat="1" x14ac:dyDescent="0.2"/>
    <row r="11391" s="2043" customFormat="1" x14ac:dyDescent="0.2"/>
    <row r="11392" s="2043" customFormat="1" x14ac:dyDescent="0.2"/>
    <row r="11393" s="2043" customFormat="1" x14ac:dyDescent="0.2"/>
    <row r="11394" s="2043" customFormat="1" x14ac:dyDescent="0.2"/>
    <row r="11395" s="2043" customFormat="1" x14ac:dyDescent="0.2"/>
    <row r="11396" s="2043" customFormat="1" x14ac:dyDescent="0.2"/>
    <row r="11397" s="2043" customFormat="1" x14ac:dyDescent="0.2"/>
    <row r="11398" s="2043" customFormat="1" x14ac:dyDescent="0.2"/>
    <row r="11399" s="2043" customFormat="1" x14ac:dyDescent="0.2"/>
    <row r="11400" s="2043" customFormat="1" x14ac:dyDescent="0.2"/>
    <row r="11401" s="2043" customFormat="1" x14ac:dyDescent="0.2"/>
    <row r="11402" s="2043" customFormat="1" x14ac:dyDescent="0.2"/>
    <row r="11403" s="2043" customFormat="1" x14ac:dyDescent="0.2"/>
    <row r="11404" s="2043" customFormat="1" x14ac:dyDescent="0.2"/>
    <row r="11405" s="2043" customFormat="1" x14ac:dyDescent="0.2"/>
    <row r="11406" s="2043" customFormat="1" x14ac:dyDescent="0.2"/>
    <row r="11407" s="2043" customFormat="1" x14ac:dyDescent="0.2"/>
    <row r="11408" s="2043" customFormat="1" x14ac:dyDescent="0.2"/>
    <row r="11409" s="2043" customFormat="1" x14ac:dyDescent="0.2"/>
    <row r="11410" s="2043" customFormat="1" x14ac:dyDescent="0.2"/>
    <row r="11411" s="2043" customFormat="1" x14ac:dyDescent="0.2"/>
    <row r="11412" s="2043" customFormat="1" x14ac:dyDescent="0.2"/>
    <row r="11413" s="2043" customFormat="1" x14ac:dyDescent="0.2"/>
    <row r="11414" s="2043" customFormat="1" x14ac:dyDescent="0.2"/>
    <row r="11415" s="2043" customFormat="1" x14ac:dyDescent="0.2"/>
    <row r="11416" s="2043" customFormat="1" x14ac:dyDescent="0.2"/>
    <row r="11417" s="2043" customFormat="1" x14ac:dyDescent="0.2"/>
    <row r="11418" s="2043" customFormat="1" x14ac:dyDescent="0.2"/>
    <row r="11419" s="2043" customFormat="1" x14ac:dyDescent="0.2"/>
    <row r="11420" s="2043" customFormat="1" x14ac:dyDescent="0.2"/>
    <row r="11421" s="2043" customFormat="1" x14ac:dyDescent="0.2"/>
    <row r="11422" s="2043" customFormat="1" x14ac:dyDescent="0.2"/>
    <row r="11423" s="2043" customFormat="1" x14ac:dyDescent="0.2"/>
    <row r="11424" s="2043" customFormat="1" x14ac:dyDescent="0.2"/>
    <row r="11425" s="2043" customFormat="1" x14ac:dyDescent="0.2"/>
    <row r="11426" s="2043" customFormat="1" x14ac:dyDescent="0.2"/>
    <row r="11427" s="2043" customFormat="1" x14ac:dyDescent="0.2"/>
    <row r="11428" s="2043" customFormat="1" x14ac:dyDescent="0.2"/>
    <row r="11429" s="2043" customFormat="1" x14ac:dyDescent="0.2"/>
    <row r="11430" s="2043" customFormat="1" x14ac:dyDescent="0.2"/>
    <row r="11431" s="2043" customFormat="1" x14ac:dyDescent="0.2"/>
    <row r="11432" s="2043" customFormat="1" x14ac:dyDescent="0.2"/>
    <row r="11433" s="2043" customFormat="1" x14ac:dyDescent="0.2"/>
    <row r="11434" s="2043" customFormat="1" x14ac:dyDescent="0.2"/>
    <row r="11435" s="2043" customFormat="1" x14ac:dyDescent="0.2"/>
    <row r="11436" s="2043" customFormat="1" x14ac:dyDescent="0.2"/>
    <row r="11437" s="2043" customFormat="1" x14ac:dyDescent="0.2"/>
    <row r="11438" s="2043" customFormat="1" x14ac:dyDescent="0.2"/>
    <row r="11439" s="2043" customFormat="1" x14ac:dyDescent="0.2"/>
    <row r="11440" s="2043" customFormat="1" x14ac:dyDescent="0.2"/>
    <row r="11441" s="2043" customFormat="1" x14ac:dyDescent="0.2"/>
    <row r="11442" s="2043" customFormat="1" x14ac:dyDescent="0.2"/>
    <row r="11443" s="2043" customFormat="1" x14ac:dyDescent="0.2"/>
    <row r="11444" s="2043" customFormat="1" x14ac:dyDescent="0.2"/>
    <row r="11445" s="2043" customFormat="1" x14ac:dyDescent="0.2"/>
    <row r="11446" s="2043" customFormat="1" x14ac:dyDescent="0.2"/>
    <row r="11447" s="2043" customFormat="1" x14ac:dyDescent="0.2"/>
    <row r="11448" s="2043" customFormat="1" x14ac:dyDescent="0.2"/>
    <row r="11449" s="2043" customFormat="1" x14ac:dyDescent="0.2"/>
    <row r="11450" s="2043" customFormat="1" x14ac:dyDescent="0.2"/>
    <row r="11451" s="2043" customFormat="1" x14ac:dyDescent="0.2"/>
    <row r="11452" s="2043" customFormat="1" x14ac:dyDescent="0.2"/>
    <row r="11453" s="2043" customFormat="1" x14ac:dyDescent="0.2"/>
    <row r="11454" s="2043" customFormat="1" x14ac:dyDescent="0.2"/>
    <row r="11455" s="2043" customFormat="1" x14ac:dyDescent="0.2"/>
    <row r="11456" s="2043" customFormat="1" x14ac:dyDescent="0.2"/>
    <row r="11457" s="2043" customFormat="1" x14ac:dyDescent="0.2"/>
    <row r="11458" s="2043" customFormat="1" x14ac:dyDescent="0.2"/>
    <row r="11459" s="2043" customFormat="1" x14ac:dyDescent="0.2"/>
    <row r="11460" s="2043" customFormat="1" x14ac:dyDescent="0.2"/>
    <row r="11461" s="2043" customFormat="1" x14ac:dyDescent="0.2"/>
    <row r="11462" s="2043" customFormat="1" x14ac:dyDescent="0.2"/>
    <row r="11463" s="2043" customFormat="1" x14ac:dyDescent="0.2"/>
    <row r="11464" s="2043" customFormat="1" x14ac:dyDescent="0.2"/>
    <row r="11465" s="2043" customFormat="1" x14ac:dyDescent="0.2"/>
    <row r="11466" s="2043" customFormat="1" x14ac:dyDescent="0.2"/>
    <row r="11467" s="2043" customFormat="1" x14ac:dyDescent="0.2"/>
    <row r="11468" s="2043" customFormat="1" x14ac:dyDescent="0.2"/>
    <row r="11469" s="2043" customFormat="1" x14ac:dyDescent="0.2"/>
    <row r="11470" s="2043" customFormat="1" x14ac:dyDescent="0.2"/>
    <row r="11471" s="2043" customFormat="1" x14ac:dyDescent="0.2"/>
    <row r="11472" s="2043" customFormat="1" x14ac:dyDescent="0.2"/>
    <row r="11473" s="2043" customFormat="1" x14ac:dyDescent="0.2"/>
    <row r="11474" s="2043" customFormat="1" x14ac:dyDescent="0.2"/>
    <row r="11475" s="2043" customFormat="1" x14ac:dyDescent="0.2"/>
    <row r="11476" s="2043" customFormat="1" x14ac:dyDescent="0.2"/>
    <row r="11477" s="2043" customFormat="1" x14ac:dyDescent="0.2"/>
    <row r="11478" s="2043" customFormat="1" x14ac:dyDescent="0.2"/>
    <row r="11479" s="2043" customFormat="1" x14ac:dyDescent="0.2"/>
    <row r="11480" s="2043" customFormat="1" x14ac:dyDescent="0.2"/>
    <row r="11481" s="2043" customFormat="1" x14ac:dyDescent="0.2"/>
    <row r="11482" s="2043" customFormat="1" x14ac:dyDescent="0.2"/>
    <row r="11483" s="2043" customFormat="1" x14ac:dyDescent="0.2"/>
    <row r="11484" s="2043" customFormat="1" x14ac:dyDescent="0.2"/>
    <row r="11485" s="2043" customFormat="1" x14ac:dyDescent="0.2"/>
    <row r="11486" s="2043" customFormat="1" x14ac:dyDescent="0.2"/>
    <row r="11487" s="2043" customFormat="1" x14ac:dyDescent="0.2"/>
    <row r="11488" s="2043" customFormat="1" x14ac:dyDescent="0.2"/>
    <row r="11489" s="2043" customFormat="1" x14ac:dyDescent="0.2"/>
    <row r="11490" s="2043" customFormat="1" x14ac:dyDescent="0.2"/>
    <row r="11491" s="2043" customFormat="1" x14ac:dyDescent="0.2"/>
    <row r="11492" s="2043" customFormat="1" x14ac:dyDescent="0.2"/>
    <row r="11493" s="2043" customFormat="1" x14ac:dyDescent="0.2"/>
    <row r="11494" s="2043" customFormat="1" x14ac:dyDescent="0.2"/>
    <row r="11495" s="2043" customFormat="1" x14ac:dyDescent="0.2"/>
    <row r="11496" s="2043" customFormat="1" x14ac:dyDescent="0.2"/>
    <row r="11497" s="2043" customFormat="1" x14ac:dyDescent="0.2"/>
    <row r="11498" s="2043" customFormat="1" x14ac:dyDescent="0.2"/>
    <row r="11499" s="2043" customFormat="1" x14ac:dyDescent="0.2"/>
    <row r="11500" s="2043" customFormat="1" x14ac:dyDescent="0.2"/>
    <row r="11501" s="2043" customFormat="1" x14ac:dyDescent="0.2"/>
    <row r="11502" s="2043" customFormat="1" x14ac:dyDescent="0.2"/>
    <row r="11503" s="2043" customFormat="1" x14ac:dyDescent="0.2"/>
    <row r="11504" s="2043" customFormat="1" x14ac:dyDescent="0.2"/>
    <row r="11505" s="2043" customFormat="1" x14ac:dyDescent="0.2"/>
    <row r="11506" s="2043" customFormat="1" x14ac:dyDescent="0.2"/>
    <row r="11507" s="2043" customFormat="1" x14ac:dyDescent="0.2"/>
    <row r="11508" s="2043" customFormat="1" x14ac:dyDescent="0.2"/>
    <row r="11509" s="2043" customFormat="1" x14ac:dyDescent="0.2"/>
    <row r="11510" s="2043" customFormat="1" x14ac:dyDescent="0.2"/>
    <row r="11511" s="2043" customFormat="1" x14ac:dyDescent="0.2"/>
    <row r="11512" s="2043" customFormat="1" x14ac:dyDescent="0.2"/>
    <row r="11513" s="2043" customFormat="1" x14ac:dyDescent="0.2"/>
    <row r="11514" s="2043" customFormat="1" x14ac:dyDescent="0.2"/>
    <row r="11515" s="2043" customFormat="1" x14ac:dyDescent="0.2"/>
    <row r="11516" s="2043" customFormat="1" x14ac:dyDescent="0.2"/>
    <row r="11517" s="2043" customFormat="1" x14ac:dyDescent="0.2"/>
    <row r="11518" s="2043" customFormat="1" x14ac:dyDescent="0.2"/>
    <row r="11519" s="2043" customFormat="1" x14ac:dyDescent="0.2"/>
    <row r="11520" s="2043" customFormat="1" x14ac:dyDescent="0.2"/>
    <row r="11521" s="2043" customFormat="1" x14ac:dyDescent="0.2"/>
    <row r="11522" s="2043" customFormat="1" x14ac:dyDescent="0.2"/>
    <row r="11523" s="2043" customFormat="1" x14ac:dyDescent="0.2"/>
    <row r="11524" s="2043" customFormat="1" x14ac:dyDescent="0.2"/>
    <row r="11525" s="2043" customFormat="1" x14ac:dyDescent="0.2"/>
    <row r="11526" s="2043" customFormat="1" x14ac:dyDescent="0.2"/>
    <row r="11527" s="2043" customFormat="1" x14ac:dyDescent="0.2"/>
    <row r="11528" s="2043" customFormat="1" x14ac:dyDescent="0.2"/>
    <row r="11529" s="2043" customFormat="1" x14ac:dyDescent="0.2"/>
    <row r="11530" s="2043" customFormat="1" x14ac:dyDescent="0.2"/>
    <row r="11531" s="2043" customFormat="1" x14ac:dyDescent="0.2"/>
    <row r="11532" s="2043" customFormat="1" x14ac:dyDescent="0.2"/>
    <row r="11533" s="2043" customFormat="1" x14ac:dyDescent="0.2"/>
    <row r="11534" s="2043" customFormat="1" x14ac:dyDescent="0.2"/>
    <row r="11535" s="2043" customFormat="1" x14ac:dyDescent="0.2"/>
    <row r="11536" s="2043" customFormat="1" x14ac:dyDescent="0.2"/>
    <row r="11537" s="2043" customFormat="1" x14ac:dyDescent="0.2"/>
    <row r="11538" s="2043" customFormat="1" x14ac:dyDescent="0.2"/>
    <row r="11539" s="2043" customFormat="1" x14ac:dyDescent="0.2"/>
    <row r="11540" s="2043" customFormat="1" x14ac:dyDescent="0.2"/>
    <row r="11541" s="2043" customFormat="1" x14ac:dyDescent="0.2"/>
    <row r="11542" s="2043" customFormat="1" x14ac:dyDescent="0.2"/>
    <row r="11543" s="2043" customFormat="1" x14ac:dyDescent="0.2"/>
    <row r="11544" s="2043" customFormat="1" x14ac:dyDescent="0.2"/>
    <row r="11545" s="2043" customFormat="1" x14ac:dyDescent="0.2"/>
    <row r="11546" s="2043" customFormat="1" x14ac:dyDescent="0.2"/>
    <row r="11547" s="2043" customFormat="1" x14ac:dyDescent="0.2"/>
    <row r="11548" s="2043" customFormat="1" x14ac:dyDescent="0.2"/>
    <row r="11549" s="2043" customFormat="1" x14ac:dyDescent="0.2"/>
    <row r="11550" s="2043" customFormat="1" x14ac:dyDescent="0.2"/>
    <row r="11551" s="2043" customFormat="1" x14ac:dyDescent="0.2"/>
    <row r="11552" s="2043" customFormat="1" x14ac:dyDescent="0.2"/>
    <row r="11553" s="2043" customFormat="1" x14ac:dyDescent="0.2"/>
    <row r="11554" s="2043" customFormat="1" x14ac:dyDescent="0.2"/>
    <row r="11555" s="2043" customFormat="1" x14ac:dyDescent="0.2"/>
    <row r="11556" s="2043" customFormat="1" x14ac:dyDescent="0.2"/>
    <row r="11557" s="2043" customFormat="1" x14ac:dyDescent="0.2"/>
    <row r="11558" s="2043" customFormat="1" x14ac:dyDescent="0.2"/>
    <row r="11559" s="2043" customFormat="1" x14ac:dyDescent="0.2"/>
    <row r="11560" s="2043" customFormat="1" x14ac:dyDescent="0.2"/>
    <row r="11561" s="2043" customFormat="1" x14ac:dyDescent="0.2"/>
    <row r="11562" s="2043" customFormat="1" x14ac:dyDescent="0.2"/>
    <row r="11563" s="2043" customFormat="1" x14ac:dyDescent="0.2"/>
    <row r="11564" s="2043" customFormat="1" x14ac:dyDescent="0.2"/>
    <row r="11565" s="2043" customFormat="1" x14ac:dyDescent="0.2"/>
    <row r="11566" s="2043" customFormat="1" x14ac:dyDescent="0.2"/>
    <row r="11567" s="2043" customFormat="1" x14ac:dyDescent="0.2"/>
    <row r="11568" s="2043" customFormat="1" x14ac:dyDescent="0.2"/>
    <row r="11569" s="2043" customFormat="1" x14ac:dyDescent="0.2"/>
    <row r="11570" s="2043" customFormat="1" x14ac:dyDescent="0.2"/>
    <row r="11571" s="2043" customFormat="1" x14ac:dyDescent="0.2"/>
    <row r="11572" s="2043" customFormat="1" x14ac:dyDescent="0.2"/>
    <row r="11573" s="2043" customFormat="1" x14ac:dyDescent="0.2"/>
    <row r="11574" s="2043" customFormat="1" x14ac:dyDescent="0.2"/>
    <row r="11575" s="2043" customFormat="1" x14ac:dyDescent="0.2"/>
    <row r="11576" s="2043" customFormat="1" x14ac:dyDescent="0.2"/>
    <row r="11577" s="2043" customFormat="1" x14ac:dyDescent="0.2"/>
    <row r="11578" s="2043" customFormat="1" x14ac:dyDescent="0.2"/>
    <row r="11579" s="2043" customFormat="1" x14ac:dyDescent="0.2"/>
    <row r="11580" s="2043" customFormat="1" x14ac:dyDescent="0.2"/>
    <row r="11581" s="2043" customFormat="1" x14ac:dyDescent="0.2"/>
    <row r="11582" s="2043" customFormat="1" x14ac:dyDescent="0.2"/>
    <row r="11583" s="2043" customFormat="1" x14ac:dyDescent="0.2"/>
    <row r="11584" s="2043" customFormat="1" x14ac:dyDescent="0.2"/>
    <row r="11585" s="2043" customFormat="1" x14ac:dyDescent="0.2"/>
    <row r="11586" s="2043" customFormat="1" x14ac:dyDescent="0.2"/>
    <row r="11587" s="2043" customFormat="1" x14ac:dyDescent="0.2"/>
    <row r="11588" s="2043" customFormat="1" x14ac:dyDescent="0.2"/>
    <row r="11589" s="2043" customFormat="1" x14ac:dyDescent="0.2"/>
    <row r="11590" s="2043" customFormat="1" x14ac:dyDescent="0.2"/>
    <row r="11591" s="2043" customFormat="1" x14ac:dyDescent="0.2"/>
    <row r="11592" s="2043" customFormat="1" x14ac:dyDescent="0.2"/>
    <row r="11593" s="2043" customFormat="1" x14ac:dyDescent="0.2"/>
    <row r="11594" s="2043" customFormat="1" x14ac:dyDescent="0.2"/>
    <row r="11595" s="2043" customFormat="1" x14ac:dyDescent="0.2"/>
    <row r="11596" s="2043" customFormat="1" x14ac:dyDescent="0.2"/>
    <row r="11597" s="2043" customFormat="1" x14ac:dyDescent="0.2"/>
    <row r="11598" s="2043" customFormat="1" x14ac:dyDescent="0.2"/>
    <row r="11599" s="2043" customFormat="1" x14ac:dyDescent="0.2"/>
    <row r="11600" s="2043" customFormat="1" x14ac:dyDescent="0.2"/>
    <row r="11601" s="2043" customFormat="1" x14ac:dyDescent="0.2"/>
    <row r="11602" s="2043" customFormat="1" x14ac:dyDescent="0.2"/>
    <row r="11603" s="2043" customFormat="1" x14ac:dyDescent="0.2"/>
    <row r="11604" s="2043" customFormat="1" x14ac:dyDescent="0.2"/>
    <row r="11605" s="2043" customFormat="1" x14ac:dyDescent="0.2"/>
    <row r="11606" s="2043" customFormat="1" x14ac:dyDescent="0.2"/>
    <row r="11607" s="2043" customFormat="1" x14ac:dyDescent="0.2"/>
    <row r="11608" s="2043" customFormat="1" x14ac:dyDescent="0.2"/>
    <row r="11609" s="2043" customFormat="1" x14ac:dyDescent="0.2"/>
    <row r="11610" s="2043" customFormat="1" x14ac:dyDescent="0.2"/>
    <row r="11611" s="2043" customFormat="1" x14ac:dyDescent="0.2"/>
    <row r="11612" s="2043" customFormat="1" x14ac:dyDescent="0.2"/>
    <row r="11613" s="2043" customFormat="1" x14ac:dyDescent="0.2"/>
    <row r="11614" s="2043" customFormat="1" x14ac:dyDescent="0.2"/>
    <row r="11615" s="2043" customFormat="1" x14ac:dyDescent="0.2"/>
    <row r="11616" s="2043" customFormat="1" x14ac:dyDescent="0.2"/>
    <row r="11617" s="2043" customFormat="1" x14ac:dyDescent="0.2"/>
    <row r="11618" s="2043" customFormat="1" x14ac:dyDescent="0.2"/>
    <row r="11619" s="2043" customFormat="1" x14ac:dyDescent="0.2"/>
    <row r="11620" s="2043" customFormat="1" x14ac:dyDescent="0.2"/>
    <row r="11621" s="2043" customFormat="1" x14ac:dyDescent="0.2"/>
    <row r="11622" s="2043" customFormat="1" x14ac:dyDescent="0.2"/>
    <row r="11623" s="2043" customFormat="1" x14ac:dyDescent="0.2"/>
    <row r="11624" s="2043" customFormat="1" x14ac:dyDescent="0.2"/>
    <row r="11625" s="2043" customFormat="1" x14ac:dyDescent="0.2"/>
    <row r="11626" s="2043" customFormat="1" x14ac:dyDescent="0.2"/>
    <row r="11627" s="2043" customFormat="1" x14ac:dyDescent="0.2"/>
    <row r="11628" s="2043" customFormat="1" x14ac:dyDescent="0.2"/>
    <row r="11629" s="2043" customFormat="1" x14ac:dyDescent="0.2"/>
    <row r="11630" s="2043" customFormat="1" x14ac:dyDescent="0.2"/>
    <row r="11631" s="2043" customFormat="1" x14ac:dyDescent="0.2"/>
    <row r="11632" s="2043" customFormat="1" x14ac:dyDescent="0.2"/>
    <row r="11633" s="2043" customFormat="1" x14ac:dyDescent="0.2"/>
    <row r="11634" s="2043" customFormat="1" x14ac:dyDescent="0.2"/>
    <row r="11635" s="2043" customFormat="1" x14ac:dyDescent="0.2"/>
    <row r="11636" s="2043" customFormat="1" x14ac:dyDescent="0.2"/>
    <row r="11637" s="2043" customFormat="1" x14ac:dyDescent="0.2"/>
    <row r="11638" s="2043" customFormat="1" x14ac:dyDescent="0.2"/>
    <row r="11639" s="2043" customFormat="1" x14ac:dyDescent="0.2"/>
    <row r="11640" s="2043" customFormat="1" x14ac:dyDescent="0.2"/>
    <row r="11641" s="2043" customFormat="1" x14ac:dyDescent="0.2"/>
    <row r="11642" s="2043" customFormat="1" x14ac:dyDescent="0.2"/>
    <row r="11643" s="2043" customFormat="1" x14ac:dyDescent="0.2"/>
    <row r="11644" s="2043" customFormat="1" x14ac:dyDescent="0.2"/>
    <row r="11645" s="2043" customFormat="1" x14ac:dyDescent="0.2"/>
    <row r="11646" s="2043" customFormat="1" x14ac:dyDescent="0.2"/>
    <row r="11647" s="2043" customFormat="1" x14ac:dyDescent="0.2"/>
    <row r="11648" s="2043" customFormat="1" x14ac:dyDescent="0.2"/>
    <row r="11649" s="2043" customFormat="1" x14ac:dyDescent="0.2"/>
    <row r="11650" s="2043" customFormat="1" x14ac:dyDescent="0.2"/>
    <row r="11651" s="2043" customFormat="1" x14ac:dyDescent="0.2"/>
    <row r="11652" s="2043" customFormat="1" x14ac:dyDescent="0.2"/>
    <row r="11653" s="2043" customFormat="1" x14ac:dyDescent="0.2"/>
    <row r="11654" s="2043" customFormat="1" x14ac:dyDescent="0.2"/>
    <row r="11655" s="2043" customFormat="1" x14ac:dyDescent="0.2"/>
    <row r="11656" s="2043" customFormat="1" x14ac:dyDescent="0.2"/>
    <row r="11657" s="2043" customFormat="1" x14ac:dyDescent="0.2"/>
    <row r="11658" s="2043" customFormat="1" x14ac:dyDescent="0.2"/>
    <row r="11659" s="2043" customFormat="1" x14ac:dyDescent="0.2"/>
    <row r="11660" s="2043" customFormat="1" x14ac:dyDescent="0.2"/>
    <row r="11661" s="2043" customFormat="1" x14ac:dyDescent="0.2"/>
    <row r="11662" s="2043" customFormat="1" x14ac:dyDescent="0.2"/>
    <row r="11663" s="2043" customFormat="1" x14ac:dyDescent="0.2"/>
    <row r="11664" s="2043" customFormat="1" x14ac:dyDescent="0.2"/>
    <row r="11665" s="2043" customFormat="1" x14ac:dyDescent="0.2"/>
    <row r="11666" s="2043" customFormat="1" x14ac:dyDescent="0.2"/>
    <row r="11667" s="2043" customFormat="1" x14ac:dyDescent="0.2"/>
    <row r="11668" s="2043" customFormat="1" x14ac:dyDescent="0.2"/>
    <row r="11669" s="2043" customFormat="1" x14ac:dyDescent="0.2"/>
    <row r="11670" s="2043" customFormat="1" x14ac:dyDescent="0.2"/>
    <row r="11671" s="2043" customFormat="1" x14ac:dyDescent="0.2"/>
    <row r="11672" s="2043" customFormat="1" x14ac:dyDescent="0.2"/>
    <row r="11673" s="2043" customFormat="1" x14ac:dyDescent="0.2"/>
    <row r="11674" s="2043" customFormat="1" x14ac:dyDescent="0.2"/>
    <row r="11675" s="2043" customFormat="1" x14ac:dyDescent="0.2"/>
    <row r="11676" s="2043" customFormat="1" x14ac:dyDescent="0.2"/>
    <row r="11677" s="2043" customFormat="1" x14ac:dyDescent="0.2"/>
    <row r="11678" s="2043" customFormat="1" x14ac:dyDescent="0.2"/>
    <row r="11679" s="2043" customFormat="1" x14ac:dyDescent="0.2"/>
    <row r="11680" s="2043" customFormat="1" x14ac:dyDescent="0.2"/>
    <row r="11681" s="2043" customFormat="1" x14ac:dyDescent="0.2"/>
    <row r="11682" s="2043" customFormat="1" x14ac:dyDescent="0.2"/>
    <row r="11683" s="2043" customFormat="1" x14ac:dyDescent="0.2"/>
    <row r="11684" s="2043" customFormat="1" x14ac:dyDescent="0.2"/>
    <row r="11685" s="2043" customFormat="1" x14ac:dyDescent="0.2"/>
    <row r="11686" s="2043" customFormat="1" x14ac:dyDescent="0.2"/>
    <row r="11687" s="2043" customFormat="1" x14ac:dyDescent="0.2"/>
    <row r="11688" s="2043" customFormat="1" x14ac:dyDescent="0.2"/>
    <row r="11689" s="2043" customFormat="1" x14ac:dyDescent="0.2"/>
    <row r="11690" s="2043" customFormat="1" x14ac:dyDescent="0.2"/>
    <row r="11691" s="2043" customFormat="1" x14ac:dyDescent="0.2"/>
    <row r="11692" s="2043" customFormat="1" x14ac:dyDescent="0.2"/>
    <row r="11693" s="2043" customFormat="1" x14ac:dyDescent="0.2"/>
    <row r="11694" s="2043" customFormat="1" x14ac:dyDescent="0.2"/>
    <row r="11695" s="2043" customFormat="1" x14ac:dyDescent="0.2"/>
    <row r="11696" s="2043" customFormat="1" x14ac:dyDescent="0.2"/>
    <row r="11697" s="2043" customFormat="1" x14ac:dyDescent="0.2"/>
    <row r="11698" s="2043" customFormat="1" x14ac:dyDescent="0.2"/>
    <row r="11699" s="2043" customFormat="1" x14ac:dyDescent="0.2"/>
    <row r="11700" s="2043" customFormat="1" x14ac:dyDescent="0.2"/>
    <row r="11701" s="2043" customFormat="1" x14ac:dyDescent="0.2"/>
    <row r="11702" s="2043" customFormat="1" x14ac:dyDescent="0.2"/>
    <row r="11703" s="2043" customFormat="1" x14ac:dyDescent="0.2"/>
    <row r="11704" s="2043" customFormat="1" x14ac:dyDescent="0.2"/>
    <row r="11705" s="2043" customFormat="1" x14ac:dyDescent="0.2"/>
    <row r="11706" s="2043" customFormat="1" x14ac:dyDescent="0.2"/>
    <row r="11707" s="2043" customFormat="1" x14ac:dyDescent="0.2"/>
    <row r="11708" s="2043" customFormat="1" x14ac:dyDescent="0.2"/>
    <row r="11709" s="2043" customFormat="1" x14ac:dyDescent="0.2"/>
    <row r="11710" s="2043" customFormat="1" x14ac:dyDescent="0.2"/>
    <row r="11711" s="2043" customFormat="1" x14ac:dyDescent="0.2"/>
    <row r="11712" s="2043" customFormat="1" x14ac:dyDescent="0.2"/>
    <row r="11713" s="2043" customFormat="1" x14ac:dyDescent="0.2"/>
    <row r="11714" s="2043" customFormat="1" x14ac:dyDescent="0.2"/>
    <row r="11715" s="2043" customFormat="1" x14ac:dyDescent="0.2"/>
    <row r="11716" s="2043" customFormat="1" x14ac:dyDescent="0.2"/>
    <row r="11717" s="2043" customFormat="1" x14ac:dyDescent="0.2"/>
    <row r="11718" s="2043" customFormat="1" x14ac:dyDescent="0.2"/>
    <row r="11719" s="2043" customFormat="1" x14ac:dyDescent="0.2"/>
    <row r="11720" s="2043" customFormat="1" x14ac:dyDescent="0.2"/>
    <row r="11721" s="2043" customFormat="1" x14ac:dyDescent="0.2"/>
    <row r="11722" s="2043" customFormat="1" x14ac:dyDescent="0.2"/>
    <row r="11723" s="2043" customFormat="1" x14ac:dyDescent="0.2"/>
    <row r="11724" s="2043" customFormat="1" x14ac:dyDescent="0.2"/>
    <row r="11725" s="2043" customFormat="1" x14ac:dyDescent="0.2"/>
    <row r="11726" s="2043" customFormat="1" x14ac:dyDescent="0.2"/>
    <row r="11727" s="2043" customFormat="1" x14ac:dyDescent="0.2"/>
    <row r="11728" s="2043" customFormat="1" x14ac:dyDescent="0.2"/>
    <row r="11729" s="2043" customFormat="1" x14ac:dyDescent="0.2"/>
    <row r="11730" s="2043" customFormat="1" x14ac:dyDescent="0.2"/>
    <row r="11731" s="2043" customFormat="1" x14ac:dyDescent="0.2"/>
    <row r="11732" s="2043" customFormat="1" x14ac:dyDescent="0.2"/>
    <row r="11733" s="2043" customFormat="1" x14ac:dyDescent="0.2"/>
    <row r="11734" s="2043" customFormat="1" x14ac:dyDescent="0.2"/>
    <row r="11735" s="2043" customFormat="1" x14ac:dyDescent="0.2"/>
    <row r="11736" s="2043" customFormat="1" x14ac:dyDescent="0.2"/>
    <row r="11737" s="2043" customFormat="1" x14ac:dyDescent="0.2"/>
    <row r="11738" s="2043" customFormat="1" x14ac:dyDescent="0.2"/>
    <row r="11739" s="2043" customFormat="1" x14ac:dyDescent="0.2"/>
    <row r="11740" s="2043" customFormat="1" x14ac:dyDescent="0.2"/>
    <row r="11741" s="2043" customFormat="1" x14ac:dyDescent="0.2"/>
    <row r="11742" s="2043" customFormat="1" x14ac:dyDescent="0.2"/>
    <row r="11743" s="2043" customFormat="1" x14ac:dyDescent="0.2"/>
    <row r="11744" s="2043" customFormat="1" x14ac:dyDescent="0.2"/>
    <row r="11745" s="2043" customFormat="1" x14ac:dyDescent="0.2"/>
    <row r="11746" s="2043" customFormat="1" x14ac:dyDescent="0.2"/>
    <row r="11747" s="2043" customFormat="1" x14ac:dyDescent="0.2"/>
    <row r="11748" s="2043" customFormat="1" x14ac:dyDescent="0.2"/>
    <row r="11749" s="2043" customFormat="1" x14ac:dyDescent="0.2"/>
    <row r="11750" s="2043" customFormat="1" x14ac:dyDescent="0.2"/>
    <row r="11751" s="2043" customFormat="1" x14ac:dyDescent="0.2"/>
    <row r="11752" s="2043" customFormat="1" x14ac:dyDescent="0.2"/>
    <row r="11753" s="2043" customFormat="1" x14ac:dyDescent="0.2"/>
    <row r="11754" s="2043" customFormat="1" x14ac:dyDescent="0.2"/>
    <row r="11755" s="2043" customFormat="1" x14ac:dyDescent="0.2"/>
    <row r="11756" s="2043" customFormat="1" x14ac:dyDescent="0.2"/>
    <row r="11757" s="2043" customFormat="1" x14ac:dyDescent="0.2"/>
    <row r="11758" s="2043" customFormat="1" x14ac:dyDescent="0.2"/>
    <row r="11759" s="2043" customFormat="1" x14ac:dyDescent="0.2"/>
    <row r="11760" s="2043" customFormat="1" x14ac:dyDescent="0.2"/>
    <row r="11761" s="2043" customFormat="1" x14ac:dyDescent="0.2"/>
    <row r="11762" s="2043" customFormat="1" x14ac:dyDescent="0.2"/>
    <row r="11763" s="2043" customFormat="1" x14ac:dyDescent="0.2"/>
    <row r="11764" s="2043" customFormat="1" x14ac:dyDescent="0.2"/>
    <row r="11765" s="2043" customFormat="1" x14ac:dyDescent="0.2"/>
    <row r="11766" s="2043" customFormat="1" x14ac:dyDescent="0.2"/>
    <row r="11767" s="2043" customFormat="1" x14ac:dyDescent="0.2"/>
    <row r="11768" s="2043" customFormat="1" x14ac:dyDescent="0.2"/>
    <row r="11769" s="2043" customFormat="1" x14ac:dyDescent="0.2"/>
    <row r="11770" s="2043" customFormat="1" x14ac:dyDescent="0.2"/>
    <row r="11771" s="2043" customFormat="1" x14ac:dyDescent="0.2"/>
    <row r="11772" s="2043" customFormat="1" x14ac:dyDescent="0.2"/>
    <row r="11773" s="2043" customFormat="1" x14ac:dyDescent="0.2"/>
    <row r="11774" s="2043" customFormat="1" x14ac:dyDescent="0.2"/>
    <row r="11775" s="2043" customFormat="1" x14ac:dyDescent="0.2"/>
    <row r="11776" s="2043" customFormat="1" x14ac:dyDescent="0.2"/>
    <row r="11777" s="2043" customFormat="1" x14ac:dyDescent="0.2"/>
    <row r="11778" s="2043" customFormat="1" x14ac:dyDescent="0.2"/>
    <row r="11779" s="2043" customFormat="1" x14ac:dyDescent="0.2"/>
    <row r="11780" s="2043" customFormat="1" x14ac:dyDescent="0.2"/>
    <row r="11781" s="2043" customFormat="1" x14ac:dyDescent="0.2"/>
    <row r="11782" s="2043" customFormat="1" x14ac:dyDescent="0.2"/>
    <row r="11783" s="2043" customFormat="1" x14ac:dyDescent="0.2"/>
    <row r="11784" s="2043" customFormat="1" x14ac:dyDescent="0.2"/>
    <row r="11785" s="2043" customFormat="1" x14ac:dyDescent="0.2"/>
    <row r="11786" s="2043" customFormat="1" x14ac:dyDescent="0.2"/>
    <row r="11787" s="2043" customFormat="1" x14ac:dyDescent="0.2"/>
    <row r="11788" s="2043" customFormat="1" x14ac:dyDescent="0.2"/>
    <row r="11789" s="2043" customFormat="1" x14ac:dyDescent="0.2"/>
    <row r="11790" s="2043" customFormat="1" x14ac:dyDescent="0.2"/>
    <row r="11791" s="2043" customFormat="1" x14ac:dyDescent="0.2"/>
    <row r="11792" s="2043" customFormat="1" x14ac:dyDescent="0.2"/>
    <row r="11793" s="2043" customFormat="1" x14ac:dyDescent="0.2"/>
    <row r="11794" s="2043" customFormat="1" x14ac:dyDescent="0.2"/>
    <row r="11795" s="2043" customFormat="1" x14ac:dyDescent="0.2"/>
    <row r="11796" s="2043" customFormat="1" x14ac:dyDescent="0.2"/>
    <row r="11797" s="2043" customFormat="1" x14ac:dyDescent="0.2"/>
    <row r="11798" s="2043" customFormat="1" x14ac:dyDescent="0.2"/>
    <row r="11799" s="2043" customFormat="1" x14ac:dyDescent="0.2"/>
    <row r="11800" s="2043" customFormat="1" x14ac:dyDescent="0.2"/>
    <row r="11801" s="2043" customFormat="1" x14ac:dyDescent="0.2"/>
    <row r="11802" s="2043" customFormat="1" x14ac:dyDescent="0.2"/>
    <row r="11803" s="2043" customFormat="1" x14ac:dyDescent="0.2"/>
    <row r="11804" s="2043" customFormat="1" x14ac:dyDescent="0.2"/>
    <row r="11805" s="2043" customFormat="1" x14ac:dyDescent="0.2"/>
    <row r="11806" s="2043" customFormat="1" x14ac:dyDescent="0.2"/>
    <row r="11807" s="2043" customFormat="1" x14ac:dyDescent="0.2"/>
    <row r="11808" s="2043" customFormat="1" x14ac:dyDescent="0.2"/>
    <row r="11809" s="2043" customFormat="1" x14ac:dyDescent="0.2"/>
    <row r="11810" s="2043" customFormat="1" x14ac:dyDescent="0.2"/>
    <row r="11811" s="2043" customFormat="1" x14ac:dyDescent="0.2"/>
    <row r="11812" s="2043" customFormat="1" x14ac:dyDescent="0.2"/>
    <row r="11813" s="2043" customFormat="1" x14ac:dyDescent="0.2"/>
    <row r="11814" s="2043" customFormat="1" x14ac:dyDescent="0.2"/>
    <row r="11815" s="2043" customFormat="1" x14ac:dyDescent="0.2"/>
    <row r="11816" s="2043" customFormat="1" x14ac:dyDescent="0.2"/>
    <row r="11817" s="2043" customFormat="1" x14ac:dyDescent="0.2"/>
    <row r="11818" s="2043" customFormat="1" x14ac:dyDescent="0.2"/>
    <row r="11819" s="2043" customFormat="1" x14ac:dyDescent="0.2"/>
    <row r="11820" s="2043" customFormat="1" x14ac:dyDescent="0.2"/>
    <row r="11821" s="2043" customFormat="1" x14ac:dyDescent="0.2"/>
    <row r="11822" s="2043" customFormat="1" x14ac:dyDescent="0.2"/>
    <row r="11823" s="2043" customFormat="1" x14ac:dyDescent="0.2"/>
    <row r="11824" s="2043" customFormat="1" x14ac:dyDescent="0.2"/>
    <row r="11825" s="2043" customFormat="1" x14ac:dyDescent="0.2"/>
    <row r="11826" s="2043" customFormat="1" x14ac:dyDescent="0.2"/>
    <row r="11827" s="2043" customFormat="1" x14ac:dyDescent="0.2"/>
    <row r="11828" s="2043" customFormat="1" x14ac:dyDescent="0.2"/>
    <row r="11829" s="2043" customFormat="1" x14ac:dyDescent="0.2"/>
    <row r="11830" s="2043" customFormat="1" x14ac:dyDescent="0.2"/>
    <row r="11831" s="2043" customFormat="1" x14ac:dyDescent="0.2"/>
    <row r="11832" s="2043" customFormat="1" x14ac:dyDescent="0.2"/>
    <row r="11833" s="2043" customFormat="1" x14ac:dyDescent="0.2"/>
    <row r="11834" s="2043" customFormat="1" x14ac:dyDescent="0.2"/>
    <row r="11835" s="2043" customFormat="1" x14ac:dyDescent="0.2"/>
    <row r="11836" s="2043" customFormat="1" x14ac:dyDescent="0.2"/>
    <row r="11837" s="2043" customFormat="1" x14ac:dyDescent="0.2"/>
    <row r="11838" s="2043" customFormat="1" x14ac:dyDescent="0.2"/>
    <row r="11839" s="2043" customFormat="1" x14ac:dyDescent="0.2"/>
    <row r="11840" s="2043" customFormat="1" x14ac:dyDescent="0.2"/>
    <row r="11841" s="2043" customFormat="1" x14ac:dyDescent="0.2"/>
    <row r="11842" s="2043" customFormat="1" x14ac:dyDescent="0.2"/>
    <row r="11843" s="2043" customFormat="1" x14ac:dyDescent="0.2"/>
    <row r="11844" s="2043" customFormat="1" x14ac:dyDescent="0.2"/>
    <row r="11845" s="2043" customFormat="1" x14ac:dyDescent="0.2"/>
    <row r="11846" s="2043" customFormat="1" x14ac:dyDescent="0.2"/>
    <row r="11847" s="2043" customFormat="1" x14ac:dyDescent="0.2"/>
    <row r="11848" s="2043" customFormat="1" x14ac:dyDescent="0.2"/>
    <row r="11849" s="2043" customFormat="1" x14ac:dyDescent="0.2"/>
    <row r="11850" s="2043" customFormat="1" x14ac:dyDescent="0.2"/>
    <row r="11851" s="2043" customFormat="1" x14ac:dyDescent="0.2"/>
    <row r="11852" s="2043" customFormat="1" x14ac:dyDescent="0.2"/>
    <row r="11853" s="2043" customFormat="1" x14ac:dyDescent="0.2"/>
    <row r="11854" s="2043" customFormat="1" x14ac:dyDescent="0.2"/>
    <row r="11855" s="2043" customFormat="1" x14ac:dyDescent="0.2"/>
    <row r="11856" s="2043" customFormat="1" x14ac:dyDescent="0.2"/>
    <row r="11857" s="2043" customFormat="1" x14ac:dyDescent="0.2"/>
    <row r="11858" s="2043" customFormat="1" x14ac:dyDescent="0.2"/>
    <row r="11859" s="2043" customFormat="1" x14ac:dyDescent="0.2"/>
    <row r="11860" s="2043" customFormat="1" x14ac:dyDescent="0.2"/>
    <row r="11861" s="2043" customFormat="1" x14ac:dyDescent="0.2"/>
    <row r="11862" s="2043" customFormat="1" x14ac:dyDescent="0.2"/>
    <row r="11863" s="2043" customFormat="1" x14ac:dyDescent="0.2"/>
    <row r="11864" s="2043" customFormat="1" x14ac:dyDescent="0.2"/>
    <row r="11865" s="2043" customFormat="1" x14ac:dyDescent="0.2"/>
    <row r="11866" s="2043" customFormat="1" x14ac:dyDescent="0.2"/>
    <row r="11867" s="2043" customFormat="1" x14ac:dyDescent="0.2"/>
    <row r="11868" s="2043" customFormat="1" x14ac:dyDescent="0.2"/>
    <row r="11869" s="2043" customFormat="1" x14ac:dyDescent="0.2"/>
    <row r="11870" s="2043" customFormat="1" x14ac:dyDescent="0.2"/>
    <row r="11871" s="2043" customFormat="1" x14ac:dyDescent="0.2"/>
    <row r="11872" s="2043" customFormat="1" x14ac:dyDescent="0.2"/>
    <row r="11873" s="2043" customFormat="1" x14ac:dyDescent="0.2"/>
    <row r="11874" s="2043" customFormat="1" x14ac:dyDescent="0.2"/>
    <row r="11875" s="2043" customFormat="1" x14ac:dyDescent="0.2"/>
    <row r="11876" s="2043" customFormat="1" x14ac:dyDescent="0.2"/>
    <row r="11877" s="2043" customFormat="1" x14ac:dyDescent="0.2"/>
    <row r="11878" s="2043" customFormat="1" x14ac:dyDescent="0.2"/>
    <row r="11879" s="2043" customFormat="1" x14ac:dyDescent="0.2"/>
    <row r="11880" s="2043" customFormat="1" x14ac:dyDescent="0.2"/>
    <row r="11881" s="2043" customFormat="1" x14ac:dyDescent="0.2"/>
    <row r="11882" s="2043" customFormat="1" x14ac:dyDescent="0.2"/>
    <row r="11883" s="2043" customFormat="1" x14ac:dyDescent="0.2"/>
    <row r="11884" s="2043" customFormat="1" x14ac:dyDescent="0.2"/>
    <row r="11885" s="2043" customFormat="1" x14ac:dyDescent="0.2"/>
    <row r="11886" s="2043" customFormat="1" x14ac:dyDescent="0.2"/>
    <row r="11887" s="2043" customFormat="1" x14ac:dyDescent="0.2"/>
    <row r="11888" s="2043" customFormat="1" x14ac:dyDescent="0.2"/>
    <row r="11889" s="2043" customFormat="1" x14ac:dyDescent="0.2"/>
    <row r="11890" s="2043" customFormat="1" x14ac:dyDescent="0.2"/>
    <row r="11891" s="2043" customFormat="1" x14ac:dyDescent="0.2"/>
    <row r="11892" s="2043" customFormat="1" x14ac:dyDescent="0.2"/>
    <row r="11893" s="2043" customFormat="1" x14ac:dyDescent="0.2"/>
    <row r="11894" s="2043" customFormat="1" x14ac:dyDescent="0.2"/>
    <row r="11895" s="2043" customFormat="1" x14ac:dyDescent="0.2"/>
    <row r="11896" s="2043" customFormat="1" x14ac:dyDescent="0.2"/>
    <row r="11897" s="2043" customFormat="1" x14ac:dyDescent="0.2"/>
    <row r="11898" s="2043" customFormat="1" x14ac:dyDescent="0.2"/>
    <row r="11899" s="2043" customFormat="1" x14ac:dyDescent="0.2"/>
    <row r="11900" s="2043" customFormat="1" x14ac:dyDescent="0.2"/>
    <row r="11901" s="2043" customFormat="1" x14ac:dyDescent="0.2"/>
    <row r="11902" s="2043" customFormat="1" x14ac:dyDescent="0.2"/>
    <row r="11903" s="2043" customFormat="1" x14ac:dyDescent="0.2"/>
    <row r="11904" s="2043" customFormat="1" x14ac:dyDescent="0.2"/>
    <row r="11905" s="2043" customFormat="1" x14ac:dyDescent="0.2"/>
    <row r="11906" s="2043" customFormat="1" x14ac:dyDescent="0.2"/>
    <row r="11907" s="2043" customFormat="1" x14ac:dyDescent="0.2"/>
    <row r="11908" s="2043" customFormat="1" x14ac:dyDescent="0.2"/>
    <row r="11909" s="2043" customFormat="1" x14ac:dyDescent="0.2"/>
    <row r="11910" s="2043" customFormat="1" x14ac:dyDescent="0.2"/>
    <row r="11911" s="2043" customFormat="1" x14ac:dyDescent="0.2"/>
    <row r="11912" s="2043" customFormat="1" x14ac:dyDescent="0.2"/>
    <row r="11913" s="2043" customFormat="1" x14ac:dyDescent="0.2"/>
    <row r="11914" s="2043" customFormat="1" x14ac:dyDescent="0.2"/>
    <row r="11915" s="2043" customFormat="1" x14ac:dyDescent="0.2"/>
    <row r="11916" s="2043" customFormat="1" x14ac:dyDescent="0.2"/>
    <row r="11917" s="2043" customFormat="1" x14ac:dyDescent="0.2"/>
    <row r="11918" s="2043" customFormat="1" x14ac:dyDescent="0.2"/>
    <row r="11919" s="2043" customFormat="1" x14ac:dyDescent="0.2"/>
    <row r="11920" s="2043" customFormat="1" x14ac:dyDescent="0.2"/>
    <row r="11921" s="2043" customFormat="1" x14ac:dyDescent="0.2"/>
    <row r="11922" s="2043" customFormat="1" x14ac:dyDescent="0.2"/>
    <row r="11923" s="2043" customFormat="1" x14ac:dyDescent="0.2"/>
    <row r="11924" s="2043" customFormat="1" x14ac:dyDescent="0.2"/>
    <row r="11925" s="2043" customFormat="1" x14ac:dyDescent="0.2"/>
    <row r="11926" s="2043" customFormat="1" x14ac:dyDescent="0.2"/>
    <row r="11927" s="2043" customFormat="1" x14ac:dyDescent="0.2"/>
    <row r="11928" s="2043" customFormat="1" x14ac:dyDescent="0.2"/>
    <row r="11929" s="2043" customFormat="1" x14ac:dyDescent="0.2"/>
    <row r="11930" s="2043" customFormat="1" x14ac:dyDescent="0.2"/>
    <row r="11931" s="2043" customFormat="1" x14ac:dyDescent="0.2"/>
    <row r="11932" s="2043" customFormat="1" x14ac:dyDescent="0.2"/>
    <row r="11933" s="2043" customFormat="1" x14ac:dyDescent="0.2"/>
    <row r="11934" s="2043" customFormat="1" x14ac:dyDescent="0.2"/>
    <row r="11935" s="2043" customFormat="1" x14ac:dyDescent="0.2"/>
    <row r="11936" s="2043" customFormat="1" x14ac:dyDescent="0.2"/>
    <row r="11937" s="2043" customFormat="1" x14ac:dyDescent="0.2"/>
    <row r="11938" s="2043" customFormat="1" x14ac:dyDescent="0.2"/>
    <row r="11939" s="2043" customFormat="1" x14ac:dyDescent="0.2"/>
    <row r="11940" s="2043" customFormat="1" x14ac:dyDescent="0.2"/>
    <row r="11941" s="2043" customFormat="1" x14ac:dyDescent="0.2"/>
    <row r="11942" s="2043" customFormat="1" x14ac:dyDescent="0.2"/>
    <row r="11943" s="2043" customFormat="1" x14ac:dyDescent="0.2"/>
    <row r="11944" s="2043" customFormat="1" x14ac:dyDescent="0.2"/>
    <row r="11945" s="2043" customFormat="1" x14ac:dyDescent="0.2"/>
    <row r="11946" s="2043" customFormat="1" x14ac:dyDescent="0.2"/>
    <row r="11947" s="2043" customFormat="1" x14ac:dyDescent="0.2"/>
    <row r="11948" s="2043" customFormat="1" x14ac:dyDescent="0.2"/>
    <row r="11949" s="2043" customFormat="1" x14ac:dyDescent="0.2"/>
    <row r="11950" s="2043" customFormat="1" x14ac:dyDescent="0.2"/>
    <row r="11951" s="2043" customFormat="1" x14ac:dyDescent="0.2"/>
    <row r="11952" s="2043" customFormat="1" x14ac:dyDescent="0.2"/>
    <row r="11953" s="2043" customFormat="1" x14ac:dyDescent="0.2"/>
    <row r="11954" s="2043" customFormat="1" x14ac:dyDescent="0.2"/>
    <row r="11955" s="2043" customFormat="1" x14ac:dyDescent="0.2"/>
    <row r="11956" s="2043" customFormat="1" x14ac:dyDescent="0.2"/>
    <row r="11957" s="2043" customFormat="1" x14ac:dyDescent="0.2"/>
    <row r="11958" s="2043" customFormat="1" x14ac:dyDescent="0.2"/>
    <row r="11959" s="2043" customFormat="1" x14ac:dyDescent="0.2"/>
    <row r="11960" s="2043" customFormat="1" x14ac:dyDescent="0.2"/>
    <row r="11961" s="2043" customFormat="1" x14ac:dyDescent="0.2"/>
    <row r="11962" s="2043" customFormat="1" x14ac:dyDescent="0.2"/>
    <row r="11963" s="2043" customFormat="1" x14ac:dyDescent="0.2"/>
    <row r="11964" s="2043" customFormat="1" x14ac:dyDescent="0.2"/>
    <row r="11965" s="2043" customFormat="1" x14ac:dyDescent="0.2"/>
    <row r="11966" s="2043" customFormat="1" x14ac:dyDescent="0.2"/>
    <row r="11967" s="2043" customFormat="1" x14ac:dyDescent="0.2"/>
    <row r="11968" s="2043" customFormat="1" x14ac:dyDescent="0.2"/>
    <row r="11969" s="2043" customFormat="1" x14ac:dyDescent="0.2"/>
    <row r="11970" s="2043" customFormat="1" x14ac:dyDescent="0.2"/>
    <row r="11971" s="2043" customFormat="1" x14ac:dyDescent="0.2"/>
    <row r="11972" s="2043" customFormat="1" x14ac:dyDescent="0.2"/>
    <row r="11973" s="2043" customFormat="1" x14ac:dyDescent="0.2"/>
    <row r="11974" s="2043" customFormat="1" x14ac:dyDescent="0.2"/>
    <row r="11975" s="2043" customFormat="1" x14ac:dyDescent="0.2"/>
    <row r="11976" s="2043" customFormat="1" x14ac:dyDescent="0.2"/>
    <row r="11977" s="2043" customFormat="1" x14ac:dyDescent="0.2"/>
    <row r="11978" s="2043" customFormat="1" x14ac:dyDescent="0.2"/>
    <row r="11979" s="2043" customFormat="1" x14ac:dyDescent="0.2"/>
    <row r="11980" s="2043" customFormat="1" x14ac:dyDescent="0.2"/>
    <row r="11981" s="2043" customFormat="1" x14ac:dyDescent="0.2"/>
    <row r="11982" s="2043" customFormat="1" x14ac:dyDescent="0.2"/>
    <row r="11983" s="2043" customFormat="1" x14ac:dyDescent="0.2"/>
    <row r="11984" s="2043" customFormat="1" x14ac:dyDescent="0.2"/>
    <row r="11985" s="2043" customFormat="1" x14ac:dyDescent="0.2"/>
    <row r="11986" s="2043" customFormat="1" x14ac:dyDescent="0.2"/>
    <row r="11987" s="2043" customFormat="1" x14ac:dyDescent="0.2"/>
    <row r="11988" s="2043" customFormat="1" x14ac:dyDescent="0.2"/>
    <row r="11989" s="2043" customFormat="1" x14ac:dyDescent="0.2"/>
    <row r="11990" s="2043" customFormat="1" x14ac:dyDescent="0.2"/>
    <row r="11991" s="2043" customFormat="1" x14ac:dyDescent="0.2"/>
    <row r="11992" s="2043" customFormat="1" x14ac:dyDescent="0.2"/>
    <row r="11993" s="2043" customFormat="1" x14ac:dyDescent="0.2"/>
    <row r="11994" s="2043" customFormat="1" x14ac:dyDescent="0.2"/>
    <row r="11995" s="2043" customFormat="1" x14ac:dyDescent="0.2"/>
    <row r="11996" s="2043" customFormat="1" x14ac:dyDescent="0.2"/>
    <row r="11997" s="2043" customFormat="1" x14ac:dyDescent="0.2"/>
    <row r="11998" s="2043" customFormat="1" x14ac:dyDescent="0.2"/>
    <row r="11999" s="2043" customFormat="1" x14ac:dyDescent="0.2"/>
    <row r="12000" s="2043" customFormat="1" x14ac:dyDescent="0.2"/>
    <row r="12001" s="2043" customFormat="1" x14ac:dyDescent="0.2"/>
    <row r="12002" s="2043" customFormat="1" x14ac:dyDescent="0.2"/>
    <row r="12003" s="2043" customFormat="1" x14ac:dyDescent="0.2"/>
    <row r="12004" s="2043" customFormat="1" x14ac:dyDescent="0.2"/>
    <row r="12005" s="2043" customFormat="1" x14ac:dyDescent="0.2"/>
    <row r="12006" s="2043" customFormat="1" x14ac:dyDescent="0.2"/>
    <row r="12007" s="2043" customFormat="1" x14ac:dyDescent="0.2"/>
    <row r="12008" s="2043" customFormat="1" x14ac:dyDescent="0.2"/>
    <row r="12009" s="2043" customFormat="1" x14ac:dyDescent="0.2"/>
    <row r="12010" s="2043" customFormat="1" x14ac:dyDescent="0.2"/>
    <row r="12011" s="2043" customFormat="1" x14ac:dyDescent="0.2"/>
    <row r="12012" s="2043" customFormat="1" x14ac:dyDescent="0.2"/>
    <row r="12013" s="2043" customFormat="1" x14ac:dyDescent="0.2"/>
    <row r="12014" s="2043" customFormat="1" x14ac:dyDescent="0.2"/>
    <row r="12015" s="2043" customFormat="1" x14ac:dyDescent="0.2"/>
    <row r="12016" s="2043" customFormat="1" x14ac:dyDescent="0.2"/>
    <row r="12017" s="2043" customFormat="1" x14ac:dyDescent="0.2"/>
    <row r="12018" s="2043" customFormat="1" x14ac:dyDescent="0.2"/>
    <row r="12019" s="2043" customFormat="1" x14ac:dyDescent="0.2"/>
    <row r="12020" s="2043" customFormat="1" x14ac:dyDescent="0.2"/>
    <row r="12021" s="2043" customFormat="1" x14ac:dyDescent="0.2"/>
    <row r="12022" s="2043" customFormat="1" x14ac:dyDescent="0.2"/>
    <row r="12023" s="2043" customFormat="1" x14ac:dyDescent="0.2"/>
    <row r="12024" s="2043" customFormat="1" x14ac:dyDescent="0.2"/>
    <row r="12025" s="2043" customFormat="1" x14ac:dyDescent="0.2"/>
    <row r="12026" s="2043" customFormat="1" x14ac:dyDescent="0.2"/>
    <row r="12027" s="2043" customFormat="1" x14ac:dyDescent="0.2"/>
    <row r="12028" s="2043" customFormat="1" x14ac:dyDescent="0.2"/>
    <row r="12029" s="2043" customFormat="1" x14ac:dyDescent="0.2"/>
    <row r="12030" s="2043" customFormat="1" x14ac:dyDescent="0.2"/>
    <row r="12031" s="2043" customFormat="1" x14ac:dyDescent="0.2"/>
    <row r="12032" s="2043" customFormat="1" x14ac:dyDescent="0.2"/>
    <row r="12033" s="2043" customFormat="1" x14ac:dyDescent="0.2"/>
    <row r="12034" s="2043" customFormat="1" x14ac:dyDescent="0.2"/>
    <row r="12035" s="2043" customFormat="1" x14ac:dyDescent="0.2"/>
    <row r="12036" s="2043" customFormat="1" x14ac:dyDescent="0.2"/>
    <row r="12037" s="2043" customFormat="1" x14ac:dyDescent="0.2"/>
    <row r="12038" s="2043" customFormat="1" x14ac:dyDescent="0.2"/>
    <row r="12039" s="2043" customFormat="1" x14ac:dyDescent="0.2"/>
    <row r="12040" s="2043" customFormat="1" x14ac:dyDescent="0.2"/>
    <row r="12041" s="2043" customFormat="1" x14ac:dyDescent="0.2"/>
    <row r="12042" s="2043" customFormat="1" x14ac:dyDescent="0.2"/>
    <row r="12043" s="2043" customFormat="1" x14ac:dyDescent="0.2"/>
    <row r="12044" s="2043" customFormat="1" x14ac:dyDescent="0.2"/>
    <row r="12045" s="2043" customFormat="1" x14ac:dyDescent="0.2"/>
    <row r="12046" s="2043" customFormat="1" x14ac:dyDescent="0.2"/>
    <row r="12047" s="2043" customFormat="1" x14ac:dyDescent="0.2"/>
    <row r="12048" s="2043" customFormat="1" x14ac:dyDescent="0.2"/>
    <row r="12049" s="2043" customFormat="1" x14ac:dyDescent="0.2"/>
    <row r="12050" s="2043" customFormat="1" x14ac:dyDescent="0.2"/>
    <row r="12051" s="2043" customFormat="1" x14ac:dyDescent="0.2"/>
    <row r="12052" s="2043" customFormat="1" x14ac:dyDescent="0.2"/>
    <row r="12053" s="2043" customFormat="1" x14ac:dyDescent="0.2"/>
    <row r="12054" s="2043" customFormat="1" x14ac:dyDescent="0.2"/>
    <row r="12055" s="2043" customFormat="1" x14ac:dyDescent="0.2"/>
    <row r="12056" s="2043" customFormat="1" x14ac:dyDescent="0.2"/>
    <row r="12057" s="2043" customFormat="1" x14ac:dyDescent="0.2"/>
    <row r="12058" s="2043" customFormat="1" x14ac:dyDescent="0.2"/>
    <row r="12059" s="2043" customFormat="1" x14ac:dyDescent="0.2"/>
    <row r="12060" s="2043" customFormat="1" x14ac:dyDescent="0.2"/>
    <row r="12061" s="2043" customFormat="1" x14ac:dyDescent="0.2"/>
    <row r="12062" s="2043" customFormat="1" x14ac:dyDescent="0.2"/>
    <row r="12063" s="2043" customFormat="1" x14ac:dyDescent="0.2"/>
    <row r="12064" s="2043" customFormat="1" x14ac:dyDescent="0.2"/>
    <row r="12065" s="2043" customFormat="1" x14ac:dyDescent="0.2"/>
    <row r="12066" s="2043" customFormat="1" x14ac:dyDescent="0.2"/>
    <row r="12067" s="2043" customFormat="1" x14ac:dyDescent="0.2"/>
    <row r="12068" s="2043" customFormat="1" x14ac:dyDescent="0.2"/>
    <row r="12069" s="2043" customFormat="1" x14ac:dyDescent="0.2"/>
    <row r="12070" s="2043" customFormat="1" x14ac:dyDescent="0.2"/>
    <row r="12071" s="2043" customFormat="1" x14ac:dyDescent="0.2"/>
    <row r="12072" s="2043" customFormat="1" x14ac:dyDescent="0.2"/>
    <row r="12073" s="2043" customFormat="1" x14ac:dyDescent="0.2"/>
    <row r="12074" s="2043" customFormat="1" x14ac:dyDescent="0.2"/>
    <row r="12075" s="2043" customFormat="1" x14ac:dyDescent="0.2"/>
    <row r="12076" s="2043" customFormat="1" x14ac:dyDescent="0.2"/>
    <row r="12077" s="2043" customFormat="1" x14ac:dyDescent="0.2"/>
    <row r="12078" s="2043" customFormat="1" x14ac:dyDescent="0.2"/>
    <row r="12079" s="2043" customFormat="1" x14ac:dyDescent="0.2"/>
    <row r="12080" s="2043" customFormat="1" x14ac:dyDescent="0.2"/>
    <row r="12081" s="2043" customFormat="1" x14ac:dyDescent="0.2"/>
    <row r="12082" s="2043" customFormat="1" x14ac:dyDescent="0.2"/>
    <row r="12083" s="2043" customFormat="1" x14ac:dyDescent="0.2"/>
    <row r="12084" s="2043" customFormat="1" x14ac:dyDescent="0.2"/>
    <row r="12085" s="2043" customFormat="1" x14ac:dyDescent="0.2"/>
    <row r="12086" s="2043" customFormat="1" x14ac:dyDescent="0.2"/>
    <row r="12087" s="2043" customFormat="1" x14ac:dyDescent="0.2"/>
    <row r="12088" s="2043" customFormat="1" x14ac:dyDescent="0.2"/>
    <row r="12089" s="2043" customFormat="1" x14ac:dyDescent="0.2"/>
    <row r="12090" s="2043" customFormat="1" x14ac:dyDescent="0.2"/>
    <row r="12091" s="2043" customFormat="1" x14ac:dyDescent="0.2"/>
    <row r="12092" s="2043" customFormat="1" x14ac:dyDescent="0.2"/>
    <row r="12093" s="2043" customFormat="1" x14ac:dyDescent="0.2"/>
    <row r="12094" s="2043" customFormat="1" x14ac:dyDescent="0.2"/>
    <row r="12095" s="2043" customFormat="1" x14ac:dyDescent="0.2"/>
    <row r="12096" s="2043" customFormat="1" x14ac:dyDescent="0.2"/>
    <row r="12097" s="2043" customFormat="1" x14ac:dyDescent="0.2"/>
    <row r="12098" s="2043" customFormat="1" x14ac:dyDescent="0.2"/>
    <row r="12099" s="2043" customFormat="1" x14ac:dyDescent="0.2"/>
    <row r="12100" s="2043" customFormat="1" x14ac:dyDescent="0.2"/>
    <row r="12101" s="2043" customFormat="1" x14ac:dyDescent="0.2"/>
    <row r="12102" s="2043" customFormat="1" x14ac:dyDescent="0.2"/>
    <row r="12103" s="2043" customFormat="1" x14ac:dyDescent="0.2"/>
    <row r="12104" s="2043" customFormat="1" x14ac:dyDescent="0.2"/>
    <row r="12105" s="2043" customFormat="1" x14ac:dyDescent="0.2"/>
    <row r="12106" s="2043" customFormat="1" x14ac:dyDescent="0.2"/>
    <row r="12107" s="2043" customFormat="1" x14ac:dyDescent="0.2"/>
    <row r="12108" s="2043" customFormat="1" x14ac:dyDescent="0.2"/>
    <row r="12109" s="2043" customFormat="1" x14ac:dyDescent="0.2"/>
    <row r="12110" s="2043" customFormat="1" x14ac:dyDescent="0.2"/>
    <row r="12111" s="2043" customFormat="1" x14ac:dyDescent="0.2"/>
    <row r="12112" s="2043" customFormat="1" x14ac:dyDescent="0.2"/>
    <row r="12113" s="2043" customFormat="1" x14ac:dyDescent="0.2"/>
    <row r="12114" s="2043" customFormat="1" x14ac:dyDescent="0.2"/>
    <row r="12115" s="2043" customFormat="1" x14ac:dyDescent="0.2"/>
    <row r="12116" s="2043" customFormat="1" x14ac:dyDescent="0.2"/>
    <row r="12117" s="2043" customFormat="1" x14ac:dyDescent="0.2"/>
    <row r="12118" s="2043" customFormat="1" x14ac:dyDescent="0.2"/>
    <row r="12119" s="2043" customFormat="1" x14ac:dyDescent="0.2"/>
    <row r="12120" s="2043" customFormat="1" x14ac:dyDescent="0.2"/>
    <row r="12121" s="2043" customFormat="1" x14ac:dyDescent="0.2"/>
    <row r="12122" s="2043" customFormat="1" x14ac:dyDescent="0.2"/>
    <row r="12123" s="2043" customFormat="1" x14ac:dyDescent="0.2"/>
    <row r="12124" s="2043" customFormat="1" x14ac:dyDescent="0.2"/>
    <row r="12125" s="2043" customFormat="1" x14ac:dyDescent="0.2"/>
    <row r="12126" s="2043" customFormat="1" x14ac:dyDescent="0.2"/>
    <row r="12127" s="2043" customFormat="1" x14ac:dyDescent="0.2"/>
    <row r="12128" s="2043" customFormat="1" x14ac:dyDescent="0.2"/>
    <row r="12129" s="2043" customFormat="1" x14ac:dyDescent="0.2"/>
    <row r="12130" s="2043" customFormat="1" x14ac:dyDescent="0.2"/>
    <row r="12131" s="2043" customFormat="1" x14ac:dyDescent="0.2"/>
    <row r="12132" s="2043" customFormat="1" x14ac:dyDescent="0.2"/>
    <row r="12133" s="2043" customFormat="1" x14ac:dyDescent="0.2"/>
    <row r="12134" s="2043" customFormat="1" x14ac:dyDescent="0.2"/>
    <row r="12135" s="2043" customFormat="1" x14ac:dyDescent="0.2"/>
    <row r="12136" s="2043" customFormat="1" x14ac:dyDescent="0.2"/>
    <row r="12137" s="2043" customFormat="1" x14ac:dyDescent="0.2"/>
    <row r="12138" s="2043" customFormat="1" x14ac:dyDescent="0.2"/>
    <row r="12139" s="2043" customFormat="1" x14ac:dyDescent="0.2"/>
    <row r="12140" s="2043" customFormat="1" x14ac:dyDescent="0.2"/>
    <row r="12141" s="2043" customFormat="1" x14ac:dyDescent="0.2"/>
    <row r="12142" s="2043" customFormat="1" x14ac:dyDescent="0.2"/>
    <row r="12143" s="2043" customFormat="1" x14ac:dyDescent="0.2"/>
    <row r="12144" s="2043" customFormat="1" x14ac:dyDescent="0.2"/>
    <row r="12145" s="2043" customFormat="1" x14ac:dyDescent="0.2"/>
    <row r="12146" s="2043" customFormat="1" x14ac:dyDescent="0.2"/>
    <row r="12147" s="2043" customFormat="1" x14ac:dyDescent="0.2"/>
    <row r="12148" s="2043" customFormat="1" x14ac:dyDescent="0.2"/>
    <row r="12149" s="2043" customFormat="1" x14ac:dyDescent="0.2"/>
    <row r="12150" s="2043" customFormat="1" x14ac:dyDescent="0.2"/>
    <row r="12151" s="2043" customFormat="1" x14ac:dyDescent="0.2"/>
    <row r="12152" s="2043" customFormat="1" x14ac:dyDescent="0.2"/>
    <row r="12153" s="2043" customFormat="1" x14ac:dyDescent="0.2"/>
    <row r="12154" s="2043" customFormat="1" x14ac:dyDescent="0.2"/>
    <row r="12155" s="2043" customFormat="1" x14ac:dyDescent="0.2"/>
    <row r="12156" s="2043" customFormat="1" x14ac:dyDescent="0.2"/>
    <row r="12157" s="2043" customFormat="1" x14ac:dyDescent="0.2"/>
    <row r="12158" s="2043" customFormat="1" x14ac:dyDescent="0.2"/>
    <row r="12159" s="2043" customFormat="1" x14ac:dyDescent="0.2"/>
    <row r="12160" s="2043" customFormat="1" x14ac:dyDescent="0.2"/>
    <row r="12161" s="2043" customFormat="1" x14ac:dyDescent="0.2"/>
    <row r="12162" s="2043" customFormat="1" x14ac:dyDescent="0.2"/>
    <row r="12163" s="2043" customFormat="1" x14ac:dyDescent="0.2"/>
    <row r="12164" s="2043" customFormat="1" x14ac:dyDescent="0.2"/>
    <row r="12165" s="2043" customFormat="1" x14ac:dyDescent="0.2"/>
    <row r="12166" s="2043" customFormat="1" x14ac:dyDescent="0.2"/>
    <row r="12167" s="2043" customFormat="1" x14ac:dyDescent="0.2"/>
    <row r="12168" s="2043" customFormat="1" x14ac:dyDescent="0.2"/>
    <row r="12169" s="2043" customFormat="1" x14ac:dyDescent="0.2"/>
    <row r="12170" s="2043" customFormat="1" x14ac:dyDescent="0.2"/>
    <row r="12171" s="2043" customFormat="1" x14ac:dyDescent="0.2"/>
    <row r="12172" s="2043" customFormat="1" x14ac:dyDescent="0.2"/>
    <row r="12173" s="2043" customFormat="1" x14ac:dyDescent="0.2"/>
    <row r="12174" s="2043" customFormat="1" x14ac:dyDescent="0.2"/>
    <row r="12175" s="2043" customFormat="1" x14ac:dyDescent="0.2"/>
    <row r="12176" s="2043" customFormat="1" x14ac:dyDescent="0.2"/>
    <row r="12177" s="2043" customFormat="1" x14ac:dyDescent="0.2"/>
    <row r="12178" s="2043" customFormat="1" x14ac:dyDescent="0.2"/>
    <row r="12179" s="2043" customFormat="1" x14ac:dyDescent="0.2"/>
    <row r="12180" s="2043" customFormat="1" x14ac:dyDescent="0.2"/>
    <row r="12181" s="2043" customFormat="1" x14ac:dyDescent="0.2"/>
    <row r="12182" s="2043" customFormat="1" x14ac:dyDescent="0.2"/>
    <row r="12183" s="2043" customFormat="1" x14ac:dyDescent="0.2"/>
    <row r="12184" s="2043" customFormat="1" x14ac:dyDescent="0.2"/>
    <row r="12185" s="2043" customFormat="1" x14ac:dyDescent="0.2"/>
    <row r="12186" s="2043" customFormat="1" x14ac:dyDescent="0.2"/>
    <row r="12187" s="2043" customFormat="1" x14ac:dyDescent="0.2"/>
    <row r="12188" s="2043" customFormat="1" x14ac:dyDescent="0.2"/>
    <row r="12189" s="2043" customFormat="1" x14ac:dyDescent="0.2"/>
    <row r="12190" s="2043" customFormat="1" x14ac:dyDescent="0.2"/>
    <row r="12191" s="2043" customFormat="1" x14ac:dyDescent="0.2"/>
    <row r="12192" s="2043" customFormat="1" x14ac:dyDescent="0.2"/>
    <row r="12193" s="2043" customFormat="1" x14ac:dyDescent="0.2"/>
    <row r="12194" s="2043" customFormat="1" x14ac:dyDescent="0.2"/>
    <row r="12195" s="2043" customFormat="1" x14ac:dyDescent="0.2"/>
    <row r="12196" s="2043" customFormat="1" x14ac:dyDescent="0.2"/>
    <row r="12197" s="2043" customFormat="1" x14ac:dyDescent="0.2"/>
    <row r="12198" s="2043" customFormat="1" x14ac:dyDescent="0.2"/>
    <row r="12199" s="2043" customFormat="1" x14ac:dyDescent="0.2"/>
    <row r="12200" s="2043" customFormat="1" x14ac:dyDescent="0.2"/>
    <row r="12201" s="2043" customFormat="1" x14ac:dyDescent="0.2"/>
    <row r="12202" s="2043" customFormat="1" x14ac:dyDescent="0.2"/>
    <row r="12203" s="2043" customFormat="1" x14ac:dyDescent="0.2"/>
    <row r="12204" s="2043" customFormat="1" x14ac:dyDescent="0.2"/>
    <row r="12205" s="2043" customFormat="1" x14ac:dyDescent="0.2"/>
    <row r="12206" s="2043" customFormat="1" x14ac:dyDescent="0.2"/>
    <row r="12207" s="2043" customFormat="1" x14ac:dyDescent="0.2"/>
    <row r="12208" s="2043" customFormat="1" x14ac:dyDescent="0.2"/>
    <row r="12209" s="2043" customFormat="1" x14ac:dyDescent="0.2"/>
    <row r="12210" s="2043" customFormat="1" x14ac:dyDescent="0.2"/>
    <row r="12211" s="2043" customFormat="1" x14ac:dyDescent="0.2"/>
    <row r="12212" s="2043" customFormat="1" x14ac:dyDescent="0.2"/>
    <row r="12213" s="2043" customFormat="1" x14ac:dyDescent="0.2"/>
    <row r="12214" s="2043" customFormat="1" x14ac:dyDescent="0.2"/>
    <row r="12215" s="2043" customFormat="1" x14ac:dyDescent="0.2"/>
    <row r="12216" s="2043" customFormat="1" x14ac:dyDescent="0.2"/>
    <row r="12217" s="2043" customFormat="1" x14ac:dyDescent="0.2"/>
    <row r="12218" s="2043" customFormat="1" x14ac:dyDescent="0.2"/>
    <row r="12219" s="2043" customFormat="1" x14ac:dyDescent="0.2"/>
    <row r="12220" s="2043" customFormat="1" x14ac:dyDescent="0.2"/>
    <row r="12221" s="2043" customFormat="1" x14ac:dyDescent="0.2"/>
    <row r="12222" s="2043" customFormat="1" x14ac:dyDescent="0.2"/>
    <row r="12223" s="2043" customFormat="1" x14ac:dyDescent="0.2"/>
    <row r="12224" s="2043" customFormat="1" x14ac:dyDescent="0.2"/>
    <row r="12225" s="2043" customFormat="1" x14ac:dyDescent="0.2"/>
    <row r="12226" s="2043" customFormat="1" x14ac:dyDescent="0.2"/>
    <row r="12227" s="2043" customFormat="1" x14ac:dyDescent="0.2"/>
    <row r="12228" s="2043" customFormat="1" x14ac:dyDescent="0.2"/>
    <row r="12229" s="2043" customFormat="1" x14ac:dyDescent="0.2"/>
    <row r="12230" s="2043" customFormat="1" x14ac:dyDescent="0.2"/>
    <row r="12231" s="2043" customFormat="1" x14ac:dyDescent="0.2"/>
    <row r="12232" s="2043" customFormat="1" x14ac:dyDescent="0.2"/>
    <row r="12233" s="2043" customFormat="1" x14ac:dyDescent="0.2"/>
    <row r="12234" s="2043" customFormat="1" x14ac:dyDescent="0.2"/>
    <row r="12235" s="2043" customFormat="1" x14ac:dyDescent="0.2"/>
    <row r="12236" s="2043" customFormat="1" x14ac:dyDescent="0.2"/>
    <row r="12237" s="2043" customFormat="1" x14ac:dyDescent="0.2"/>
    <row r="12238" s="2043" customFormat="1" x14ac:dyDescent="0.2"/>
    <row r="12239" s="2043" customFormat="1" x14ac:dyDescent="0.2"/>
    <row r="12240" s="2043" customFormat="1" x14ac:dyDescent="0.2"/>
    <row r="12241" s="2043" customFormat="1" x14ac:dyDescent="0.2"/>
    <row r="12242" s="2043" customFormat="1" x14ac:dyDescent="0.2"/>
    <row r="12243" s="2043" customFormat="1" x14ac:dyDescent="0.2"/>
    <row r="12244" s="2043" customFormat="1" x14ac:dyDescent="0.2"/>
    <row r="12245" s="2043" customFormat="1" x14ac:dyDescent="0.2"/>
    <row r="12246" s="2043" customFormat="1" x14ac:dyDescent="0.2"/>
    <row r="12247" s="2043" customFormat="1" x14ac:dyDescent="0.2"/>
    <row r="12248" s="2043" customFormat="1" x14ac:dyDescent="0.2"/>
    <row r="12249" s="2043" customFormat="1" x14ac:dyDescent="0.2"/>
    <row r="12250" s="2043" customFormat="1" x14ac:dyDescent="0.2"/>
    <row r="12251" s="2043" customFormat="1" x14ac:dyDescent="0.2"/>
    <row r="12252" s="2043" customFormat="1" x14ac:dyDescent="0.2"/>
    <row r="12253" s="2043" customFormat="1" x14ac:dyDescent="0.2"/>
    <row r="12254" s="2043" customFormat="1" x14ac:dyDescent="0.2"/>
    <row r="12255" s="2043" customFormat="1" x14ac:dyDescent="0.2"/>
    <row r="12256" s="2043" customFormat="1" x14ac:dyDescent="0.2"/>
    <row r="12257" s="2043" customFormat="1" x14ac:dyDescent="0.2"/>
    <row r="12258" s="2043" customFormat="1" x14ac:dyDescent="0.2"/>
    <row r="12259" s="2043" customFormat="1" x14ac:dyDescent="0.2"/>
    <row r="12260" s="2043" customFormat="1" x14ac:dyDescent="0.2"/>
    <row r="12261" s="2043" customFormat="1" x14ac:dyDescent="0.2"/>
    <row r="12262" s="2043" customFormat="1" x14ac:dyDescent="0.2"/>
    <row r="12263" s="2043" customFormat="1" x14ac:dyDescent="0.2"/>
    <row r="12264" s="2043" customFormat="1" x14ac:dyDescent="0.2"/>
    <row r="12265" s="2043" customFormat="1" x14ac:dyDescent="0.2"/>
    <row r="12266" s="2043" customFormat="1" x14ac:dyDescent="0.2"/>
    <row r="12267" s="2043" customFormat="1" x14ac:dyDescent="0.2"/>
    <row r="12268" s="2043" customFormat="1" x14ac:dyDescent="0.2"/>
    <row r="12269" s="2043" customFormat="1" x14ac:dyDescent="0.2"/>
    <row r="12270" s="2043" customFormat="1" x14ac:dyDescent="0.2"/>
    <row r="12271" s="2043" customFormat="1" x14ac:dyDescent="0.2"/>
    <row r="12272" s="2043" customFormat="1" x14ac:dyDescent="0.2"/>
    <row r="12273" s="2043" customFormat="1" x14ac:dyDescent="0.2"/>
    <row r="12274" s="2043" customFormat="1" x14ac:dyDescent="0.2"/>
    <row r="12275" s="2043" customFormat="1" x14ac:dyDescent="0.2"/>
    <row r="12276" s="2043" customFormat="1" x14ac:dyDescent="0.2"/>
    <row r="12277" s="2043" customFormat="1" x14ac:dyDescent="0.2"/>
    <row r="12278" s="2043" customFormat="1" x14ac:dyDescent="0.2"/>
    <row r="12279" s="2043" customFormat="1" x14ac:dyDescent="0.2"/>
    <row r="12280" s="2043" customFormat="1" x14ac:dyDescent="0.2"/>
    <row r="12281" s="2043" customFormat="1" x14ac:dyDescent="0.2"/>
    <row r="12282" s="2043" customFormat="1" x14ac:dyDescent="0.2"/>
    <row r="12283" s="2043" customFormat="1" x14ac:dyDescent="0.2"/>
    <row r="12284" s="2043" customFormat="1" x14ac:dyDescent="0.2"/>
    <row r="12285" s="2043" customFormat="1" x14ac:dyDescent="0.2"/>
    <row r="12286" s="2043" customFormat="1" x14ac:dyDescent="0.2"/>
    <row r="12287" s="2043" customFormat="1" x14ac:dyDescent="0.2"/>
    <row r="12288" s="2043" customFormat="1" x14ac:dyDescent="0.2"/>
    <row r="12289" s="2043" customFormat="1" x14ac:dyDescent="0.2"/>
    <row r="12290" s="2043" customFormat="1" x14ac:dyDescent="0.2"/>
    <row r="12291" s="2043" customFormat="1" x14ac:dyDescent="0.2"/>
    <row r="12292" s="2043" customFormat="1" x14ac:dyDescent="0.2"/>
    <row r="12293" s="2043" customFormat="1" x14ac:dyDescent="0.2"/>
    <row r="12294" s="2043" customFormat="1" x14ac:dyDescent="0.2"/>
    <row r="12295" s="2043" customFormat="1" x14ac:dyDescent="0.2"/>
    <row r="12296" s="2043" customFormat="1" x14ac:dyDescent="0.2"/>
    <row r="12297" s="2043" customFormat="1" x14ac:dyDescent="0.2"/>
    <row r="12298" s="2043" customFormat="1" x14ac:dyDescent="0.2"/>
    <row r="12299" s="2043" customFormat="1" x14ac:dyDescent="0.2"/>
    <row r="12300" s="2043" customFormat="1" x14ac:dyDescent="0.2"/>
    <row r="12301" s="2043" customFormat="1" x14ac:dyDescent="0.2"/>
    <row r="12302" s="2043" customFormat="1" x14ac:dyDescent="0.2"/>
    <row r="12303" s="2043" customFormat="1" x14ac:dyDescent="0.2"/>
    <row r="12304" s="2043" customFormat="1" x14ac:dyDescent="0.2"/>
    <row r="12305" s="2043" customFormat="1" x14ac:dyDescent="0.2"/>
    <row r="12306" s="2043" customFormat="1" x14ac:dyDescent="0.2"/>
    <row r="12307" s="2043" customFormat="1" x14ac:dyDescent="0.2"/>
    <row r="12308" s="2043" customFormat="1" x14ac:dyDescent="0.2"/>
    <row r="12309" s="2043" customFormat="1" x14ac:dyDescent="0.2"/>
    <row r="12310" s="2043" customFormat="1" x14ac:dyDescent="0.2"/>
    <row r="12311" s="2043" customFormat="1" x14ac:dyDescent="0.2"/>
    <row r="12312" s="2043" customFormat="1" x14ac:dyDescent="0.2"/>
    <row r="12313" s="2043" customFormat="1" x14ac:dyDescent="0.2"/>
    <row r="12314" s="2043" customFormat="1" x14ac:dyDescent="0.2"/>
    <row r="12315" s="2043" customFormat="1" x14ac:dyDescent="0.2"/>
    <row r="12316" s="2043" customFormat="1" x14ac:dyDescent="0.2"/>
    <row r="12317" s="2043" customFormat="1" x14ac:dyDescent="0.2"/>
    <row r="12318" s="2043" customFormat="1" x14ac:dyDescent="0.2"/>
    <row r="12319" s="2043" customFormat="1" x14ac:dyDescent="0.2"/>
    <row r="12320" s="2043" customFormat="1" x14ac:dyDescent="0.2"/>
    <row r="12321" s="2043" customFormat="1" x14ac:dyDescent="0.2"/>
    <row r="12322" s="2043" customFormat="1" x14ac:dyDescent="0.2"/>
    <row r="12323" s="2043" customFormat="1" x14ac:dyDescent="0.2"/>
    <row r="12324" s="2043" customFormat="1" x14ac:dyDescent="0.2"/>
    <row r="12325" s="2043" customFormat="1" x14ac:dyDescent="0.2"/>
    <row r="12326" s="2043" customFormat="1" x14ac:dyDescent="0.2"/>
    <row r="12327" s="2043" customFormat="1" x14ac:dyDescent="0.2"/>
    <row r="12328" s="2043" customFormat="1" x14ac:dyDescent="0.2"/>
    <row r="12329" s="2043" customFormat="1" x14ac:dyDescent="0.2"/>
    <row r="12330" s="2043" customFormat="1" x14ac:dyDescent="0.2"/>
    <row r="12331" s="2043" customFormat="1" x14ac:dyDescent="0.2"/>
    <row r="12332" s="2043" customFormat="1" x14ac:dyDescent="0.2"/>
    <row r="12333" s="2043" customFormat="1" x14ac:dyDescent="0.2"/>
    <row r="12334" s="2043" customFormat="1" x14ac:dyDescent="0.2"/>
    <row r="12335" s="2043" customFormat="1" x14ac:dyDescent="0.2"/>
    <row r="12336" s="2043" customFormat="1" x14ac:dyDescent="0.2"/>
    <row r="12337" s="2043" customFormat="1" x14ac:dyDescent="0.2"/>
    <row r="12338" s="2043" customFormat="1" x14ac:dyDescent="0.2"/>
    <row r="12339" s="2043" customFormat="1" x14ac:dyDescent="0.2"/>
    <row r="12340" s="2043" customFormat="1" x14ac:dyDescent="0.2"/>
    <row r="12341" s="2043" customFormat="1" x14ac:dyDescent="0.2"/>
    <row r="12342" s="2043" customFormat="1" x14ac:dyDescent="0.2"/>
    <row r="12343" s="2043" customFormat="1" x14ac:dyDescent="0.2"/>
    <row r="12344" s="2043" customFormat="1" x14ac:dyDescent="0.2"/>
    <row r="12345" s="2043" customFormat="1" x14ac:dyDescent="0.2"/>
    <row r="12346" s="2043" customFormat="1" x14ac:dyDescent="0.2"/>
    <row r="12347" s="2043" customFormat="1" x14ac:dyDescent="0.2"/>
    <row r="12348" s="2043" customFormat="1" x14ac:dyDescent="0.2"/>
    <row r="12349" s="2043" customFormat="1" x14ac:dyDescent="0.2"/>
    <row r="12350" s="2043" customFormat="1" x14ac:dyDescent="0.2"/>
    <row r="12351" s="2043" customFormat="1" x14ac:dyDescent="0.2"/>
    <row r="12352" s="2043" customFormat="1" x14ac:dyDescent="0.2"/>
    <row r="12353" s="2043" customFormat="1" x14ac:dyDescent="0.2"/>
    <row r="12354" s="2043" customFormat="1" x14ac:dyDescent="0.2"/>
    <row r="12355" s="2043" customFormat="1" x14ac:dyDescent="0.2"/>
    <row r="12356" s="2043" customFormat="1" x14ac:dyDescent="0.2"/>
    <row r="12357" s="2043" customFormat="1" x14ac:dyDescent="0.2"/>
    <row r="12358" s="2043" customFormat="1" x14ac:dyDescent="0.2"/>
    <row r="12359" s="2043" customFormat="1" x14ac:dyDescent="0.2"/>
    <row r="12360" s="2043" customFormat="1" x14ac:dyDescent="0.2"/>
    <row r="12361" s="2043" customFormat="1" x14ac:dyDescent="0.2"/>
    <row r="12362" s="2043" customFormat="1" x14ac:dyDescent="0.2"/>
    <row r="12363" s="2043" customFormat="1" x14ac:dyDescent="0.2"/>
    <row r="12364" s="2043" customFormat="1" x14ac:dyDescent="0.2"/>
    <row r="12365" s="2043" customFormat="1" x14ac:dyDescent="0.2"/>
    <row r="12366" s="2043" customFormat="1" x14ac:dyDescent="0.2"/>
    <row r="12367" s="2043" customFormat="1" x14ac:dyDescent="0.2"/>
    <row r="12368" s="2043" customFormat="1" x14ac:dyDescent="0.2"/>
    <row r="12369" s="2043" customFormat="1" x14ac:dyDescent="0.2"/>
    <row r="12370" s="2043" customFormat="1" x14ac:dyDescent="0.2"/>
    <row r="12371" s="2043" customFormat="1" x14ac:dyDescent="0.2"/>
    <row r="12372" s="2043" customFormat="1" x14ac:dyDescent="0.2"/>
    <row r="12373" s="2043" customFormat="1" x14ac:dyDescent="0.2"/>
    <row r="12374" s="2043" customFormat="1" x14ac:dyDescent="0.2"/>
    <row r="12375" s="2043" customFormat="1" x14ac:dyDescent="0.2"/>
    <row r="12376" s="2043" customFormat="1" x14ac:dyDescent="0.2"/>
    <row r="12377" s="2043" customFormat="1" x14ac:dyDescent="0.2"/>
    <row r="12378" s="2043" customFormat="1" x14ac:dyDescent="0.2"/>
    <row r="12379" s="2043" customFormat="1" x14ac:dyDescent="0.2"/>
    <row r="12380" s="2043" customFormat="1" x14ac:dyDescent="0.2"/>
    <row r="12381" s="2043" customFormat="1" x14ac:dyDescent="0.2"/>
    <row r="12382" s="2043" customFormat="1" x14ac:dyDescent="0.2"/>
    <row r="12383" s="2043" customFormat="1" x14ac:dyDescent="0.2"/>
    <row r="12384" s="2043" customFormat="1" x14ac:dyDescent="0.2"/>
    <row r="12385" s="2043" customFormat="1" x14ac:dyDescent="0.2"/>
    <row r="12386" s="2043" customFormat="1" x14ac:dyDescent="0.2"/>
    <row r="12387" s="2043" customFormat="1" x14ac:dyDescent="0.2"/>
    <row r="12388" s="2043" customFormat="1" x14ac:dyDescent="0.2"/>
    <row r="12389" s="2043" customFormat="1" x14ac:dyDescent="0.2"/>
    <row r="12390" s="2043" customFormat="1" x14ac:dyDescent="0.2"/>
    <row r="12391" s="2043" customFormat="1" x14ac:dyDescent="0.2"/>
    <row r="12392" s="2043" customFormat="1" x14ac:dyDescent="0.2"/>
    <row r="12393" s="2043" customFormat="1" x14ac:dyDescent="0.2"/>
    <row r="12394" s="2043" customFormat="1" x14ac:dyDescent="0.2"/>
    <row r="12395" s="2043" customFormat="1" x14ac:dyDescent="0.2"/>
    <row r="12396" s="2043" customFormat="1" x14ac:dyDescent="0.2"/>
    <row r="12397" s="2043" customFormat="1" x14ac:dyDescent="0.2"/>
    <row r="12398" s="2043" customFormat="1" x14ac:dyDescent="0.2"/>
    <row r="12399" s="2043" customFormat="1" x14ac:dyDescent="0.2"/>
    <row r="12400" s="2043" customFormat="1" x14ac:dyDescent="0.2"/>
    <row r="12401" s="2043" customFormat="1" x14ac:dyDescent="0.2"/>
    <row r="12402" s="2043" customFormat="1" x14ac:dyDescent="0.2"/>
    <row r="12403" s="2043" customFormat="1" x14ac:dyDescent="0.2"/>
    <row r="12404" s="2043" customFormat="1" x14ac:dyDescent="0.2"/>
    <row r="12405" s="2043" customFormat="1" x14ac:dyDescent="0.2"/>
    <row r="12406" s="2043" customFormat="1" x14ac:dyDescent="0.2"/>
    <row r="12407" s="2043" customFormat="1" x14ac:dyDescent="0.2"/>
    <row r="12408" s="2043" customFormat="1" x14ac:dyDescent="0.2"/>
    <row r="12409" s="2043" customFormat="1" x14ac:dyDescent="0.2"/>
    <row r="12410" s="2043" customFormat="1" x14ac:dyDescent="0.2"/>
    <row r="12411" s="2043" customFormat="1" x14ac:dyDescent="0.2"/>
    <row r="12412" s="2043" customFormat="1" x14ac:dyDescent="0.2"/>
    <row r="12413" s="2043" customFormat="1" x14ac:dyDescent="0.2"/>
    <row r="12414" s="2043" customFormat="1" x14ac:dyDescent="0.2"/>
    <row r="12415" s="2043" customFormat="1" x14ac:dyDescent="0.2"/>
    <row r="12416" s="2043" customFormat="1" x14ac:dyDescent="0.2"/>
    <row r="12417" s="2043" customFormat="1" x14ac:dyDescent="0.2"/>
    <row r="12418" s="2043" customFormat="1" x14ac:dyDescent="0.2"/>
    <row r="12419" s="2043" customFormat="1" x14ac:dyDescent="0.2"/>
    <row r="12420" s="2043" customFormat="1" x14ac:dyDescent="0.2"/>
    <row r="12421" s="2043" customFormat="1" x14ac:dyDescent="0.2"/>
    <row r="12422" s="2043" customFormat="1" x14ac:dyDescent="0.2"/>
    <row r="12423" s="2043" customFormat="1" x14ac:dyDescent="0.2"/>
    <row r="12424" s="2043" customFormat="1" x14ac:dyDescent="0.2"/>
    <row r="12425" s="2043" customFormat="1" x14ac:dyDescent="0.2"/>
    <row r="12426" s="2043" customFormat="1" x14ac:dyDescent="0.2"/>
    <row r="12427" s="2043" customFormat="1" x14ac:dyDescent="0.2"/>
    <row r="12428" s="2043" customFormat="1" x14ac:dyDescent="0.2"/>
    <row r="12429" s="2043" customFormat="1" x14ac:dyDescent="0.2"/>
    <row r="12430" s="2043" customFormat="1" x14ac:dyDescent="0.2"/>
    <row r="12431" s="2043" customFormat="1" x14ac:dyDescent="0.2"/>
    <row r="12432" s="2043" customFormat="1" x14ac:dyDescent="0.2"/>
    <row r="12433" s="2043" customFormat="1" x14ac:dyDescent="0.2"/>
    <row r="12434" s="2043" customFormat="1" x14ac:dyDescent="0.2"/>
    <row r="12435" s="2043" customFormat="1" x14ac:dyDescent="0.2"/>
    <row r="12436" s="2043" customFormat="1" x14ac:dyDescent="0.2"/>
    <row r="12437" s="2043" customFormat="1" x14ac:dyDescent="0.2"/>
    <row r="12438" s="2043" customFormat="1" x14ac:dyDescent="0.2"/>
    <row r="12439" s="2043" customFormat="1" x14ac:dyDescent="0.2"/>
    <row r="12440" s="2043" customFormat="1" x14ac:dyDescent="0.2"/>
    <row r="12441" s="2043" customFormat="1" x14ac:dyDescent="0.2"/>
    <row r="12442" s="2043" customFormat="1" x14ac:dyDescent="0.2"/>
    <row r="12443" s="2043" customFormat="1" x14ac:dyDescent="0.2"/>
    <row r="12444" s="2043" customFormat="1" x14ac:dyDescent="0.2"/>
    <row r="12445" s="2043" customFormat="1" x14ac:dyDescent="0.2"/>
    <row r="12446" s="2043" customFormat="1" x14ac:dyDescent="0.2"/>
    <row r="12447" s="2043" customFormat="1" x14ac:dyDescent="0.2"/>
    <row r="12448" s="2043" customFormat="1" x14ac:dyDescent="0.2"/>
    <row r="12449" s="2043" customFormat="1" x14ac:dyDescent="0.2"/>
    <row r="12450" s="2043" customFormat="1" x14ac:dyDescent="0.2"/>
    <row r="12451" s="2043" customFormat="1" x14ac:dyDescent="0.2"/>
    <row r="12452" s="2043" customFormat="1" x14ac:dyDescent="0.2"/>
    <row r="12453" s="2043" customFormat="1" x14ac:dyDescent="0.2"/>
    <row r="12454" s="2043" customFormat="1" x14ac:dyDescent="0.2"/>
    <row r="12455" s="2043" customFormat="1" x14ac:dyDescent="0.2"/>
    <row r="12456" s="2043" customFormat="1" x14ac:dyDescent="0.2"/>
    <row r="12457" s="2043" customFormat="1" x14ac:dyDescent="0.2"/>
    <row r="12458" s="2043" customFormat="1" x14ac:dyDescent="0.2"/>
    <row r="12459" s="2043" customFormat="1" x14ac:dyDescent="0.2"/>
    <row r="12460" s="2043" customFormat="1" x14ac:dyDescent="0.2"/>
    <row r="12461" s="2043" customFormat="1" x14ac:dyDescent="0.2"/>
    <row r="12462" s="2043" customFormat="1" x14ac:dyDescent="0.2"/>
    <row r="12463" s="2043" customFormat="1" x14ac:dyDescent="0.2"/>
    <row r="12464" s="2043" customFormat="1" x14ac:dyDescent="0.2"/>
    <row r="12465" s="2043" customFormat="1" x14ac:dyDescent="0.2"/>
    <row r="12466" s="2043" customFormat="1" x14ac:dyDescent="0.2"/>
    <row r="12467" s="2043" customFormat="1" x14ac:dyDescent="0.2"/>
    <row r="12468" s="2043" customFormat="1" x14ac:dyDescent="0.2"/>
    <row r="12469" s="2043" customFormat="1" x14ac:dyDescent="0.2"/>
    <row r="12470" s="2043" customFormat="1" x14ac:dyDescent="0.2"/>
    <row r="12471" s="2043" customFormat="1" x14ac:dyDescent="0.2"/>
    <row r="12472" s="2043" customFormat="1" x14ac:dyDescent="0.2"/>
    <row r="12473" s="2043" customFormat="1" x14ac:dyDescent="0.2"/>
    <row r="12474" s="2043" customFormat="1" x14ac:dyDescent="0.2"/>
    <row r="12475" s="2043" customFormat="1" x14ac:dyDescent="0.2"/>
    <row r="12476" s="2043" customFormat="1" x14ac:dyDescent="0.2"/>
    <row r="12477" s="2043" customFormat="1" x14ac:dyDescent="0.2"/>
    <row r="12478" s="2043" customFormat="1" x14ac:dyDescent="0.2"/>
    <row r="12479" s="2043" customFormat="1" x14ac:dyDescent="0.2"/>
    <row r="12480" s="2043" customFormat="1" x14ac:dyDescent="0.2"/>
    <row r="12481" s="2043" customFormat="1" x14ac:dyDescent="0.2"/>
    <row r="12482" s="2043" customFormat="1" x14ac:dyDescent="0.2"/>
    <row r="12483" s="2043" customFormat="1" x14ac:dyDescent="0.2"/>
    <row r="12484" s="2043" customFormat="1" x14ac:dyDescent="0.2"/>
    <row r="12485" s="2043" customFormat="1" x14ac:dyDescent="0.2"/>
    <row r="12486" s="2043" customFormat="1" x14ac:dyDescent="0.2"/>
    <row r="12487" s="2043" customFormat="1" x14ac:dyDescent="0.2"/>
    <row r="12488" s="2043" customFormat="1" x14ac:dyDescent="0.2"/>
    <row r="12489" s="2043" customFormat="1" x14ac:dyDescent="0.2"/>
    <row r="12490" s="2043" customFormat="1" x14ac:dyDescent="0.2"/>
    <row r="12491" s="2043" customFormat="1" x14ac:dyDescent="0.2"/>
    <row r="12492" s="2043" customFormat="1" x14ac:dyDescent="0.2"/>
    <row r="12493" s="2043" customFormat="1" x14ac:dyDescent="0.2"/>
    <row r="12494" s="2043" customFormat="1" x14ac:dyDescent="0.2"/>
    <row r="12495" s="2043" customFormat="1" x14ac:dyDescent="0.2"/>
    <row r="12496" s="2043" customFormat="1" x14ac:dyDescent="0.2"/>
    <row r="12497" s="2043" customFormat="1" x14ac:dyDescent="0.2"/>
    <row r="12498" s="2043" customFormat="1" x14ac:dyDescent="0.2"/>
    <row r="12499" s="2043" customFormat="1" x14ac:dyDescent="0.2"/>
    <row r="12500" s="2043" customFormat="1" x14ac:dyDescent="0.2"/>
    <row r="12501" s="2043" customFormat="1" x14ac:dyDescent="0.2"/>
    <row r="12502" s="2043" customFormat="1" x14ac:dyDescent="0.2"/>
    <row r="12503" s="2043" customFormat="1" x14ac:dyDescent="0.2"/>
    <row r="12504" s="2043" customFormat="1" x14ac:dyDescent="0.2"/>
    <row r="12505" s="2043" customFormat="1" x14ac:dyDescent="0.2"/>
    <row r="12506" s="2043" customFormat="1" x14ac:dyDescent="0.2"/>
    <row r="12507" s="2043" customFormat="1" x14ac:dyDescent="0.2"/>
    <row r="12508" s="2043" customFormat="1" x14ac:dyDescent="0.2"/>
    <row r="12509" s="2043" customFormat="1" x14ac:dyDescent="0.2"/>
    <row r="12510" s="2043" customFormat="1" x14ac:dyDescent="0.2"/>
    <row r="12511" s="2043" customFormat="1" x14ac:dyDescent="0.2"/>
    <row r="12512" s="2043" customFormat="1" x14ac:dyDescent="0.2"/>
    <row r="12513" s="2043" customFormat="1" x14ac:dyDescent="0.2"/>
    <row r="12514" s="2043" customFormat="1" x14ac:dyDescent="0.2"/>
    <row r="12515" s="2043" customFormat="1" x14ac:dyDescent="0.2"/>
    <row r="12516" s="2043" customFormat="1" x14ac:dyDescent="0.2"/>
    <row r="12517" s="2043" customFormat="1" x14ac:dyDescent="0.2"/>
    <row r="12518" s="2043" customFormat="1" x14ac:dyDescent="0.2"/>
    <row r="12519" s="2043" customFormat="1" x14ac:dyDescent="0.2"/>
    <row r="12520" s="2043" customFormat="1" x14ac:dyDescent="0.2"/>
    <row r="12521" s="2043" customFormat="1" x14ac:dyDescent="0.2"/>
    <row r="12522" s="2043" customFormat="1" x14ac:dyDescent="0.2"/>
    <row r="12523" s="2043" customFormat="1" x14ac:dyDescent="0.2"/>
    <row r="12524" s="2043" customFormat="1" x14ac:dyDescent="0.2"/>
    <row r="12525" s="2043" customFormat="1" x14ac:dyDescent="0.2"/>
    <row r="12526" s="2043" customFormat="1" x14ac:dyDescent="0.2"/>
    <row r="12527" s="2043" customFormat="1" x14ac:dyDescent="0.2"/>
    <row r="12528" s="2043" customFormat="1" x14ac:dyDescent="0.2"/>
    <row r="12529" s="2043" customFormat="1" x14ac:dyDescent="0.2"/>
    <row r="12530" s="2043" customFormat="1" x14ac:dyDescent="0.2"/>
    <row r="12531" s="2043" customFormat="1" x14ac:dyDescent="0.2"/>
    <row r="12532" s="2043" customFormat="1" x14ac:dyDescent="0.2"/>
    <row r="12533" s="2043" customFormat="1" x14ac:dyDescent="0.2"/>
    <row r="12534" s="2043" customFormat="1" x14ac:dyDescent="0.2"/>
    <row r="12535" s="2043" customFormat="1" x14ac:dyDescent="0.2"/>
    <row r="12536" s="2043" customFormat="1" x14ac:dyDescent="0.2"/>
    <row r="12537" s="2043" customFormat="1" x14ac:dyDescent="0.2"/>
    <row r="12538" s="2043" customFormat="1" x14ac:dyDescent="0.2"/>
    <row r="12539" s="2043" customFormat="1" x14ac:dyDescent="0.2"/>
    <row r="12540" s="2043" customFormat="1" x14ac:dyDescent="0.2"/>
    <row r="12541" s="2043" customFormat="1" x14ac:dyDescent="0.2"/>
    <row r="12542" s="2043" customFormat="1" x14ac:dyDescent="0.2"/>
    <row r="12543" s="2043" customFormat="1" x14ac:dyDescent="0.2"/>
    <row r="12544" s="2043" customFormat="1" x14ac:dyDescent="0.2"/>
    <row r="12545" s="2043" customFormat="1" x14ac:dyDescent="0.2"/>
    <row r="12546" s="2043" customFormat="1" x14ac:dyDescent="0.2"/>
    <row r="12547" s="2043" customFormat="1" x14ac:dyDescent="0.2"/>
    <row r="12548" s="2043" customFormat="1" x14ac:dyDescent="0.2"/>
    <row r="12549" s="2043" customFormat="1" x14ac:dyDescent="0.2"/>
    <row r="12550" s="2043" customFormat="1" x14ac:dyDescent="0.2"/>
    <row r="12551" s="2043" customFormat="1" x14ac:dyDescent="0.2"/>
    <row r="12552" s="2043" customFormat="1" x14ac:dyDescent="0.2"/>
    <row r="12553" s="2043" customFormat="1" x14ac:dyDescent="0.2"/>
    <row r="12554" s="2043" customFormat="1" x14ac:dyDescent="0.2"/>
    <row r="12555" s="2043" customFormat="1" x14ac:dyDescent="0.2"/>
    <row r="12556" s="2043" customFormat="1" x14ac:dyDescent="0.2"/>
    <row r="12557" s="2043" customFormat="1" x14ac:dyDescent="0.2"/>
    <row r="12558" s="2043" customFormat="1" x14ac:dyDescent="0.2"/>
    <row r="12559" s="2043" customFormat="1" x14ac:dyDescent="0.2"/>
    <row r="12560" s="2043" customFormat="1" x14ac:dyDescent="0.2"/>
    <row r="12561" s="2043" customFormat="1" x14ac:dyDescent="0.2"/>
    <row r="12562" s="2043" customFormat="1" x14ac:dyDescent="0.2"/>
    <row r="12563" s="2043" customFormat="1" x14ac:dyDescent="0.2"/>
    <row r="12564" s="2043" customFormat="1" x14ac:dyDescent="0.2"/>
    <row r="12565" s="2043" customFormat="1" x14ac:dyDescent="0.2"/>
    <row r="12566" s="2043" customFormat="1" x14ac:dyDescent="0.2"/>
    <row r="12567" s="2043" customFormat="1" x14ac:dyDescent="0.2"/>
    <row r="12568" s="2043" customFormat="1" x14ac:dyDescent="0.2"/>
    <row r="12569" s="2043" customFormat="1" x14ac:dyDescent="0.2"/>
    <row r="12570" s="2043" customFormat="1" x14ac:dyDescent="0.2"/>
    <row r="12571" s="2043" customFormat="1" x14ac:dyDescent="0.2"/>
    <row r="12572" s="2043" customFormat="1" x14ac:dyDescent="0.2"/>
    <row r="12573" s="2043" customFormat="1" x14ac:dyDescent="0.2"/>
    <row r="12574" s="2043" customFormat="1" x14ac:dyDescent="0.2"/>
    <row r="12575" s="2043" customFormat="1" x14ac:dyDescent="0.2"/>
    <row r="12576" s="2043" customFormat="1" x14ac:dyDescent="0.2"/>
    <row r="12577" s="2043" customFormat="1" x14ac:dyDescent="0.2"/>
    <row r="12578" s="2043" customFormat="1" x14ac:dyDescent="0.2"/>
    <row r="12579" s="2043" customFormat="1" x14ac:dyDescent="0.2"/>
    <row r="12580" s="2043" customFormat="1" x14ac:dyDescent="0.2"/>
    <row r="12581" s="2043" customFormat="1" x14ac:dyDescent="0.2"/>
    <row r="12582" s="2043" customFormat="1" x14ac:dyDescent="0.2"/>
    <row r="12583" s="2043" customFormat="1" x14ac:dyDescent="0.2"/>
    <row r="12584" s="2043" customFormat="1" x14ac:dyDescent="0.2"/>
    <row r="12585" s="2043" customFormat="1" x14ac:dyDescent="0.2"/>
    <row r="12586" s="2043" customFormat="1" x14ac:dyDescent="0.2"/>
    <row r="12587" s="2043" customFormat="1" x14ac:dyDescent="0.2"/>
    <row r="12588" s="2043" customFormat="1" x14ac:dyDescent="0.2"/>
    <row r="12589" s="2043" customFormat="1" x14ac:dyDescent="0.2"/>
    <row r="12590" s="2043" customFormat="1" x14ac:dyDescent="0.2"/>
    <row r="12591" s="2043" customFormat="1" x14ac:dyDescent="0.2"/>
    <row r="12592" s="2043" customFormat="1" x14ac:dyDescent="0.2"/>
    <row r="12593" s="2043" customFormat="1" x14ac:dyDescent="0.2"/>
    <row r="12594" s="2043" customFormat="1" x14ac:dyDescent="0.2"/>
    <row r="12595" s="2043" customFormat="1" x14ac:dyDescent="0.2"/>
    <row r="12596" s="2043" customFormat="1" x14ac:dyDescent="0.2"/>
    <row r="12597" s="2043" customFormat="1" x14ac:dyDescent="0.2"/>
    <row r="12598" s="2043" customFormat="1" x14ac:dyDescent="0.2"/>
    <row r="12599" s="2043" customFormat="1" x14ac:dyDescent="0.2"/>
    <row r="12600" s="2043" customFormat="1" x14ac:dyDescent="0.2"/>
    <row r="12601" s="2043" customFormat="1" x14ac:dyDescent="0.2"/>
    <row r="12602" s="2043" customFormat="1" x14ac:dyDescent="0.2"/>
    <row r="12603" s="2043" customFormat="1" x14ac:dyDescent="0.2"/>
    <row r="12604" s="2043" customFormat="1" x14ac:dyDescent="0.2"/>
    <row r="12605" s="2043" customFormat="1" x14ac:dyDescent="0.2"/>
    <row r="12606" s="2043" customFormat="1" x14ac:dyDescent="0.2"/>
    <row r="12607" s="2043" customFormat="1" x14ac:dyDescent="0.2"/>
    <row r="12608" s="2043" customFormat="1" x14ac:dyDescent="0.2"/>
    <row r="12609" s="2043" customFormat="1" x14ac:dyDescent="0.2"/>
    <row r="12610" s="2043" customFormat="1" x14ac:dyDescent="0.2"/>
    <row r="12611" s="2043" customFormat="1" x14ac:dyDescent="0.2"/>
    <row r="12612" s="2043" customFormat="1" x14ac:dyDescent="0.2"/>
    <row r="12613" s="2043" customFormat="1" x14ac:dyDescent="0.2"/>
    <row r="12614" s="2043" customFormat="1" x14ac:dyDescent="0.2"/>
    <row r="12615" s="2043" customFormat="1" x14ac:dyDescent="0.2"/>
    <row r="12616" s="2043" customFormat="1" x14ac:dyDescent="0.2"/>
    <row r="12617" s="2043" customFormat="1" x14ac:dyDescent="0.2"/>
    <row r="12618" s="2043" customFormat="1" x14ac:dyDescent="0.2"/>
    <row r="12619" s="2043" customFormat="1" x14ac:dyDescent="0.2"/>
    <row r="12620" s="2043" customFormat="1" x14ac:dyDescent="0.2"/>
    <row r="12621" s="2043" customFormat="1" x14ac:dyDescent="0.2"/>
    <row r="12622" s="2043" customFormat="1" x14ac:dyDescent="0.2"/>
    <row r="12623" s="2043" customFormat="1" x14ac:dyDescent="0.2"/>
    <row r="12624" s="2043" customFormat="1" x14ac:dyDescent="0.2"/>
    <row r="12625" s="2043" customFormat="1" x14ac:dyDescent="0.2"/>
    <row r="12626" s="2043" customFormat="1" x14ac:dyDescent="0.2"/>
    <row r="12627" s="2043" customFormat="1" x14ac:dyDescent="0.2"/>
    <row r="12628" s="2043" customFormat="1" x14ac:dyDescent="0.2"/>
    <row r="12629" s="2043" customFormat="1" x14ac:dyDescent="0.2"/>
    <row r="12630" s="2043" customFormat="1" x14ac:dyDescent="0.2"/>
    <row r="12631" s="2043" customFormat="1" x14ac:dyDescent="0.2"/>
    <row r="12632" s="2043" customFormat="1" x14ac:dyDescent="0.2"/>
    <row r="12633" s="2043" customFormat="1" x14ac:dyDescent="0.2"/>
    <row r="12634" s="2043" customFormat="1" x14ac:dyDescent="0.2"/>
    <row r="12635" s="2043" customFormat="1" x14ac:dyDescent="0.2"/>
    <row r="12636" s="2043" customFormat="1" x14ac:dyDescent="0.2"/>
    <row r="12637" s="2043" customFormat="1" x14ac:dyDescent="0.2"/>
    <row r="12638" s="2043" customFormat="1" x14ac:dyDescent="0.2"/>
    <row r="12639" s="2043" customFormat="1" x14ac:dyDescent="0.2"/>
    <row r="12640" s="2043" customFormat="1" x14ac:dyDescent="0.2"/>
    <row r="12641" s="2043" customFormat="1" x14ac:dyDescent="0.2"/>
    <row r="12642" s="2043" customFormat="1" x14ac:dyDescent="0.2"/>
    <row r="12643" s="2043" customFormat="1" x14ac:dyDescent="0.2"/>
    <row r="12644" s="2043" customFormat="1" x14ac:dyDescent="0.2"/>
    <row r="12645" s="2043" customFormat="1" x14ac:dyDescent="0.2"/>
    <row r="12646" s="2043" customFormat="1" x14ac:dyDescent="0.2"/>
    <row r="12647" s="2043" customFormat="1" x14ac:dyDescent="0.2"/>
    <row r="12648" s="2043" customFormat="1" x14ac:dyDescent="0.2"/>
    <row r="12649" s="2043" customFormat="1" x14ac:dyDescent="0.2"/>
    <row r="12650" s="2043" customFormat="1" x14ac:dyDescent="0.2"/>
    <row r="12651" s="2043" customFormat="1" x14ac:dyDescent="0.2"/>
    <row r="12652" s="2043" customFormat="1" x14ac:dyDescent="0.2"/>
    <row r="12653" s="2043" customFormat="1" x14ac:dyDescent="0.2"/>
    <row r="12654" s="2043" customFormat="1" x14ac:dyDescent="0.2"/>
    <row r="12655" s="2043" customFormat="1" x14ac:dyDescent="0.2"/>
    <row r="12656" s="2043" customFormat="1" x14ac:dyDescent="0.2"/>
    <row r="12657" s="2043" customFormat="1" x14ac:dyDescent="0.2"/>
    <row r="12658" s="2043" customFormat="1" x14ac:dyDescent="0.2"/>
    <row r="12659" s="2043" customFormat="1" x14ac:dyDescent="0.2"/>
    <row r="12660" s="2043" customFormat="1" x14ac:dyDescent="0.2"/>
    <row r="12661" s="2043" customFormat="1" x14ac:dyDescent="0.2"/>
    <row r="12662" s="2043" customFormat="1" x14ac:dyDescent="0.2"/>
    <row r="12663" s="2043" customFormat="1" x14ac:dyDescent="0.2"/>
    <row r="12664" s="2043" customFormat="1" x14ac:dyDescent="0.2"/>
    <row r="12665" s="2043" customFormat="1" x14ac:dyDescent="0.2"/>
    <row r="12666" s="2043" customFormat="1" x14ac:dyDescent="0.2"/>
    <row r="12667" s="2043" customFormat="1" x14ac:dyDescent="0.2"/>
    <row r="12668" s="2043" customFormat="1" x14ac:dyDescent="0.2"/>
    <row r="12669" s="2043" customFormat="1" x14ac:dyDescent="0.2"/>
    <row r="12670" s="2043" customFormat="1" x14ac:dyDescent="0.2"/>
    <row r="12671" s="2043" customFormat="1" x14ac:dyDescent="0.2"/>
    <row r="12672" s="2043" customFormat="1" x14ac:dyDescent="0.2"/>
    <row r="12673" s="2043" customFormat="1" x14ac:dyDescent="0.2"/>
    <row r="12674" s="2043" customFormat="1" x14ac:dyDescent="0.2"/>
    <row r="12675" s="2043" customFormat="1" x14ac:dyDescent="0.2"/>
    <row r="12676" s="2043" customFormat="1" x14ac:dyDescent="0.2"/>
    <row r="12677" s="2043" customFormat="1" x14ac:dyDescent="0.2"/>
    <row r="12678" s="2043" customFormat="1" x14ac:dyDescent="0.2"/>
    <row r="12679" s="2043" customFormat="1" x14ac:dyDescent="0.2"/>
    <row r="12680" s="2043" customFormat="1" x14ac:dyDescent="0.2"/>
    <row r="12681" s="2043" customFormat="1" x14ac:dyDescent="0.2"/>
    <row r="12682" s="2043" customFormat="1" x14ac:dyDescent="0.2"/>
    <row r="12683" s="2043" customFormat="1" x14ac:dyDescent="0.2"/>
    <row r="12684" s="2043" customFormat="1" x14ac:dyDescent="0.2"/>
    <row r="12685" s="2043" customFormat="1" x14ac:dyDescent="0.2"/>
    <row r="12686" s="2043" customFormat="1" x14ac:dyDescent="0.2"/>
    <row r="12687" s="2043" customFormat="1" x14ac:dyDescent="0.2"/>
    <row r="12688" s="2043" customFormat="1" x14ac:dyDescent="0.2"/>
    <row r="12689" s="2043" customFormat="1" x14ac:dyDescent="0.2"/>
    <row r="12690" s="2043" customFormat="1" x14ac:dyDescent="0.2"/>
    <row r="12691" s="2043" customFormat="1" x14ac:dyDescent="0.2"/>
    <row r="12692" s="2043" customFormat="1" x14ac:dyDescent="0.2"/>
    <row r="12693" s="2043" customFormat="1" x14ac:dyDescent="0.2"/>
    <row r="12694" s="2043" customFormat="1" x14ac:dyDescent="0.2"/>
    <row r="12695" s="2043" customFormat="1" x14ac:dyDescent="0.2"/>
    <row r="12696" s="2043" customFormat="1" x14ac:dyDescent="0.2"/>
    <row r="12697" s="2043" customFormat="1" x14ac:dyDescent="0.2"/>
    <row r="12698" s="2043" customFormat="1" x14ac:dyDescent="0.2"/>
    <row r="12699" s="2043" customFormat="1" x14ac:dyDescent="0.2"/>
    <row r="12700" s="2043" customFormat="1" x14ac:dyDescent="0.2"/>
    <row r="12701" s="2043" customFormat="1" x14ac:dyDescent="0.2"/>
    <row r="12702" s="2043" customFormat="1" x14ac:dyDescent="0.2"/>
    <row r="12703" s="2043" customFormat="1" x14ac:dyDescent="0.2"/>
    <row r="12704" s="2043" customFormat="1" x14ac:dyDescent="0.2"/>
    <row r="12705" s="2043" customFormat="1" x14ac:dyDescent="0.2"/>
    <row r="12706" s="2043" customFormat="1" x14ac:dyDescent="0.2"/>
    <row r="12707" s="2043" customFormat="1" x14ac:dyDescent="0.2"/>
    <row r="12708" s="2043" customFormat="1" x14ac:dyDescent="0.2"/>
    <row r="12709" s="2043" customFormat="1" x14ac:dyDescent="0.2"/>
    <row r="12710" s="2043" customFormat="1" x14ac:dyDescent="0.2"/>
    <row r="12711" s="2043" customFormat="1" x14ac:dyDescent="0.2"/>
    <row r="12712" s="2043" customFormat="1" x14ac:dyDescent="0.2"/>
    <row r="12713" s="2043" customFormat="1" x14ac:dyDescent="0.2"/>
    <row r="12714" s="2043" customFormat="1" x14ac:dyDescent="0.2"/>
    <row r="12715" s="2043" customFormat="1" x14ac:dyDescent="0.2"/>
    <row r="12716" s="2043" customFormat="1" x14ac:dyDescent="0.2"/>
    <row r="12717" s="2043" customFormat="1" x14ac:dyDescent="0.2"/>
    <row r="12718" s="2043" customFormat="1" x14ac:dyDescent="0.2"/>
    <row r="12719" s="2043" customFormat="1" x14ac:dyDescent="0.2"/>
    <row r="12720" s="2043" customFormat="1" x14ac:dyDescent="0.2"/>
    <row r="12721" s="2043" customFormat="1" x14ac:dyDescent="0.2"/>
    <row r="12722" s="2043" customFormat="1" x14ac:dyDescent="0.2"/>
    <row r="12723" s="2043" customFormat="1" x14ac:dyDescent="0.2"/>
    <row r="12724" s="2043" customFormat="1" x14ac:dyDescent="0.2"/>
    <row r="12725" s="2043" customFormat="1" x14ac:dyDescent="0.2"/>
    <row r="12726" s="2043" customFormat="1" x14ac:dyDescent="0.2"/>
    <row r="12727" s="2043" customFormat="1" x14ac:dyDescent="0.2"/>
    <row r="12728" s="2043" customFormat="1" x14ac:dyDescent="0.2"/>
    <row r="12729" s="2043" customFormat="1" x14ac:dyDescent="0.2"/>
    <row r="12730" s="2043" customFormat="1" x14ac:dyDescent="0.2"/>
    <row r="12731" s="2043" customFormat="1" x14ac:dyDescent="0.2"/>
    <row r="12732" s="2043" customFormat="1" x14ac:dyDescent="0.2"/>
    <row r="12733" s="2043" customFormat="1" x14ac:dyDescent="0.2"/>
    <row r="12734" s="2043" customFormat="1" x14ac:dyDescent="0.2"/>
    <row r="12735" s="2043" customFormat="1" x14ac:dyDescent="0.2"/>
    <row r="12736" s="2043" customFormat="1" x14ac:dyDescent="0.2"/>
    <row r="12737" s="2043" customFormat="1" x14ac:dyDescent="0.2"/>
    <row r="12738" s="2043" customFormat="1" x14ac:dyDescent="0.2"/>
    <row r="12739" s="2043" customFormat="1" x14ac:dyDescent="0.2"/>
    <row r="12740" s="2043" customFormat="1" x14ac:dyDescent="0.2"/>
    <row r="12741" s="2043" customFormat="1" x14ac:dyDescent="0.2"/>
    <row r="12742" s="2043" customFormat="1" x14ac:dyDescent="0.2"/>
    <row r="12743" s="2043" customFormat="1" x14ac:dyDescent="0.2"/>
    <row r="12744" s="2043" customFormat="1" x14ac:dyDescent="0.2"/>
    <row r="12745" s="2043" customFormat="1" x14ac:dyDescent="0.2"/>
    <row r="12746" s="2043" customFormat="1" x14ac:dyDescent="0.2"/>
    <row r="12747" s="2043" customFormat="1" x14ac:dyDescent="0.2"/>
    <row r="12748" s="2043" customFormat="1" x14ac:dyDescent="0.2"/>
    <row r="12749" s="2043" customFormat="1" x14ac:dyDescent="0.2"/>
    <row r="12750" s="2043" customFormat="1" x14ac:dyDescent="0.2"/>
    <row r="12751" s="2043" customFormat="1" x14ac:dyDescent="0.2"/>
    <row r="12752" s="2043" customFormat="1" x14ac:dyDescent="0.2"/>
    <row r="12753" s="2043" customFormat="1" x14ac:dyDescent="0.2"/>
    <row r="12754" s="2043" customFormat="1" x14ac:dyDescent="0.2"/>
    <row r="12755" s="2043" customFormat="1" x14ac:dyDescent="0.2"/>
    <row r="12756" s="2043" customFormat="1" x14ac:dyDescent="0.2"/>
    <row r="12757" s="2043" customFormat="1" x14ac:dyDescent="0.2"/>
    <row r="12758" s="2043" customFormat="1" x14ac:dyDescent="0.2"/>
    <row r="12759" s="2043" customFormat="1" x14ac:dyDescent="0.2"/>
    <row r="12760" s="2043" customFormat="1" x14ac:dyDescent="0.2"/>
    <row r="12761" s="2043" customFormat="1" x14ac:dyDescent="0.2"/>
    <row r="12762" s="2043" customFormat="1" x14ac:dyDescent="0.2"/>
    <row r="12763" s="2043" customFormat="1" x14ac:dyDescent="0.2"/>
    <row r="12764" s="2043" customFormat="1" x14ac:dyDescent="0.2"/>
    <row r="12765" s="2043" customFormat="1" x14ac:dyDescent="0.2"/>
    <row r="12766" s="2043" customFormat="1" x14ac:dyDescent="0.2"/>
    <row r="12767" s="2043" customFormat="1" x14ac:dyDescent="0.2"/>
    <row r="12768" s="2043" customFormat="1" x14ac:dyDescent="0.2"/>
    <row r="12769" s="2043" customFormat="1" x14ac:dyDescent="0.2"/>
    <row r="12770" s="2043" customFormat="1" x14ac:dyDescent="0.2"/>
    <row r="12771" s="2043" customFormat="1" x14ac:dyDescent="0.2"/>
    <row r="12772" s="2043" customFormat="1" x14ac:dyDescent="0.2"/>
    <row r="12773" s="2043" customFormat="1" x14ac:dyDescent="0.2"/>
    <row r="12774" s="2043" customFormat="1" x14ac:dyDescent="0.2"/>
    <row r="12775" s="2043" customFormat="1" x14ac:dyDescent="0.2"/>
    <row r="12776" s="2043" customFormat="1" x14ac:dyDescent="0.2"/>
    <row r="12777" s="2043" customFormat="1" x14ac:dyDescent="0.2"/>
    <row r="12778" s="2043" customFormat="1" x14ac:dyDescent="0.2"/>
    <row r="12779" s="2043" customFormat="1" x14ac:dyDescent="0.2"/>
    <row r="12780" s="2043" customFormat="1" x14ac:dyDescent="0.2"/>
    <row r="12781" s="2043" customFormat="1" x14ac:dyDescent="0.2"/>
    <row r="12782" s="2043" customFormat="1" x14ac:dyDescent="0.2"/>
    <row r="12783" s="2043" customFormat="1" x14ac:dyDescent="0.2"/>
    <row r="12784" s="2043" customFormat="1" x14ac:dyDescent="0.2"/>
    <row r="12785" s="2043" customFormat="1" x14ac:dyDescent="0.2"/>
    <row r="12786" s="2043" customFormat="1" x14ac:dyDescent="0.2"/>
    <row r="12787" s="2043" customFormat="1" x14ac:dyDescent="0.2"/>
    <row r="12788" s="2043" customFormat="1" x14ac:dyDescent="0.2"/>
    <row r="12789" s="2043" customFormat="1" x14ac:dyDescent="0.2"/>
    <row r="12790" s="2043" customFormat="1" x14ac:dyDescent="0.2"/>
    <row r="12791" s="2043" customFormat="1" x14ac:dyDescent="0.2"/>
    <row r="12792" s="2043" customFormat="1" x14ac:dyDescent="0.2"/>
    <row r="12793" s="2043" customFormat="1" x14ac:dyDescent="0.2"/>
    <row r="12794" s="2043" customFormat="1" x14ac:dyDescent="0.2"/>
    <row r="12795" s="2043" customFormat="1" x14ac:dyDescent="0.2"/>
    <row r="12796" s="2043" customFormat="1" x14ac:dyDescent="0.2"/>
    <row r="12797" s="2043" customFormat="1" x14ac:dyDescent="0.2"/>
    <row r="12798" s="2043" customFormat="1" x14ac:dyDescent="0.2"/>
    <row r="12799" s="2043" customFormat="1" x14ac:dyDescent="0.2"/>
    <row r="12800" s="2043" customFormat="1" x14ac:dyDescent="0.2"/>
    <row r="12801" s="2043" customFormat="1" x14ac:dyDescent="0.2"/>
    <row r="12802" s="2043" customFormat="1" x14ac:dyDescent="0.2"/>
    <row r="12803" s="2043" customFormat="1" x14ac:dyDescent="0.2"/>
    <row r="12804" s="2043" customFormat="1" x14ac:dyDescent="0.2"/>
    <row r="12805" s="2043" customFormat="1" x14ac:dyDescent="0.2"/>
    <row r="12806" s="2043" customFormat="1" x14ac:dyDescent="0.2"/>
    <row r="12807" s="2043" customFormat="1" x14ac:dyDescent="0.2"/>
    <row r="12808" s="2043" customFormat="1" x14ac:dyDescent="0.2"/>
    <row r="12809" s="2043" customFormat="1" x14ac:dyDescent="0.2"/>
    <row r="12810" s="2043" customFormat="1" x14ac:dyDescent="0.2"/>
    <row r="12811" s="2043" customFormat="1" x14ac:dyDescent="0.2"/>
    <row r="12812" s="2043" customFormat="1" x14ac:dyDescent="0.2"/>
    <row r="12813" s="2043" customFormat="1" x14ac:dyDescent="0.2"/>
    <row r="12814" s="2043" customFormat="1" x14ac:dyDescent="0.2"/>
    <row r="12815" s="2043" customFormat="1" x14ac:dyDescent="0.2"/>
    <row r="12816" s="2043" customFormat="1" x14ac:dyDescent="0.2"/>
    <row r="12817" s="2043" customFormat="1" x14ac:dyDescent="0.2"/>
    <row r="12818" s="2043" customFormat="1" x14ac:dyDescent="0.2"/>
    <row r="12819" s="2043" customFormat="1" x14ac:dyDescent="0.2"/>
    <row r="12820" s="2043" customFormat="1" x14ac:dyDescent="0.2"/>
    <row r="12821" s="2043" customFormat="1" x14ac:dyDescent="0.2"/>
    <row r="12822" s="2043" customFormat="1" x14ac:dyDescent="0.2"/>
    <row r="12823" s="2043" customFormat="1" x14ac:dyDescent="0.2"/>
    <row r="12824" s="2043" customFormat="1" x14ac:dyDescent="0.2"/>
    <row r="12825" s="2043" customFormat="1" x14ac:dyDescent="0.2"/>
    <row r="12826" s="2043" customFormat="1" x14ac:dyDescent="0.2"/>
    <row r="12827" s="2043" customFormat="1" x14ac:dyDescent="0.2"/>
    <row r="12828" s="2043" customFormat="1" x14ac:dyDescent="0.2"/>
    <row r="12829" s="2043" customFormat="1" x14ac:dyDescent="0.2"/>
    <row r="12830" s="2043" customFormat="1" x14ac:dyDescent="0.2"/>
    <row r="12831" s="2043" customFormat="1" x14ac:dyDescent="0.2"/>
    <row r="12832" s="2043" customFormat="1" x14ac:dyDescent="0.2"/>
    <row r="12833" s="2043" customFormat="1" x14ac:dyDescent="0.2"/>
    <row r="12834" s="2043" customFormat="1" x14ac:dyDescent="0.2"/>
    <row r="12835" s="2043" customFormat="1" x14ac:dyDescent="0.2"/>
    <row r="12836" s="2043" customFormat="1" x14ac:dyDescent="0.2"/>
    <row r="12837" s="2043" customFormat="1" x14ac:dyDescent="0.2"/>
    <row r="12838" s="2043" customFormat="1" x14ac:dyDescent="0.2"/>
    <row r="12839" s="2043" customFormat="1" x14ac:dyDescent="0.2"/>
    <row r="12840" s="2043" customFormat="1" x14ac:dyDescent="0.2"/>
    <row r="12841" s="2043" customFormat="1" x14ac:dyDescent="0.2"/>
    <row r="12842" s="2043" customFormat="1" x14ac:dyDescent="0.2"/>
    <row r="12843" s="2043" customFormat="1" x14ac:dyDescent="0.2"/>
    <row r="12844" s="2043" customFormat="1" x14ac:dyDescent="0.2"/>
    <row r="12845" s="2043" customFormat="1" x14ac:dyDescent="0.2"/>
    <row r="12846" s="2043" customFormat="1" x14ac:dyDescent="0.2"/>
    <row r="12847" s="2043" customFormat="1" x14ac:dyDescent="0.2"/>
    <row r="12848" s="2043" customFormat="1" x14ac:dyDescent="0.2"/>
    <row r="12849" s="2043" customFormat="1" x14ac:dyDescent="0.2"/>
    <row r="12850" s="2043" customFormat="1" x14ac:dyDescent="0.2"/>
    <row r="12851" s="2043" customFormat="1" x14ac:dyDescent="0.2"/>
    <row r="12852" s="2043" customFormat="1" x14ac:dyDescent="0.2"/>
    <row r="12853" s="2043" customFormat="1" x14ac:dyDescent="0.2"/>
    <row r="12854" s="2043" customFormat="1" x14ac:dyDescent="0.2"/>
    <row r="12855" s="2043" customFormat="1" x14ac:dyDescent="0.2"/>
    <row r="12856" s="2043" customFormat="1" x14ac:dyDescent="0.2"/>
    <row r="12857" s="2043" customFormat="1" x14ac:dyDescent="0.2"/>
    <row r="12858" s="2043" customFormat="1" x14ac:dyDescent="0.2"/>
    <row r="12859" s="2043" customFormat="1" x14ac:dyDescent="0.2"/>
    <row r="12860" s="2043" customFormat="1" x14ac:dyDescent="0.2"/>
    <row r="12861" s="2043" customFormat="1" x14ac:dyDescent="0.2"/>
    <row r="12862" s="2043" customFormat="1" x14ac:dyDescent="0.2"/>
    <row r="12863" s="2043" customFormat="1" x14ac:dyDescent="0.2"/>
    <row r="12864" s="2043" customFormat="1" x14ac:dyDescent="0.2"/>
    <row r="12865" s="2043" customFormat="1" x14ac:dyDescent="0.2"/>
    <row r="12866" s="2043" customFormat="1" x14ac:dyDescent="0.2"/>
    <row r="12867" s="2043" customFormat="1" x14ac:dyDescent="0.2"/>
    <row r="12868" s="2043" customFormat="1" x14ac:dyDescent="0.2"/>
    <row r="12869" s="2043" customFormat="1" x14ac:dyDescent="0.2"/>
    <row r="12870" s="2043" customFormat="1" x14ac:dyDescent="0.2"/>
    <row r="12871" s="2043" customFormat="1" x14ac:dyDescent="0.2"/>
    <row r="12872" s="2043" customFormat="1" x14ac:dyDescent="0.2"/>
    <row r="12873" s="2043" customFormat="1" x14ac:dyDescent="0.2"/>
    <row r="12874" s="2043" customFormat="1" x14ac:dyDescent="0.2"/>
    <row r="12875" s="2043" customFormat="1" x14ac:dyDescent="0.2"/>
    <row r="12876" s="2043" customFormat="1" x14ac:dyDescent="0.2"/>
    <row r="12877" s="2043" customFormat="1" x14ac:dyDescent="0.2"/>
    <row r="12878" s="2043" customFormat="1" x14ac:dyDescent="0.2"/>
    <row r="12879" s="2043" customFormat="1" x14ac:dyDescent="0.2"/>
    <row r="12880" s="2043" customFormat="1" x14ac:dyDescent="0.2"/>
    <row r="12881" s="2043" customFormat="1" x14ac:dyDescent="0.2"/>
    <row r="12882" s="2043" customFormat="1" x14ac:dyDescent="0.2"/>
    <row r="12883" s="2043" customFormat="1" x14ac:dyDescent="0.2"/>
    <row r="12884" s="2043" customFormat="1" x14ac:dyDescent="0.2"/>
    <row r="12885" s="2043" customFormat="1" x14ac:dyDescent="0.2"/>
    <row r="12886" s="2043" customFormat="1" x14ac:dyDescent="0.2"/>
    <row r="12887" s="2043" customFormat="1" x14ac:dyDescent="0.2"/>
    <row r="12888" s="2043" customFormat="1" x14ac:dyDescent="0.2"/>
    <row r="12889" s="2043" customFormat="1" x14ac:dyDescent="0.2"/>
    <row r="12890" s="2043" customFormat="1" x14ac:dyDescent="0.2"/>
    <row r="12891" s="2043" customFormat="1" x14ac:dyDescent="0.2"/>
    <row r="12892" s="2043" customFormat="1" x14ac:dyDescent="0.2"/>
    <row r="12893" s="2043" customFormat="1" x14ac:dyDescent="0.2"/>
    <row r="12894" s="2043" customFormat="1" x14ac:dyDescent="0.2"/>
    <row r="12895" s="2043" customFormat="1" x14ac:dyDescent="0.2"/>
    <row r="12896" s="2043" customFormat="1" x14ac:dyDescent="0.2"/>
    <row r="12897" s="2043" customFormat="1" x14ac:dyDescent="0.2"/>
    <row r="12898" s="2043" customFormat="1" x14ac:dyDescent="0.2"/>
    <row r="12899" s="2043" customFormat="1" x14ac:dyDescent="0.2"/>
    <row r="12900" s="2043" customFormat="1" x14ac:dyDescent="0.2"/>
    <row r="12901" s="2043" customFormat="1" x14ac:dyDescent="0.2"/>
    <row r="12902" s="2043" customFormat="1" x14ac:dyDescent="0.2"/>
    <row r="12903" s="2043" customFormat="1" x14ac:dyDescent="0.2"/>
    <row r="12904" s="2043" customFormat="1" x14ac:dyDescent="0.2"/>
    <row r="12905" s="2043" customFormat="1" x14ac:dyDescent="0.2"/>
    <row r="12906" s="2043" customFormat="1" x14ac:dyDescent="0.2"/>
    <row r="12907" s="2043" customFormat="1" x14ac:dyDescent="0.2"/>
    <row r="12908" s="2043" customFormat="1" x14ac:dyDescent="0.2"/>
    <row r="12909" s="2043" customFormat="1" x14ac:dyDescent="0.2"/>
    <row r="12910" s="2043" customFormat="1" x14ac:dyDescent="0.2"/>
    <row r="12911" s="2043" customFormat="1" x14ac:dyDescent="0.2"/>
    <row r="12912" s="2043" customFormat="1" x14ac:dyDescent="0.2"/>
    <row r="12913" s="2043" customFormat="1" x14ac:dyDescent="0.2"/>
    <row r="12914" s="2043" customFormat="1" x14ac:dyDescent="0.2"/>
    <row r="12915" s="2043" customFormat="1" x14ac:dyDescent="0.2"/>
    <row r="12916" s="2043" customFormat="1" x14ac:dyDescent="0.2"/>
    <row r="12917" s="2043" customFormat="1" x14ac:dyDescent="0.2"/>
    <row r="12918" s="2043" customFormat="1" x14ac:dyDescent="0.2"/>
    <row r="12919" s="2043" customFormat="1" x14ac:dyDescent="0.2"/>
    <row r="12920" s="2043" customFormat="1" x14ac:dyDescent="0.2"/>
    <row r="12921" s="2043" customFormat="1" x14ac:dyDescent="0.2"/>
    <row r="12922" s="2043" customFormat="1" x14ac:dyDescent="0.2"/>
    <row r="12923" s="2043" customFormat="1" x14ac:dyDescent="0.2"/>
    <row r="12924" s="2043" customFormat="1" x14ac:dyDescent="0.2"/>
    <row r="12925" s="2043" customFormat="1" x14ac:dyDescent="0.2"/>
    <row r="12926" s="2043" customFormat="1" x14ac:dyDescent="0.2"/>
    <row r="12927" s="2043" customFormat="1" x14ac:dyDescent="0.2"/>
    <row r="12928" s="2043" customFormat="1" x14ac:dyDescent="0.2"/>
    <row r="12929" s="2043" customFormat="1" x14ac:dyDescent="0.2"/>
    <row r="12930" s="2043" customFormat="1" x14ac:dyDescent="0.2"/>
    <row r="12931" s="2043" customFormat="1" x14ac:dyDescent="0.2"/>
    <row r="12932" s="2043" customFormat="1" x14ac:dyDescent="0.2"/>
    <row r="12933" s="2043" customFormat="1" x14ac:dyDescent="0.2"/>
    <row r="12934" s="2043" customFormat="1" x14ac:dyDescent="0.2"/>
    <row r="12935" s="2043" customFormat="1" x14ac:dyDescent="0.2"/>
    <row r="12936" s="2043" customFormat="1" x14ac:dyDescent="0.2"/>
    <row r="12937" s="2043" customFormat="1" x14ac:dyDescent="0.2"/>
    <row r="12938" s="2043" customFormat="1" x14ac:dyDescent="0.2"/>
    <row r="12939" s="2043" customFormat="1" x14ac:dyDescent="0.2"/>
    <row r="12940" s="2043" customFormat="1" x14ac:dyDescent="0.2"/>
    <row r="12941" s="2043" customFormat="1" x14ac:dyDescent="0.2"/>
    <row r="12942" s="2043" customFormat="1" x14ac:dyDescent="0.2"/>
    <row r="12943" s="2043" customFormat="1" x14ac:dyDescent="0.2"/>
    <row r="12944" s="2043" customFormat="1" x14ac:dyDescent="0.2"/>
    <row r="12945" s="2043" customFormat="1" x14ac:dyDescent="0.2"/>
    <row r="12946" s="2043" customFormat="1" x14ac:dyDescent="0.2"/>
    <row r="12947" s="2043" customFormat="1" x14ac:dyDescent="0.2"/>
    <row r="12948" s="2043" customFormat="1" x14ac:dyDescent="0.2"/>
    <row r="12949" s="2043" customFormat="1" x14ac:dyDescent="0.2"/>
    <row r="12950" s="2043" customFormat="1" x14ac:dyDescent="0.2"/>
    <row r="12951" s="2043" customFormat="1" x14ac:dyDescent="0.2"/>
    <row r="12952" s="2043" customFormat="1" x14ac:dyDescent="0.2"/>
    <row r="12953" s="2043" customFormat="1" x14ac:dyDescent="0.2"/>
    <row r="12954" s="2043" customFormat="1" x14ac:dyDescent="0.2"/>
    <row r="12955" s="2043" customFormat="1" x14ac:dyDescent="0.2"/>
    <row r="12956" s="2043" customFormat="1" x14ac:dyDescent="0.2"/>
    <row r="12957" s="2043" customFormat="1" x14ac:dyDescent="0.2"/>
    <row r="12958" s="2043" customFormat="1" x14ac:dyDescent="0.2"/>
    <row r="12959" s="2043" customFormat="1" x14ac:dyDescent="0.2"/>
    <row r="12960" s="2043" customFormat="1" x14ac:dyDescent="0.2"/>
    <row r="12961" s="2043" customFormat="1" x14ac:dyDescent="0.2"/>
    <row r="12962" s="2043" customFormat="1" x14ac:dyDescent="0.2"/>
    <row r="12963" s="2043" customFormat="1" x14ac:dyDescent="0.2"/>
    <row r="12964" s="2043" customFormat="1" x14ac:dyDescent="0.2"/>
    <row r="12965" s="2043" customFormat="1" x14ac:dyDescent="0.2"/>
    <row r="12966" s="2043" customFormat="1" x14ac:dyDescent="0.2"/>
    <row r="12967" s="2043" customFormat="1" x14ac:dyDescent="0.2"/>
    <row r="12968" s="2043" customFormat="1" x14ac:dyDescent="0.2"/>
    <row r="12969" s="2043" customFormat="1" x14ac:dyDescent="0.2"/>
    <row r="12970" s="2043" customFormat="1" x14ac:dyDescent="0.2"/>
    <row r="12971" s="2043" customFormat="1" x14ac:dyDescent="0.2"/>
    <row r="12972" s="2043" customFormat="1" x14ac:dyDescent="0.2"/>
    <row r="12973" s="2043" customFormat="1" x14ac:dyDescent="0.2"/>
    <row r="12974" s="2043" customFormat="1" x14ac:dyDescent="0.2"/>
    <row r="12975" s="2043" customFormat="1" x14ac:dyDescent="0.2"/>
    <row r="12976" s="2043" customFormat="1" x14ac:dyDescent="0.2"/>
    <row r="12977" s="2043" customFormat="1" x14ac:dyDescent="0.2"/>
    <row r="12978" s="2043" customFormat="1" x14ac:dyDescent="0.2"/>
    <row r="12979" s="2043" customFormat="1" x14ac:dyDescent="0.2"/>
    <row r="12980" s="2043" customFormat="1" x14ac:dyDescent="0.2"/>
    <row r="12981" s="2043" customFormat="1" x14ac:dyDescent="0.2"/>
    <row r="12982" s="2043" customFormat="1" x14ac:dyDescent="0.2"/>
    <row r="12983" s="2043" customFormat="1" x14ac:dyDescent="0.2"/>
    <row r="12984" s="2043" customFormat="1" x14ac:dyDescent="0.2"/>
    <row r="12985" s="2043" customFormat="1" x14ac:dyDescent="0.2"/>
    <row r="12986" s="2043" customFormat="1" x14ac:dyDescent="0.2"/>
    <row r="12987" s="2043" customFormat="1" x14ac:dyDescent="0.2"/>
    <row r="12988" s="2043" customFormat="1" x14ac:dyDescent="0.2"/>
    <row r="12989" s="2043" customFormat="1" x14ac:dyDescent="0.2"/>
    <row r="12990" s="2043" customFormat="1" x14ac:dyDescent="0.2"/>
    <row r="12991" s="2043" customFormat="1" x14ac:dyDescent="0.2"/>
    <row r="12992" s="2043" customFormat="1" x14ac:dyDescent="0.2"/>
    <row r="12993" s="2043" customFormat="1" x14ac:dyDescent="0.2"/>
    <row r="12994" s="2043" customFormat="1" x14ac:dyDescent="0.2"/>
    <row r="12995" s="2043" customFormat="1" x14ac:dyDescent="0.2"/>
    <row r="12996" s="2043" customFormat="1" x14ac:dyDescent="0.2"/>
    <row r="12997" s="2043" customFormat="1" x14ac:dyDescent="0.2"/>
    <row r="12998" s="2043" customFormat="1" x14ac:dyDescent="0.2"/>
    <row r="12999" s="2043" customFormat="1" x14ac:dyDescent="0.2"/>
    <row r="13000" s="2043" customFormat="1" x14ac:dyDescent="0.2"/>
    <row r="13001" s="2043" customFormat="1" x14ac:dyDescent="0.2"/>
    <row r="13002" s="2043" customFormat="1" x14ac:dyDescent="0.2"/>
    <row r="13003" s="2043" customFormat="1" x14ac:dyDescent="0.2"/>
    <row r="13004" s="2043" customFormat="1" x14ac:dyDescent="0.2"/>
    <row r="13005" s="2043" customFormat="1" x14ac:dyDescent="0.2"/>
    <row r="13006" s="2043" customFormat="1" x14ac:dyDescent="0.2"/>
    <row r="13007" s="2043" customFormat="1" x14ac:dyDescent="0.2"/>
    <row r="13008" s="2043" customFormat="1" x14ac:dyDescent="0.2"/>
    <row r="13009" s="2043" customFormat="1" x14ac:dyDescent="0.2"/>
    <row r="13010" s="2043" customFormat="1" x14ac:dyDescent="0.2"/>
    <row r="13011" s="2043" customFormat="1" x14ac:dyDescent="0.2"/>
    <row r="13012" s="2043" customFormat="1" x14ac:dyDescent="0.2"/>
    <row r="13013" s="2043" customFormat="1" x14ac:dyDescent="0.2"/>
    <row r="13014" s="2043" customFormat="1" x14ac:dyDescent="0.2"/>
    <row r="13015" s="2043" customFormat="1" x14ac:dyDescent="0.2"/>
    <row r="13016" s="2043" customFormat="1" x14ac:dyDescent="0.2"/>
    <row r="13017" s="2043" customFormat="1" x14ac:dyDescent="0.2"/>
    <row r="13018" s="2043" customFormat="1" x14ac:dyDescent="0.2"/>
    <row r="13019" s="2043" customFormat="1" x14ac:dyDescent="0.2"/>
    <row r="13020" s="2043" customFormat="1" x14ac:dyDescent="0.2"/>
    <row r="13021" s="2043" customFormat="1" x14ac:dyDescent="0.2"/>
    <row r="13022" s="2043" customFormat="1" x14ac:dyDescent="0.2"/>
    <row r="13023" s="2043" customFormat="1" x14ac:dyDescent="0.2"/>
    <row r="13024" s="2043" customFormat="1" x14ac:dyDescent="0.2"/>
    <row r="13025" s="2043" customFormat="1" x14ac:dyDescent="0.2"/>
    <row r="13026" s="2043" customFormat="1" x14ac:dyDescent="0.2"/>
    <row r="13027" s="2043" customFormat="1" x14ac:dyDescent="0.2"/>
    <row r="13028" s="2043" customFormat="1" x14ac:dyDescent="0.2"/>
    <row r="13029" s="2043" customFormat="1" x14ac:dyDescent="0.2"/>
    <row r="13030" s="2043" customFormat="1" x14ac:dyDescent="0.2"/>
    <row r="13031" s="2043" customFormat="1" x14ac:dyDescent="0.2"/>
    <row r="13032" s="2043" customFormat="1" x14ac:dyDescent="0.2"/>
    <row r="13033" s="2043" customFormat="1" x14ac:dyDescent="0.2"/>
    <row r="13034" s="2043" customFormat="1" x14ac:dyDescent="0.2"/>
    <row r="13035" s="2043" customFormat="1" x14ac:dyDescent="0.2"/>
    <row r="13036" s="2043" customFormat="1" x14ac:dyDescent="0.2"/>
    <row r="13037" s="2043" customFormat="1" x14ac:dyDescent="0.2"/>
    <row r="13038" s="2043" customFormat="1" x14ac:dyDescent="0.2"/>
    <row r="13039" s="2043" customFormat="1" x14ac:dyDescent="0.2"/>
    <row r="13040" s="2043" customFormat="1" x14ac:dyDescent="0.2"/>
    <row r="13041" s="2043" customFormat="1" x14ac:dyDescent="0.2"/>
    <row r="13042" s="2043" customFormat="1" x14ac:dyDescent="0.2"/>
    <row r="13043" s="2043" customFormat="1" x14ac:dyDescent="0.2"/>
    <row r="13044" s="2043" customFormat="1" x14ac:dyDescent="0.2"/>
    <row r="13045" s="2043" customFormat="1" x14ac:dyDescent="0.2"/>
    <row r="13046" s="2043" customFormat="1" x14ac:dyDescent="0.2"/>
    <row r="13047" s="2043" customFormat="1" x14ac:dyDescent="0.2"/>
    <row r="13048" s="2043" customFormat="1" x14ac:dyDescent="0.2"/>
    <row r="13049" s="2043" customFormat="1" x14ac:dyDescent="0.2"/>
    <row r="13050" s="2043" customFormat="1" x14ac:dyDescent="0.2"/>
    <row r="13051" s="2043" customFormat="1" x14ac:dyDescent="0.2"/>
    <row r="13052" s="2043" customFormat="1" x14ac:dyDescent="0.2"/>
    <row r="13053" s="2043" customFormat="1" x14ac:dyDescent="0.2"/>
    <row r="13054" s="2043" customFormat="1" x14ac:dyDescent="0.2"/>
    <row r="13055" s="2043" customFormat="1" x14ac:dyDescent="0.2"/>
    <row r="13056" s="2043" customFormat="1" x14ac:dyDescent="0.2"/>
    <row r="13057" s="2043" customFormat="1" x14ac:dyDescent="0.2"/>
    <row r="13058" s="2043" customFormat="1" x14ac:dyDescent="0.2"/>
    <row r="13059" s="2043" customFormat="1" x14ac:dyDescent="0.2"/>
    <row r="13060" s="2043" customFormat="1" x14ac:dyDescent="0.2"/>
    <row r="13061" s="2043" customFormat="1" x14ac:dyDescent="0.2"/>
    <row r="13062" s="2043" customFormat="1" x14ac:dyDescent="0.2"/>
    <row r="13063" s="2043" customFormat="1" x14ac:dyDescent="0.2"/>
    <row r="13064" s="2043" customFormat="1" x14ac:dyDescent="0.2"/>
    <row r="13065" s="2043" customFormat="1" x14ac:dyDescent="0.2"/>
    <row r="13066" s="2043" customFormat="1" x14ac:dyDescent="0.2"/>
    <row r="13067" s="2043" customFormat="1" x14ac:dyDescent="0.2"/>
    <row r="13068" s="2043" customFormat="1" x14ac:dyDescent="0.2"/>
    <row r="13069" s="2043" customFormat="1" x14ac:dyDescent="0.2"/>
    <row r="13070" s="2043" customFormat="1" x14ac:dyDescent="0.2"/>
    <row r="13071" s="2043" customFormat="1" x14ac:dyDescent="0.2"/>
    <row r="13072" s="2043" customFormat="1" x14ac:dyDescent="0.2"/>
    <row r="13073" s="2043" customFormat="1" x14ac:dyDescent="0.2"/>
    <row r="13074" s="2043" customFormat="1" x14ac:dyDescent="0.2"/>
    <row r="13075" s="2043" customFormat="1" x14ac:dyDescent="0.2"/>
    <row r="13076" s="2043" customFormat="1" x14ac:dyDescent="0.2"/>
    <row r="13077" s="2043" customFormat="1" x14ac:dyDescent="0.2"/>
    <row r="13078" s="2043" customFormat="1" x14ac:dyDescent="0.2"/>
    <row r="13079" s="2043" customFormat="1" x14ac:dyDescent="0.2"/>
    <row r="13080" s="2043" customFormat="1" x14ac:dyDescent="0.2"/>
    <row r="13081" s="2043" customFormat="1" x14ac:dyDescent="0.2"/>
    <row r="13082" s="2043" customFormat="1" x14ac:dyDescent="0.2"/>
    <row r="13083" s="2043" customFormat="1" x14ac:dyDescent="0.2"/>
    <row r="13084" s="2043" customFormat="1" x14ac:dyDescent="0.2"/>
    <row r="13085" s="2043" customFormat="1" x14ac:dyDescent="0.2"/>
    <row r="13086" s="2043" customFormat="1" x14ac:dyDescent="0.2"/>
    <row r="13087" s="2043" customFormat="1" x14ac:dyDescent="0.2"/>
    <row r="13088" s="2043" customFormat="1" x14ac:dyDescent="0.2"/>
    <row r="13089" s="2043" customFormat="1" x14ac:dyDescent="0.2"/>
    <row r="13090" s="2043" customFormat="1" x14ac:dyDescent="0.2"/>
    <row r="13091" s="2043" customFormat="1" x14ac:dyDescent="0.2"/>
    <row r="13092" s="2043" customFormat="1" x14ac:dyDescent="0.2"/>
    <row r="13093" s="2043" customFormat="1" x14ac:dyDescent="0.2"/>
    <row r="13094" s="2043" customFormat="1" x14ac:dyDescent="0.2"/>
    <row r="13095" s="2043" customFormat="1" x14ac:dyDescent="0.2"/>
    <row r="13096" s="2043" customFormat="1" x14ac:dyDescent="0.2"/>
    <row r="13097" s="2043" customFormat="1" x14ac:dyDescent="0.2"/>
    <row r="13098" s="2043" customFormat="1" x14ac:dyDescent="0.2"/>
    <row r="13099" s="2043" customFormat="1" x14ac:dyDescent="0.2"/>
    <row r="13100" s="2043" customFormat="1" x14ac:dyDescent="0.2"/>
    <row r="13101" s="2043" customFormat="1" x14ac:dyDescent="0.2"/>
    <row r="13102" s="2043" customFormat="1" x14ac:dyDescent="0.2"/>
    <row r="13103" s="2043" customFormat="1" x14ac:dyDescent="0.2"/>
    <row r="13104" s="2043" customFormat="1" x14ac:dyDescent="0.2"/>
    <row r="13105" s="2043" customFormat="1" x14ac:dyDescent="0.2"/>
    <row r="13106" s="2043" customFormat="1" x14ac:dyDescent="0.2"/>
    <row r="13107" s="2043" customFormat="1" x14ac:dyDescent="0.2"/>
    <row r="13108" s="2043" customFormat="1" x14ac:dyDescent="0.2"/>
    <row r="13109" s="2043" customFormat="1" x14ac:dyDescent="0.2"/>
    <row r="13110" s="2043" customFormat="1" x14ac:dyDescent="0.2"/>
    <row r="13111" s="2043" customFormat="1" x14ac:dyDescent="0.2"/>
    <row r="13112" s="2043" customFormat="1" x14ac:dyDescent="0.2"/>
    <row r="13113" s="2043" customFormat="1" x14ac:dyDescent="0.2"/>
    <row r="13114" s="2043" customFormat="1" x14ac:dyDescent="0.2"/>
    <row r="13115" s="2043" customFormat="1" x14ac:dyDescent="0.2"/>
    <row r="13116" s="2043" customFormat="1" x14ac:dyDescent="0.2"/>
    <row r="13117" s="2043" customFormat="1" x14ac:dyDescent="0.2"/>
    <row r="13118" s="2043" customFormat="1" x14ac:dyDescent="0.2"/>
    <row r="13119" s="2043" customFormat="1" x14ac:dyDescent="0.2"/>
    <row r="13120" s="2043" customFormat="1" x14ac:dyDescent="0.2"/>
    <row r="13121" s="2043" customFormat="1" x14ac:dyDescent="0.2"/>
    <row r="13122" s="2043" customFormat="1" x14ac:dyDescent="0.2"/>
    <row r="13123" s="2043" customFormat="1" x14ac:dyDescent="0.2"/>
    <row r="13124" s="2043" customFormat="1" x14ac:dyDescent="0.2"/>
    <row r="13125" s="2043" customFormat="1" x14ac:dyDescent="0.2"/>
    <row r="13126" s="2043" customFormat="1" x14ac:dyDescent="0.2"/>
    <row r="13127" s="2043" customFormat="1" x14ac:dyDescent="0.2"/>
    <row r="13128" s="2043" customFormat="1" x14ac:dyDescent="0.2"/>
    <row r="13129" s="2043" customFormat="1" x14ac:dyDescent="0.2"/>
    <row r="13130" s="2043" customFormat="1" x14ac:dyDescent="0.2"/>
    <row r="13131" s="2043" customFormat="1" x14ac:dyDescent="0.2"/>
    <row r="13132" s="2043" customFormat="1" x14ac:dyDescent="0.2"/>
    <row r="13133" s="2043" customFormat="1" x14ac:dyDescent="0.2"/>
    <row r="13134" s="2043" customFormat="1" x14ac:dyDescent="0.2"/>
    <row r="13135" s="2043" customFormat="1" x14ac:dyDescent="0.2"/>
    <row r="13136" s="2043" customFormat="1" x14ac:dyDescent="0.2"/>
    <row r="13137" s="2043" customFormat="1" x14ac:dyDescent="0.2"/>
    <row r="13138" s="2043" customFormat="1" x14ac:dyDescent="0.2"/>
    <row r="13139" s="2043" customFormat="1" x14ac:dyDescent="0.2"/>
    <row r="13140" s="2043" customFormat="1" x14ac:dyDescent="0.2"/>
    <row r="13141" s="2043" customFormat="1" x14ac:dyDescent="0.2"/>
    <row r="13142" s="2043" customFormat="1" x14ac:dyDescent="0.2"/>
    <row r="13143" s="2043" customFormat="1" x14ac:dyDescent="0.2"/>
    <row r="13144" s="2043" customFormat="1" x14ac:dyDescent="0.2"/>
    <row r="13145" s="2043" customFormat="1" x14ac:dyDescent="0.2"/>
    <row r="13146" s="2043" customFormat="1" x14ac:dyDescent="0.2"/>
    <row r="13147" s="2043" customFormat="1" x14ac:dyDescent="0.2"/>
    <row r="13148" s="2043" customFormat="1" x14ac:dyDescent="0.2"/>
    <row r="13149" s="2043" customFormat="1" x14ac:dyDescent="0.2"/>
    <row r="13150" s="2043" customFormat="1" x14ac:dyDescent="0.2"/>
    <row r="13151" s="2043" customFormat="1" x14ac:dyDescent="0.2"/>
    <row r="13152" s="2043" customFormat="1" x14ac:dyDescent="0.2"/>
    <row r="13153" s="2043" customFormat="1" x14ac:dyDescent="0.2"/>
    <row r="13154" s="2043" customFormat="1" x14ac:dyDescent="0.2"/>
    <row r="13155" s="2043" customFormat="1" x14ac:dyDescent="0.2"/>
    <row r="13156" s="2043" customFormat="1" x14ac:dyDescent="0.2"/>
    <row r="13157" s="2043" customFormat="1" x14ac:dyDescent="0.2"/>
    <row r="13158" s="2043" customFormat="1" x14ac:dyDescent="0.2"/>
    <row r="13159" s="2043" customFormat="1" x14ac:dyDescent="0.2"/>
    <row r="13160" s="2043" customFormat="1" x14ac:dyDescent="0.2"/>
    <row r="13161" s="2043" customFormat="1" x14ac:dyDescent="0.2"/>
    <row r="13162" s="2043" customFormat="1" x14ac:dyDescent="0.2"/>
    <row r="13163" s="2043" customFormat="1" x14ac:dyDescent="0.2"/>
    <row r="13164" s="2043" customFormat="1" x14ac:dyDescent="0.2"/>
    <row r="13165" s="2043" customFormat="1" x14ac:dyDescent="0.2"/>
    <row r="13166" s="2043" customFormat="1" x14ac:dyDescent="0.2"/>
    <row r="13167" s="2043" customFormat="1" x14ac:dyDescent="0.2"/>
    <row r="13168" s="2043" customFormat="1" x14ac:dyDescent="0.2"/>
    <row r="13169" s="2043" customFormat="1" x14ac:dyDescent="0.2"/>
    <row r="13170" s="2043" customFormat="1" x14ac:dyDescent="0.2"/>
    <row r="13171" s="2043" customFormat="1" x14ac:dyDescent="0.2"/>
    <row r="13172" s="2043" customFormat="1" x14ac:dyDescent="0.2"/>
    <row r="13173" s="2043" customFormat="1" x14ac:dyDescent="0.2"/>
    <row r="13174" s="2043" customFormat="1" x14ac:dyDescent="0.2"/>
    <row r="13175" s="2043" customFormat="1" x14ac:dyDescent="0.2"/>
    <row r="13176" s="2043" customFormat="1" x14ac:dyDescent="0.2"/>
    <row r="13177" s="2043" customFormat="1" x14ac:dyDescent="0.2"/>
    <row r="13178" s="2043" customFormat="1" x14ac:dyDescent="0.2"/>
    <row r="13179" s="2043" customFormat="1" x14ac:dyDescent="0.2"/>
    <row r="13180" s="2043" customFormat="1" x14ac:dyDescent="0.2"/>
    <row r="13181" s="2043" customFormat="1" x14ac:dyDescent="0.2"/>
    <row r="13182" s="2043" customFormat="1" x14ac:dyDescent="0.2"/>
    <row r="13183" s="2043" customFormat="1" x14ac:dyDescent="0.2"/>
    <row r="13184" s="2043" customFormat="1" x14ac:dyDescent="0.2"/>
    <row r="13185" s="2043" customFormat="1" x14ac:dyDescent="0.2"/>
    <row r="13186" s="2043" customFormat="1" x14ac:dyDescent="0.2"/>
    <row r="13187" s="2043" customFormat="1" x14ac:dyDescent="0.2"/>
    <row r="13188" s="2043" customFormat="1" x14ac:dyDescent="0.2"/>
    <row r="13189" s="2043" customFormat="1" x14ac:dyDescent="0.2"/>
    <row r="13190" s="2043" customFormat="1" x14ac:dyDescent="0.2"/>
    <row r="13191" s="2043" customFormat="1" x14ac:dyDescent="0.2"/>
    <row r="13192" s="2043" customFormat="1" x14ac:dyDescent="0.2"/>
    <row r="13193" s="2043" customFormat="1" x14ac:dyDescent="0.2"/>
    <row r="13194" s="2043" customFormat="1" x14ac:dyDescent="0.2"/>
    <row r="13195" s="2043" customFormat="1" x14ac:dyDescent="0.2"/>
    <row r="13196" s="2043" customFormat="1" x14ac:dyDescent="0.2"/>
    <row r="13197" s="2043" customFormat="1" x14ac:dyDescent="0.2"/>
    <row r="13198" s="2043" customFormat="1" x14ac:dyDescent="0.2"/>
    <row r="13199" s="2043" customFormat="1" x14ac:dyDescent="0.2"/>
    <row r="13200" s="2043" customFormat="1" x14ac:dyDescent="0.2"/>
    <row r="13201" s="2043" customFormat="1" x14ac:dyDescent="0.2"/>
    <row r="13202" s="2043" customFormat="1" x14ac:dyDescent="0.2"/>
    <row r="13203" s="2043" customFormat="1" x14ac:dyDescent="0.2"/>
    <row r="13204" s="2043" customFormat="1" x14ac:dyDescent="0.2"/>
    <row r="13205" s="2043" customFormat="1" x14ac:dyDescent="0.2"/>
    <row r="13206" s="2043" customFormat="1" x14ac:dyDescent="0.2"/>
    <row r="13207" s="2043" customFormat="1" x14ac:dyDescent="0.2"/>
    <row r="13208" s="2043" customFormat="1" x14ac:dyDescent="0.2"/>
    <row r="13209" s="2043" customFormat="1" x14ac:dyDescent="0.2"/>
    <row r="13210" s="2043" customFormat="1" x14ac:dyDescent="0.2"/>
    <row r="13211" s="2043" customFormat="1" x14ac:dyDescent="0.2"/>
    <row r="13212" s="2043" customFormat="1" x14ac:dyDescent="0.2"/>
    <row r="13213" s="2043" customFormat="1" x14ac:dyDescent="0.2"/>
    <row r="13214" s="2043" customFormat="1" x14ac:dyDescent="0.2"/>
    <row r="13215" s="2043" customFormat="1" x14ac:dyDescent="0.2"/>
    <row r="13216" s="2043" customFormat="1" x14ac:dyDescent="0.2"/>
    <row r="13217" s="2043" customFormat="1" x14ac:dyDescent="0.2"/>
    <row r="13218" s="2043" customFormat="1" x14ac:dyDescent="0.2"/>
    <row r="13219" s="2043" customFormat="1" x14ac:dyDescent="0.2"/>
    <row r="13220" s="2043" customFormat="1" x14ac:dyDescent="0.2"/>
    <row r="13221" s="2043" customFormat="1" x14ac:dyDescent="0.2"/>
    <row r="13222" s="2043" customFormat="1" x14ac:dyDescent="0.2"/>
    <row r="13223" s="2043" customFormat="1" x14ac:dyDescent="0.2"/>
    <row r="13224" s="2043" customFormat="1" x14ac:dyDescent="0.2"/>
    <row r="13225" s="2043" customFormat="1" x14ac:dyDescent="0.2"/>
    <row r="13226" s="2043" customFormat="1" x14ac:dyDescent="0.2"/>
    <row r="13227" s="2043" customFormat="1" x14ac:dyDescent="0.2"/>
    <row r="13228" s="2043" customFormat="1" x14ac:dyDescent="0.2"/>
    <row r="13229" s="2043" customFormat="1" x14ac:dyDescent="0.2"/>
    <row r="13230" s="2043" customFormat="1" x14ac:dyDescent="0.2"/>
    <row r="13231" s="2043" customFormat="1" x14ac:dyDescent="0.2"/>
    <row r="13232" s="2043" customFormat="1" x14ac:dyDescent="0.2"/>
    <row r="13233" s="2043" customFormat="1" x14ac:dyDescent="0.2"/>
    <row r="13234" s="2043" customFormat="1" x14ac:dyDescent="0.2"/>
    <row r="13235" s="2043" customFormat="1" x14ac:dyDescent="0.2"/>
    <row r="13236" s="2043" customFormat="1" x14ac:dyDescent="0.2"/>
    <row r="13237" s="2043" customFormat="1" x14ac:dyDescent="0.2"/>
    <row r="13238" s="2043" customFormat="1" x14ac:dyDescent="0.2"/>
    <row r="13239" s="2043" customFormat="1" x14ac:dyDescent="0.2"/>
    <row r="13240" s="2043" customFormat="1" x14ac:dyDescent="0.2"/>
    <row r="13241" s="2043" customFormat="1" x14ac:dyDescent="0.2"/>
    <row r="13242" s="2043" customFormat="1" x14ac:dyDescent="0.2"/>
    <row r="13243" s="2043" customFormat="1" x14ac:dyDescent="0.2"/>
    <row r="13244" s="2043" customFormat="1" x14ac:dyDescent="0.2"/>
    <row r="13245" s="2043" customFormat="1" x14ac:dyDescent="0.2"/>
    <row r="13246" s="2043" customFormat="1" x14ac:dyDescent="0.2"/>
    <row r="13247" s="2043" customFormat="1" x14ac:dyDescent="0.2"/>
    <row r="13248" s="2043" customFormat="1" x14ac:dyDescent="0.2"/>
    <row r="13249" s="2043" customFormat="1" x14ac:dyDescent="0.2"/>
    <row r="13250" s="2043" customFormat="1" x14ac:dyDescent="0.2"/>
    <row r="13251" s="2043" customFormat="1" x14ac:dyDescent="0.2"/>
    <row r="13252" s="2043" customFormat="1" x14ac:dyDescent="0.2"/>
    <row r="13253" s="2043" customFormat="1" x14ac:dyDescent="0.2"/>
    <row r="13254" s="2043" customFormat="1" x14ac:dyDescent="0.2"/>
    <row r="13255" s="2043" customFormat="1" x14ac:dyDescent="0.2"/>
    <row r="13256" s="2043" customFormat="1" x14ac:dyDescent="0.2"/>
    <row r="13257" s="2043" customFormat="1" x14ac:dyDescent="0.2"/>
    <row r="13258" s="2043" customFormat="1" x14ac:dyDescent="0.2"/>
    <row r="13259" s="2043" customFormat="1" x14ac:dyDescent="0.2"/>
    <row r="13260" s="2043" customFormat="1" x14ac:dyDescent="0.2"/>
    <row r="13261" s="2043" customFormat="1" x14ac:dyDescent="0.2"/>
    <row r="13262" s="2043" customFormat="1" x14ac:dyDescent="0.2"/>
    <row r="13263" s="2043" customFormat="1" x14ac:dyDescent="0.2"/>
    <row r="13264" s="2043" customFormat="1" x14ac:dyDescent="0.2"/>
    <row r="13265" s="2043" customFormat="1" x14ac:dyDescent="0.2"/>
    <row r="13266" s="2043" customFormat="1" x14ac:dyDescent="0.2"/>
    <row r="13267" s="2043" customFormat="1" x14ac:dyDescent="0.2"/>
    <row r="13268" s="2043" customFormat="1" x14ac:dyDescent="0.2"/>
    <row r="13269" s="2043" customFormat="1" x14ac:dyDescent="0.2"/>
    <row r="13270" s="2043" customFormat="1" x14ac:dyDescent="0.2"/>
    <row r="13271" s="2043" customFormat="1" x14ac:dyDescent="0.2"/>
    <row r="13272" s="2043" customFormat="1" x14ac:dyDescent="0.2"/>
    <row r="13273" s="2043" customFormat="1" x14ac:dyDescent="0.2"/>
    <row r="13274" s="2043" customFormat="1" x14ac:dyDescent="0.2"/>
    <row r="13275" s="2043" customFormat="1" x14ac:dyDescent="0.2"/>
    <row r="13276" s="2043" customFormat="1" x14ac:dyDescent="0.2"/>
    <row r="13277" s="2043" customFormat="1" x14ac:dyDescent="0.2"/>
    <row r="13278" s="2043" customFormat="1" x14ac:dyDescent="0.2"/>
    <row r="13279" s="2043" customFormat="1" x14ac:dyDescent="0.2"/>
    <row r="13280" s="2043" customFormat="1" x14ac:dyDescent="0.2"/>
    <row r="13281" s="2043" customFormat="1" x14ac:dyDescent="0.2"/>
    <row r="13282" s="2043" customFormat="1" x14ac:dyDescent="0.2"/>
    <row r="13283" s="2043" customFormat="1" x14ac:dyDescent="0.2"/>
    <row r="13284" s="2043" customFormat="1" x14ac:dyDescent="0.2"/>
    <row r="13285" s="2043" customFormat="1" x14ac:dyDescent="0.2"/>
    <row r="13286" s="2043" customFormat="1" x14ac:dyDescent="0.2"/>
    <row r="13287" s="2043" customFormat="1" x14ac:dyDescent="0.2"/>
    <row r="13288" s="2043" customFormat="1" x14ac:dyDescent="0.2"/>
    <row r="13289" s="2043" customFormat="1" x14ac:dyDescent="0.2"/>
    <row r="13290" s="2043" customFormat="1" x14ac:dyDescent="0.2"/>
    <row r="13291" s="2043" customFormat="1" x14ac:dyDescent="0.2"/>
    <row r="13292" s="2043" customFormat="1" x14ac:dyDescent="0.2"/>
    <row r="13293" s="2043" customFormat="1" x14ac:dyDescent="0.2"/>
    <row r="13294" s="2043" customFormat="1" x14ac:dyDescent="0.2"/>
    <row r="13295" s="2043" customFormat="1" x14ac:dyDescent="0.2"/>
    <row r="13296" s="2043" customFormat="1" x14ac:dyDescent="0.2"/>
    <row r="13297" s="2043" customFormat="1" x14ac:dyDescent="0.2"/>
    <row r="13298" s="2043" customFormat="1" x14ac:dyDescent="0.2"/>
    <row r="13299" s="2043" customFormat="1" x14ac:dyDescent="0.2"/>
    <row r="13300" s="2043" customFormat="1" x14ac:dyDescent="0.2"/>
    <row r="13301" s="2043" customFormat="1" x14ac:dyDescent="0.2"/>
    <row r="13302" s="2043" customFormat="1" x14ac:dyDescent="0.2"/>
    <row r="13303" s="2043" customFormat="1" x14ac:dyDescent="0.2"/>
    <row r="13304" s="2043" customFormat="1" x14ac:dyDescent="0.2"/>
    <row r="13305" s="2043" customFormat="1" x14ac:dyDescent="0.2"/>
    <row r="13306" s="2043" customFormat="1" x14ac:dyDescent="0.2"/>
    <row r="13307" s="2043" customFormat="1" x14ac:dyDescent="0.2"/>
    <row r="13308" s="2043" customFormat="1" x14ac:dyDescent="0.2"/>
    <row r="13309" s="2043" customFormat="1" x14ac:dyDescent="0.2"/>
    <row r="13310" s="2043" customFormat="1" x14ac:dyDescent="0.2"/>
    <row r="13311" s="2043" customFormat="1" x14ac:dyDescent="0.2"/>
    <row r="13312" s="2043" customFormat="1" x14ac:dyDescent="0.2"/>
    <row r="13313" s="2043" customFormat="1" x14ac:dyDescent="0.2"/>
    <row r="13314" s="2043" customFormat="1" x14ac:dyDescent="0.2"/>
    <row r="13315" s="2043" customFormat="1" x14ac:dyDescent="0.2"/>
    <row r="13316" s="2043" customFormat="1" x14ac:dyDescent="0.2"/>
    <row r="13317" s="2043" customFormat="1" x14ac:dyDescent="0.2"/>
    <row r="13318" s="2043" customFormat="1" x14ac:dyDescent="0.2"/>
    <row r="13319" s="2043" customFormat="1" x14ac:dyDescent="0.2"/>
    <row r="13320" s="2043" customFormat="1" x14ac:dyDescent="0.2"/>
    <row r="13321" s="2043" customFormat="1" x14ac:dyDescent="0.2"/>
    <row r="13322" s="2043" customFormat="1" x14ac:dyDescent="0.2"/>
    <row r="13323" s="2043" customFormat="1" x14ac:dyDescent="0.2"/>
    <row r="13324" s="2043" customFormat="1" x14ac:dyDescent="0.2"/>
    <row r="13325" s="2043" customFormat="1" x14ac:dyDescent="0.2"/>
    <row r="13326" s="2043" customFormat="1" x14ac:dyDescent="0.2"/>
    <row r="13327" s="2043" customFormat="1" x14ac:dyDescent="0.2"/>
    <row r="13328" s="2043" customFormat="1" x14ac:dyDescent="0.2"/>
    <row r="13329" s="2043" customFormat="1" x14ac:dyDescent="0.2"/>
    <row r="13330" s="2043" customFormat="1" x14ac:dyDescent="0.2"/>
    <row r="13331" s="2043" customFormat="1" x14ac:dyDescent="0.2"/>
    <row r="13332" s="2043" customFormat="1" x14ac:dyDescent="0.2"/>
    <row r="13333" s="2043" customFormat="1" x14ac:dyDescent="0.2"/>
    <row r="13334" s="2043" customFormat="1" x14ac:dyDescent="0.2"/>
    <row r="13335" s="2043" customFormat="1" x14ac:dyDescent="0.2"/>
    <row r="13336" s="2043" customFormat="1" x14ac:dyDescent="0.2"/>
    <row r="13337" s="2043" customFormat="1" x14ac:dyDescent="0.2"/>
    <row r="13338" s="2043" customFormat="1" x14ac:dyDescent="0.2"/>
    <row r="13339" s="2043" customFormat="1" x14ac:dyDescent="0.2"/>
    <row r="13340" s="2043" customFormat="1" x14ac:dyDescent="0.2"/>
    <row r="13341" s="2043" customFormat="1" x14ac:dyDescent="0.2"/>
    <row r="13342" s="2043" customFormat="1" x14ac:dyDescent="0.2"/>
    <row r="13343" s="2043" customFormat="1" x14ac:dyDescent="0.2"/>
    <row r="13344" s="2043" customFormat="1" x14ac:dyDescent="0.2"/>
    <row r="13345" s="2043" customFormat="1" x14ac:dyDescent="0.2"/>
    <row r="13346" s="2043" customFormat="1" x14ac:dyDescent="0.2"/>
    <row r="13347" s="2043" customFormat="1" x14ac:dyDescent="0.2"/>
    <row r="13348" s="2043" customFormat="1" x14ac:dyDescent="0.2"/>
    <row r="13349" s="2043" customFormat="1" x14ac:dyDescent="0.2"/>
    <row r="13350" s="2043" customFormat="1" x14ac:dyDescent="0.2"/>
    <row r="13351" s="2043" customFormat="1" x14ac:dyDescent="0.2"/>
    <row r="13352" s="2043" customFormat="1" x14ac:dyDescent="0.2"/>
    <row r="13353" s="2043" customFormat="1" x14ac:dyDescent="0.2"/>
    <row r="13354" s="2043" customFormat="1" x14ac:dyDescent="0.2"/>
    <row r="13355" s="2043" customFormat="1" x14ac:dyDescent="0.2"/>
    <row r="13356" s="2043" customFormat="1" x14ac:dyDescent="0.2"/>
    <row r="13357" s="2043" customFormat="1" x14ac:dyDescent="0.2"/>
    <row r="13358" s="2043" customFormat="1" x14ac:dyDescent="0.2"/>
    <row r="13359" s="2043" customFormat="1" x14ac:dyDescent="0.2"/>
    <row r="13360" s="2043" customFormat="1" x14ac:dyDescent="0.2"/>
    <row r="13361" s="2043" customFormat="1" x14ac:dyDescent="0.2"/>
    <row r="13362" s="2043" customFormat="1" x14ac:dyDescent="0.2"/>
    <row r="13363" s="2043" customFormat="1" x14ac:dyDescent="0.2"/>
    <row r="13364" s="2043" customFormat="1" x14ac:dyDescent="0.2"/>
    <row r="13365" s="2043" customFormat="1" x14ac:dyDescent="0.2"/>
    <row r="13366" s="2043" customFormat="1" x14ac:dyDescent="0.2"/>
    <row r="13367" s="2043" customFormat="1" x14ac:dyDescent="0.2"/>
    <row r="13368" s="2043" customFormat="1" x14ac:dyDescent="0.2"/>
    <row r="13369" s="2043" customFormat="1" x14ac:dyDescent="0.2"/>
    <row r="13370" s="2043" customFormat="1" x14ac:dyDescent="0.2"/>
    <row r="13371" s="2043" customFormat="1" x14ac:dyDescent="0.2"/>
    <row r="13372" s="2043" customFormat="1" x14ac:dyDescent="0.2"/>
    <row r="13373" s="2043" customFormat="1" x14ac:dyDescent="0.2"/>
    <row r="13374" s="2043" customFormat="1" x14ac:dyDescent="0.2"/>
    <row r="13375" s="2043" customFormat="1" x14ac:dyDescent="0.2"/>
    <row r="13376" s="2043" customFormat="1" x14ac:dyDescent="0.2"/>
    <row r="13377" s="2043" customFormat="1" x14ac:dyDescent="0.2"/>
    <row r="13378" s="2043" customFormat="1" x14ac:dyDescent="0.2"/>
    <row r="13379" s="2043" customFormat="1" x14ac:dyDescent="0.2"/>
    <row r="13380" s="2043" customFormat="1" x14ac:dyDescent="0.2"/>
    <row r="13381" s="2043" customFormat="1" x14ac:dyDescent="0.2"/>
    <row r="13382" s="2043" customFormat="1" x14ac:dyDescent="0.2"/>
    <row r="13383" s="2043" customFormat="1" x14ac:dyDescent="0.2"/>
    <row r="13384" s="2043" customFormat="1" x14ac:dyDescent="0.2"/>
    <row r="13385" s="2043" customFormat="1" x14ac:dyDescent="0.2"/>
    <row r="13386" s="2043" customFormat="1" x14ac:dyDescent="0.2"/>
    <row r="13387" s="2043" customFormat="1" x14ac:dyDescent="0.2"/>
    <row r="13388" s="2043" customFormat="1" x14ac:dyDescent="0.2"/>
    <row r="13389" s="2043" customFormat="1" x14ac:dyDescent="0.2"/>
    <row r="13390" s="2043" customFormat="1" x14ac:dyDescent="0.2"/>
    <row r="13391" s="2043" customFormat="1" x14ac:dyDescent="0.2"/>
    <row r="13392" s="2043" customFormat="1" x14ac:dyDescent="0.2"/>
    <row r="13393" s="2043" customFormat="1" x14ac:dyDescent="0.2"/>
    <row r="13394" s="2043" customFormat="1" x14ac:dyDescent="0.2"/>
    <row r="13395" s="2043" customFormat="1" x14ac:dyDescent="0.2"/>
    <row r="13396" s="2043" customFormat="1" x14ac:dyDescent="0.2"/>
    <row r="13397" s="2043" customFormat="1" x14ac:dyDescent="0.2"/>
    <row r="13398" s="2043" customFormat="1" x14ac:dyDescent="0.2"/>
    <row r="13399" s="2043" customFormat="1" x14ac:dyDescent="0.2"/>
    <row r="13400" s="2043" customFormat="1" x14ac:dyDescent="0.2"/>
    <row r="13401" s="2043" customFormat="1" x14ac:dyDescent="0.2"/>
    <row r="13402" s="2043" customFormat="1" x14ac:dyDescent="0.2"/>
    <row r="13403" s="2043" customFormat="1" x14ac:dyDescent="0.2"/>
    <row r="13404" s="2043" customFormat="1" x14ac:dyDescent="0.2"/>
    <row r="13405" s="2043" customFormat="1" x14ac:dyDescent="0.2"/>
    <row r="13406" s="2043" customFormat="1" x14ac:dyDescent="0.2"/>
    <row r="13407" s="2043" customFormat="1" x14ac:dyDescent="0.2"/>
    <row r="13408" s="2043" customFormat="1" x14ac:dyDescent="0.2"/>
    <row r="13409" s="2043" customFormat="1" x14ac:dyDescent="0.2"/>
    <row r="13410" s="2043" customFormat="1" x14ac:dyDescent="0.2"/>
    <row r="13411" s="2043" customFormat="1" x14ac:dyDescent="0.2"/>
    <row r="13412" s="2043" customFormat="1" x14ac:dyDescent="0.2"/>
    <row r="13413" s="2043" customFormat="1" x14ac:dyDescent="0.2"/>
    <row r="13414" s="2043" customFormat="1" x14ac:dyDescent="0.2"/>
    <row r="13415" s="2043" customFormat="1" x14ac:dyDescent="0.2"/>
    <row r="13416" s="2043" customFormat="1" x14ac:dyDescent="0.2"/>
    <row r="13417" s="2043" customFormat="1" x14ac:dyDescent="0.2"/>
    <row r="13418" s="2043" customFormat="1" x14ac:dyDescent="0.2"/>
    <row r="13419" s="2043" customFormat="1" x14ac:dyDescent="0.2"/>
    <row r="13420" s="2043" customFormat="1" x14ac:dyDescent="0.2"/>
    <row r="13421" s="2043" customFormat="1" x14ac:dyDescent="0.2"/>
    <row r="13422" s="2043" customFormat="1" x14ac:dyDescent="0.2"/>
    <row r="13423" s="2043" customFormat="1" x14ac:dyDescent="0.2"/>
    <row r="13424" s="2043" customFormat="1" x14ac:dyDescent="0.2"/>
    <row r="13425" s="2043" customFormat="1" x14ac:dyDescent="0.2"/>
    <row r="13426" s="2043" customFormat="1" x14ac:dyDescent="0.2"/>
    <row r="13427" s="2043" customFormat="1" x14ac:dyDescent="0.2"/>
    <row r="13428" s="2043" customFormat="1" x14ac:dyDescent="0.2"/>
    <row r="13429" s="2043" customFormat="1" x14ac:dyDescent="0.2"/>
    <row r="13430" s="2043" customFormat="1" x14ac:dyDescent="0.2"/>
    <row r="13431" s="2043" customFormat="1" x14ac:dyDescent="0.2"/>
    <row r="13432" s="2043" customFormat="1" x14ac:dyDescent="0.2"/>
    <row r="13433" s="2043" customFormat="1" x14ac:dyDescent="0.2"/>
    <row r="13434" s="2043" customFormat="1" x14ac:dyDescent="0.2"/>
    <row r="13435" s="2043" customFormat="1" x14ac:dyDescent="0.2"/>
    <row r="13436" s="2043" customFormat="1" x14ac:dyDescent="0.2"/>
    <row r="13437" s="2043" customFormat="1" x14ac:dyDescent="0.2"/>
    <row r="13438" s="2043" customFormat="1" x14ac:dyDescent="0.2"/>
    <row r="13439" s="2043" customFormat="1" x14ac:dyDescent="0.2"/>
    <row r="13440" s="2043" customFormat="1" x14ac:dyDescent="0.2"/>
    <row r="13441" s="2043" customFormat="1" x14ac:dyDescent="0.2"/>
    <row r="13442" s="2043" customFormat="1" x14ac:dyDescent="0.2"/>
    <row r="13443" s="2043" customFormat="1" x14ac:dyDescent="0.2"/>
    <row r="13444" s="2043" customFormat="1" x14ac:dyDescent="0.2"/>
    <row r="13445" s="2043" customFormat="1" x14ac:dyDescent="0.2"/>
    <row r="13446" s="2043" customFormat="1" x14ac:dyDescent="0.2"/>
    <row r="13447" s="2043" customFormat="1" x14ac:dyDescent="0.2"/>
    <row r="13448" s="2043" customFormat="1" x14ac:dyDescent="0.2"/>
    <row r="13449" s="2043" customFormat="1" x14ac:dyDescent="0.2"/>
    <row r="13450" s="2043" customFormat="1" x14ac:dyDescent="0.2"/>
    <row r="13451" s="2043" customFormat="1" x14ac:dyDescent="0.2"/>
    <row r="13452" s="2043" customFormat="1" x14ac:dyDescent="0.2"/>
    <row r="13453" s="2043" customFormat="1" x14ac:dyDescent="0.2"/>
    <row r="13454" s="2043" customFormat="1" x14ac:dyDescent="0.2"/>
    <row r="13455" s="2043" customFormat="1" x14ac:dyDescent="0.2"/>
    <row r="13456" s="2043" customFormat="1" x14ac:dyDescent="0.2"/>
    <row r="13457" s="2043" customFormat="1" x14ac:dyDescent="0.2"/>
    <row r="13458" s="2043" customFormat="1" x14ac:dyDescent="0.2"/>
    <row r="13459" s="2043" customFormat="1" x14ac:dyDescent="0.2"/>
    <row r="13460" s="2043" customFormat="1" x14ac:dyDescent="0.2"/>
    <row r="13461" s="2043" customFormat="1" x14ac:dyDescent="0.2"/>
    <row r="13462" s="2043" customFormat="1" x14ac:dyDescent="0.2"/>
    <row r="13463" s="2043" customFormat="1" x14ac:dyDescent="0.2"/>
    <row r="13464" s="2043" customFormat="1" x14ac:dyDescent="0.2"/>
    <row r="13465" s="2043" customFormat="1" x14ac:dyDescent="0.2"/>
    <row r="13466" s="2043" customFormat="1" x14ac:dyDescent="0.2"/>
    <row r="13467" s="2043" customFormat="1" x14ac:dyDescent="0.2"/>
    <row r="13468" s="2043" customFormat="1" x14ac:dyDescent="0.2"/>
    <row r="13469" s="2043" customFormat="1" x14ac:dyDescent="0.2"/>
    <row r="13470" s="2043" customFormat="1" x14ac:dyDescent="0.2"/>
    <row r="13471" s="2043" customFormat="1" x14ac:dyDescent="0.2"/>
    <row r="13472" s="2043" customFormat="1" x14ac:dyDescent="0.2"/>
    <row r="13473" s="2043" customFormat="1" x14ac:dyDescent="0.2"/>
    <row r="13474" s="2043" customFormat="1" x14ac:dyDescent="0.2"/>
    <row r="13475" s="2043" customFormat="1" x14ac:dyDescent="0.2"/>
    <row r="13476" s="2043" customFormat="1" x14ac:dyDescent="0.2"/>
    <row r="13477" s="2043" customFormat="1" x14ac:dyDescent="0.2"/>
    <row r="13478" s="2043" customFormat="1" x14ac:dyDescent="0.2"/>
    <row r="13479" s="2043" customFormat="1" x14ac:dyDescent="0.2"/>
    <row r="13480" s="2043" customFormat="1" x14ac:dyDescent="0.2"/>
    <row r="13481" s="2043" customFormat="1" x14ac:dyDescent="0.2"/>
    <row r="13482" s="2043" customFormat="1" x14ac:dyDescent="0.2"/>
    <row r="13483" s="2043" customFormat="1" x14ac:dyDescent="0.2"/>
    <row r="13484" s="2043" customFormat="1" x14ac:dyDescent="0.2"/>
    <row r="13485" s="2043" customFormat="1" x14ac:dyDescent="0.2"/>
    <row r="13486" s="2043" customFormat="1" x14ac:dyDescent="0.2"/>
    <row r="13487" s="2043" customFormat="1" x14ac:dyDescent="0.2"/>
    <row r="13488" s="2043" customFormat="1" x14ac:dyDescent="0.2"/>
    <row r="13489" s="2043" customFormat="1" x14ac:dyDescent="0.2"/>
    <row r="13490" s="2043" customFormat="1" x14ac:dyDescent="0.2"/>
    <row r="13491" s="2043" customFormat="1" x14ac:dyDescent="0.2"/>
    <row r="13492" s="2043" customFormat="1" x14ac:dyDescent="0.2"/>
    <row r="13493" s="2043" customFormat="1" x14ac:dyDescent="0.2"/>
    <row r="13494" s="2043" customFormat="1" x14ac:dyDescent="0.2"/>
    <row r="13495" s="2043" customFormat="1" x14ac:dyDescent="0.2"/>
    <row r="13496" s="2043" customFormat="1" x14ac:dyDescent="0.2"/>
    <row r="13497" s="2043" customFormat="1" x14ac:dyDescent="0.2"/>
    <row r="13498" s="2043" customFormat="1" x14ac:dyDescent="0.2"/>
    <row r="13499" s="2043" customFormat="1" x14ac:dyDescent="0.2"/>
    <row r="13500" s="2043" customFormat="1" x14ac:dyDescent="0.2"/>
    <row r="13501" s="2043" customFormat="1" x14ac:dyDescent="0.2"/>
    <row r="13502" s="2043" customFormat="1" x14ac:dyDescent="0.2"/>
    <row r="13503" s="2043" customFormat="1" x14ac:dyDescent="0.2"/>
    <row r="13504" s="2043" customFormat="1" x14ac:dyDescent="0.2"/>
    <row r="13505" s="2043" customFormat="1" x14ac:dyDescent="0.2"/>
    <row r="13506" s="2043" customFormat="1" x14ac:dyDescent="0.2"/>
    <row r="13507" s="2043" customFormat="1" x14ac:dyDescent="0.2"/>
    <row r="13508" s="2043" customFormat="1" x14ac:dyDescent="0.2"/>
    <row r="13509" s="2043" customFormat="1" x14ac:dyDescent="0.2"/>
    <row r="13510" s="2043" customFormat="1" x14ac:dyDescent="0.2"/>
    <row r="13511" s="2043" customFormat="1" x14ac:dyDescent="0.2"/>
    <row r="13512" s="2043" customFormat="1" x14ac:dyDescent="0.2"/>
    <row r="13513" s="2043" customFormat="1" x14ac:dyDescent="0.2"/>
    <row r="13514" s="2043" customFormat="1" x14ac:dyDescent="0.2"/>
    <row r="13515" s="2043" customFormat="1" x14ac:dyDescent="0.2"/>
    <row r="13516" s="2043" customFormat="1" x14ac:dyDescent="0.2"/>
    <row r="13517" s="2043" customFormat="1" x14ac:dyDescent="0.2"/>
    <row r="13518" s="2043" customFormat="1" x14ac:dyDescent="0.2"/>
    <row r="13519" s="2043" customFormat="1" x14ac:dyDescent="0.2"/>
    <row r="13520" s="2043" customFormat="1" x14ac:dyDescent="0.2"/>
    <row r="13521" s="2043" customFormat="1" x14ac:dyDescent="0.2"/>
    <row r="13522" s="2043" customFormat="1" x14ac:dyDescent="0.2"/>
    <row r="13523" s="2043" customFormat="1" x14ac:dyDescent="0.2"/>
    <row r="13524" s="2043" customFormat="1" x14ac:dyDescent="0.2"/>
    <row r="13525" s="2043" customFormat="1" x14ac:dyDescent="0.2"/>
    <row r="13526" s="2043" customFormat="1" x14ac:dyDescent="0.2"/>
    <row r="13527" s="2043" customFormat="1" x14ac:dyDescent="0.2"/>
    <row r="13528" s="2043" customFormat="1" x14ac:dyDescent="0.2"/>
    <row r="13529" s="2043" customFormat="1" x14ac:dyDescent="0.2"/>
    <row r="13530" s="2043" customFormat="1" x14ac:dyDescent="0.2"/>
    <row r="13531" s="2043" customFormat="1" x14ac:dyDescent="0.2"/>
    <row r="13532" s="2043" customFormat="1" x14ac:dyDescent="0.2"/>
    <row r="13533" s="2043" customFormat="1" x14ac:dyDescent="0.2"/>
    <row r="13534" s="2043" customFormat="1" x14ac:dyDescent="0.2"/>
    <row r="13535" s="2043" customFormat="1" x14ac:dyDescent="0.2"/>
    <row r="13536" s="2043" customFormat="1" x14ac:dyDescent="0.2"/>
    <row r="13537" s="2043" customFormat="1" x14ac:dyDescent="0.2"/>
    <row r="13538" s="2043" customFormat="1" x14ac:dyDescent="0.2"/>
    <row r="13539" s="2043" customFormat="1" x14ac:dyDescent="0.2"/>
    <row r="13540" s="2043" customFormat="1" x14ac:dyDescent="0.2"/>
    <row r="13541" s="2043" customFormat="1" x14ac:dyDescent="0.2"/>
    <row r="13542" s="2043" customFormat="1" x14ac:dyDescent="0.2"/>
    <row r="13543" s="2043" customFormat="1" x14ac:dyDescent="0.2"/>
    <row r="13544" s="2043" customFormat="1" x14ac:dyDescent="0.2"/>
    <row r="13545" s="2043" customFormat="1" x14ac:dyDescent="0.2"/>
    <row r="13546" s="2043" customFormat="1" x14ac:dyDescent="0.2"/>
    <row r="13547" s="2043" customFormat="1" x14ac:dyDescent="0.2"/>
    <row r="13548" s="2043" customFormat="1" x14ac:dyDescent="0.2"/>
    <row r="13549" s="2043" customFormat="1" x14ac:dyDescent="0.2"/>
    <row r="13550" s="2043" customFormat="1" x14ac:dyDescent="0.2"/>
    <row r="13551" s="2043" customFormat="1" x14ac:dyDescent="0.2"/>
    <row r="13552" s="2043" customFormat="1" x14ac:dyDescent="0.2"/>
    <row r="13553" s="2043" customFormat="1" x14ac:dyDescent="0.2"/>
    <row r="13554" s="2043" customFormat="1" x14ac:dyDescent="0.2"/>
    <row r="13555" s="2043" customFormat="1" x14ac:dyDescent="0.2"/>
    <row r="13556" s="2043" customFormat="1" x14ac:dyDescent="0.2"/>
    <row r="13557" s="2043" customFormat="1" x14ac:dyDescent="0.2"/>
    <row r="13558" s="2043" customFormat="1" x14ac:dyDescent="0.2"/>
    <row r="13559" s="2043" customFormat="1" x14ac:dyDescent="0.2"/>
    <row r="13560" s="2043" customFormat="1" x14ac:dyDescent="0.2"/>
    <row r="13561" s="2043" customFormat="1" x14ac:dyDescent="0.2"/>
    <row r="13562" s="2043" customFormat="1" x14ac:dyDescent="0.2"/>
    <row r="13563" s="2043" customFormat="1" x14ac:dyDescent="0.2"/>
    <row r="13564" s="2043" customFormat="1" x14ac:dyDescent="0.2"/>
    <row r="13565" s="2043" customFormat="1" x14ac:dyDescent="0.2"/>
    <row r="13566" s="2043" customFormat="1" x14ac:dyDescent="0.2"/>
    <row r="13567" s="2043" customFormat="1" x14ac:dyDescent="0.2"/>
    <row r="13568" s="2043" customFormat="1" x14ac:dyDescent="0.2"/>
    <row r="13569" s="2043" customFormat="1" x14ac:dyDescent="0.2"/>
    <row r="13570" s="2043" customFormat="1" x14ac:dyDescent="0.2"/>
    <row r="13571" s="2043" customFormat="1" x14ac:dyDescent="0.2"/>
    <row r="13572" s="2043" customFormat="1" x14ac:dyDescent="0.2"/>
    <row r="13573" s="2043" customFormat="1" x14ac:dyDescent="0.2"/>
    <row r="13574" s="2043" customFormat="1" x14ac:dyDescent="0.2"/>
    <row r="13575" s="2043" customFormat="1" x14ac:dyDescent="0.2"/>
    <row r="13576" s="2043" customFormat="1" x14ac:dyDescent="0.2"/>
    <row r="13577" s="2043" customFormat="1" x14ac:dyDescent="0.2"/>
    <row r="13578" s="2043" customFormat="1" x14ac:dyDescent="0.2"/>
    <row r="13579" s="2043" customFormat="1" x14ac:dyDescent="0.2"/>
    <row r="13580" s="2043" customFormat="1" x14ac:dyDescent="0.2"/>
    <row r="13581" s="2043" customFormat="1" x14ac:dyDescent="0.2"/>
    <row r="13582" s="2043" customFormat="1" x14ac:dyDescent="0.2"/>
    <row r="13583" s="2043" customFormat="1" x14ac:dyDescent="0.2"/>
    <row r="13584" s="2043" customFormat="1" x14ac:dyDescent="0.2"/>
    <row r="13585" s="2043" customFormat="1" x14ac:dyDescent="0.2"/>
    <row r="13586" s="2043" customFormat="1" x14ac:dyDescent="0.2"/>
    <row r="13587" s="2043" customFormat="1" x14ac:dyDescent="0.2"/>
    <row r="13588" s="2043" customFormat="1" x14ac:dyDescent="0.2"/>
    <row r="13589" s="2043" customFormat="1" x14ac:dyDescent="0.2"/>
    <row r="13590" s="2043" customFormat="1" x14ac:dyDescent="0.2"/>
    <row r="13591" s="2043" customFormat="1" x14ac:dyDescent="0.2"/>
    <row r="13592" s="2043" customFormat="1" x14ac:dyDescent="0.2"/>
    <row r="13593" s="2043" customFormat="1" x14ac:dyDescent="0.2"/>
    <row r="13594" s="2043" customFormat="1" x14ac:dyDescent="0.2"/>
    <row r="13595" s="2043" customFormat="1" x14ac:dyDescent="0.2"/>
    <row r="13596" s="2043" customFormat="1" x14ac:dyDescent="0.2"/>
    <row r="13597" s="2043" customFormat="1" x14ac:dyDescent="0.2"/>
    <row r="13598" s="2043" customFormat="1" x14ac:dyDescent="0.2"/>
    <row r="13599" s="2043" customFormat="1" x14ac:dyDescent="0.2"/>
    <row r="13600" s="2043" customFormat="1" x14ac:dyDescent="0.2"/>
    <row r="13601" s="2043" customFormat="1" x14ac:dyDescent="0.2"/>
    <row r="13602" s="2043" customFormat="1" x14ac:dyDescent="0.2"/>
    <row r="13603" s="2043" customFormat="1" x14ac:dyDescent="0.2"/>
    <row r="13604" s="2043" customFormat="1" x14ac:dyDescent="0.2"/>
    <row r="13605" s="2043" customFormat="1" x14ac:dyDescent="0.2"/>
    <row r="13606" s="2043" customFormat="1" x14ac:dyDescent="0.2"/>
    <row r="13607" s="2043" customFormat="1" x14ac:dyDescent="0.2"/>
    <row r="13608" s="2043" customFormat="1" x14ac:dyDescent="0.2"/>
    <row r="13609" s="2043" customFormat="1" x14ac:dyDescent="0.2"/>
    <row r="13610" s="2043" customFormat="1" x14ac:dyDescent="0.2"/>
    <row r="13611" s="2043" customFormat="1" x14ac:dyDescent="0.2"/>
    <row r="13612" s="2043" customFormat="1" x14ac:dyDescent="0.2"/>
    <row r="13613" s="2043" customFormat="1" x14ac:dyDescent="0.2"/>
    <row r="13614" s="2043" customFormat="1" x14ac:dyDescent="0.2"/>
    <row r="13615" s="2043" customFormat="1" x14ac:dyDescent="0.2"/>
    <row r="13616" s="2043" customFormat="1" x14ac:dyDescent="0.2"/>
    <row r="13617" s="2043" customFormat="1" x14ac:dyDescent="0.2"/>
    <row r="13618" s="2043" customFormat="1" x14ac:dyDescent="0.2"/>
    <row r="13619" s="2043" customFormat="1" x14ac:dyDescent="0.2"/>
    <row r="13620" s="2043" customFormat="1" x14ac:dyDescent="0.2"/>
    <row r="13621" s="2043" customFormat="1" x14ac:dyDescent="0.2"/>
    <row r="13622" s="2043" customFormat="1" x14ac:dyDescent="0.2"/>
    <row r="13623" s="2043" customFormat="1" x14ac:dyDescent="0.2"/>
    <row r="13624" s="2043" customFormat="1" x14ac:dyDescent="0.2"/>
    <row r="13625" s="2043" customFormat="1" x14ac:dyDescent="0.2"/>
    <row r="13626" s="2043" customFormat="1" x14ac:dyDescent="0.2"/>
    <row r="13627" s="2043" customFormat="1" x14ac:dyDescent="0.2"/>
    <row r="13628" s="2043" customFormat="1" x14ac:dyDescent="0.2"/>
    <row r="13629" s="2043" customFormat="1" x14ac:dyDescent="0.2"/>
    <row r="13630" s="2043" customFormat="1" x14ac:dyDescent="0.2"/>
    <row r="13631" s="2043" customFormat="1" x14ac:dyDescent="0.2"/>
    <row r="13632" s="2043" customFormat="1" x14ac:dyDescent="0.2"/>
    <row r="13633" s="2043" customFormat="1" x14ac:dyDescent="0.2"/>
    <row r="13634" s="2043" customFormat="1" x14ac:dyDescent="0.2"/>
    <row r="13635" s="2043" customFormat="1" x14ac:dyDescent="0.2"/>
    <row r="13636" s="2043" customFormat="1" x14ac:dyDescent="0.2"/>
    <row r="13637" s="2043" customFormat="1" x14ac:dyDescent="0.2"/>
    <row r="13638" s="2043" customFormat="1" x14ac:dyDescent="0.2"/>
    <row r="13639" s="2043" customFormat="1" x14ac:dyDescent="0.2"/>
    <row r="13640" s="2043" customFormat="1" x14ac:dyDescent="0.2"/>
    <row r="13641" s="2043" customFormat="1" x14ac:dyDescent="0.2"/>
    <row r="13642" s="2043" customFormat="1" x14ac:dyDescent="0.2"/>
    <row r="13643" s="2043" customFormat="1" x14ac:dyDescent="0.2"/>
    <row r="13644" s="2043" customFormat="1" x14ac:dyDescent="0.2"/>
    <row r="13645" s="2043" customFormat="1" x14ac:dyDescent="0.2"/>
    <row r="13646" s="2043" customFormat="1" x14ac:dyDescent="0.2"/>
    <row r="13647" s="2043" customFormat="1" x14ac:dyDescent="0.2"/>
    <row r="13648" s="2043" customFormat="1" x14ac:dyDescent="0.2"/>
    <row r="13649" s="2043" customFormat="1" x14ac:dyDescent="0.2"/>
    <row r="13650" s="2043" customFormat="1" x14ac:dyDescent="0.2"/>
    <row r="13651" s="2043" customFormat="1" x14ac:dyDescent="0.2"/>
    <row r="13652" s="2043" customFormat="1" x14ac:dyDescent="0.2"/>
    <row r="13653" s="2043" customFormat="1" x14ac:dyDescent="0.2"/>
    <row r="13654" s="2043" customFormat="1" x14ac:dyDescent="0.2"/>
    <row r="13655" s="2043" customFormat="1" x14ac:dyDescent="0.2"/>
    <row r="13656" s="2043" customFormat="1" x14ac:dyDescent="0.2"/>
    <row r="13657" s="2043" customFormat="1" x14ac:dyDescent="0.2"/>
    <row r="13658" s="2043" customFormat="1" x14ac:dyDescent="0.2"/>
    <row r="13659" s="2043" customFormat="1" x14ac:dyDescent="0.2"/>
    <row r="13660" s="2043" customFormat="1" x14ac:dyDescent="0.2"/>
    <row r="13661" s="2043" customFormat="1" x14ac:dyDescent="0.2"/>
    <row r="13662" s="2043" customFormat="1" x14ac:dyDescent="0.2"/>
    <row r="13663" s="2043" customFormat="1" x14ac:dyDescent="0.2"/>
    <row r="13664" s="2043" customFormat="1" x14ac:dyDescent="0.2"/>
    <row r="13665" s="2043" customFormat="1" x14ac:dyDescent="0.2"/>
    <row r="13666" s="2043" customFormat="1" x14ac:dyDescent="0.2"/>
    <row r="13667" s="2043" customFormat="1" x14ac:dyDescent="0.2"/>
    <row r="13668" s="2043" customFormat="1" x14ac:dyDescent="0.2"/>
    <row r="13669" s="2043" customFormat="1" x14ac:dyDescent="0.2"/>
    <row r="13670" s="2043" customFormat="1" x14ac:dyDescent="0.2"/>
    <row r="13671" s="2043" customFormat="1" x14ac:dyDescent="0.2"/>
    <row r="13672" s="2043" customFormat="1" x14ac:dyDescent="0.2"/>
    <row r="13673" s="2043" customFormat="1" x14ac:dyDescent="0.2"/>
    <row r="13674" s="2043" customFormat="1" x14ac:dyDescent="0.2"/>
    <row r="13675" s="2043" customFormat="1" x14ac:dyDescent="0.2"/>
    <row r="13676" s="2043" customFormat="1" x14ac:dyDescent="0.2"/>
    <row r="13677" s="2043" customFormat="1" x14ac:dyDescent="0.2"/>
    <row r="13678" s="2043" customFormat="1" x14ac:dyDescent="0.2"/>
    <row r="13679" s="2043" customFormat="1" x14ac:dyDescent="0.2"/>
    <row r="13680" s="2043" customFormat="1" x14ac:dyDescent="0.2"/>
    <row r="13681" s="2043" customFormat="1" x14ac:dyDescent="0.2"/>
    <row r="13682" s="2043" customFormat="1" x14ac:dyDescent="0.2"/>
    <row r="13683" s="2043" customFormat="1" x14ac:dyDescent="0.2"/>
    <row r="13684" s="2043" customFormat="1" x14ac:dyDescent="0.2"/>
    <row r="13685" s="2043" customFormat="1" x14ac:dyDescent="0.2"/>
    <row r="13686" s="2043" customFormat="1" x14ac:dyDescent="0.2"/>
    <row r="13687" s="2043" customFormat="1" x14ac:dyDescent="0.2"/>
    <row r="13688" s="2043" customFormat="1" x14ac:dyDescent="0.2"/>
    <row r="13689" s="2043" customFormat="1" x14ac:dyDescent="0.2"/>
    <row r="13690" s="2043" customFormat="1" x14ac:dyDescent="0.2"/>
    <row r="13691" s="2043" customFormat="1" x14ac:dyDescent="0.2"/>
    <row r="13692" s="2043" customFormat="1" x14ac:dyDescent="0.2"/>
    <row r="13693" s="2043" customFormat="1" x14ac:dyDescent="0.2"/>
    <row r="13694" s="2043" customFormat="1" x14ac:dyDescent="0.2"/>
    <row r="13695" s="2043" customFormat="1" x14ac:dyDescent="0.2"/>
    <row r="13696" s="2043" customFormat="1" x14ac:dyDescent="0.2"/>
    <row r="13697" s="2043" customFormat="1" x14ac:dyDescent="0.2"/>
    <row r="13698" s="2043" customFormat="1" x14ac:dyDescent="0.2"/>
    <row r="13699" s="2043" customFormat="1" x14ac:dyDescent="0.2"/>
    <row r="13700" s="2043" customFormat="1" x14ac:dyDescent="0.2"/>
    <row r="13701" s="2043" customFormat="1" x14ac:dyDescent="0.2"/>
    <row r="13702" s="2043" customFormat="1" x14ac:dyDescent="0.2"/>
    <row r="13703" s="2043" customFormat="1" x14ac:dyDescent="0.2"/>
    <row r="13704" s="2043" customFormat="1" x14ac:dyDescent="0.2"/>
    <row r="13705" s="2043" customFormat="1" x14ac:dyDescent="0.2"/>
    <row r="13706" s="2043" customFormat="1" x14ac:dyDescent="0.2"/>
    <row r="13707" s="2043" customFormat="1" x14ac:dyDescent="0.2"/>
    <row r="13708" s="2043" customFormat="1" x14ac:dyDescent="0.2"/>
    <row r="13709" s="2043" customFormat="1" x14ac:dyDescent="0.2"/>
    <row r="13710" s="2043" customFormat="1" x14ac:dyDescent="0.2"/>
    <row r="13711" s="2043" customFormat="1" x14ac:dyDescent="0.2"/>
    <row r="13712" s="2043" customFormat="1" x14ac:dyDescent="0.2"/>
    <row r="13713" s="2043" customFormat="1" x14ac:dyDescent="0.2"/>
    <row r="13714" s="2043" customFormat="1" x14ac:dyDescent="0.2"/>
    <row r="13715" s="2043" customFormat="1" x14ac:dyDescent="0.2"/>
    <row r="13716" s="2043" customFormat="1" x14ac:dyDescent="0.2"/>
    <row r="13717" s="2043" customFormat="1" x14ac:dyDescent="0.2"/>
    <row r="13718" s="2043" customFormat="1" x14ac:dyDescent="0.2"/>
    <row r="13719" s="2043" customFormat="1" x14ac:dyDescent="0.2"/>
    <row r="13720" s="2043" customFormat="1" x14ac:dyDescent="0.2"/>
    <row r="13721" s="2043" customFormat="1" x14ac:dyDescent="0.2"/>
    <row r="13722" s="2043" customFormat="1" x14ac:dyDescent="0.2"/>
    <row r="13723" s="2043" customFormat="1" x14ac:dyDescent="0.2"/>
    <row r="13724" s="2043" customFormat="1" x14ac:dyDescent="0.2"/>
    <row r="13725" s="2043" customFormat="1" x14ac:dyDescent="0.2"/>
    <row r="13726" s="2043" customFormat="1" x14ac:dyDescent="0.2"/>
    <row r="13727" s="2043" customFormat="1" x14ac:dyDescent="0.2"/>
    <row r="13728" s="2043" customFormat="1" x14ac:dyDescent="0.2"/>
    <row r="13729" s="2043" customFormat="1" x14ac:dyDescent="0.2"/>
    <row r="13730" s="2043" customFormat="1" x14ac:dyDescent="0.2"/>
    <row r="13731" s="2043" customFormat="1" x14ac:dyDescent="0.2"/>
    <row r="13732" s="2043" customFormat="1" x14ac:dyDescent="0.2"/>
    <row r="13733" s="2043" customFormat="1" x14ac:dyDescent="0.2"/>
    <row r="13734" s="2043" customFormat="1" x14ac:dyDescent="0.2"/>
    <row r="13735" s="2043" customFormat="1" x14ac:dyDescent="0.2"/>
    <row r="13736" s="2043" customFormat="1" x14ac:dyDescent="0.2"/>
    <row r="13737" s="2043" customFormat="1" x14ac:dyDescent="0.2"/>
    <row r="13738" s="2043" customFormat="1" x14ac:dyDescent="0.2"/>
    <row r="13739" s="2043" customFormat="1" x14ac:dyDescent="0.2"/>
    <row r="13740" s="2043" customFormat="1" x14ac:dyDescent="0.2"/>
    <row r="13741" s="2043" customFormat="1" x14ac:dyDescent="0.2"/>
    <row r="13742" s="2043" customFormat="1" x14ac:dyDescent="0.2"/>
    <row r="13743" s="2043" customFormat="1" x14ac:dyDescent="0.2"/>
    <row r="13744" s="2043" customFormat="1" x14ac:dyDescent="0.2"/>
    <row r="13745" s="2043" customFormat="1" x14ac:dyDescent="0.2"/>
    <row r="13746" s="2043" customFormat="1" x14ac:dyDescent="0.2"/>
    <row r="13747" s="2043" customFormat="1" x14ac:dyDescent="0.2"/>
    <row r="13748" s="2043" customFormat="1" x14ac:dyDescent="0.2"/>
    <row r="13749" s="2043" customFormat="1" x14ac:dyDescent="0.2"/>
    <row r="13750" s="2043" customFormat="1" x14ac:dyDescent="0.2"/>
    <row r="13751" s="2043" customFormat="1" x14ac:dyDescent="0.2"/>
    <row r="13752" s="2043" customFormat="1" x14ac:dyDescent="0.2"/>
    <row r="13753" s="2043" customFormat="1" x14ac:dyDescent="0.2"/>
    <row r="13754" s="2043" customFormat="1" x14ac:dyDescent="0.2"/>
    <row r="13755" s="2043" customFormat="1" x14ac:dyDescent="0.2"/>
    <row r="13756" s="2043" customFormat="1" x14ac:dyDescent="0.2"/>
    <row r="13757" s="2043" customFormat="1" x14ac:dyDescent="0.2"/>
    <row r="13758" s="2043" customFormat="1" x14ac:dyDescent="0.2"/>
    <row r="13759" s="2043" customFormat="1" x14ac:dyDescent="0.2"/>
    <row r="13760" s="2043" customFormat="1" x14ac:dyDescent="0.2"/>
    <row r="13761" s="2043" customFormat="1" x14ac:dyDescent="0.2"/>
    <row r="13762" s="2043" customFormat="1" x14ac:dyDescent="0.2"/>
    <row r="13763" s="2043" customFormat="1" x14ac:dyDescent="0.2"/>
    <row r="13764" s="2043" customFormat="1" x14ac:dyDescent="0.2"/>
    <row r="13765" s="2043" customFormat="1" x14ac:dyDescent="0.2"/>
    <row r="13766" s="2043" customFormat="1" x14ac:dyDescent="0.2"/>
    <row r="13767" s="2043" customFormat="1" x14ac:dyDescent="0.2"/>
    <row r="13768" s="2043" customFormat="1" x14ac:dyDescent="0.2"/>
    <row r="13769" s="2043" customFormat="1" x14ac:dyDescent="0.2"/>
    <row r="13770" s="2043" customFormat="1" x14ac:dyDescent="0.2"/>
    <row r="13771" s="2043" customFormat="1" x14ac:dyDescent="0.2"/>
    <row r="13772" s="2043" customFormat="1" x14ac:dyDescent="0.2"/>
    <row r="13773" s="2043" customFormat="1" x14ac:dyDescent="0.2"/>
    <row r="13774" s="2043" customFormat="1" x14ac:dyDescent="0.2"/>
    <row r="13775" s="2043" customFormat="1" x14ac:dyDescent="0.2"/>
    <row r="13776" s="2043" customFormat="1" x14ac:dyDescent="0.2"/>
    <row r="13777" s="2043" customFormat="1" x14ac:dyDescent="0.2"/>
    <row r="13778" s="2043" customFormat="1" x14ac:dyDescent="0.2"/>
    <row r="13779" s="2043" customFormat="1" x14ac:dyDescent="0.2"/>
    <row r="13780" s="2043" customFormat="1" x14ac:dyDescent="0.2"/>
    <row r="13781" s="2043" customFormat="1" x14ac:dyDescent="0.2"/>
    <row r="13782" s="2043" customFormat="1" x14ac:dyDescent="0.2"/>
    <row r="13783" s="2043" customFormat="1" x14ac:dyDescent="0.2"/>
    <row r="13784" s="2043" customFormat="1" x14ac:dyDescent="0.2"/>
    <row r="13785" s="2043" customFormat="1" x14ac:dyDescent="0.2"/>
    <row r="13786" s="2043" customFormat="1" x14ac:dyDescent="0.2"/>
    <row r="13787" s="2043" customFormat="1" x14ac:dyDescent="0.2"/>
    <row r="13788" s="2043" customFormat="1" x14ac:dyDescent="0.2"/>
    <row r="13789" s="2043" customFormat="1" x14ac:dyDescent="0.2"/>
    <row r="13790" s="2043" customFormat="1" x14ac:dyDescent="0.2"/>
    <row r="13791" s="2043" customFormat="1" x14ac:dyDescent="0.2"/>
    <row r="13792" s="2043" customFormat="1" x14ac:dyDescent="0.2"/>
    <row r="13793" s="2043" customFormat="1" x14ac:dyDescent="0.2"/>
    <row r="13794" s="2043" customFormat="1" x14ac:dyDescent="0.2"/>
    <row r="13795" s="2043" customFormat="1" x14ac:dyDescent="0.2"/>
    <row r="13796" s="2043" customFormat="1" x14ac:dyDescent="0.2"/>
    <row r="13797" s="2043" customFormat="1" x14ac:dyDescent="0.2"/>
    <row r="13798" s="2043" customFormat="1" x14ac:dyDescent="0.2"/>
    <row r="13799" s="2043" customFormat="1" x14ac:dyDescent="0.2"/>
    <row r="13800" s="2043" customFormat="1" x14ac:dyDescent="0.2"/>
    <row r="13801" s="2043" customFormat="1" x14ac:dyDescent="0.2"/>
    <row r="13802" s="2043" customFormat="1" x14ac:dyDescent="0.2"/>
    <row r="13803" s="2043" customFormat="1" x14ac:dyDescent="0.2"/>
    <row r="13804" s="2043" customFormat="1" x14ac:dyDescent="0.2"/>
    <row r="13805" s="2043" customFormat="1" x14ac:dyDescent="0.2"/>
    <row r="13806" s="2043" customFormat="1" x14ac:dyDescent="0.2"/>
    <row r="13807" s="2043" customFormat="1" x14ac:dyDescent="0.2"/>
    <row r="13808" s="2043" customFormat="1" x14ac:dyDescent="0.2"/>
    <row r="13809" s="2043" customFormat="1" x14ac:dyDescent="0.2"/>
    <row r="13810" s="2043" customFormat="1" x14ac:dyDescent="0.2"/>
    <row r="13811" s="2043" customFormat="1" x14ac:dyDescent="0.2"/>
    <row r="13812" s="2043" customFormat="1" x14ac:dyDescent="0.2"/>
    <row r="13813" s="2043" customFormat="1" x14ac:dyDescent="0.2"/>
    <row r="13814" s="2043" customFormat="1" x14ac:dyDescent="0.2"/>
    <row r="13815" s="2043" customFormat="1" x14ac:dyDescent="0.2"/>
    <row r="13816" s="2043" customFormat="1" x14ac:dyDescent="0.2"/>
    <row r="13817" s="2043" customFormat="1" x14ac:dyDescent="0.2"/>
    <row r="13818" s="2043" customFormat="1" x14ac:dyDescent="0.2"/>
    <row r="13819" s="2043" customFormat="1" x14ac:dyDescent="0.2"/>
    <row r="13820" s="2043" customFormat="1" x14ac:dyDescent="0.2"/>
    <row r="13821" s="2043" customFormat="1" x14ac:dyDescent="0.2"/>
    <row r="13822" s="2043" customFormat="1" x14ac:dyDescent="0.2"/>
    <row r="13823" s="2043" customFormat="1" x14ac:dyDescent="0.2"/>
    <row r="13824" s="2043" customFormat="1" x14ac:dyDescent="0.2"/>
    <row r="13825" s="2043" customFormat="1" x14ac:dyDescent="0.2"/>
    <row r="13826" s="2043" customFormat="1" x14ac:dyDescent="0.2"/>
    <row r="13827" s="2043" customFormat="1" x14ac:dyDescent="0.2"/>
    <row r="13828" s="2043" customFormat="1" x14ac:dyDescent="0.2"/>
    <row r="13829" s="2043" customFormat="1" x14ac:dyDescent="0.2"/>
    <row r="13830" s="2043" customFormat="1" x14ac:dyDescent="0.2"/>
    <row r="13831" s="2043" customFormat="1" x14ac:dyDescent="0.2"/>
    <row r="13832" s="2043" customFormat="1" x14ac:dyDescent="0.2"/>
    <row r="13833" s="2043" customFormat="1" x14ac:dyDescent="0.2"/>
    <row r="13834" s="2043" customFormat="1" x14ac:dyDescent="0.2"/>
    <row r="13835" s="2043" customFormat="1" x14ac:dyDescent="0.2"/>
    <row r="13836" s="2043" customFormat="1" x14ac:dyDescent="0.2"/>
    <row r="13837" s="2043" customFormat="1" x14ac:dyDescent="0.2"/>
    <row r="13838" s="2043" customFormat="1" x14ac:dyDescent="0.2"/>
    <row r="13839" s="2043" customFormat="1" x14ac:dyDescent="0.2"/>
    <row r="13840" s="2043" customFormat="1" x14ac:dyDescent="0.2"/>
    <row r="13841" s="2043" customFormat="1" x14ac:dyDescent="0.2"/>
    <row r="13842" s="2043" customFormat="1" x14ac:dyDescent="0.2"/>
    <row r="13843" s="2043" customFormat="1" x14ac:dyDescent="0.2"/>
    <row r="13844" s="2043" customFormat="1" x14ac:dyDescent="0.2"/>
    <row r="13845" s="2043" customFormat="1" x14ac:dyDescent="0.2"/>
    <row r="13846" s="2043" customFormat="1" x14ac:dyDescent="0.2"/>
    <row r="13847" s="2043" customFormat="1" x14ac:dyDescent="0.2"/>
    <row r="13848" s="2043" customFormat="1" x14ac:dyDescent="0.2"/>
    <row r="13849" s="2043" customFormat="1" x14ac:dyDescent="0.2"/>
    <row r="13850" s="2043" customFormat="1" x14ac:dyDescent="0.2"/>
    <row r="13851" s="2043" customFormat="1" x14ac:dyDescent="0.2"/>
    <row r="13852" s="2043" customFormat="1" x14ac:dyDescent="0.2"/>
    <row r="13853" s="2043" customFormat="1" x14ac:dyDescent="0.2"/>
    <row r="13854" s="2043" customFormat="1" x14ac:dyDescent="0.2"/>
    <row r="13855" s="2043" customFormat="1" x14ac:dyDescent="0.2"/>
    <row r="13856" s="2043" customFormat="1" x14ac:dyDescent="0.2"/>
    <row r="13857" s="2043" customFormat="1" x14ac:dyDescent="0.2"/>
    <row r="13858" s="2043" customFormat="1" x14ac:dyDescent="0.2"/>
    <row r="13859" s="2043" customFormat="1" x14ac:dyDescent="0.2"/>
    <row r="13860" s="2043" customFormat="1" x14ac:dyDescent="0.2"/>
    <row r="13861" s="2043" customFormat="1" x14ac:dyDescent="0.2"/>
    <row r="13862" s="2043" customFormat="1" x14ac:dyDescent="0.2"/>
    <row r="13863" s="2043" customFormat="1" x14ac:dyDescent="0.2"/>
    <row r="13864" s="2043" customFormat="1" x14ac:dyDescent="0.2"/>
    <row r="13865" s="2043" customFormat="1" x14ac:dyDescent="0.2"/>
    <row r="13866" s="2043" customFormat="1" x14ac:dyDescent="0.2"/>
    <row r="13867" s="2043" customFormat="1" x14ac:dyDescent="0.2"/>
    <row r="13868" s="2043" customFormat="1" x14ac:dyDescent="0.2"/>
    <row r="13869" s="2043" customFormat="1" x14ac:dyDescent="0.2"/>
    <row r="13870" s="2043" customFormat="1" x14ac:dyDescent="0.2"/>
    <row r="13871" s="2043" customFormat="1" x14ac:dyDescent="0.2"/>
    <row r="13872" s="2043" customFormat="1" x14ac:dyDescent="0.2"/>
    <row r="13873" s="2043" customFormat="1" x14ac:dyDescent="0.2"/>
    <row r="13874" s="2043" customFormat="1" x14ac:dyDescent="0.2"/>
    <row r="13875" s="2043" customFormat="1" x14ac:dyDescent="0.2"/>
    <row r="13876" s="2043" customFormat="1" x14ac:dyDescent="0.2"/>
    <row r="13877" s="2043" customFormat="1" x14ac:dyDescent="0.2"/>
    <row r="13878" s="2043" customFormat="1" x14ac:dyDescent="0.2"/>
    <row r="13879" s="2043" customFormat="1" x14ac:dyDescent="0.2"/>
    <row r="13880" s="2043" customFormat="1" x14ac:dyDescent="0.2"/>
    <row r="13881" s="2043" customFormat="1" x14ac:dyDescent="0.2"/>
    <row r="13882" s="2043" customFormat="1" x14ac:dyDescent="0.2"/>
    <row r="13883" s="2043" customFormat="1" x14ac:dyDescent="0.2"/>
    <row r="13884" s="2043" customFormat="1" x14ac:dyDescent="0.2"/>
    <row r="13885" s="2043" customFormat="1" x14ac:dyDescent="0.2"/>
    <row r="13886" s="2043" customFormat="1" x14ac:dyDescent="0.2"/>
    <row r="13887" s="2043" customFormat="1" x14ac:dyDescent="0.2"/>
    <row r="13888" s="2043" customFormat="1" x14ac:dyDescent="0.2"/>
    <row r="13889" s="2043" customFormat="1" x14ac:dyDescent="0.2"/>
    <row r="13890" s="2043" customFormat="1" x14ac:dyDescent="0.2"/>
    <row r="13891" s="2043" customFormat="1" x14ac:dyDescent="0.2"/>
    <row r="13892" s="2043" customFormat="1" x14ac:dyDescent="0.2"/>
    <row r="13893" s="2043" customFormat="1" x14ac:dyDescent="0.2"/>
    <row r="13894" s="2043" customFormat="1" x14ac:dyDescent="0.2"/>
    <row r="13895" s="2043" customFormat="1" x14ac:dyDescent="0.2"/>
    <row r="13896" s="2043" customFormat="1" x14ac:dyDescent="0.2"/>
    <row r="13897" s="2043" customFormat="1" x14ac:dyDescent="0.2"/>
    <row r="13898" s="2043" customFormat="1" x14ac:dyDescent="0.2"/>
    <row r="13899" s="2043" customFormat="1" x14ac:dyDescent="0.2"/>
    <row r="13900" s="2043" customFormat="1" x14ac:dyDescent="0.2"/>
    <row r="13901" s="2043" customFormat="1" x14ac:dyDescent="0.2"/>
    <row r="13902" s="2043" customFormat="1" x14ac:dyDescent="0.2"/>
    <row r="13903" s="2043" customFormat="1" x14ac:dyDescent="0.2"/>
    <row r="13904" s="2043" customFormat="1" x14ac:dyDescent="0.2"/>
    <row r="13905" s="2043" customFormat="1" x14ac:dyDescent="0.2"/>
    <row r="13906" s="2043" customFormat="1" x14ac:dyDescent="0.2"/>
    <row r="13907" s="2043" customFormat="1" x14ac:dyDescent="0.2"/>
    <row r="13908" s="2043" customFormat="1" x14ac:dyDescent="0.2"/>
    <row r="13909" s="2043" customFormat="1" x14ac:dyDescent="0.2"/>
    <row r="13910" s="2043" customFormat="1" x14ac:dyDescent="0.2"/>
    <row r="13911" s="2043" customFormat="1" x14ac:dyDescent="0.2"/>
    <row r="13912" s="2043" customFormat="1" x14ac:dyDescent="0.2"/>
    <row r="13913" s="2043" customFormat="1" x14ac:dyDescent="0.2"/>
    <row r="13914" s="2043" customFormat="1" x14ac:dyDescent="0.2"/>
    <row r="13915" s="2043" customFormat="1" x14ac:dyDescent="0.2"/>
    <row r="13916" s="2043" customFormat="1" x14ac:dyDescent="0.2"/>
    <row r="13917" s="2043" customFormat="1" x14ac:dyDescent="0.2"/>
    <row r="13918" s="2043" customFormat="1" x14ac:dyDescent="0.2"/>
    <row r="13919" s="2043" customFormat="1" x14ac:dyDescent="0.2"/>
    <row r="13920" s="2043" customFormat="1" x14ac:dyDescent="0.2"/>
    <row r="13921" s="2043" customFormat="1" x14ac:dyDescent="0.2"/>
    <row r="13922" s="2043" customFormat="1" x14ac:dyDescent="0.2"/>
    <row r="13923" s="2043" customFormat="1" x14ac:dyDescent="0.2"/>
    <row r="13924" s="2043" customFormat="1" x14ac:dyDescent="0.2"/>
    <row r="13925" s="2043" customFormat="1" x14ac:dyDescent="0.2"/>
    <row r="13926" s="2043" customFormat="1" x14ac:dyDescent="0.2"/>
    <row r="13927" s="2043" customFormat="1" x14ac:dyDescent="0.2"/>
    <row r="13928" s="2043" customFormat="1" x14ac:dyDescent="0.2"/>
    <row r="13929" s="2043" customFormat="1" x14ac:dyDescent="0.2"/>
    <row r="13930" s="2043" customFormat="1" x14ac:dyDescent="0.2"/>
    <row r="13931" s="2043" customFormat="1" x14ac:dyDescent="0.2"/>
    <row r="13932" s="2043" customFormat="1" x14ac:dyDescent="0.2"/>
    <row r="13933" s="2043" customFormat="1" x14ac:dyDescent="0.2"/>
    <row r="13934" s="2043" customFormat="1" x14ac:dyDescent="0.2"/>
    <row r="13935" s="2043" customFormat="1" x14ac:dyDescent="0.2"/>
    <row r="13936" s="2043" customFormat="1" x14ac:dyDescent="0.2"/>
    <row r="13937" s="2043" customFormat="1" x14ac:dyDescent="0.2"/>
    <row r="13938" s="2043" customFormat="1" x14ac:dyDescent="0.2"/>
    <row r="13939" s="2043" customFormat="1" x14ac:dyDescent="0.2"/>
    <row r="13940" s="2043" customFormat="1" x14ac:dyDescent="0.2"/>
    <row r="13941" s="2043" customFormat="1" x14ac:dyDescent="0.2"/>
    <row r="13942" s="2043" customFormat="1" x14ac:dyDescent="0.2"/>
    <row r="13943" s="2043" customFormat="1" x14ac:dyDescent="0.2"/>
    <row r="13944" s="2043" customFormat="1" x14ac:dyDescent="0.2"/>
    <row r="13945" s="2043" customFormat="1" x14ac:dyDescent="0.2"/>
    <row r="13946" s="2043" customFormat="1" x14ac:dyDescent="0.2"/>
    <row r="13947" s="2043" customFormat="1" x14ac:dyDescent="0.2"/>
    <row r="13948" s="2043" customFormat="1" x14ac:dyDescent="0.2"/>
    <row r="13949" s="2043" customFormat="1" x14ac:dyDescent="0.2"/>
    <row r="13950" s="2043" customFormat="1" x14ac:dyDescent="0.2"/>
    <row r="13951" s="2043" customFormat="1" x14ac:dyDescent="0.2"/>
    <row r="13952" s="2043" customFormat="1" x14ac:dyDescent="0.2"/>
    <row r="13953" s="2043" customFormat="1" x14ac:dyDescent="0.2"/>
    <row r="13954" s="2043" customFormat="1" x14ac:dyDescent="0.2"/>
    <row r="13955" s="2043" customFormat="1" x14ac:dyDescent="0.2"/>
    <row r="13956" s="2043" customFormat="1" x14ac:dyDescent="0.2"/>
    <row r="13957" s="2043" customFormat="1" x14ac:dyDescent="0.2"/>
    <row r="13958" s="2043" customFormat="1" x14ac:dyDescent="0.2"/>
    <row r="13959" s="2043" customFormat="1" x14ac:dyDescent="0.2"/>
    <row r="13960" s="2043" customFormat="1" x14ac:dyDescent="0.2"/>
    <row r="13961" s="2043" customFormat="1" x14ac:dyDescent="0.2"/>
    <row r="13962" s="2043" customFormat="1" x14ac:dyDescent="0.2"/>
    <row r="13963" s="2043" customFormat="1" x14ac:dyDescent="0.2"/>
    <row r="13964" s="2043" customFormat="1" x14ac:dyDescent="0.2"/>
    <row r="13965" s="2043" customFormat="1" x14ac:dyDescent="0.2"/>
    <row r="13966" s="2043" customFormat="1" x14ac:dyDescent="0.2"/>
    <row r="13967" s="2043" customFormat="1" x14ac:dyDescent="0.2"/>
    <row r="13968" s="2043" customFormat="1" x14ac:dyDescent="0.2"/>
    <row r="13969" s="2043" customFormat="1" x14ac:dyDescent="0.2"/>
    <row r="13970" s="2043" customFormat="1" x14ac:dyDescent="0.2"/>
    <row r="13971" s="2043" customFormat="1" x14ac:dyDescent="0.2"/>
    <row r="13972" s="2043" customFormat="1" x14ac:dyDescent="0.2"/>
    <row r="13973" s="2043" customFormat="1" x14ac:dyDescent="0.2"/>
    <row r="13974" s="2043" customFormat="1" x14ac:dyDescent="0.2"/>
    <row r="13975" s="2043" customFormat="1" x14ac:dyDescent="0.2"/>
    <row r="13976" s="2043" customFormat="1" x14ac:dyDescent="0.2"/>
    <row r="13977" s="2043" customFormat="1" x14ac:dyDescent="0.2"/>
    <row r="13978" s="2043" customFormat="1" x14ac:dyDescent="0.2"/>
    <row r="13979" s="2043" customFormat="1" x14ac:dyDescent="0.2"/>
    <row r="13980" s="2043" customFormat="1" x14ac:dyDescent="0.2"/>
    <row r="13981" s="2043" customFormat="1" x14ac:dyDescent="0.2"/>
    <row r="13982" s="2043" customFormat="1" x14ac:dyDescent="0.2"/>
    <row r="13983" s="2043" customFormat="1" x14ac:dyDescent="0.2"/>
    <row r="13984" s="2043" customFormat="1" x14ac:dyDescent="0.2"/>
    <row r="13985" s="2043" customFormat="1" x14ac:dyDescent="0.2"/>
    <row r="13986" s="2043" customFormat="1" x14ac:dyDescent="0.2"/>
    <row r="13987" s="2043" customFormat="1" x14ac:dyDescent="0.2"/>
    <row r="13988" s="2043" customFormat="1" x14ac:dyDescent="0.2"/>
    <row r="13989" s="2043" customFormat="1" x14ac:dyDescent="0.2"/>
    <row r="13990" s="2043" customFormat="1" x14ac:dyDescent="0.2"/>
    <row r="13991" s="2043" customFormat="1" x14ac:dyDescent="0.2"/>
    <row r="13992" s="2043" customFormat="1" x14ac:dyDescent="0.2"/>
    <row r="13993" s="2043" customFormat="1" x14ac:dyDescent="0.2"/>
    <row r="13994" s="2043" customFormat="1" x14ac:dyDescent="0.2"/>
    <row r="13995" s="2043" customFormat="1" x14ac:dyDescent="0.2"/>
    <row r="13996" s="2043" customFormat="1" x14ac:dyDescent="0.2"/>
    <row r="13997" s="2043" customFormat="1" x14ac:dyDescent="0.2"/>
    <row r="13998" s="2043" customFormat="1" x14ac:dyDescent="0.2"/>
    <row r="13999" s="2043" customFormat="1" x14ac:dyDescent="0.2"/>
    <row r="14000" s="2043" customFormat="1" x14ac:dyDescent="0.2"/>
    <row r="14001" s="2043" customFormat="1" x14ac:dyDescent="0.2"/>
    <row r="14002" s="2043" customFormat="1" x14ac:dyDescent="0.2"/>
    <row r="14003" s="2043" customFormat="1" x14ac:dyDescent="0.2"/>
    <row r="14004" s="2043" customFormat="1" x14ac:dyDescent="0.2"/>
    <row r="14005" s="2043" customFormat="1" x14ac:dyDescent="0.2"/>
    <row r="14006" s="2043" customFormat="1" x14ac:dyDescent="0.2"/>
    <row r="14007" s="2043" customFormat="1" x14ac:dyDescent="0.2"/>
    <row r="14008" s="2043" customFormat="1" x14ac:dyDescent="0.2"/>
    <row r="14009" s="2043" customFormat="1" x14ac:dyDescent="0.2"/>
    <row r="14010" s="2043" customFormat="1" x14ac:dyDescent="0.2"/>
    <row r="14011" s="2043" customFormat="1" x14ac:dyDescent="0.2"/>
    <row r="14012" s="2043" customFormat="1" x14ac:dyDescent="0.2"/>
    <row r="14013" s="2043" customFormat="1" x14ac:dyDescent="0.2"/>
    <row r="14014" s="2043" customFormat="1" x14ac:dyDescent="0.2"/>
    <row r="14015" s="2043" customFormat="1" x14ac:dyDescent="0.2"/>
    <row r="14016" s="2043" customFormat="1" x14ac:dyDescent="0.2"/>
    <row r="14017" s="2043" customFormat="1" x14ac:dyDescent="0.2"/>
    <row r="14018" s="2043" customFormat="1" x14ac:dyDescent="0.2"/>
    <row r="14019" s="2043" customFormat="1" x14ac:dyDescent="0.2"/>
    <row r="14020" s="2043" customFormat="1" x14ac:dyDescent="0.2"/>
    <row r="14021" s="2043" customFormat="1" x14ac:dyDescent="0.2"/>
    <row r="14022" s="2043" customFormat="1" x14ac:dyDescent="0.2"/>
    <row r="14023" s="2043" customFormat="1" x14ac:dyDescent="0.2"/>
    <row r="14024" s="2043" customFormat="1" x14ac:dyDescent="0.2"/>
    <row r="14025" s="2043" customFormat="1" x14ac:dyDescent="0.2"/>
    <row r="14026" s="2043" customFormat="1" x14ac:dyDescent="0.2"/>
    <row r="14027" s="2043" customFormat="1" x14ac:dyDescent="0.2"/>
    <row r="14028" s="2043" customFormat="1" x14ac:dyDescent="0.2"/>
    <row r="14029" s="2043" customFormat="1" x14ac:dyDescent="0.2"/>
    <row r="14030" s="2043" customFormat="1" x14ac:dyDescent="0.2"/>
    <row r="14031" s="2043" customFormat="1" x14ac:dyDescent="0.2"/>
    <row r="14032" s="2043" customFormat="1" x14ac:dyDescent="0.2"/>
    <row r="14033" s="2043" customFormat="1" x14ac:dyDescent="0.2"/>
    <row r="14034" s="2043" customFormat="1" x14ac:dyDescent="0.2"/>
    <row r="14035" s="2043" customFormat="1" x14ac:dyDescent="0.2"/>
    <row r="14036" s="2043" customFormat="1" x14ac:dyDescent="0.2"/>
    <row r="14037" s="2043" customFormat="1" x14ac:dyDescent="0.2"/>
    <row r="14038" s="2043" customFormat="1" x14ac:dyDescent="0.2"/>
    <row r="14039" s="2043" customFormat="1" x14ac:dyDescent="0.2"/>
    <row r="14040" s="2043" customFormat="1" x14ac:dyDescent="0.2"/>
    <row r="14041" s="2043" customFormat="1" x14ac:dyDescent="0.2"/>
    <row r="14042" s="2043" customFormat="1" x14ac:dyDescent="0.2"/>
    <row r="14043" s="2043" customFormat="1" x14ac:dyDescent="0.2"/>
    <row r="14044" s="2043" customFormat="1" x14ac:dyDescent="0.2"/>
    <row r="14045" s="2043" customFormat="1" x14ac:dyDescent="0.2"/>
    <row r="14046" s="2043" customFormat="1" x14ac:dyDescent="0.2"/>
    <row r="14047" s="2043" customFormat="1" x14ac:dyDescent="0.2"/>
    <row r="14048" s="2043" customFormat="1" x14ac:dyDescent="0.2"/>
    <row r="14049" s="2043" customFormat="1" x14ac:dyDescent="0.2"/>
    <row r="14050" s="2043" customFormat="1" x14ac:dyDescent="0.2"/>
    <row r="14051" s="2043" customFormat="1" x14ac:dyDescent="0.2"/>
    <row r="14052" s="2043" customFormat="1" x14ac:dyDescent="0.2"/>
    <row r="14053" s="2043" customFormat="1" x14ac:dyDescent="0.2"/>
    <row r="14054" s="2043" customFormat="1" x14ac:dyDescent="0.2"/>
    <row r="14055" s="2043" customFormat="1" x14ac:dyDescent="0.2"/>
    <row r="14056" s="2043" customFormat="1" x14ac:dyDescent="0.2"/>
    <row r="14057" s="2043" customFormat="1" x14ac:dyDescent="0.2"/>
    <row r="14058" s="2043" customFormat="1" x14ac:dyDescent="0.2"/>
    <row r="14059" s="2043" customFormat="1" x14ac:dyDescent="0.2"/>
    <row r="14060" s="2043" customFormat="1" x14ac:dyDescent="0.2"/>
    <row r="14061" s="2043" customFormat="1" x14ac:dyDescent="0.2"/>
    <row r="14062" s="2043" customFormat="1" x14ac:dyDescent="0.2"/>
    <row r="14063" s="2043" customFormat="1" x14ac:dyDescent="0.2"/>
    <row r="14064" s="2043" customFormat="1" x14ac:dyDescent="0.2"/>
    <row r="14065" s="2043" customFormat="1" x14ac:dyDescent="0.2"/>
    <row r="14066" s="2043" customFormat="1" x14ac:dyDescent="0.2"/>
    <row r="14067" s="2043" customFormat="1" x14ac:dyDescent="0.2"/>
    <row r="14068" s="2043" customFormat="1" x14ac:dyDescent="0.2"/>
    <row r="14069" s="2043" customFormat="1" x14ac:dyDescent="0.2"/>
    <row r="14070" s="2043" customFormat="1" x14ac:dyDescent="0.2"/>
    <row r="14071" s="2043" customFormat="1" x14ac:dyDescent="0.2"/>
    <row r="14072" s="2043" customFormat="1" x14ac:dyDescent="0.2"/>
    <row r="14073" s="2043" customFormat="1" x14ac:dyDescent="0.2"/>
    <row r="14074" s="2043" customFormat="1" x14ac:dyDescent="0.2"/>
    <row r="14075" s="2043" customFormat="1" x14ac:dyDescent="0.2"/>
    <row r="14076" s="2043" customFormat="1" x14ac:dyDescent="0.2"/>
    <row r="14077" s="2043" customFormat="1" x14ac:dyDescent="0.2"/>
    <row r="14078" s="2043" customFormat="1" x14ac:dyDescent="0.2"/>
    <row r="14079" s="2043" customFormat="1" x14ac:dyDescent="0.2"/>
    <row r="14080" s="2043" customFormat="1" x14ac:dyDescent="0.2"/>
    <row r="14081" s="2043" customFormat="1" x14ac:dyDescent="0.2"/>
    <row r="14082" s="2043" customFormat="1" x14ac:dyDescent="0.2"/>
    <row r="14083" s="2043" customFormat="1" x14ac:dyDescent="0.2"/>
    <row r="14084" s="2043" customFormat="1" x14ac:dyDescent="0.2"/>
    <row r="14085" s="2043" customFormat="1" x14ac:dyDescent="0.2"/>
    <row r="14086" s="2043" customFormat="1" x14ac:dyDescent="0.2"/>
    <row r="14087" s="2043" customFormat="1" x14ac:dyDescent="0.2"/>
    <row r="14088" s="2043" customFormat="1" x14ac:dyDescent="0.2"/>
    <row r="14089" s="2043" customFormat="1" x14ac:dyDescent="0.2"/>
    <row r="14090" s="2043" customFormat="1" x14ac:dyDescent="0.2"/>
    <row r="14091" s="2043" customFormat="1" x14ac:dyDescent="0.2"/>
    <row r="14092" s="2043" customFormat="1" x14ac:dyDescent="0.2"/>
    <row r="14093" s="2043" customFormat="1" x14ac:dyDescent="0.2"/>
    <row r="14094" s="2043" customFormat="1" x14ac:dyDescent="0.2"/>
    <row r="14095" s="2043" customFormat="1" x14ac:dyDescent="0.2"/>
    <row r="14096" s="2043" customFormat="1" x14ac:dyDescent="0.2"/>
    <row r="14097" s="2043" customFormat="1" x14ac:dyDescent="0.2"/>
    <row r="14098" s="2043" customFormat="1" x14ac:dyDescent="0.2"/>
    <row r="14099" s="2043" customFormat="1" x14ac:dyDescent="0.2"/>
    <row r="14100" s="2043" customFormat="1" x14ac:dyDescent="0.2"/>
    <row r="14101" s="2043" customFormat="1" x14ac:dyDescent="0.2"/>
    <row r="14102" s="2043" customFormat="1" x14ac:dyDescent="0.2"/>
    <row r="14103" s="2043" customFormat="1" x14ac:dyDescent="0.2"/>
    <row r="14104" s="2043" customFormat="1" x14ac:dyDescent="0.2"/>
    <row r="14105" s="2043" customFormat="1" x14ac:dyDescent="0.2"/>
    <row r="14106" s="2043" customFormat="1" x14ac:dyDescent="0.2"/>
    <row r="14107" s="2043" customFormat="1" x14ac:dyDescent="0.2"/>
    <row r="14108" s="2043" customFormat="1" x14ac:dyDescent="0.2"/>
    <row r="14109" s="2043" customFormat="1" x14ac:dyDescent="0.2"/>
    <row r="14110" s="2043" customFormat="1" x14ac:dyDescent="0.2"/>
    <row r="14111" s="2043" customFormat="1" x14ac:dyDescent="0.2"/>
    <row r="14112" s="2043" customFormat="1" x14ac:dyDescent="0.2"/>
    <row r="14113" s="2043" customFormat="1" x14ac:dyDescent="0.2"/>
    <row r="14114" s="2043" customFormat="1" x14ac:dyDescent="0.2"/>
    <row r="14115" s="2043" customFormat="1" x14ac:dyDescent="0.2"/>
    <row r="14116" s="2043" customFormat="1" x14ac:dyDescent="0.2"/>
    <row r="14117" s="2043" customFormat="1" x14ac:dyDescent="0.2"/>
    <row r="14118" s="2043" customFormat="1" x14ac:dyDescent="0.2"/>
    <row r="14119" s="2043" customFormat="1" x14ac:dyDescent="0.2"/>
    <row r="14120" s="2043" customFormat="1" x14ac:dyDescent="0.2"/>
    <row r="14121" s="2043" customFormat="1" x14ac:dyDescent="0.2"/>
    <row r="14122" s="2043" customFormat="1" x14ac:dyDescent="0.2"/>
    <row r="14123" s="2043" customFormat="1" x14ac:dyDescent="0.2"/>
    <row r="14124" s="2043" customFormat="1" x14ac:dyDescent="0.2"/>
    <row r="14125" s="2043" customFormat="1" x14ac:dyDescent="0.2"/>
    <row r="14126" s="2043" customFormat="1" x14ac:dyDescent="0.2"/>
    <row r="14127" s="2043" customFormat="1" x14ac:dyDescent="0.2"/>
    <row r="14128" s="2043" customFormat="1" x14ac:dyDescent="0.2"/>
    <row r="14129" s="2043" customFormat="1" x14ac:dyDescent="0.2"/>
    <row r="14130" s="2043" customFormat="1" x14ac:dyDescent="0.2"/>
    <row r="14131" s="2043" customFormat="1" x14ac:dyDescent="0.2"/>
    <row r="14132" s="2043" customFormat="1" x14ac:dyDescent="0.2"/>
    <row r="14133" s="2043" customFormat="1" x14ac:dyDescent="0.2"/>
    <row r="14134" s="2043" customFormat="1" x14ac:dyDescent="0.2"/>
    <row r="14135" s="2043" customFormat="1" x14ac:dyDescent="0.2"/>
    <row r="14136" s="2043" customFormat="1" x14ac:dyDescent="0.2"/>
    <row r="14137" s="2043" customFormat="1" x14ac:dyDescent="0.2"/>
    <row r="14138" s="2043" customFormat="1" x14ac:dyDescent="0.2"/>
    <row r="14139" s="2043" customFormat="1" x14ac:dyDescent="0.2"/>
    <row r="14140" s="2043" customFormat="1" x14ac:dyDescent="0.2"/>
    <row r="14141" s="2043" customFormat="1" x14ac:dyDescent="0.2"/>
    <row r="14142" s="2043" customFormat="1" x14ac:dyDescent="0.2"/>
    <row r="14143" s="2043" customFormat="1" x14ac:dyDescent="0.2"/>
    <row r="14144" s="2043" customFormat="1" x14ac:dyDescent="0.2"/>
    <row r="14145" s="2043" customFormat="1" x14ac:dyDescent="0.2"/>
    <row r="14146" s="2043" customFormat="1" x14ac:dyDescent="0.2"/>
    <row r="14147" s="2043" customFormat="1" x14ac:dyDescent="0.2"/>
    <row r="14148" s="2043" customFormat="1" x14ac:dyDescent="0.2"/>
    <row r="14149" s="2043" customFormat="1" x14ac:dyDescent="0.2"/>
    <row r="14150" s="2043" customFormat="1" x14ac:dyDescent="0.2"/>
    <row r="14151" s="2043" customFormat="1" x14ac:dyDescent="0.2"/>
    <row r="14152" s="2043" customFormat="1" x14ac:dyDescent="0.2"/>
    <row r="14153" s="2043" customFormat="1" x14ac:dyDescent="0.2"/>
    <row r="14154" s="2043" customFormat="1" x14ac:dyDescent="0.2"/>
    <row r="14155" s="2043" customFormat="1" x14ac:dyDescent="0.2"/>
    <row r="14156" s="2043" customFormat="1" x14ac:dyDescent="0.2"/>
    <row r="14157" s="2043" customFormat="1" x14ac:dyDescent="0.2"/>
    <row r="14158" s="2043" customFormat="1" x14ac:dyDescent="0.2"/>
    <row r="14159" s="2043" customFormat="1" x14ac:dyDescent="0.2"/>
    <row r="14160" s="2043" customFormat="1" x14ac:dyDescent="0.2"/>
    <row r="14161" s="2043" customFormat="1" x14ac:dyDescent="0.2"/>
    <row r="14162" s="2043" customFormat="1" x14ac:dyDescent="0.2"/>
    <row r="14163" s="2043" customFormat="1" x14ac:dyDescent="0.2"/>
    <row r="14164" s="2043" customFormat="1" x14ac:dyDescent="0.2"/>
    <row r="14165" s="2043" customFormat="1" x14ac:dyDescent="0.2"/>
    <row r="14166" s="2043" customFormat="1" x14ac:dyDescent="0.2"/>
    <row r="14167" s="2043" customFormat="1" x14ac:dyDescent="0.2"/>
    <row r="14168" s="2043" customFormat="1" x14ac:dyDescent="0.2"/>
    <row r="14169" s="2043" customFormat="1" x14ac:dyDescent="0.2"/>
    <row r="14170" s="2043" customFormat="1" x14ac:dyDescent="0.2"/>
    <row r="14171" s="2043" customFormat="1" x14ac:dyDescent="0.2"/>
    <row r="14172" s="2043" customFormat="1" x14ac:dyDescent="0.2"/>
    <row r="14173" s="2043" customFormat="1" x14ac:dyDescent="0.2"/>
    <row r="14174" s="2043" customFormat="1" x14ac:dyDescent="0.2"/>
    <row r="14175" s="2043" customFormat="1" x14ac:dyDescent="0.2"/>
    <row r="14176" s="2043" customFormat="1" x14ac:dyDescent="0.2"/>
    <row r="14177" s="2043" customFormat="1" x14ac:dyDescent="0.2"/>
    <row r="14178" s="2043" customFormat="1" x14ac:dyDescent="0.2"/>
    <row r="14179" s="2043" customFormat="1" x14ac:dyDescent="0.2"/>
    <row r="14180" s="2043" customFormat="1" x14ac:dyDescent="0.2"/>
    <row r="14181" s="2043" customFormat="1" x14ac:dyDescent="0.2"/>
    <row r="14182" s="2043" customFormat="1" x14ac:dyDescent="0.2"/>
    <row r="14183" s="2043" customFormat="1" x14ac:dyDescent="0.2"/>
    <row r="14184" s="2043" customFormat="1" x14ac:dyDescent="0.2"/>
    <row r="14185" s="2043" customFormat="1" x14ac:dyDescent="0.2"/>
    <row r="14186" s="2043" customFormat="1" x14ac:dyDescent="0.2"/>
    <row r="14187" s="2043" customFormat="1" x14ac:dyDescent="0.2"/>
    <row r="14188" s="2043" customFormat="1" x14ac:dyDescent="0.2"/>
    <row r="14189" s="2043" customFormat="1" x14ac:dyDescent="0.2"/>
    <row r="14190" s="2043" customFormat="1" x14ac:dyDescent="0.2"/>
    <row r="14191" s="2043" customFormat="1" x14ac:dyDescent="0.2"/>
    <row r="14192" s="2043" customFormat="1" x14ac:dyDescent="0.2"/>
    <row r="14193" s="2043" customFormat="1" x14ac:dyDescent="0.2"/>
    <row r="14194" s="2043" customFormat="1" x14ac:dyDescent="0.2"/>
    <row r="14195" s="2043" customFormat="1" x14ac:dyDescent="0.2"/>
    <row r="14196" s="2043" customFormat="1" x14ac:dyDescent="0.2"/>
    <row r="14197" s="2043" customFormat="1" x14ac:dyDescent="0.2"/>
    <row r="14198" s="2043" customFormat="1" x14ac:dyDescent="0.2"/>
    <row r="14199" s="2043" customFormat="1" x14ac:dyDescent="0.2"/>
    <row r="14200" s="2043" customFormat="1" x14ac:dyDescent="0.2"/>
    <row r="14201" s="2043" customFormat="1" x14ac:dyDescent="0.2"/>
    <row r="14202" s="2043" customFormat="1" x14ac:dyDescent="0.2"/>
    <row r="14203" s="2043" customFormat="1" x14ac:dyDescent="0.2"/>
    <row r="14204" s="2043" customFormat="1" x14ac:dyDescent="0.2"/>
    <row r="14205" s="2043" customFormat="1" x14ac:dyDescent="0.2"/>
    <row r="14206" s="2043" customFormat="1" x14ac:dyDescent="0.2"/>
    <row r="14207" s="2043" customFormat="1" x14ac:dyDescent="0.2"/>
    <row r="14208" s="2043" customFormat="1" x14ac:dyDescent="0.2"/>
    <row r="14209" s="2043" customFormat="1" x14ac:dyDescent="0.2"/>
    <row r="14210" s="2043" customFormat="1" x14ac:dyDescent="0.2"/>
    <row r="14211" s="2043" customFormat="1" x14ac:dyDescent="0.2"/>
    <row r="14212" s="2043" customFormat="1" x14ac:dyDescent="0.2"/>
    <row r="14213" s="2043" customFormat="1" x14ac:dyDescent="0.2"/>
    <row r="14214" s="2043" customFormat="1" x14ac:dyDescent="0.2"/>
    <row r="14215" s="2043" customFormat="1" x14ac:dyDescent="0.2"/>
    <row r="14216" s="2043" customFormat="1" x14ac:dyDescent="0.2"/>
    <row r="14217" s="2043" customFormat="1" x14ac:dyDescent="0.2"/>
    <row r="14218" s="2043" customFormat="1" x14ac:dyDescent="0.2"/>
    <row r="14219" s="2043" customFormat="1" x14ac:dyDescent="0.2"/>
    <row r="14220" s="2043" customFormat="1" x14ac:dyDescent="0.2"/>
    <row r="14221" s="2043" customFormat="1" x14ac:dyDescent="0.2"/>
    <row r="14222" s="2043" customFormat="1" x14ac:dyDescent="0.2"/>
    <row r="14223" s="2043" customFormat="1" x14ac:dyDescent="0.2"/>
    <row r="14224" s="2043" customFormat="1" x14ac:dyDescent="0.2"/>
    <row r="14225" s="2043" customFormat="1" x14ac:dyDescent="0.2"/>
    <row r="14226" s="2043" customFormat="1" x14ac:dyDescent="0.2"/>
    <row r="14227" s="2043" customFormat="1" x14ac:dyDescent="0.2"/>
    <row r="14228" s="2043" customFormat="1" x14ac:dyDescent="0.2"/>
    <row r="14229" s="2043" customFormat="1" x14ac:dyDescent="0.2"/>
    <row r="14230" s="2043" customFormat="1" x14ac:dyDescent="0.2"/>
    <row r="14231" s="2043" customFormat="1" x14ac:dyDescent="0.2"/>
    <row r="14232" s="2043" customFormat="1" x14ac:dyDescent="0.2"/>
    <row r="14233" s="2043" customFormat="1" x14ac:dyDescent="0.2"/>
    <row r="14234" s="2043" customFormat="1" x14ac:dyDescent="0.2"/>
    <row r="14235" s="2043" customFormat="1" x14ac:dyDescent="0.2"/>
    <row r="14236" s="2043" customFormat="1" x14ac:dyDescent="0.2"/>
    <row r="14237" s="2043" customFormat="1" x14ac:dyDescent="0.2"/>
    <row r="14238" s="2043" customFormat="1" x14ac:dyDescent="0.2"/>
    <row r="14239" s="2043" customFormat="1" x14ac:dyDescent="0.2"/>
    <row r="14240" s="2043" customFormat="1" x14ac:dyDescent="0.2"/>
    <row r="14241" s="2043" customFormat="1" x14ac:dyDescent="0.2"/>
    <row r="14242" s="2043" customFormat="1" x14ac:dyDescent="0.2"/>
    <row r="14243" s="2043" customFormat="1" x14ac:dyDescent="0.2"/>
    <row r="14244" s="2043" customFormat="1" x14ac:dyDescent="0.2"/>
    <row r="14245" s="2043" customFormat="1" x14ac:dyDescent="0.2"/>
    <row r="14246" s="2043" customFormat="1" x14ac:dyDescent="0.2"/>
    <row r="14247" s="2043" customFormat="1" x14ac:dyDescent="0.2"/>
    <row r="14248" s="2043" customFormat="1" x14ac:dyDescent="0.2"/>
    <row r="14249" s="2043" customFormat="1" x14ac:dyDescent="0.2"/>
    <row r="14250" s="2043" customFormat="1" x14ac:dyDescent="0.2"/>
    <row r="14251" s="2043" customFormat="1" x14ac:dyDescent="0.2"/>
    <row r="14252" s="2043" customFormat="1" x14ac:dyDescent="0.2"/>
    <row r="14253" s="2043" customFormat="1" x14ac:dyDescent="0.2"/>
    <row r="14254" s="2043" customFormat="1" x14ac:dyDescent="0.2"/>
    <row r="14255" s="2043" customFormat="1" x14ac:dyDescent="0.2"/>
    <row r="14256" s="2043" customFormat="1" x14ac:dyDescent="0.2"/>
    <row r="14257" s="2043" customFormat="1" x14ac:dyDescent="0.2"/>
    <row r="14258" s="2043" customFormat="1" x14ac:dyDescent="0.2"/>
    <row r="14259" s="2043" customFormat="1" x14ac:dyDescent="0.2"/>
    <row r="14260" s="2043" customFormat="1" x14ac:dyDescent="0.2"/>
    <row r="14261" s="2043" customFormat="1" x14ac:dyDescent="0.2"/>
    <row r="14262" s="2043" customFormat="1" x14ac:dyDescent="0.2"/>
    <row r="14263" s="2043" customFormat="1" x14ac:dyDescent="0.2"/>
    <row r="14264" s="2043" customFormat="1" x14ac:dyDescent="0.2"/>
    <row r="14265" s="2043" customFormat="1" x14ac:dyDescent="0.2"/>
    <row r="14266" s="2043" customFormat="1" x14ac:dyDescent="0.2"/>
    <row r="14267" s="2043" customFormat="1" x14ac:dyDescent="0.2"/>
    <row r="14268" s="2043" customFormat="1" x14ac:dyDescent="0.2"/>
    <row r="14269" s="2043" customFormat="1" x14ac:dyDescent="0.2"/>
    <row r="14270" s="2043" customFormat="1" x14ac:dyDescent="0.2"/>
    <row r="14271" s="2043" customFormat="1" x14ac:dyDescent="0.2"/>
    <row r="14272" s="2043" customFormat="1" x14ac:dyDescent="0.2"/>
    <row r="14273" s="2043" customFormat="1" x14ac:dyDescent="0.2"/>
    <row r="14274" s="2043" customFormat="1" x14ac:dyDescent="0.2"/>
    <row r="14275" s="2043" customFormat="1" x14ac:dyDescent="0.2"/>
    <row r="14276" s="2043" customFormat="1" x14ac:dyDescent="0.2"/>
    <row r="14277" s="2043" customFormat="1" x14ac:dyDescent="0.2"/>
    <row r="14278" s="2043" customFormat="1" x14ac:dyDescent="0.2"/>
    <row r="14279" s="2043" customFormat="1" x14ac:dyDescent="0.2"/>
    <row r="14280" s="2043" customFormat="1" x14ac:dyDescent="0.2"/>
    <row r="14281" s="2043" customFormat="1" x14ac:dyDescent="0.2"/>
    <row r="14282" s="2043" customFormat="1" x14ac:dyDescent="0.2"/>
    <row r="14283" s="2043" customFormat="1" x14ac:dyDescent="0.2"/>
    <row r="14284" s="2043" customFormat="1" x14ac:dyDescent="0.2"/>
    <row r="14285" s="2043" customFormat="1" x14ac:dyDescent="0.2"/>
    <row r="14286" s="2043" customFormat="1" x14ac:dyDescent="0.2"/>
    <row r="14287" s="2043" customFormat="1" x14ac:dyDescent="0.2"/>
    <row r="14288" s="2043" customFormat="1" x14ac:dyDescent="0.2"/>
    <row r="14289" s="2043" customFormat="1" x14ac:dyDescent="0.2"/>
    <row r="14290" s="2043" customFormat="1" x14ac:dyDescent="0.2"/>
    <row r="14291" s="2043" customFormat="1" x14ac:dyDescent="0.2"/>
    <row r="14292" s="2043" customFormat="1" x14ac:dyDescent="0.2"/>
    <row r="14293" s="2043" customFormat="1" x14ac:dyDescent="0.2"/>
    <row r="14294" s="2043" customFormat="1" x14ac:dyDescent="0.2"/>
    <row r="14295" s="2043" customFormat="1" x14ac:dyDescent="0.2"/>
    <row r="14296" s="2043" customFormat="1" x14ac:dyDescent="0.2"/>
    <row r="14297" s="2043" customFormat="1" x14ac:dyDescent="0.2"/>
    <row r="14298" s="2043" customFormat="1" x14ac:dyDescent="0.2"/>
    <row r="14299" s="2043" customFormat="1" x14ac:dyDescent="0.2"/>
    <row r="14300" s="2043" customFormat="1" x14ac:dyDescent="0.2"/>
    <row r="14301" s="2043" customFormat="1" x14ac:dyDescent="0.2"/>
    <row r="14302" s="2043" customFormat="1" x14ac:dyDescent="0.2"/>
    <row r="14303" s="2043" customFormat="1" x14ac:dyDescent="0.2"/>
    <row r="14304" s="2043" customFormat="1" x14ac:dyDescent="0.2"/>
    <row r="14305" s="2043" customFormat="1" x14ac:dyDescent="0.2"/>
    <row r="14306" s="2043" customFormat="1" x14ac:dyDescent="0.2"/>
    <row r="14307" s="2043" customFormat="1" x14ac:dyDescent="0.2"/>
    <row r="14308" s="2043" customFormat="1" x14ac:dyDescent="0.2"/>
    <row r="14309" s="2043" customFormat="1" x14ac:dyDescent="0.2"/>
    <row r="14310" s="2043" customFormat="1" x14ac:dyDescent="0.2"/>
    <row r="14311" s="2043" customFormat="1" x14ac:dyDescent="0.2"/>
    <row r="14312" s="2043" customFormat="1" x14ac:dyDescent="0.2"/>
    <row r="14313" s="2043" customFormat="1" x14ac:dyDescent="0.2"/>
    <row r="14314" s="2043" customFormat="1" x14ac:dyDescent="0.2"/>
    <row r="14315" s="2043" customFormat="1" x14ac:dyDescent="0.2"/>
    <row r="14316" s="2043" customFormat="1" x14ac:dyDescent="0.2"/>
    <row r="14317" s="2043" customFormat="1" x14ac:dyDescent="0.2"/>
    <row r="14318" s="2043" customFormat="1" x14ac:dyDescent="0.2"/>
    <row r="14319" s="2043" customFormat="1" x14ac:dyDescent="0.2"/>
    <row r="14320" s="2043" customFormat="1" x14ac:dyDescent="0.2"/>
    <row r="14321" s="2043" customFormat="1" x14ac:dyDescent="0.2"/>
    <row r="14322" s="2043" customFormat="1" x14ac:dyDescent="0.2"/>
    <row r="14323" s="2043" customFormat="1" x14ac:dyDescent="0.2"/>
    <row r="14324" s="2043" customFormat="1" x14ac:dyDescent="0.2"/>
    <row r="14325" s="2043" customFormat="1" x14ac:dyDescent="0.2"/>
    <row r="14326" s="2043" customFormat="1" x14ac:dyDescent="0.2"/>
    <row r="14327" s="2043" customFormat="1" x14ac:dyDescent="0.2"/>
    <row r="14328" s="2043" customFormat="1" x14ac:dyDescent="0.2"/>
    <row r="14329" s="2043" customFormat="1" x14ac:dyDescent="0.2"/>
    <row r="14330" s="2043" customFormat="1" x14ac:dyDescent="0.2"/>
    <row r="14331" s="2043" customFormat="1" x14ac:dyDescent="0.2"/>
    <row r="14332" s="2043" customFormat="1" x14ac:dyDescent="0.2"/>
    <row r="14333" s="2043" customFormat="1" x14ac:dyDescent="0.2"/>
    <row r="14334" s="2043" customFormat="1" x14ac:dyDescent="0.2"/>
    <row r="14335" s="2043" customFormat="1" x14ac:dyDescent="0.2"/>
    <row r="14336" s="2043" customFormat="1" x14ac:dyDescent="0.2"/>
    <row r="14337" s="2043" customFormat="1" x14ac:dyDescent="0.2"/>
    <row r="14338" s="2043" customFormat="1" x14ac:dyDescent="0.2"/>
    <row r="14339" s="2043" customFormat="1" x14ac:dyDescent="0.2"/>
    <row r="14340" s="2043" customFormat="1" x14ac:dyDescent="0.2"/>
    <row r="14341" s="2043" customFormat="1" x14ac:dyDescent="0.2"/>
    <row r="14342" s="2043" customFormat="1" x14ac:dyDescent="0.2"/>
    <row r="14343" s="2043" customFormat="1" x14ac:dyDescent="0.2"/>
    <row r="14344" s="2043" customFormat="1" x14ac:dyDescent="0.2"/>
    <row r="14345" s="2043" customFormat="1" x14ac:dyDescent="0.2"/>
    <row r="14346" s="2043" customFormat="1" x14ac:dyDescent="0.2"/>
    <row r="14347" s="2043" customFormat="1" x14ac:dyDescent="0.2"/>
    <row r="14348" s="2043" customFormat="1" x14ac:dyDescent="0.2"/>
    <row r="14349" s="2043" customFormat="1" x14ac:dyDescent="0.2"/>
    <row r="14350" s="2043" customFormat="1" x14ac:dyDescent="0.2"/>
    <row r="14351" s="2043" customFormat="1" x14ac:dyDescent="0.2"/>
    <row r="14352" s="2043" customFormat="1" x14ac:dyDescent="0.2"/>
    <row r="14353" s="2043" customFormat="1" x14ac:dyDescent="0.2"/>
    <row r="14354" s="2043" customFormat="1" x14ac:dyDescent="0.2"/>
    <row r="14355" s="2043" customFormat="1" x14ac:dyDescent="0.2"/>
    <row r="14356" s="2043" customFormat="1" x14ac:dyDescent="0.2"/>
    <row r="14357" s="2043" customFormat="1" x14ac:dyDescent="0.2"/>
    <row r="14358" s="2043" customFormat="1" x14ac:dyDescent="0.2"/>
    <row r="14359" s="2043" customFormat="1" x14ac:dyDescent="0.2"/>
    <row r="14360" s="2043" customFormat="1" x14ac:dyDescent="0.2"/>
    <row r="14361" s="2043" customFormat="1" x14ac:dyDescent="0.2"/>
    <row r="14362" s="2043" customFormat="1" x14ac:dyDescent="0.2"/>
    <row r="14363" s="2043" customFormat="1" x14ac:dyDescent="0.2"/>
    <row r="14364" s="2043" customFormat="1" x14ac:dyDescent="0.2"/>
    <row r="14365" s="2043" customFormat="1" x14ac:dyDescent="0.2"/>
    <row r="14366" s="2043" customFormat="1" x14ac:dyDescent="0.2"/>
    <row r="14367" s="2043" customFormat="1" x14ac:dyDescent="0.2"/>
    <row r="14368" s="2043" customFormat="1" x14ac:dyDescent="0.2"/>
    <row r="14369" s="2043" customFormat="1" x14ac:dyDescent="0.2"/>
    <row r="14370" s="2043" customFormat="1" x14ac:dyDescent="0.2"/>
    <row r="14371" s="2043" customFormat="1" x14ac:dyDescent="0.2"/>
    <row r="14372" s="2043" customFormat="1" x14ac:dyDescent="0.2"/>
    <row r="14373" s="2043" customFormat="1" x14ac:dyDescent="0.2"/>
    <row r="14374" s="2043" customFormat="1" x14ac:dyDescent="0.2"/>
    <row r="14375" s="2043" customFormat="1" x14ac:dyDescent="0.2"/>
    <row r="14376" s="2043" customFormat="1" x14ac:dyDescent="0.2"/>
    <row r="14377" s="2043" customFormat="1" x14ac:dyDescent="0.2"/>
    <row r="14378" s="2043" customFormat="1" x14ac:dyDescent="0.2"/>
    <row r="14379" s="2043" customFormat="1" x14ac:dyDescent="0.2"/>
    <row r="14380" s="2043" customFormat="1" x14ac:dyDescent="0.2"/>
    <row r="14381" s="2043" customFormat="1" x14ac:dyDescent="0.2"/>
    <row r="14382" s="2043" customFormat="1" x14ac:dyDescent="0.2"/>
    <row r="14383" s="2043" customFormat="1" x14ac:dyDescent="0.2"/>
    <row r="14384" s="2043" customFormat="1" x14ac:dyDescent="0.2"/>
    <row r="14385" s="2043" customFormat="1" x14ac:dyDescent="0.2"/>
    <row r="14386" s="2043" customFormat="1" x14ac:dyDescent="0.2"/>
    <row r="14387" s="2043" customFormat="1" x14ac:dyDescent="0.2"/>
    <row r="14388" s="2043" customFormat="1" x14ac:dyDescent="0.2"/>
    <row r="14389" s="2043" customFormat="1" x14ac:dyDescent="0.2"/>
    <row r="14390" s="2043" customFormat="1" x14ac:dyDescent="0.2"/>
    <row r="14391" s="2043" customFormat="1" x14ac:dyDescent="0.2"/>
    <row r="14392" s="2043" customFormat="1" x14ac:dyDescent="0.2"/>
    <row r="14393" s="2043" customFormat="1" x14ac:dyDescent="0.2"/>
    <row r="14394" s="2043" customFormat="1" x14ac:dyDescent="0.2"/>
    <row r="14395" s="2043" customFormat="1" x14ac:dyDescent="0.2"/>
    <row r="14396" s="2043" customFormat="1" x14ac:dyDescent="0.2"/>
    <row r="14397" s="2043" customFormat="1" x14ac:dyDescent="0.2"/>
    <row r="14398" s="2043" customFormat="1" x14ac:dyDescent="0.2"/>
    <row r="14399" s="2043" customFormat="1" x14ac:dyDescent="0.2"/>
    <row r="14400" s="2043" customFormat="1" x14ac:dyDescent="0.2"/>
    <row r="14401" s="2043" customFormat="1" x14ac:dyDescent="0.2"/>
    <row r="14402" s="2043" customFormat="1" x14ac:dyDescent="0.2"/>
    <row r="14403" s="2043" customFormat="1" x14ac:dyDescent="0.2"/>
    <row r="14404" s="2043" customFormat="1" x14ac:dyDescent="0.2"/>
    <row r="14405" s="2043" customFormat="1" x14ac:dyDescent="0.2"/>
    <row r="14406" s="2043" customFormat="1" x14ac:dyDescent="0.2"/>
    <row r="14407" s="2043" customFormat="1" x14ac:dyDescent="0.2"/>
    <row r="14408" s="2043" customFormat="1" x14ac:dyDescent="0.2"/>
    <row r="14409" s="2043" customFormat="1" x14ac:dyDescent="0.2"/>
    <row r="14410" s="2043" customFormat="1" x14ac:dyDescent="0.2"/>
    <row r="14411" s="2043" customFormat="1" x14ac:dyDescent="0.2"/>
    <row r="14412" s="2043" customFormat="1" x14ac:dyDescent="0.2"/>
    <row r="14413" s="2043" customFormat="1" x14ac:dyDescent="0.2"/>
    <row r="14414" s="2043" customFormat="1" x14ac:dyDescent="0.2"/>
    <row r="14415" s="2043" customFormat="1" x14ac:dyDescent="0.2"/>
    <row r="14416" s="2043" customFormat="1" x14ac:dyDescent="0.2"/>
    <row r="14417" s="2043" customFormat="1" x14ac:dyDescent="0.2"/>
    <row r="14418" s="2043" customFormat="1" x14ac:dyDescent="0.2"/>
    <row r="14419" s="2043" customFormat="1" x14ac:dyDescent="0.2"/>
    <row r="14420" s="2043" customFormat="1" x14ac:dyDescent="0.2"/>
    <row r="14421" s="2043" customFormat="1" x14ac:dyDescent="0.2"/>
    <row r="14422" s="2043" customFormat="1" x14ac:dyDescent="0.2"/>
    <row r="14423" s="2043" customFormat="1" x14ac:dyDescent="0.2"/>
    <row r="14424" s="2043" customFormat="1" x14ac:dyDescent="0.2"/>
    <row r="14425" s="2043" customFormat="1" x14ac:dyDescent="0.2"/>
    <row r="14426" s="2043" customFormat="1" x14ac:dyDescent="0.2"/>
    <row r="14427" s="2043" customFormat="1" x14ac:dyDescent="0.2"/>
    <row r="14428" s="2043" customFormat="1" x14ac:dyDescent="0.2"/>
    <row r="14429" s="2043" customFormat="1" x14ac:dyDescent="0.2"/>
    <row r="14430" s="2043" customFormat="1" x14ac:dyDescent="0.2"/>
    <row r="14431" s="2043" customFormat="1" x14ac:dyDescent="0.2"/>
    <row r="14432" s="2043" customFormat="1" x14ac:dyDescent="0.2"/>
    <row r="14433" s="2043" customFormat="1" x14ac:dyDescent="0.2"/>
    <row r="14434" s="2043" customFormat="1" x14ac:dyDescent="0.2"/>
    <row r="14435" s="2043" customFormat="1" x14ac:dyDescent="0.2"/>
    <row r="14436" s="2043" customFormat="1" x14ac:dyDescent="0.2"/>
    <row r="14437" s="2043" customFormat="1" x14ac:dyDescent="0.2"/>
    <row r="14438" s="2043" customFormat="1" x14ac:dyDescent="0.2"/>
    <row r="14439" s="2043" customFormat="1" x14ac:dyDescent="0.2"/>
    <row r="14440" s="2043" customFormat="1" x14ac:dyDescent="0.2"/>
    <row r="14441" s="2043" customFormat="1" x14ac:dyDescent="0.2"/>
    <row r="14442" s="2043" customFormat="1" x14ac:dyDescent="0.2"/>
    <row r="14443" s="2043" customFormat="1" x14ac:dyDescent="0.2"/>
    <row r="14444" s="2043" customFormat="1" x14ac:dyDescent="0.2"/>
    <row r="14445" s="2043" customFormat="1" x14ac:dyDescent="0.2"/>
    <row r="14446" s="2043" customFormat="1" x14ac:dyDescent="0.2"/>
    <row r="14447" s="2043" customFormat="1" x14ac:dyDescent="0.2"/>
    <row r="14448" s="2043" customFormat="1" x14ac:dyDescent="0.2"/>
    <row r="14449" s="2043" customFormat="1" x14ac:dyDescent="0.2"/>
    <row r="14450" s="2043" customFormat="1" x14ac:dyDescent="0.2"/>
    <row r="14451" s="2043" customFormat="1" x14ac:dyDescent="0.2"/>
    <row r="14452" s="2043" customFormat="1" x14ac:dyDescent="0.2"/>
    <row r="14453" s="2043" customFormat="1" x14ac:dyDescent="0.2"/>
    <row r="14454" s="2043" customFormat="1" x14ac:dyDescent="0.2"/>
    <row r="14455" s="2043" customFormat="1" x14ac:dyDescent="0.2"/>
    <row r="14456" s="2043" customFormat="1" x14ac:dyDescent="0.2"/>
    <row r="14457" s="2043" customFormat="1" x14ac:dyDescent="0.2"/>
    <row r="14458" s="2043" customFormat="1" x14ac:dyDescent="0.2"/>
    <row r="14459" s="2043" customFormat="1" x14ac:dyDescent="0.2"/>
    <row r="14460" s="2043" customFormat="1" x14ac:dyDescent="0.2"/>
    <row r="14461" s="2043" customFormat="1" x14ac:dyDescent="0.2"/>
    <row r="14462" s="2043" customFormat="1" x14ac:dyDescent="0.2"/>
    <row r="14463" s="2043" customFormat="1" x14ac:dyDescent="0.2"/>
    <row r="14464" s="2043" customFormat="1" x14ac:dyDescent="0.2"/>
    <row r="14465" s="2043" customFormat="1" x14ac:dyDescent="0.2"/>
    <row r="14466" s="2043" customFormat="1" x14ac:dyDescent="0.2"/>
    <row r="14467" s="2043" customFormat="1" x14ac:dyDescent="0.2"/>
    <row r="14468" s="2043" customFormat="1" x14ac:dyDescent="0.2"/>
    <row r="14469" s="2043" customFormat="1" x14ac:dyDescent="0.2"/>
    <row r="14470" s="2043" customFormat="1" x14ac:dyDescent="0.2"/>
    <row r="14471" s="2043" customFormat="1" x14ac:dyDescent="0.2"/>
    <row r="14472" s="2043" customFormat="1" x14ac:dyDescent="0.2"/>
    <row r="14473" s="2043" customFormat="1" x14ac:dyDescent="0.2"/>
    <row r="14474" s="2043" customFormat="1" x14ac:dyDescent="0.2"/>
    <row r="14475" s="2043" customFormat="1" x14ac:dyDescent="0.2"/>
    <row r="14476" s="2043" customFormat="1" x14ac:dyDescent="0.2"/>
    <row r="14477" s="2043" customFormat="1" x14ac:dyDescent="0.2"/>
    <row r="14478" s="2043" customFormat="1" x14ac:dyDescent="0.2"/>
    <row r="14479" s="2043" customFormat="1" x14ac:dyDescent="0.2"/>
    <row r="14480" s="2043" customFormat="1" x14ac:dyDescent="0.2"/>
    <row r="14481" s="2043" customFormat="1" x14ac:dyDescent="0.2"/>
    <row r="14482" s="2043" customFormat="1" x14ac:dyDescent="0.2"/>
    <row r="14483" s="2043" customFormat="1" x14ac:dyDescent="0.2"/>
    <row r="14484" s="2043" customFormat="1" x14ac:dyDescent="0.2"/>
    <row r="14485" s="2043" customFormat="1" x14ac:dyDescent="0.2"/>
    <row r="14486" s="2043" customFormat="1" x14ac:dyDescent="0.2"/>
    <row r="14487" s="2043" customFormat="1" x14ac:dyDescent="0.2"/>
    <row r="14488" s="2043" customFormat="1" x14ac:dyDescent="0.2"/>
    <row r="14489" s="2043" customFormat="1" x14ac:dyDescent="0.2"/>
    <row r="14490" s="2043" customFormat="1" x14ac:dyDescent="0.2"/>
    <row r="14491" s="2043" customFormat="1" x14ac:dyDescent="0.2"/>
    <row r="14492" s="2043" customFormat="1" x14ac:dyDescent="0.2"/>
    <row r="14493" s="2043" customFormat="1" x14ac:dyDescent="0.2"/>
    <row r="14494" s="2043" customFormat="1" x14ac:dyDescent="0.2"/>
    <row r="14495" s="2043" customFormat="1" x14ac:dyDescent="0.2"/>
    <row r="14496" s="2043" customFormat="1" x14ac:dyDescent="0.2"/>
    <row r="14497" s="2043" customFormat="1" x14ac:dyDescent="0.2"/>
    <row r="14498" s="2043" customFormat="1" x14ac:dyDescent="0.2"/>
    <row r="14499" s="2043" customFormat="1" x14ac:dyDescent="0.2"/>
    <row r="14500" s="2043" customFormat="1" x14ac:dyDescent="0.2"/>
    <row r="14501" s="2043" customFormat="1" x14ac:dyDescent="0.2"/>
    <row r="14502" s="2043" customFormat="1" x14ac:dyDescent="0.2"/>
    <row r="14503" s="2043" customFormat="1" x14ac:dyDescent="0.2"/>
    <row r="14504" s="2043" customFormat="1" x14ac:dyDescent="0.2"/>
    <row r="14505" s="2043" customFormat="1" x14ac:dyDescent="0.2"/>
    <row r="14506" s="2043" customFormat="1" x14ac:dyDescent="0.2"/>
    <row r="14507" s="2043" customFormat="1" x14ac:dyDescent="0.2"/>
    <row r="14508" s="2043" customFormat="1" x14ac:dyDescent="0.2"/>
    <row r="14509" s="2043" customFormat="1" x14ac:dyDescent="0.2"/>
    <row r="14510" s="2043" customFormat="1" x14ac:dyDescent="0.2"/>
    <row r="14511" s="2043" customFormat="1" x14ac:dyDescent="0.2"/>
    <row r="14512" s="2043" customFormat="1" x14ac:dyDescent="0.2"/>
    <row r="14513" s="2043" customFormat="1" x14ac:dyDescent="0.2"/>
    <row r="14514" s="2043" customFormat="1" x14ac:dyDescent="0.2"/>
    <row r="14515" s="2043" customFormat="1" x14ac:dyDescent="0.2"/>
    <row r="14516" s="2043" customFormat="1" x14ac:dyDescent="0.2"/>
    <row r="14517" s="2043" customFormat="1" x14ac:dyDescent="0.2"/>
    <row r="14518" s="2043" customFormat="1" x14ac:dyDescent="0.2"/>
    <row r="14519" s="2043" customFormat="1" x14ac:dyDescent="0.2"/>
    <row r="14520" s="2043" customFormat="1" x14ac:dyDescent="0.2"/>
    <row r="14521" s="2043" customFormat="1" x14ac:dyDescent="0.2"/>
    <row r="14522" s="2043" customFormat="1" x14ac:dyDescent="0.2"/>
    <row r="14523" s="2043" customFormat="1" x14ac:dyDescent="0.2"/>
    <row r="14524" s="2043" customFormat="1" x14ac:dyDescent="0.2"/>
    <row r="14525" s="2043" customFormat="1" x14ac:dyDescent="0.2"/>
    <row r="14526" s="2043" customFormat="1" x14ac:dyDescent="0.2"/>
    <row r="14527" s="2043" customFormat="1" x14ac:dyDescent="0.2"/>
    <row r="14528" s="2043" customFormat="1" x14ac:dyDescent="0.2"/>
    <row r="14529" s="2043" customFormat="1" x14ac:dyDescent="0.2"/>
    <row r="14530" s="2043" customFormat="1" x14ac:dyDescent="0.2"/>
    <row r="14531" s="2043" customFormat="1" x14ac:dyDescent="0.2"/>
    <row r="14532" s="2043" customFormat="1" x14ac:dyDescent="0.2"/>
    <row r="14533" s="2043" customFormat="1" x14ac:dyDescent="0.2"/>
    <row r="14534" s="2043" customFormat="1" x14ac:dyDescent="0.2"/>
    <row r="14535" s="2043" customFormat="1" x14ac:dyDescent="0.2"/>
    <row r="14536" s="2043" customFormat="1" x14ac:dyDescent="0.2"/>
    <row r="14537" s="2043" customFormat="1" x14ac:dyDescent="0.2"/>
    <row r="14538" s="2043" customFormat="1" x14ac:dyDescent="0.2"/>
    <row r="14539" s="2043" customFormat="1" x14ac:dyDescent="0.2"/>
    <row r="14540" s="2043" customFormat="1" x14ac:dyDescent="0.2"/>
    <row r="14541" s="2043" customFormat="1" x14ac:dyDescent="0.2"/>
    <row r="14542" s="2043" customFormat="1" x14ac:dyDescent="0.2"/>
    <row r="14543" s="2043" customFormat="1" x14ac:dyDescent="0.2"/>
    <row r="14544" s="2043" customFormat="1" x14ac:dyDescent="0.2"/>
    <row r="14545" s="2043" customFormat="1" x14ac:dyDescent="0.2"/>
    <row r="14546" s="2043" customFormat="1" x14ac:dyDescent="0.2"/>
    <row r="14547" s="2043" customFormat="1" x14ac:dyDescent="0.2"/>
    <row r="14548" s="2043" customFormat="1" x14ac:dyDescent="0.2"/>
    <row r="14549" s="2043" customFormat="1" x14ac:dyDescent="0.2"/>
    <row r="14550" s="2043" customFormat="1" x14ac:dyDescent="0.2"/>
    <row r="14551" s="2043" customFormat="1" x14ac:dyDescent="0.2"/>
    <row r="14552" s="2043" customFormat="1" x14ac:dyDescent="0.2"/>
    <row r="14553" s="2043" customFormat="1" x14ac:dyDescent="0.2"/>
    <row r="14554" s="2043" customFormat="1" x14ac:dyDescent="0.2"/>
    <row r="14555" s="2043" customFormat="1" x14ac:dyDescent="0.2"/>
    <row r="14556" s="2043" customFormat="1" x14ac:dyDescent="0.2"/>
    <row r="14557" s="2043" customFormat="1" x14ac:dyDescent="0.2"/>
    <row r="14558" s="2043" customFormat="1" x14ac:dyDescent="0.2"/>
    <row r="14559" s="2043" customFormat="1" x14ac:dyDescent="0.2"/>
    <row r="14560" s="2043" customFormat="1" x14ac:dyDescent="0.2"/>
    <row r="14561" s="2043" customFormat="1" x14ac:dyDescent="0.2"/>
    <row r="14562" s="2043" customFormat="1" x14ac:dyDescent="0.2"/>
    <row r="14563" s="2043" customFormat="1" x14ac:dyDescent="0.2"/>
    <row r="14564" s="2043" customFormat="1" x14ac:dyDescent="0.2"/>
    <row r="14565" s="2043" customFormat="1" x14ac:dyDescent="0.2"/>
    <row r="14566" s="2043" customFormat="1" x14ac:dyDescent="0.2"/>
    <row r="14567" s="2043" customFormat="1" x14ac:dyDescent="0.2"/>
    <row r="14568" s="2043" customFormat="1" x14ac:dyDescent="0.2"/>
    <row r="14569" s="2043" customFormat="1" x14ac:dyDescent="0.2"/>
    <row r="14570" s="2043" customFormat="1" x14ac:dyDescent="0.2"/>
    <row r="14571" s="2043" customFormat="1" x14ac:dyDescent="0.2"/>
    <row r="14572" s="2043" customFormat="1" x14ac:dyDescent="0.2"/>
    <row r="14573" s="2043" customFormat="1" x14ac:dyDescent="0.2"/>
    <row r="14574" s="2043" customFormat="1" x14ac:dyDescent="0.2"/>
    <row r="14575" s="2043" customFormat="1" x14ac:dyDescent="0.2"/>
    <row r="14576" s="2043" customFormat="1" x14ac:dyDescent="0.2"/>
    <row r="14577" s="2043" customFormat="1" x14ac:dyDescent="0.2"/>
    <row r="14578" s="2043" customFormat="1" x14ac:dyDescent="0.2"/>
    <row r="14579" s="2043" customFormat="1" x14ac:dyDescent="0.2"/>
    <row r="14580" s="2043" customFormat="1" x14ac:dyDescent="0.2"/>
    <row r="14581" s="2043" customFormat="1" x14ac:dyDescent="0.2"/>
    <row r="14582" s="2043" customFormat="1" x14ac:dyDescent="0.2"/>
    <row r="14583" s="2043" customFormat="1" x14ac:dyDescent="0.2"/>
    <row r="14584" s="2043" customFormat="1" x14ac:dyDescent="0.2"/>
    <row r="14585" s="2043" customFormat="1" x14ac:dyDescent="0.2"/>
    <row r="14586" s="2043" customFormat="1" x14ac:dyDescent="0.2"/>
    <row r="14587" s="2043" customFormat="1" x14ac:dyDescent="0.2"/>
    <row r="14588" s="2043" customFormat="1" x14ac:dyDescent="0.2"/>
    <row r="14589" s="2043" customFormat="1" x14ac:dyDescent="0.2"/>
    <row r="14590" s="2043" customFormat="1" x14ac:dyDescent="0.2"/>
    <row r="14591" s="2043" customFormat="1" x14ac:dyDescent="0.2"/>
    <row r="14592" s="2043" customFormat="1" x14ac:dyDescent="0.2"/>
    <row r="14593" s="2043" customFormat="1" x14ac:dyDescent="0.2"/>
    <row r="14594" s="2043" customFormat="1" x14ac:dyDescent="0.2"/>
    <row r="14595" s="2043" customFormat="1" x14ac:dyDescent="0.2"/>
    <row r="14596" s="2043" customFormat="1" x14ac:dyDescent="0.2"/>
    <row r="14597" s="2043" customFormat="1" x14ac:dyDescent="0.2"/>
    <row r="14598" s="2043" customFormat="1" x14ac:dyDescent="0.2"/>
    <row r="14599" s="2043" customFormat="1" x14ac:dyDescent="0.2"/>
    <row r="14600" s="2043" customFormat="1" x14ac:dyDescent="0.2"/>
    <row r="14601" s="2043" customFormat="1" x14ac:dyDescent="0.2"/>
    <row r="14602" s="2043" customFormat="1" x14ac:dyDescent="0.2"/>
    <row r="14603" s="2043" customFormat="1" x14ac:dyDescent="0.2"/>
    <row r="14604" s="2043" customFormat="1" x14ac:dyDescent="0.2"/>
    <row r="14605" s="2043" customFormat="1" x14ac:dyDescent="0.2"/>
    <row r="14606" s="2043" customFormat="1" x14ac:dyDescent="0.2"/>
    <row r="14607" s="2043" customFormat="1" x14ac:dyDescent="0.2"/>
    <row r="14608" s="2043" customFormat="1" x14ac:dyDescent="0.2"/>
    <row r="14609" s="2043" customFormat="1" x14ac:dyDescent="0.2"/>
    <row r="14610" s="2043" customFormat="1" x14ac:dyDescent="0.2"/>
    <row r="14611" s="2043" customFormat="1" x14ac:dyDescent="0.2"/>
    <row r="14612" s="2043" customFormat="1" x14ac:dyDescent="0.2"/>
    <row r="14613" s="2043" customFormat="1" x14ac:dyDescent="0.2"/>
    <row r="14614" s="2043" customFormat="1" x14ac:dyDescent="0.2"/>
    <row r="14615" s="2043" customFormat="1" x14ac:dyDescent="0.2"/>
    <row r="14616" s="2043" customFormat="1" x14ac:dyDescent="0.2"/>
    <row r="14617" s="2043" customFormat="1" x14ac:dyDescent="0.2"/>
    <row r="14618" s="2043" customFormat="1" x14ac:dyDescent="0.2"/>
    <row r="14619" s="2043" customFormat="1" x14ac:dyDescent="0.2"/>
    <row r="14620" s="2043" customFormat="1" x14ac:dyDescent="0.2"/>
    <row r="14621" s="2043" customFormat="1" x14ac:dyDescent="0.2"/>
    <row r="14622" s="2043" customFormat="1" x14ac:dyDescent="0.2"/>
    <row r="14623" s="2043" customFormat="1" x14ac:dyDescent="0.2"/>
    <row r="14624" s="2043" customFormat="1" x14ac:dyDescent="0.2"/>
    <row r="14625" s="2043" customFormat="1" x14ac:dyDescent="0.2"/>
    <row r="14626" s="2043" customFormat="1" x14ac:dyDescent="0.2"/>
    <row r="14627" s="2043" customFormat="1" x14ac:dyDescent="0.2"/>
    <row r="14628" s="2043" customFormat="1" x14ac:dyDescent="0.2"/>
    <row r="14629" s="2043" customFormat="1" x14ac:dyDescent="0.2"/>
    <row r="14630" s="2043" customFormat="1" x14ac:dyDescent="0.2"/>
    <row r="14631" s="2043" customFormat="1" x14ac:dyDescent="0.2"/>
    <row r="14632" s="2043" customFormat="1" x14ac:dyDescent="0.2"/>
    <row r="14633" s="2043" customFormat="1" x14ac:dyDescent="0.2"/>
    <row r="14634" s="2043" customFormat="1" x14ac:dyDescent="0.2"/>
    <row r="14635" s="2043" customFormat="1" x14ac:dyDescent="0.2"/>
    <row r="14636" s="2043" customFormat="1" x14ac:dyDescent="0.2"/>
    <row r="14637" s="2043" customFormat="1" x14ac:dyDescent="0.2"/>
    <row r="14638" s="2043" customFormat="1" x14ac:dyDescent="0.2"/>
    <row r="14639" s="2043" customFormat="1" x14ac:dyDescent="0.2"/>
    <row r="14640" s="2043" customFormat="1" x14ac:dyDescent="0.2"/>
    <row r="14641" s="2043" customFormat="1" x14ac:dyDescent="0.2"/>
    <row r="14642" s="2043" customFormat="1" x14ac:dyDescent="0.2"/>
    <row r="14643" s="2043" customFormat="1" x14ac:dyDescent="0.2"/>
    <row r="14644" s="2043" customFormat="1" x14ac:dyDescent="0.2"/>
    <row r="14645" s="2043" customFormat="1" x14ac:dyDescent="0.2"/>
    <row r="14646" s="2043" customFormat="1" x14ac:dyDescent="0.2"/>
    <row r="14647" s="2043" customFormat="1" x14ac:dyDescent="0.2"/>
    <row r="14648" s="2043" customFormat="1" x14ac:dyDescent="0.2"/>
    <row r="14649" s="2043" customFormat="1" x14ac:dyDescent="0.2"/>
    <row r="14650" s="2043" customFormat="1" x14ac:dyDescent="0.2"/>
    <row r="14651" s="2043" customFormat="1" x14ac:dyDescent="0.2"/>
    <row r="14652" s="2043" customFormat="1" x14ac:dyDescent="0.2"/>
    <row r="14653" s="2043" customFormat="1" x14ac:dyDescent="0.2"/>
    <row r="14654" s="2043" customFormat="1" x14ac:dyDescent="0.2"/>
    <row r="14655" s="2043" customFormat="1" x14ac:dyDescent="0.2"/>
    <row r="14656" s="2043" customFormat="1" x14ac:dyDescent="0.2"/>
    <row r="14657" s="2043" customFormat="1" x14ac:dyDescent="0.2"/>
    <row r="14658" s="2043" customFormat="1" x14ac:dyDescent="0.2"/>
    <row r="14659" s="2043" customFormat="1" x14ac:dyDescent="0.2"/>
    <row r="14660" s="2043" customFormat="1" x14ac:dyDescent="0.2"/>
    <row r="14661" s="2043" customFormat="1" x14ac:dyDescent="0.2"/>
    <row r="14662" s="2043" customFormat="1" x14ac:dyDescent="0.2"/>
    <row r="14663" s="2043" customFormat="1" x14ac:dyDescent="0.2"/>
    <row r="14664" s="2043" customFormat="1" x14ac:dyDescent="0.2"/>
    <row r="14665" s="2043" customFormat="1" x14ac:dyDescent="0.2"/>
    <row r="14666" s="2043" customFormat="1" x14ac:dyDescent="0.2"/>
    <row r="14667" s="2043" customFormat="1" x14ac:dyDescent="0.2"/>
    <row r="14668" s="2043" customFormat="1" x14ac:dyDescent="0.2"/>
    <row r="14669" s="2043" customFormat="1" x14ac:dyDescent="0.2"/>
    <row r="14670" s="2043" customFormat="1" x14ac:dyDescent="0.2"/>
    <row r="14671" s="2043" customFormat="1" x14ac:dyDescent="0.2"/>
    <row r="14672" s="2043" customFormat="1" x14ac:dyDescent="0.2"/>
    <row r="14673" s="2043" customFormat="1" x14ac:dyDescent="0.2"/>
    <row r="14674" s="2043" customFormat="1" x14ac:dyDescent="0.2"/>
    <row r="14675" s="2043" customFormat="1" x14ac:dyDescent="0.2"/>
    <row r="14676" s="2043" customFormat="1" x14ac:dyDescent="0.2"/>
    <row r="14677" s="2043" customFormat="1" x14ac:dyDescent="0.2"/>
    <row r="14678" s="2043" customFormat="1" x14ac:dyDescent="0.2"/>
    <row r="14679" s="2043" customFormat="1" x14ac:dyDescent="0.2"/>
    <row r="14680" s="2043" customFormat="1" x14ac:dyDescent="0.2"/>
    <row r="14681" s="2043" customFormat="1" x14ac:dyDescent="0.2"/>
    <row r="14682" s="2043" customFormat="1" x14ac:dyDescent="0.2"/>
    <row r="14683" s="2043" customFormat="1" x14ac:dyDescent="0.2"/>
    <row r="14684" s="2043" customFormat="1" x14ac:dyDescent="0.2"/>
    <row r="14685" s="2043" customFormat="1" x14ac:dyDescent="0.2"/>
    <row r="14686" s="2043" customFormat="1" x14ac:dyDescent="0.2"/>
    <row r="14687" s="2043" customFormat="1" x14ac:dyDescent="0.2"/>
    <row r="14688" s="2043" customFormat="1" x14ac:dyDescent="0.2"/>
    <row r="14689" s="2043" customFormat="1" x14ac:dyDescent="0.2"/>
    <row r="14690" s="2043" customFormat="1" x14ac:dyDescent="0.2"/>
    <row r="14691" s="2043" customFormat="1" x14ac:dyDescent="0.2"/>
    <row r="14692" s="2043" customFormat="1" x14ac:dyDescent="0.2"/>
    <row r="14693" s="2043" customFormat="1" x14ac:dyDescent="0.2"/>
    <row r="14694" s="2043" customFormat="1" x14ac:dyDescent="0.2"/>
    <row r="14695" s="2043" customFormat="1" x14ac:dyDescent="0.2"/>
    <row r="14696" s="2043" customFormat="1" x14ac:dyDescent="0.2"/>
    <row r="14697" s="2043" customFormat="1" x14ac:dyDescent="0.2"/>
    <row r="14698" s="2043" customFormat="1" x14ac:dyDescent="0.2"/>
    <row r="14699" s="2043" customFormat="1" x14ac:dyDescent="0.2"/>
    <row r="14700" s="2043" customFormat="1" x14ac:dyDescent="0.2"/>
    <row r="14701" s="2043" customFormat="1" x14ac:dyDescent="0.2"/>
    <row r="14702" s="2043" customFormat="1" x14ac:dyDescent="0.2"/>
    <row r="14703" s="2043" customFormat="1" x14ac:dyDescent="0.2"/>
    <row r="14704" s="2043" customFormat="1" x14ac:dyDescent="0.2"/>
    <row r="14705" s="2043" customFormat="1" x14ac:dyDescent="0.2"/>
    <row r="14706" s="2043" customFormat="1" x14ac:dyDescent="0.2"/>
    <row r="14707" s="2043" customFormat="1" x14ac:dyDescent="0.2"/>
    <row r="14708" s="2043" customFormat="1" x14ac:dyDescent="0.2"/>
    <row r="14709" s="2043" customFormat="1" x14ac:dyDescent="0.2"/>
    <row r="14710" s="2043" customFormat="1" x14ac:dyDescent="0.2"/>
    <row r="14711" s="2043" customFormat="1" x14ac:dyDescent="0.2"/>
    <row r="14712" s="2043" customFormat="1" x14ac:dyDescent="0.2"/>
    <row r="14713" s="2043" customFormat="1" x14ac:dyDescent="0.2"/>
    <row r="14714" s="2043" customFormat="1" x14ac:dyDescent="0.2"/>
    <row r="14715" s="2043" customFormat="1" x14ac:dyDescent="0.2"/>
    <row r="14716" s="2043" customFormat="1" x14ac:dyDescent="0.2"/>
    <row r="14717" s="2043" customFormat="1" x14ac:dyDescent="0.2"/>
    <row r="14718" s="2043" customFormat="1" x14ac:dyDescent="0.2"/>
    <row r="14719" s="2043" customFormat="1" x14ac:dyDescent="0.2"/>
    <row r="14720" s="2043" customFormat="1" x14ac:dyDescent="0.2"/>
    <row r="14721" s="2043" customFormat="1" x14ac:dyDescent="0.2"/>
    <row r="14722" s="2043" customFormat="1" x14ac:dyDescent="0.2"/>
    <row r="14723" s="2043" customFormat="1" x14ac:dyDescent="0.2"/>
    <row r="14724" s="2043" customFormat="1" x14ac:dyDescent="0.2"/>
    <row r="14725" s="2043" customFormat="1" x14ac:dyDescent="0.2"/>
    <row r="14726" s="2043" customFormat="1" x14ac:dyDescent="0.2"/>
    <row r="14727" s="2043" customFormat="1" x14ac:dyDescent="0.2"/>
    <row r="14728" s="2043" customFormat="1" x14ac:dyDescent="0.2"/>
    <row r="14729" s="2043" customFormat="1" x14ac:dyDescent="0.2"/>
    <row r="14730" s="2043" customFormat="1" x14ac:dyDescent="0.2"/>
    <row r="14731" s="2043" customFormat="1" x14ac:dyDescent="0.2"/>
    <row r="14732" s="2043" customFormat="1" x14ac:dyDescent="0.2"/>
    <row r="14733" s="2043" customFormat="1" x14ac:dyDescent="0.2"/>
    <row r="14734" s="2043" customFormat="1" x14ac:dyDescent="0.2"/>
    <row r="14735" s="2043" customFormat="1" x14ac:dyDescent="0.2"/>
    <row r="14736" s="2043" customFormat="1" x14ac:dyDescent="0.2"/>
    <row r="14737" s="2043" customFormat="1" x14ac:dyDescent="0.2"/>
    <row r="14738" s="2043" customFormat="1" x14ac:dyDescent="0.2"/>
    <row r="14739" s="2043" customFormat="1" x14ac:dyDescent="0.2"/>
    <row r="14740" s="2043" customFormat="1" x14ac:dyDescent="0.2"/>
    <row r="14741" s="2043" customFormat="1" x14ac:dyDescent="0.2"/>
    <row r="14742" s="2043" customFormat="1" x14ac:dyDescent="0.2"/>
    <row r="14743" s="2043" customFormat="1" x14ac:dyDescent="0.2"/>
    <row r="14744" s="2043" customFormat="1" x14ac:dyDescent="0.2"/>
    <row r="14745" s="2043" customFormat="1" x14ac:dyDescent="0.2"/>
    <row r="14746" s="2043" customFormat="1" x14ac:dyDescent="0.2"/>
    <row r="14747" s="2043" customFormat="1" x14ac:dyDescent="0.2"/>
    <row r="14748" s="2043" customFormat="1" x14ac:dyDescent="0.2"/>
    <row r="14749" s="2043" customFormat="1" x14ac:dyDescent="0.2"/>
    <row r="14750" s="2043" customFormat="1" x14ac:dyDescent="0.2"/>
    <row r="14751" s="2043" customFormat="1" x14ac:dyDescent="0.2"/>
    <row r="14752" s="2043" customFormat="1" x14ac:dyDescent="0.2"/>
    <row r="14753" s="2043" customFormat="1" x14ac:dyDescent="0.2"/>
    <row r="14754" s="2043" customFormat="1" x14ac:dyDescent="0.2"/>
    <row r="14755" s="2043" customFormat="1" x14ac:dyDescent="0.2"/>
    <row r="14756" s="2043" customFormat="1" x14ac:dyDescent="0.2"/>
    <row r="14757" s="2043" customFormat="1" x14ac:dyDescent="0.2"/>
    <row r="14758" s="2043" customFormat="1" x14ac:dyDescent="0.2"/>
    <row r="14759" s="2043" customFormat="1" x14ac:dyDescent="0.2"/>
    <row r="14760" s="2043" customFormat="1" x14ac:dyDescent="0.2"/>
    <row r="14761" s="2043" customFormat="1" x14ac:dyDescent="0.2"/>
    <row r="14762" s="2043" customFormat="1" x14ac:dyDescent="0.2"/>
    <row r="14763" s="2043" customFormat="1" x14ac:dyDescent="0.2"/>
    <row r="14764" s="2043" customFormat="1" x14ac:dyDescent="0.2"/>
    <row r="14765" s="2043" customFormat="1" x14ac:dyDescent="0.2"/>
    <row r="14766" s="2043" customFormat="1" x14ac:dyDescent="0.2"/>
    <row r="14767" s="2043" customFormat="1" x14ac:dyDescent="0.2"/>
    <row r="14768" s="2043" customFormat="1" x14ac:dyDescent="0.2"/>
    <row r="14769" s="2043" customFormat="1" x14ac:dyDescent="0.2"/>
    <row r="14770" s="2043" customFormat="1" x14ac:dyDescent="0.2"/>
    <row r="14771" s="2043" customFormat="1" x14ac:dyDescent="0.2"/>
    <row r="14772" s="2043" customFormat="1" x14ac:dyDescent="0.2"/>
    <row r="14773" s="2043" customFormat="1" x14ac:dyDescent="0.2"/>
    <row r="14774" s="2043" customFormat="1" x14ac:dyDescent="0.2"/>
    <row r="14775" s="2043" customFormat="1" x14ac:dyDescent="0.2"/>
    <row r="14776" s="2043" customFormat="1" x14ac:dyDescent="0.2"/>
    <row r="14777" s="2043" customFormat="1" x14ac:dyDescent="0.2"/>
    <row r="14778" s="2043" customFormat="1" x14ac:dyDescent="0.2"/>
    <row r="14779" s="2043" customFormat="1" x14ac:dyDescent="0.2"/>
    <row r="14780" s="2043" customFormat="1" x14ac:dyDescent="0.2"/>
    <row r="14781" s="2043" customFormat="1" x14ac:dyDescent="0.2"/>
    <row r="14782" s="2043" customFormat="1" x14ac:dyDescent="0.2"/>
    <row r="14783" s="2043" customFormat="1" x14ac:dyDescent="0.2"/>
    <row r="14784" s="2043" customFormat="1" x14ac:dyDescent="0.2"/>
    <row r="14785" s="2043" customFormat="1" x14ac:dyDescent="0.2"/>
    <row r="14786" s="2043" customFormat="1" x14ac:dyDescent="0.2"/>
    <row r="14787" s="2043" customFormat="1" x14ac:dyDescent="0.2"/>
    <row r="14788" s="2043" customFormat="1" x14ac:dyDescent="0.2"/>
    <row r="14789" s="2043" customFormat="1" x14ac:dyDescent="0.2"/>
    <row r="14790" s="2043" customFormat="1" x14ac:dyDescent="0.2"/>
    <row r="14791" s="2043" customFormat="1" x14ac:dyDescent="0.2"/>
    <row r="14792" s="2043" customFormat="1" x14ac:dyDescent="0.2"/>
    <row r="14793" s="2043" customFormat="1" x14ac:dyDescent="0.2"/>
    <row r="14794" s="2043" customFormat="1" x14ac:dyDescent="0.2"/>
    <row r="14795" s="2043" customFormat="1" x14ac:dyDescent="0.2"/>
    <row r="14796" s="2043" customFormat="1" x14ac:dyDescent="0.2"/>
    <row r="14797" s="2043" customFormat="1" x14ac:dyDescent="0.2"/>
    <row r="14798" s="2043" customFormat="1" x14ac:dyDescent="0.2"/>
    <row r="14799" s="2043" customFormat="1" x14ac:dyDescent="0.2"/>
    <row r="14800" s="2043" customFormat="1" x14ac:dyDescent="0.2"/>
    <row r="14801" s="2043" customFormat="1" x14ac:dyDescent="0.2"/>
    <row r="14802" s="2043" customFormat="1" x14ac:dyDescent="0.2"/>
    <row r="14803" s="2043" customFormat="1" x14ac:dyDescent="0.2"/>
    <row r="14804" s="2043" customFormat="1" x14ac:dyDescent="0.2"/>
    <row r="14805" s="2043" customFormat="1" x14ac:dyDescent="0.2"/>
    <row r="14806" s="2043" customFormat="1" x14ac:dyDescent="0.2"/>
    <row r="14807" s="2043" customFormat="1" x14ac:dyDescent="0.2"/>
    <row r="14808" s="2043" customFormat="1" x14ac:dyDescent="0.2"/>
    <row r="14809" s="2043" customFormat="1" x14ac:dyDescent="0.2"/>
    <row r="14810" s="2043" customFormat="1" x14ac:dyDescent="0.2"/>
    <row r="14811" s="2043" customFormat="1" x14ac:dyDescent="0.2"/>
    <row r="14812" s="2043" customFormat="1" x14ac:dyDescent="0.2"/>
    <row r="14813" s="2043" customFormat="1" x14ac:dyDescent="0.2"/>
    <row r="14814" s="2043" customFormat="1" x14ac:dyDescent="0.2"/>
    <row r="14815" s="2043" customFormat="1" x14ac:dyDescent="0.2"/>
    <row r="14816" s="2043" customFormat="1" x14ac:dyDescent="0.2"/>
    <row r="14817" s="2043" customFormat="1" x14ac:dyDescent="0.2"/>
    <row r="14818" s="2043" customFormat="1" x14ac:dyDescent="0.2"/>
    <row r="14819" s="2043" customFormat="1" x14ac:dyDescent="0.2"/>
    <row r="14820" s="2043" customFormat="1" x14ac:dyDescent="0.2"/>
    <row r="14821" s="2043" customFormat="1" x14ac:dyDescent="0.2"/>
    <row r="14822" s="2043" customFormat="1" x14ac:dyDescent="0.2"/>
    <row r="14823" s="2043" customFormat="1" x14ac:dyDescent="0.2"/>
    <row r="14824" s="2043" customFormat="1" x14ac:dyDescent="0.2"/>
    <row r="14825" s="2043" customFormat="1" x14ac:dyDescent="0.2"/>
    <row r="14826" s="2043" customFormat="1" x14ac:dyDescent="0.2"/>
    <row r="14827" s="2043" customFormat="1" x14ac:dyDescent="0.2"/>
    <row r="14828" s="2043" customFormat="1" x14ac:dyDescent="0.2"/>
    <row r="14829" s="2043" customFormat="1" x14ac:dyDescent="0.2"/>
    <row r="14830" s="2043" customFormat="1" x14ac:dyDescent="0.2"/>
    <row r="14831" s="2043" customFormat="1" x14ac:dyDescent="0.2"/>
    <row r="14832" s="2043" customFormat="1" x14ac:dyDescent="0.2"/>
    <row r="14833" s="2043" customFormat="1" x14ac:dyDescent="0.2"/>
    <row r="14834" s="2043" customFormat="1" x14ac:dyDescent="0.2"/>
    <row r="14835" s="2043" customFormat="1" x14ac:dyDescent="0.2"/>
    <row r="14836" s="2043" customFormat="1" x14ac:dyDescent="0.2"/>
    <row r="14837" s="2043" customFormat="1" x14ac:dyDescent="0.2"/>
    <row r="14838" s="2043" customFormat="1" x14ac:dyDescent="0.2"/>
    <row r="14839" s="2043" customFormat="1" x14ac:dyDescent="0.2"/>
    <row r="14840" s="2043" customFormat="1" x14ac:dyDescent="0.2"/>
    <row r="14841" s="2043" customFormat="1" x14ac:dyDescent="0.2"/>
    <row r="14842" s="2043" customFormat="1" x14ac:dyDescent="0.2"/>
    <row r="14843" s="2043" customFormat="1" x14ac:dyDescent="0.2"/>
    <row r="14844" s="2043" customFormat="1" x14ac:dyDescent="0.2"/>
    <row r="14845" s="2043" customFormat="1" x14ac:dyDescent="0.2"/>
    <row r="14846" s="2043" customFormat="1" x14ac:dyDescent="0.2"/>
    <row r="14847" s="2043" customFormat="1" x14ac:dyDescent="0.2"/>
    <row r="14848" s="2043" customFormat="1" x14ac:dyDescent="0.2"/>
    <row r="14849" s="2043" customFormat="1" x14ac:dyDescent="0.2"/>
    <row r="14850" s="2043" customFormat="1" x14ac:dyDescent="0.2"/>
    <row r="14851" s="2043" customFormat="1" x14ac:dyDescent="0.2"/>
    <row r="14852" s="2043" customFormat="1" x14ac:dyDescent="0.2"/>
    <row r="14853" s="2043" customFormat="1" x14ac:dyDescent="0.2"/>
    <row r="14854" s="2043" customFormat="1" x14ac:dyDescent="0.2"/>
    <row r="14855" s="2043" customFormat="1" x14ac:dyDescent="0.2"/>
    <row r="14856" s="2043" customFormat="1" x14ac:dyDescent="0.2"/>
    <row r="14857" s="2043" customFormat="1" x14ac:dyDescent="0.2"/>
    <row r="14858" s="2043" customFormat="1" x14ac:dyDescent="0.2"/>
    <row r="14859" s="2043" customFormat="1" x14ac:dyDescent="0.2"/>
    <row r="14860" s="2043" customFormat="1" x14ac:dyDescent="0.2"/>
    <row r="14861" s="2043" customFormat="1" x14ac:dyDescent="0.2"/>
    <row r="14862" s="2043" customFormat="1" x14ac:dyDescent="0.2"/>
    <row r="14863" s="2043" customFormat="1" x14ac:dyDescent="0.2"/>
    <row r="14864" s="2043" customFormat="1" x14ac:dyDescent="0.2"/>
    <row r="14865" s="2043" customFormat="1" x14ac:dyDescent="0.2"/>
    <row r="14866" s="2043" customFormat="1" x14ac:dyDescent="0.2"/>
    <row r="14867" s="2043" customFormat="1" x14ac:dyDescent="0.2"/>
    <row r="14868" s="2043" customFormat="1" x14ac:dyDescent="0.2"/>
    <row r="14869" s="2043" customFormat="1" x14ac:dyDescent="0.2"/>
    <row r="14870" s="2043" customFormat="1" x14ac:dyDescent="0.2"/>
    <row r="14871" s="2043" customFormat="1" x14ac:dyDescent="0.2"/>
    <row r="14872" s="2043" customFormat="1" x14ac:dyDescent="0.2"/>
    <row r="14873" s="2043" customFormat="1" x14ac:dyDescent="0.2"/>
    <row r="14874" s="2043" customFormat="1" x14ac:dyDescent="0.2"/>
    <row r="14875" s="2043" customFormat="1" x14ac:dyDescent="0.2"/>
    <row r="14876" s="2043" customFormat="1" x14ac:dyDescent="0.2"/>
    <row r="14877" s="2043" customFormat="1" x14ac:dyDescent="0.2"/>
    <row r="14878" s="2043" customFormat="1" x14ac:dyDescent="0.2"/>
    <row r="14879" s="2043" customFormat="1" x14ac:dyDescent="0.2"/>
    <row r="14880" s="2043" customFormat="1" x14ac:dyDescent="0.2"/>
    <row r="14881" s="2043" customFormat="1" x14ac:dyDescent="0.2"/>
    <row r="14882" s="2043" customFormat="1" x14ac:dyDescent="0.2"/>
    <row r="14883" s="2043" customFormat="1" x14ac:dyDescent="0.2"/>
    <row r="14884" s="2043" customFormat="1" x14ac:dyDescent="0.2"/>
    <row r="14885" s="2043" customFormat="1" x14ac:dyDescent="0.2"/>
    <row r="14886" s="2043" customFormat="1" x14ac:dyDescent="0.2"/>
    <row r="14887" s="2043" customFormat="1" x14ac:dyDescent="0.2"/>
    <row r="14888" s="2043" customFormat="1" x14ac:dyDescent="0.2"/>
    <row r="14889" s="2043" customFormat="1" x14ac:dyDescent="0.2"/>
    <row r="14890" s="2043" customFormat="1" x14ac:dyDescent="0.2"/>
    <row r="14891" s="2043" customFormat="1" x14ac:dyDescent="0.2"/>
    <row r="14892" s="2043" customFormat="1" x14ac:dyDescent="0.2"/>
    <row r="14893" s="2043" customFormat="1" x14ac:dyDescent="0.2"/>
    <row r="14894" s="2043" customFormat="1" x14ac:dyDescent="0.2"/>
    <row r="14895" s="2043" customFormat="1" x14ac:dyDescent="0.2"/>
    <row r="14896" s="2043" customFormat="1" x14ac:dyDescent="0.2"/>
    <row r="14897" s="2043" customFormat="1" x14ac:dyDescent="0.2"/>
    <row r="14898" s="2043" customFormat="1" x14ac:dyDescent="0.2"/>
    <row r="14899" s="2043" customFormat="1" x14ac:dyDescent="0.2"/>
    <row r="14900" s="2043" customFormat="1" x14ac:dyDescent="0.2"/>
    <row r="14901" s="2043" customFormat="1" x14ac:dyDescent="0.2"/>
    <row r="14902" s="2043" customFormat="1" x14ac:dyDescent="0.2"/>
    <row r="14903" s="2043" customFormat="1" x14ac:dyDescent="0.2"/>
    <row r="14904" s="2043" customFormat="1" x14ac:dyDescent="0.2"/>
    <row r="14905" s="2043" customFormat="1" x14ac:dyDescent="0.2"/>
    <row r="14906" s="2043" customFormat="1" x14ac:dyDescent="0.2"/>
    <row r="14907" s="2043" customFormat="1" x14ac:dyDescent="0.2"/>
    <row r="14908" s="2043" customFormat="1" x14ac:dyDescent="0.2"/>
    <row r="14909" s="2043" customFormat="1" x14ac:dyDescent="0.2"/>
    <row r="14910" s="2043" customFormat="1" x14ac:dyDescent="0.2"/>
    <row r="14911" s="2043" customFormat="1" x14ac:dyDescent="0.2"/>
    <row r="14912" s="2043" customFormat="1" x14ac:dyDescent="0.2"/>
    <row r="14913" s="2043" customFormat="1" x14ac:dyDescent="0.2"/>
    <row r="14914" s="2043" customFormat="1" x14ac:dyDescent="0.2"/>
    <row r="14915" s="2043" customFormat="1" x14ac:dyDescent="0.2"/>
    <row r="14916" s="2043" customFormat="1" x14ac:dyDescent="0.2"/>
    <row r="14917" s="2043" customFormat="1" x14ac:dyDescent="0.2"/>
    <row r="14918" s="2043" customFormat="1" x14ac:dyDescent="0.2"/>
    <row r="14919" s="2043" customFormat="1" x14ac:dyDescent="0.2"/>
    <row r="14920" s="2043" customFormat="1" x14ac:dyDescent="0.2"/>
    <row r="14921" s="2043" customFormat="1" x14ac:dyDescent="0.2"/>
    <row r="14922" s="2043" customFormat="1" x14ac:dyDescent="0.2"/>
    <row r="14923" s="2043" customFormat="1" x14ac:dyDescent="0.2"/>
    <row r="14924" s="2043" customFormat="1" x14ac:dyDescent="0.2"/>
    <row r="14925" s="2043" customFormat="1" x14ac:dyDescent="0.2"/>
    <row r="14926" s="2043" customFormat="1" x14ac:dyDescent="0.2"/>
    <row r="14927" s="2043" customFormat="1" x14ac:dyDescent="0.2"/>
    <row r="14928" s="2043" customFormat="1" x14ac:dyDescent="0.2"/>
    <row r="14929" s="2043" customFormat="1" x14ac:dyDescent="0.2"/>
    <row r="14930" s="2043" customFormat="1" x14ac:dyDescent="0.2"/>
    <row r="14931" s="2043" customFormat="1" x14ac:dyDescent="0.2"/>
    <row r="14932" s="2043" customFormat="1" x14ac:dyDescent="0.2"/>
    <row r="14933" s="2043" customFormat="1" x14ac:dyDescent="0.2"/>
    <row r="14934" s="2043" customFormat="1" x14ac:dyDescent="0.2"/>
    <row r="14935" s="2043" customFormat="1" x14ac:dyDescent="0.2"/>
    <row r="14936" s="2043" customFormat="1" x14ac:dyDescent="0.2"/>
    <row r="14937" s="2043" customFormat="1" x14ac:dyDescent="0.2"/>
    <row r="14938" s="2043" customFormat="1" x14ac:dyDescent="0.2"/>
    <row r="14939" s="2043" customFormat="1" x14ac:dyDescent="0.2"/>
    <row r="14940" s="2043" customFormat="1" x14ac:dyDescent="0.2"/>
    <row r="14941" s="2043" customFormat="1" x14ac:dyDescent="0.2"/>
    <row r="14942" s="2043" customFormat="1" x14ac:dyDescent="0.2"/>
    <row r="14943" s="2043" customFormat="1" x14ac:dyDescent="0.2"/>
    <row r="14944" s="2043" customFormat="1" x14ac:dyDescent="0.2"/>
    <row r="14945" s="2043" customFormat="1" x14ac:dyDescent="0.2"/>
    <row r="14946" s="2043" customFormat="1" x14ac:dyDescent="0.2"/>
    <row r="14947" s="2043" customFormat="1" x14ac:dyDescent="0.2"/>
    <row r="14948" s="2043" customFormat="1" x14ac:dyDescent="0.2"/>
    <row r="14949" s="2043" customFormat="1" x14ac:dyDescent="0.2"/>
    <row r="14950" s="2043" customFormat="1" x14ac:dyDescent="0.2"/>
    <row r="14951" s="2043" customFormat="1" x14ac:dyDescent="0.2"/>
    <row r="14952" s="2043" customFormat="1" x14ac:dyDescent="0.2"/>
    <row r="14953" s="2043" customFormat="1" x14ac:dyDescent="0.2"/>
    <row r="14954" s="2043" customFormat="1" x14ac:dyDescent="0.2"/>
    <row r="14955" s="2043" customFormat="1" x14ac:dyDescent="0.2"/>
    <row r="14956" s="2043" customFormat="1" x14ac:dyDescent="0.2"/>
    <row r="14957" s="2043" customFormat="1" x14ac:dyDescent="0.2"/>
    <row r="14958" s="2043" customFormat="1" x14ac:dyDescent="0.2"/>
    <row r="14959" s="2043" customFormat="1" x14ac:dyDescent="0.2"/>
    <row r="14960" s="2043" customFormat="1" x14ac:dyDescent="0.2"/>
    <row r="14961" s="2043" customFormat="1" x14ac:dyDescent="0.2"/>
    <row r="14962" s="2043" customFormat="1" x14ac:dyDescent="0.2"/>
    <row r="14963" s="2043" customFormat="1" x14ac:dyDescent="0.2"/>
    <row r="14964" s="2043" customFormat="1" x14ac:dyDescent="0.2"/>
    <row r="14965" s="2043" customFormat="1" x14ac:dyDescent="0.2"/>
    <row r="14966" s="2043" customFormat="1" x14ac:dyDescent="0.2"/>
    <row r="14967" s="2043" customFormat="1" x14ac:dyDescent="0.2"/>
    <row r="14968" s="2043" customFormat="1" x14ac:dyDescent="0.2"/>
    <row r="14969" s="2043" customFormat="1" x14ac:dyDescent="0.2"/>
    <row r="14970" s="2043" customFormat="1" x14ac:dyDescent="0.2"/>
    <row r="14971" s="2043" customFormat="1" x14ac:dyDescent="0.2"/>
    <row r="14972" s="2043" customFormat="1" x14ac:dyDescent="0.2"/>
    <row r="14973" s="2043" customFormat="1" x14ac:dyDescent="0.2"/>
    <row r="14974" s="2043" customFormat="1" x14ac:dyDescent="0.2"/>
    <row r="14975" s="2043" customFormat="1" x14ac:dyDescent="0.2"/>
    <row r="14976" s="2043" customFormat="1" x14ac:dyDescent="0.2"/>
    <row r="14977" s="2043" customFormat="1" x14ac:dyDescent="0.2"/>
    <row r="14978" s="2043" customFormat="1" x14ac:dyDescent="0.2"/>
    <row r="14979" s="2043" customFormat="1" x14ac:dyDescent="0.2"/>
    <row r="14980" s="2043" customFormat="1" x14ac:dyDescent="0.2"/>
    <row r="14981" s="2043" customFormat="1" x14ac:dyDescent="0.2"/>
    <row r="14982" s="2043" customFormat="1" x14ac:dyDescent="0.2"/>
    <row r="14983" s="2043" customFormat="1" x14ac:dyDescent="0.2"/>
    <row r="14984" s="2043" customFormat="1" x14ac:dyDescent="0.2"/>
    <row r="14985" s="2043" customFormat="1" x14ac:dyDescent="0.2"/>
    <row r="14986" s="2043" customFormat="1" x14ac:dyDescent="0.2"/>
    <row r="14987" s="2043" customFormat="1" x14ac:dyDescent="0.2"/>
    <row r="14988" s="2043" customFormat="1" x14ac:dyDescent="0.2"/>
    <row r="14989" s="2043" customFormat="1" x14ac:dyDescent="0.2"/>
    <row r="14990" s="2043" customFormat="1" x14ac:dyDescent="0.2"/>
    <row r="14991" s="2043" customFormat="1" x14ac:dyDescent="0.2"/>
    <row r="14992" s="2043" customFormat="1" x14ac:dyDescent="0.2"/>
    <row r="14993" s="2043" customFormat="1" x14ac:dyDescent="0.2"/>
    <row r="14994" s="2043" customFormat="1" x14ac:dyDescent="0.2"/>
    <row r="14995" s="2043" customFormat="1" x14ac:dyDescent="0.2"/>
    <row r="14996" s="2043" customFormat="1" x14ac:dyDescent="0.2"/>
    <row r="14997" s="2043" customFormat="1" x14ac:dyDescent="0.2"/>
    <row r="14998" s="2043" customFormat="1" x14ac:dyDescent="0.2"/>
    <row r="14999" s="2043" customFormat="1" x14ac:dyDescent="0.2"/>
    <row r="15000" s="2043" customFormat="1" x14ac:dyDescent="0.2"/>
    <row r="15001" s="2043" customFormat="1" x14ac:dyDescent="0.2"/>
    <row r="15002" s="2043" customFormat="1" x14ac:dyDescent="0.2"/>
    <row r="15003" s="2043" customFormat="1" x14ac:dyDescent="0.2"/>
    <row r="15004" s="2043" customFormat="1" x14ac:dyDescent="0.2"/>
    <row r="15005" s="2043" customFormat="1" x14ac:dyDescent="0.2"/>
    <row r="15006" s="2043" customFormat="1" x14ac:dyDescent="0.2"/>
    <row r="15007" s="2043" customFormat="1" x14ac:dyDescent="0.2"/>
    <row r="15008" s="2043" customFormat="1" x14ac:dyDescent="0.2"/>
    <row r="15009" s="2043" customFormat="1" x14ac:dyDescent="0.2"/>
    <row r="15010" s="2043" customFormat="1" x14ac:dyDescent="0.2"/>
    <row r="15011" s="2043" customFormat="1" x14ac:dyDescent="0.2"/>
    <row r="15012" s="2043" customFormat="1" x14ac:dyDescent="0.2"/>
    <row r="15013" s="2043" customFormat="1" x14ac:dyDescent="0.2"/>
    <row r="15014" s="2043" customFormat="1" x14ac:dyDescent="0.2"/>
    <row r="15015" s="2043" customFormat="1" x14ac:dyDescent="0.2"/>
    <row r="15016" s="2043" customFormat="1" x14ac:dyDescent="0.2"/>
    <row r="15017" s="2043" customFormat="1" x14ac:dyDescent="0.2"/>
    <row r="15018" s="2043" customFormat="1" x14ac:dyDescent="0.2"/>
    <row r="15019" s="2043" customFormat="1" x14ac:dyDescent="0.2"/>
    <row r="15020" s="2043" customFormat="1" x14ac:dyDescent="0.2"/>
    <row r="15021" s="2043" customFormat="1" x14ac:dyDescent="0.2"/>
    <row r="15022" s="2043" customFormat="1" x14ac:dyDescent="0.2"/>
    <row r="15023" s="2043" customFormat="1" x14ac:dyDescent="0.2"/>
    <row r="15024" s="2043" customFormat="1" x14ac:dyDescent="0.2"/>
    <row r="15025" s="2043" customFormat="1" x14ac:dyDescent="0.2"/>
    <row r="15026" s="2043" customFormat="1" x14ac:dyDescent="0.2"/>
    <row r="15027" s="2043" customFormat="1" x14ac:dyDescent="0.2"/>
    <row r="15028" s="2043" customFormat="1" x14ac:dyDescent="0.2"/>
    <row r="15029" s="2043" customFormat="1" x14ac:dyDescent="0.2"/>
    <row r="15030" s="2043" customFormat="1" x14ac:dyDescent="0.2"/>
    <row r="15031" s="2043" customFormat="1" x14ac:dyDescent="0.2"/>
    <row r="15032" s="2043" customFormat="1" x14ac:dyDescent="0.2"/>
    <row r="15033" s="2043" customFormat="1" x14ac:dyDescent="0.2"/>
    <row r="15034" s="2043" customFormat="1" x14ac:dyDescent="0.2"/>
    <row r="15035" s="2043" customFormat="1" x14ac:dyDescent="0.2"/>
    <row r="15036" s="2043" customFormat="1" x14ac:dyDescent="0.2"/>
    <row r="15037" s="2043" customFormat="1" x14ac:dyDescent="0.2"/>
    <row r="15038" s="2043" customFormat="1" x14ac:dyDescent="0.2"/>
    <row r="15039" s="2043" customFormat="1" x14ac:dyDescent="0.2"/>
    <row r="15040" s="2043" customFormat="1" x14ac:dyDescent="0.2"/>
    <row r="15041" s="2043" customFormat="1" x14ac:dyDescent="0.2"/>
    <row r="15042" s="2043" customFormat="1" x14ac:dyDescent="0.2"/>
    <row r="15043" s="2043" customFormat="1" x14ac:dyDescent="0.2"/>
    <row r="15044" s="2043" customFormat="1" x14ac:dyDescent="0.2"/>
    <row r="15045" s="2043" customFormat="1" x14ac:dyDescent="0.2"/>
    <row r="15046" s="2043" customFormat="1" x14ac:dyDescent="0.2"/>
    <row r="15047" s="2043" customFormat="1" x14ac:dyDescent="0.2"/>
    <row r="15048" s="2043" customFormat="1" x14ac:dyDescent="0.2"/>
    <row r="15049" s="2043" customFormat="1" x14ac:dyDescent="0.2"/>
    <row r="15050" s="2043" customFormat="1" x14ac:dyDescent="0.2"/>
    <row r="15051" s="2043" customFormat="1" x14ac:dyDescent="0.2"/>
    <row r="15052" s="2043" customFormat="1" x14ac:dyDescent="0.2"/>
    <row r="15053" s="2043" customFormat="1" x14ac:dyDescent="0.2"/>
    <row r="15054" s="2043" customFormat="1" x14ac:dyDescent="0.2"/>
    <row r="15055" s="2043" customFormat="1" x14ac:dyDescent="0.2"/>
    <row r="15056" s="2043" customFormat="1" x14ac:dyDescent="0.2"/>
    <row r="15057" s="2043" customFormat="1" x14ac:dyDescent="0.2"/>
    <row r="15058" s="2043" customFormat="1" x14ac:dyDescent="0.2"/>
    <row r="15059" s="2043" customFormat="1" x14ac:dyDescent="0.2"/>
    <row r="15060" s="2043" customFormat="1" x14ac:dyDescent="0.2"/>
    <row r="15061" s="2043" customFormat="1" x14ac:dyDescent="0.2"/>
    <row r="15062" s="2043" customFormat="1" x14ac:dyDescent="0.2"/>
    <row r="15063" s="2043" customFormat="1" x14ac:dyDescent="0.2"/>
    <row r="15064" s="2043" customFormat="1" x14ac:dyDescent="0.2"/>
    <row r="15065" s="2043" customFormat="1" x14ac:dyDescent="0.2"/>
    <row r="15066" s="2043" customFormat="1" x14ac:dyDescent="0.2"/>
    <row r="15067" s="2043" customFormat="1" x14ac:dyDescent="0.2"/>
    <row r="15068" s="2043" customFormat="1" x14ac:dyDescent="0.2"/>
    <row r="15069" s="2043" customFormat="1" x14ac:dyDescent="0.2"/>
    <row r="15070" s="2043" customFormat="1" x14ac:dyDescent="0.2"/>
    <row r="15071" s="2043" customFormat="1" x14ac:dyDescent="0.2"/>
    <row r="15072" s="2043" customFormat="1" x14ac:dyDescent="0.2"/>
    <row r="15073" s="2043" customFormat="1" x14ac:dyDescent="0.2"/>
    <row r="15074" s="2043" customFormat="1" x14ac:dyDescent="0.2"/>
    <row r="15075" s="2043" customFormat="1" x14ac:dyDescent="0.2"/>
    <row r="15076" s="2043" customFormat="1" x14ac:dyDescent="0.2"/>
    <row r="15077" s="2043" customFormat="1" x14ac:dyDescent="0.2"/>
    <row r="15078" s="2043" customFormat="1" x14ac:dyDescent="0.2"/>
    <row r="15079" s="2043" customFormat="1" x14ac:dyDescent="0.2"/>
    <row r="15080" s="2043" customFormat="1" x14ac:dyDescent="0.2"/>
    <row r="15081" s="2043" customFormat="1" x14ac:dyDescent="0.2"/>
    <row r="15082" s="2043" customFormat="1" x14ac:dyDescent="0.2"/>
    <row r="15083" s="2043" customFormat="1" x14ac:dyDescent="0.2"/>
    <row r="15084" s="2043" customFormat="1" x14ac:dyDescent="0.2"/>
    <row r="15085" s="2043" customFormat="1" x14ac:dyDescent="0.2"/>
    <row r="15086" s="2043" customFormat="1" x14ac:dyDescent="0.2"/>
    <row r="15087" s="2043" customFormat="1" x14ac:dyDescent="0.2"/>
    <row r="15088" s="2043" customFormat="1" x14ac:dyDescent="0.2"/>
    <row r="15089" s="2043" customFormat="1" x14ac:dyDescent="0.2"/>
    <row r="15090" s="2043" customFormat="1" x14ac:dyDescent="0.2"/>
    <row r="15091" s="2043" customFormat="1" x14ac:dyDescent="0.2"/>
    <row r="15092" s="2043" customFormat="1" x14ac:dyDescent="0.2"/>
    <row r="15093" s="2043" customFormat="1" x14ac:dyDescent="0.2"/>
    <row r="15094" s="2043" customFormat="1" x14ac:dyDescent="0.2"/>
    <row r="15095" s="2043" customFormat="1" x14ac:dyDescent="0.2"/>
    <row r="15096" s="2043" customFormat="1" x14ac:dyDescent="0.2"/>
    <row r="15097" s="2043" customFormat="1" x14ac:dyDescent="0.2"/>
    <row r="15098" s="2043" customFormat="1" x14ac:dyDescent="0.2"/>
    <row r="15099" s="2043" customFormat="1" x14ac:dyDescent="0.2"/>
    <row r="15100" s="2043" customFormat="1" x14ac:dyDescent="0.2"/>
    <row r="15101" s="2043" customFormat="1" x14ac:dyDescent="0.2"/>
    <row r="15102" s="2043" customFormat="1" x14ac:dyDescent="0.2"/>
    <row r="15103" s="2043" customFormat="1" x14ac:dyDescent="0.2"/>
    <row r="15104" s="2043" customFormat="1" x14ac:dyDescent="0.2"/>
    <row r="15105" s="2043" customFormat="1" x14ac:dyDescent="0.2"/>
    <row r="15106" s="2043" customFormat="1" x14ac:dyDescent="0.2"/>
    <row r="15107" s="2043" customFormat="1" x14ac:dyDescent="0.2"/>
    <row r="15108" s="2043" customFormat="1" x14ac:dyDescent="0.2"/>
    <row r="15109" s="2043" customFormat="1" x14ac:dyDescent="0.2"/>
    <row r="15110" s="2043" customFormat="1" x14ac:dyDescent="0.2"/>
    <row r="15111" s="2043" customFormat="1" x14ac:dyDescent="0.2"/>
    <row r="15112" s="2043" customFormat="1" x14ac:dyDescent="0.2"/>
    <row r="15113" s="2043" customFormat="1" x14ac:dyDescent="0.2"/>
    <row r="15114" s="2043" customFormat="1" x14ac:dyDescent="0.2"/>
    <row r="15115" s="2043" customFormat="1" x14ac:dyDescent="0.2"/>
    <row r="15116" s="2043" customFormat="1" x14ac:dyDescent="0.2"/>
    <row r="15117" s="2043" customFormat="1" x14ac:dyDescent="0.2"/>
    <row r="15118" s="2043" customFormat="1" x14ac:dyDescent="0.2"/>
    <row r="15119" s="2043" customFormat="1" x14ac:dyDescent="0.2"/>
    <row r="15120" s="2043" customFormat="1" x14ac:dyDescent="0.2"/>
    <row r="15121" s="2043" customFormat="1" x14ac:dyDescent="0.2"/>
    <row r="15122" s="2043" customFormat="1" x14ac:dyDescent="0.2"/>
    <row r="15123" s="2043" customFormat="1" x14ac:dyDescent="0.2"/>
    <row r="15124" s="2043" customFormat="1" x14ac:dyDescent="0.2"/>
    <row r="15125" s="2043" customFormat="1" x14ac:dyDescent="0.2"/>
    <row r="15126" s="2043" customFormat="1" x14ac:dyDescent="0.2"/>
    <row r="15127" s="2043" customFormat="1" x14ac:dyDescent="0.2"/>
    <row r="15128" s="2043" customFormat="1" x14ac:dyDescent="0.2"/>
    <row r="15129" s="2043" customFormat="1" x14ac:dyDescent="0.2"/>
    <row r="15130" s="2043" customFormat="1" x14ac:dyDescent="0.2"/>
    <row r="15131" s="2043" customFormat="1" x14ac:dyDescent="0.2"/>
    <row r="15132" s="2043" customFormat="1" x14ac:dyDescent="0.2"/>
    <row r="15133" s="2043" customFormat="1" x14ac:dyDescent="0.2"/>
    <row r="15134" s="2043" customFormat="1" x14ac:dyDescent="0.2"/>
    <row r="15135" s="2043" customFormat="1" x14ac:dyDescent="0.2"/>
    <row r="15136" s="2043" customFormat="1" x14ac:dyDescent="0.2"/>
    <row r="15137" s="2043" customFormat="1" x14ac:dyDescent="0.2"/>
    <row r="15138" s="2043" customFormat="1" x14ac:dyDescent="0.2"/>
    <row r="15139" s="2043" customFormat="1" x14ac:dyDescent="0.2"/>
    <row r="15140" s="2043" customFormat="1" x14ac:dyDescent="0.2"/>
    <row r="15141" s="2043" customFormat="1" x14ac:dyDescent="0.2"/>
    <row r="15142" s="2043" customFormat="1" x14ac:dyDescent="0.2"/>
    <row r="15143" s="2043" customFormat="1" x14ac:dyDescent="0.2"/>
    <row r="15144" s="2043" customFormat="1" x14ac:dyDescent="0.2"/>
    <row r="15145" s="2043" customFormat="1" x14ac:dyDescent="0.2"/>
    <row r="15146" s="2043" customFormat="1" x14ac:dyDescent="0.2"/>
    <row r="15147" s="2043" customFormat="1" x14ac:dyDescent="0.2"/>
    <row r="15148" s="2043" customFormat="1" x14ac:dyDescent="0.2"/>
    <row r="15149" s="2043" customFormat="1" x14ac:dyDescent="0.2"/>
    <row r="15150" s="2043" customFormat="1" x14ac:dyDescent="0.2"/>
    <row r="15151" s="2043" customFormat="1" x14ac:dyDescent="0.2"/>
    <row r="15152" s="2043" customFormat="1" x14ac:dyDescent="0.2"/>
    <row r="15153" s="2043" customFormat="1" x14ac:dyDescent="0.2"/>
    <row r="15154" s="2043" customFormat="1" x14ac:dyDescent="0.2"/>
    <row r="15155" s="2043" customFormat="1" x14ac:dyDescent="0.2"/>
    <row r="15156" s="2043" customFormat="1" x14ac:dyDescent="0.2"/>
    <row r="15157" s="2043" customFormat="1" x14ac:dyDescent="0.2"/>
    <row r="15158" s="2043" customFormat="1" x14ac:dyDescent="0.2"/>
    <row r="15159" s="2043" customFormat="1" x14ac:dyDescent="0.2"/>
    <row r="15160" s="2043" customFormat="1" x14ac:dyDescent="0.2"/>
    <row r="15161" s="2043" customFormat="1" x14ac:dyDescent="0.2"/>
    <row r="15162" s="2043" customFormat="1" x14ac:dyDescent="0.2"/>
    <row r="15163" s="2043" customFormat="1" x14ac:dyDescent="0.2"/>
    <row r="15164" s="2043" customFormat="1" x14ac:dyDescent="0.2"/>
    <row r="15165" s="2043" customFormat="1" x14ac:dyDescent="0.2"/>
    <row r="15166" s="2043" customFormat="1" x14ac:dyDescent="0.2"/>
    <row r="15167" s="2043" customFormat="1" x14ac:dyDescent="0.2"/>
    <row r="15168" s="2043" customFormat="1" x14ac:dyDescent="0.2"/>
    <row r="15169" s="2043" customFormat="1" x14ac:dyDescent="0.2"/>
    <row r="15170" s="2043" customFormat="1" x14ac:dyDescent="0.2"/>
    <row r="15171" s="2043" customFormat="1" x14ac:dyDescent="0.2"/>
    <row r="15172" s="2043" customFormat="1" x14ac:dyDescent="0.2"/>
    <row r="15173" s="2043" customFormat="1" x14ac:dyDescent="0.2"/>
    <row r="15174" s="2043" customFormat="1" x14ac:dyDescent="0.2"/>
    <row r="15175" s="2043" customFormat="1" x14ac:dyDescent="0.2"/>
    <row r="15176" s="2043" customFormat="1" x14ac:dyDescent="0.2"/>
    <row r="15177" s="2043" customFormat="1" x14ac:dyDescent="0.2"/>
    <row r="15178" s="2043" customFormat="1" x14ac:dyDescent="0.2"/>
    <row r="15179" s="2043" customFormat="1" x14ac:dyDescent="0.2"/>
    <row r="15180" s="2043" customFormat="1" x14ac:dyDescent="0.2"/>
    <row r="15181" s="2043" customFormat="1" x14ac:dyDescent="0.2"/>
    <row r="15182" s="2043" customFormat="1" x14ac:dyDescent="0.2"/>
    <row r="15183" s="2043" customFormat="1" x14ac:dyDescent="0.2"/>
    <row r="15184" s="2043" customFormat="1" x14ac:dyDescent="0.2"/>
    <row r="15185" s="2043" customFormat="1" x14ac:dyDescent="0.2"/>
    <row r="15186" s="2043" customFormat="1" x14ac:dyDescent="0.2"/>
    <row r="15187" s="2043" customFormat="1" x14ac:dyDescent="0.2"/>
    <row r="15188" s="2043" customFormat="1" x14ac:dyDescent="0.2"/>
    <row r="15189" s="2043" customFormat="1" x14ac:dyDescent="0.2"/>
    <row r="15190" s="2043" customFormat="1" x14ac:dyDescent="0.2"/>
    <row r="15191" s="2043" customFormat="1" x14ac:dyDescent="0.2"/>
    <row r="15192" s="2043" customFormat="1" x14ac:dyDescent="0.2"/>
    <row r="15193" s="2043" customFormat="1" x14ac:dyDescent="0.2"/>
    <row r="15194" s="2043" customFormat="1" x14ac:dyDescent="0.2"/>
    <row r="15195" s="2043" customFormat="1" x14ac:dyDescent="0.2"/>
    <row r="15196" s="2043" customFormat="1" x14ac:dyDescent="0.2"/>
    <row r="15197" s="2043" customFormat="1" x14ac:dyDescent="0.2"/>
    <row r="15198" s="2043" customFormat="1" x14ac:dyDescent="0.2"/>
    <row r="15199" s="2043" customFormat="1" x14ac:dyDescent="0.2"/>
    <row r="15200" s="2043" customFormat="1" x14ac:dyDescent="0.2"/>
    <row r="15201" s="2043" customFormat="1" x14ac:dyDescent="0.2"/>
    <row r="15202" s="2043" customFormat="1" x14ac:dyDescent="0.2"/>
    <row r="15203" s="2043" customFormat="1" x14ac:dyDescent="0.2"/>
    <row r="15204" s="2043" customFormat="1" x14ac:dyDescent="0.2"/>
    <row r="15205" s="2043" customFormat="1" x14ac:dyDescent="0.2"/>
    <row r="15206" s="2043" customFormat="1" x14ac:dyDescent="0.2"/>
    <row r="15207" s="2043" customFormat="1" x14ac:dyDescent="0.2"/>
    <row r="15208" s="2043" customFormat="1" x14ac:dyDescent="0.2"/>
    <row r="15209" s="2043" customFormat="1" x14ac:dyDescent="0.2"/>
    <row r="15210" s="2043" customFormat="1" x14ac:dyDescent="0.2"/>
    <row r="15211" s="2043" customFormat="1" x14ac:dyDescent="0.2"/>
    <row r="15212" s="2043" customFormat="1" x14ac:dyDescent="0.2"/>
    <row r="15213" s="2043" customFormat="1" x14ac:dyDescent="0.2"/>
    <row r="15214" s="2043" customFormat="1" x14ac:dyDescent="0.2"/>
    <row r="15215" s="2043" customFormat="1" x14ac:dyDescent="0.2"/>
    <row r="15216" s="2043" customFormat="1" x14ac:dyDescent="0.2"/>
    <row r="15217" s="2043" customFormat="1" x14ac:dyDescent="0.2"/>
    <row r="15218" s="2043" customFormat="1" x14ac:dyDescent="0.2"/>
    <row r="15219" s="2043" customFormat="1" x14ac:dyDescent="0.2"/>
    <row r="15220" s="2043" customFormat="1" x14ac:dyDescent="0.2"/>
    <row r="15221" s="2043" customFormat="1" x14ac:dyDescent="0.2"/>
    <row r="15222" s="2043" customFormat="1" x14ac:dyDescent="0.2"/>
    <row r="15223" s="2043" customFormat="1" x14ac:dyDescent="0.2"/>
    <row r="15224" s="2043" customFormat="1" x14ac:dyDescent="0.2"/>
    <row r="15225" s="2043" customFormat="1" x14ac:dyDescent="0.2"/>
    <row r="15226" s="2043" customFormat="1" x14ac:dyDescent="0.2"/>
    <row r="15227" s="2043" customFormat="1" x14ac:dyDescent="0.2"/>
    <row r="15228" s="2043" customFormat="1" x14ac:dyDescent="0.2"/>
    <row r="15229" s="2043" customFormat="1" x14ac:dyDescent="0.2"/>
    <row r="15230" s="2043" customFormat="1" x14ac:dyDescent="0.2"/>
    <row r="15231" s="2043" customFormat="1" x14ac:dyDescent="0.2"/>
    <row r="15232" s="2043" customFormat="1" x14ac:dyDescent="0.2"/>
    <row r="15233" s="2043" customFormat="1" x14ac:dyDescent="0.2"/>
    <row r="15234" s="2043" customFormat="1" x14ac:dyDescent="0.2"/>
    <row r="15235" s="2043" customFormat="1" x14ac:dyDescent="0.2"/>
    <row r="15236" s="2043" customFormat="1" x14ac:dyDescent="0.2"/>
    <row r="15237" s="2043" customFormat="1" x14ac:dyDescent="0.2"/>
    <row r="15238" s="2043" customFormat="1" x14ac:dyDescent="0.2"/>
    <row r="15239" s="2043" customFormat="1" x14ac:dyDescent="0.2"/>
    <row r="15240" s="2043" customFormat="1" x14ac:dyDescent="0.2"/>
    <row r="15241" s="2043" customFormat="1" x14ac:dyDescent="0.2"/>
    <row r="15242" s="2043" customFormat="1" x14ac:dyDescent="0.2"/>
    <row r="15243" s="2043" customFormat="1" x14ac:dyDescent="0.2"/>
    <row r="15244" s="2043" customFormat="1" x14ac:dyDescent="0.2"/>
    <row r="15245" s="2043" customFormat="1" x14ac:dyDescent="0.2"/>
    <row r="15246" s="2043" customFormat="1" x14ac:dyDescent="0.2"/>
    <row r="15247" s="2043" customFormat="1" x14ac:dyDescent="0.2"/>
    <row r="15248" s="2043" customFormat="1" x14ac:dyDescent="0.2"/>
    <row r="15249" s="2043" customFormat="1" x14ac:dyDescent="0.2"/>
    <row r="15250" s="2043" customFormat="1" x14ac:dyDescent="0.2"/>
    <row r="15251" s="2043" customFormat="1" x14ac:dyDescent="0.2"/>
    <row r="15252" s="2043" customFormat="1" x14ac:dyDescent="0.2"/>
    <row r="15253" s="2043" customFormat="1" x14ac:dyDescent="0.2"/>
    <row r="15254" s="2043" customFormat="1" x14ac:dyDescent="0.2"/>
    <row r="15255" s="2043" customFormat="1" x14ac:dyDescent="0.2"/>
    <row r="15256" s="2043" customFormat="1" x14ac:dyDescent="0.2"/>
    <row r="15257" s="2043" customFormat="1" x14ac:dyDescent="0.2"/>
    <row r="15258" s="2043" customFormat="1" x14ac:dyDescent="0.2"/>
    <row r="15259" s="2043" customFormat="1" x14ac:dyDescent="0.2"/>
    <row r="15260" s="2043" customFormat="1" x14ac:dyDescent="0.2"/>
    <row r="15261" s="2043" customFormat="1" x14ac:dyDescent="0.2"/>
    <row r="15262" s="2043" customFormat="1" x14ac:dyDescent="0.2"/>
    <row r="15263" s="2043" customFormat="1" x14ac:dyDescent="0.2"/>
    <row r="15264" s="2043" customFormat="1" x14ac:dyDescent="0.2"/>
    <row r="15265" s="2043" customFormat="1" x14ac:dyDescent="0.2"/>
    <row r="15266" s="2043" customFormat="1" x14ac:dyDescent="0.2"/>
    <row r="15267" s="2043" customFormat="1" x14ac:dyDescent="0.2"/>
    <row r="15268" s="2043" customFormat="1" x14ac:dyDescent="0.2"/>
    <row r="15269" s="2043" customFormat="1" x14ac:dyDescent="0.2"/>
    <row r="15270" s="2043" customFormat="1" x14ac:dyDescent="0.2"/>
    <row r="15271" s="2043" customFormat="1" x14ac:dyDescent="0.2"/>
    <row r="15272" s="2043" customFormat="1" x14ac:dyDescent="0.2"/>
    <row r="15273" s="2043" customFormat="1" x14ac:dyDescent="0.2"/>
    <row r="15274" s="2043" customFormat="1" x14ac:dyDescent="0.2"/>
    <row r="15275" s="2043" customFormat="1" x14ac:dyDescent="0.2"/>
    <row r="15276" s="2043" customFormat="1" x14ac:dyDescent="0.2"/>
    <row r="15277" s="2043" customFormat="1" x14ac:dyDescent="0.2"/>
    <row r="15278" s="2043" customFormat="1" x14ac:dyDescent="0.2"/>
    <row r="15279" s="2043" customFormat="1" x14ac:dyDescent="0.2"/>
    <row r="15280" s="2043" customFormat="1" x14ac:dyDescent="0.2"/>
    <row r="15281" s="2043" customFormat="1" x14ac:dyDescent="0.2"/>
    <row r="15282" s="2043" customFormat="1" x14ac:dyDescent="0.2"/>
    <row r="15283" s="2043" customFormat="1" x14ac:dyDescent="0.2"/>
    <row r="15284" s="2043" customFormat="1" x14ac:dyDescent="0.2"/>
    <row r="15285" s="2043" customFormat="1" x14ac:dyDescent="0.2"/>
    <row r="15286" s="2043" customFormat="1" x14ac:dyDescent="0.2"/>
    <row r="15287" s="2043" customFormat="1" x14ac:dyDescent="0.2"/>
    <row r="15288" s="2043" customFormat="1" x14ac:dyDescent="0.2"/>
    <row r="15289" s="2043" customFormat="1" x14ac:dyDescent="0.2"/>
    <row r="15290" s="2043" customFormat="1" x14ac:dyDescent="0.2"/>
    <row r="15291" s="2043" customFormat="1" x14ac:dyDescent="0.2"/>
    <row r="15292" s="2043" customFormat="1" x14ac:dyDescent="0.2"/>
    <row r="15293" s="2043" customFormat="1" x14ac:dyDescent="0.2"/>
    <row r="15294" s="2043" customFormat="1" x14ac:dyDescent="0.2"/>
    <row r="15295" s="2043" customFormat="1" x14ac:dyDescent="0.2"/>
    <row r="15296" s="2043" customFormat="1" x14ac:dyDescent="0.2"/>
    <row r="15297" s="2043" customFormat="1" x14ac:dyDescent="0.2"/>
    <row r="15298" s="2043" customFormat="1" x14ac:dyDescent="0.2"/>
    <row r="15299" s="2043" customFormat="1" x14ac:dyDescent="0.2"/>
    <row r="15300" s="2043" customFormat="1" x14ac:dyDescent="0.2"/>
    <row r="15301" s="2043" customFormat="1" x14ac:dyDescent="0.2"/>
    <row r="15302" s="2043" customFormat="1" x14ac:dyDescent="0.2"/>
    <row r="15303" s="2043" customFormat="1" x14ac:dyDescent="0.2"/>
    <row r="15304" s="2043" customFormat="1" x14ac:dyDescent="0.2"/>
    <row r="15305" s="2043" customFormat="1" x14ac:dyDescent="0.2"/>
    <row r="15306" s="2043" customFormat="1" x14ac:dyDescent="0.2"/>
    <row r="15307" s="2043" customFormat="1" x14ac:dyDescent="0.2"/>
    <row r="15308" s="2043" customFormat="1" x14ac:dyDescent="0.2"/>
    <row r="15309" s="2043" customFormat="1" x14ac:dyDescent="0.2"/>
    <row r="15310" s="2043" customFormat="1" x14ac:dyDescent="0.2"/>
    <row r="15311" s="2043" customFormat="1" x14ac:dyDescent="0.2"/>
    <row r="15312" s="2043" customFormat="1" x14ac:dyDescent="0.2"/>
    <row r="15313" s="2043" customFormat="1" x14ac:dyDescent="0.2"/>
    <row r="15314" s="2043" customFormat="1" x14ac:dyDescent="0.2"/>
    <row r="15315" s="2043" customFormat="1" x14ac:dyDescent="0.2"/>
    <row r="15316" s="2043" customFormat="1" x14ac:dyDescent="0.2"/>
    <row r="15317" s="2043" customFormat="1" x14ac:dyDescent="0.2"/>
    <row r="15318" s="2043" customFormat="1" x14ac:dyDescent="0.2"/>
    <row r="15319" s="2043" customFormat="1" x14ac:dyDescent="0.2"/>
    <row r="15320" s="2043" customFormat="1" x14ac:dyDescent="0.2"/>
    <row r="15321" s="2043" customFormat="1" x14ac:dyDescent="0.2"/>
    <row r="15322" s="2043" customFormat="1" x14ac:dyDescent="0.2"/>
    <row r="15323" s="2043" customFormat="1" x14ac:dyDescent="0.2"/>
    <row r="15324" s="2043" customFormat="1" x14ac:dyDescent="0.2"/>
    <row r="15325" s="2043" customFormat="1" x14ac:dyDescent="0.2"/>
    <row r="15326" s="2043" customFormat="1" x14ac:dyDescent="0.2"/>
    <row r="15327" s="2043" customFormat="1" x14ac:dyDescent="0.2"/>
    <row r="15328" s="2043" customFormat="1" x14ac:dyDescent="0.2"/>
    <row r="15329" s="2043" customFormat="1" x14ac:dyDescent="0.2"/>
    <row r="15330" s="2043" customFormat="1" x14ac:dyDescent="0.2"/>
    <row r="15331" s="2043" customFormat="1" x14ac:dyDescent="0.2"/>
    <row r="15332" s="2043" customFormat="1" x14ac:dyDescent="0.2"/>
    <row r="15333" s="2043" customFormat="1" x14ac:dyDescent="0.2"/>
    <row r="15334" s="2043" customFormat="1" x14ac:dyDescent="0.2"/>
    <row r="15335" s="2043" customFormat="1" x14ac:dyDescent="0.2"/>
    <row r="15336" s="2043" customFormat="1" x14ac:dyDescent="0.2"/>
    <row r="15337" s="2043" customFormat="1" x14ac:dyDescent="0.2"/>
    <row r="15338" s="2043" customFormat="1" x14ac:dyDescent="0.2"/>
    <row r="15339" s="2043" customFormat="1" x14ac:dyDescent="0.2"/>
    <row r="15340" s="2043" customFormat="1" x14ac:dyDescent="0.2"/>
    <row r="15341" s="2043" customFormat="1" x14ac:dyDescent="0.2"/>
    <row r="15342" s="2043" customFormat="1" x14ac:dyDescent="0.2"/>
    <row r="15343" s="2043" customFormat="1" x14ac:dyDescent="0.2"/>
    <row r="15344" s="2043" customFormat="1" x14ac:dyDescent="0.2"/>
    <row r="15345" s="2043" customFormat="1" x14ac:dyDescent="0.2"/>
    <row r="15346" s="2043" customFormat="1" x14ac:dyDescent="0.2"/>
    <row r="15347" s="2043" customFormat="1" x14ac:dyDescent="0.2"/>
    <row r="15348" s="2043" customFormat="1" x14ac:dyDescent="0.2"/>
    <row r="15349" s="2043" customFormat="1" x14ac:dyDescent="0.2"/>
    <row r="15350" s="2043" customFormat="1" x14ac:dyDescent="0.2"/>
    <row r="15351" s="2043" customFormat="1" x14ac:dyDescent="0.2"/>
    <row r="15352" s="2043" customFormat="1" x14ac:dyDescent="0.2"/>
    <row r="15353" s="2043" customFormat="1" x14ac:dyDescent="0.2"/>
    <row r="15354" s="2043" customFormat="1" x14ac:dyDescent="0.2"/>
    <row r="15355" s="2043" customFormat="1" x14ac:dyDescent="0.2"/>
    <row r="15356" s="2043" customFormat="1" x14ac:dyDescent="0.2"/>
    <row r="15357" s="2043" customFormat="1" x14ac:dyDescent="0.2"/>
    <row r="15358" s="2043" customFormat="1" x14ac:dyDescent="0.2"/>
    <row r="15359" s="2043" customFormat="1" x14ac:dyDescent="0.2"/>
    <row r="15360" s="2043" customFormat="1" x14ac:dyDescent="0.2"/>
    <row r="15361" s="2043" customFormat="1" x14ac:dyDescent="0.2"/>
    <row r="15362" s="2043" customFormat="1" x14ac:dyDescent="0.2"/>
    <row r="15363" s="2043" customFormat="1" x14ac:dyDescent="0.2"/>
    <row r="15364" s="2043" customFormat="1" x14ac:dyDescent="0.2"/>
    <row r="15365" s="2043" customFormat="1" x14ac:dyDescent="0.2"/>
    <row r="15366" s="2043" customFormat="1" x14ac:dyDescent="0.2"/>
    <row r="15367" s="2043" customFormat="1" x14ac:dyDescent="0.2"/>
    <row r="15368" s="2043" customFormat="1" x14ac:dyDescent="0.2"/>
    <row r="15369" s="2043" customFormat="1" x14ac:dyDescent="0.2"/>
    <row r="15370" s="2043" customFormat="1" x14ac:dyDescent="0.2"/>
    <row r="15371" s="2043" customFormat="1" x14ac:dyDescent="0.2"/>
    <row r="15372" s="2043" customFormat="1" x14ac:dyDescent="0.2"/>
    <row r="15373" s="2043" customFormat="1" x14ac:dyDescent="0.2"/>
    <row r="15374" s="2043" customFormat="1" x14ac:dyDescent="0.2"/>
    <row r="15375" s="2043" customFormat="1" x14ac:dyDescent="0.2"/>
    <row r="15376" s="2043" customFormat="1" x14ac:dyDescent="0.2"/>
    <row r="15377" s="2043" customFormat="1" x14ac:dyDescent="0.2"/>
    <row r="15378" s="2043" customFormat="1" x14ac:dyDescent="0.2"/>
    <row r="15379" s="2043" customFormat="1" x14ac:dyDescent="0.2"/>
    <row r="15380" s="2043" customFormat="1" x14ac:dyDescent="0.2"/>
    <row r="15381" s="2043" customFormat="1" x14ac:dyDescent="0.2"/>
    <row r="15382" s="2043" customFormat="1" x14ac:dyDescent="0.2"/>
    <row r="15383" s="2043" customFormat="1" x14ac:dyDescent="0.2"/>
    <row r="15384" s="2043" customFormat="1" x14ac:dyDescent="0.2"/>
    <row r="15385" s="2043" customFormat="1" x14ac:dyDescent="0.2"/>
    <row r="15386" s="2043" customFormat="1" x14ac:dyDescent="0.2"/>
    <row r="15387" s="2043" customFormat="1" x14ac:dyDescent="0.2"/>
    <row r="15388" s="2043" customFormat="1" x14ac:dyDescent="0.2"/>
    <row r="15389" s="2043" customFormat="1" x14ac:dyDescent="0.2"/>
    <row r="15390" s="2043" customFormat="1" x14ac:dyDescent="0.2"/>
    <row r="15391" s="2043" customFormat="1" x14ac:dyDescent="0.2"/>
    <row r="15392" s="2043" customFormat="1" x14ac:dyDescent="0.2"/>
    <row r="15393" s="2043" customFormat="1" x14ac:dyDescent="0.2"/>
    <row r="15394" s="2043" customFormat="1" x14ac:dyDescent="0.2"/>
    <row r="15395" s="2043" customFormat="1" x14ac:dyDescent="0.2"/>
    <row r="15396" s="2043" customFormat="1" x14ac:dyDescent="0.2"/>
    <row r="15397" s="2043" customFormat="1" x14ac:dyDescent="0.2"/>
    <row r="15398" s="2043" customFormat="1" x14ac:dyDescent="0.2"/>
    <row r="15399" s="2043" customFormat="1" x14ac:dyDescent="0.2"/>
    <row r="15400" s="2043" customFormat="1" x14ac:dyDescent="0.2"/>
    <row r="15401" s="2043" customFormat="1" x14ac:dyDescent="0.2"/>
    <row r="15402" s="2043" customFormat="1" x14ac:dyDescent="0.2"/>
    <row r="15403" s="2043" customFormat="1" x14ac:dyDescent="0.2"/>
    <row r="15404" s="2043" customFormat="1" x14ac:dyDescent="0.2"/>
    <row r="15405" s="2043" customFormat="1" x14ac:dyDescent="0.2"/>
    <row r="15406" s="2043" customFormat="1" x14ac:dyDescent="0.2"/>
    <row r="15407" s="2043" customFormat="1" x14ac:dyDescent="0.2"/>
    <row r="15408" s="2043" customFormat="1" x14ac:dyDescent="0.2"/>
    <row r="15409" s="2043" customFormat="1" x14ac:dyDescent="0.2"/>
    <row r="15410" s="2043" customFormat="1" x14ac:dyDescent="0.2"/>
    <row r="15411" s="2043" customFormat="1" x14ac:dyDescent="0.2"/>
    <row r="15412" s="2043" customFormat="1" x14ac:dyDescent="0.2"/>
    <row r="15413" s="2043" customFormat="1" x14ac:dyDescent="0.2"/>
    <row r="15414" s="2043" customFormat="1" x14ac:dyDescent="0.2"/>
    <row r="15415" s="2043" customFormat="1" x14ac:dyDescent="0.2"/>
    <row r="15416" s="2043" customFormat="1" x14ac:dyDescent="0.2"/>
    <row r="15417" s="2043" customFormat="1" x14ac:dyDescent="0.2"/>
    <row r="15418" s="2043" customFormat="1" x14ac:dyDescent="0.2"/>
    <row r="15419" s="2043" customFormat="1" x14ac:dyDescent="0.2"/>
    <row r="15420" s="2043" customFormat="1" x14ac:dyDescent="0.2"/>
    <row r="15421" s="2043" customFormat="1" x14ac:dyDescent="0.2"/>
    <row r="15422" s="2043" customFormat="1" x14ac:dyDescent="0.2"/>
    <row r="15423" s="2043" customFormat="1" x14ac:dyDescent="0.2"/>
    <row r="15424" s="2043" customFormat="1" x14ac:dyDescent="0.2"/>
    <row r="15425" s="2043" customFormat="1" x14ac:dyDescent="0.2"/>
    <row r="15426" s="2043" customFormat="1" x14ac:dyDescent="0.2"/>
    <row r="15427" s="2043" customFormat="1" x14ac:dyDescent="0.2"/>
    <row r="15428" s="2043" customFormat="1" x14ac:dyDescent="0.2"/>
    <row r="15429" s="2043" customFormat="1" x14ac:dyDescent="0.2"/>
    <row r="15430" s="2043" customFormat="1" x14ac:dyDescent="0.2"/>
    <row r="15431" s="2043" customFormat="1" x14ac:dyDescent="0.2"/>
    <row r="15432" s="2043" customFormat="1" x14ac:dyDescent="0.2"/>
    <row r="15433" s="2043" customFormat="1" x14ac:dyDescent="0.2"/>
    <row r="15434" s="2043" customFormat="1" x14ac:dyDescent="0.2"/>
    <row r="15435" s="2043" customFormat="1" x14ac:dyDescent="0.2"/>
    <row r="15436" s="2043" customFormat="1" x14ac:dyDescent="0.2"/>
    <row r="15437" s="2043" customFormat="1" x14ac:dyDescent="0.2"/>
    <row r="15438" s="2043" customFormat="1" x14ac:dyDescent="0.2"/>
    <row r="15439" s="2043" customFormat="1" x14ac:dyDescent="0.2"/>
    <row r="15440" s="2043" customFormat="1" x14ac:dyDescent="0.2"/>
    <row r="15441" s="2043" customFormat="1" x14ac:dyDescent="0.2"/>
    <row r="15442" s="2043" customFormat="1" x14ac:dyDescent="0.2"/>
    <row r="15443" s="2043" customFormat="1" x14ac:dyDescent="0.2"/>
    <row r="15444" s="2043" customFormat="1" x14ac:dyDescent="0.2"/>
    <row r="15445" s="2043" customFormat="1" x14ac:dyDescent="0.2"/>
    <row r="15446" s="2043" customFormat="1" x14ac:dyDescent="0.2"/>
    <row r="15447" s="2043" customFormat="1" x14ac:dyDescent="0.2"/>
    <row r="15448" s="2043" customFormat="1" x14ac:dyDescent="0.2"/>
    <row r="15449" s="2043" customFormat="1" x14ac:dyDescent="0.2"/>
    <row r="15450" s="2043" customFormat="1" x14ac:dyDescent="0.2"/>
    <row r="15451" s="2043" customFormat="1" x14ac:dyDescent="0.2"/>
    <row r="15452" s="2043" customFormat="1" x14ac:dyDescent="0.2"/>
    <row r="15453" s="2043" customFormat="1" x14ac:dyDescent="0.2"/>
    <row r="15454" s="2043" customFormat="1" x14ac:dyDescent="0.2"/>
    <row r="15455" s="2043" customFormat="1" x14ac:dyDescent="0.2"/>
    <row r="15456" s="2043" customFormat="1" x14ac:dyDescent="0.2"/>
    <row r="15457" s="2043" customFormat="1" x14ac:dyDescent="0.2"/>
    <row r="15458" s="2043" customFormat="1" x14ac:dyDescent="0.2"/>
    <row r="15459" s="2043" customFormat="1" x14ac:dyDescent="0.2"/>
    <row r="15460" s="2043" customFormat="1" x14ac:dyDescent="0.2"/>
    <row r="15461" s="2043" customFormat="1" x14ac:dyDescent="0.2"/>
    <row r="15462" s="2043" customFormat="1" x14ac:dyDescent="0.2"/>
    <row r="15463" s="2043" customFormat="1" x14ac:dyDescent="0.2"/>
    <row r="15464" s="2043" customFormat="1" x14ac:dyDescent="0.2"/>
    <row r="15465" s="2043" customFormat="1" x14ac:dyDescent="0.2"/>
    <row r="15466" s="2043" customFormat="1" x14ac:dyDescent="0.2"/>
    <row r="15467" s="2043" customFormat="1" x14ac:dyDescent="0.2"/>
    <row r="15468" s="2043" customFormat="1" x14ac:dyDescent="0.2"/>
    <row r="15469" s="2043" customFormat="1" x14ac:dyDescent="0.2"/>
    <row r="15470" s="2043" customFormat="1" x14ac:dyDescent="0.2"/>
    <row r="15471" s="2043" customFormat="1" x14ac:dyDescent="0.2"/>
    <row r="15472" s="2043" customFormat="1" x14ac:dyDescent="0.2"/>
    <row r="15473" s="2043" customFormat="1" x14ac:dyDescent="0.2"/>
    <row r="15474" s="2043" customFormat="1" x14ac:dyDescent="0.2"/>
    <row r="15475" s="2043" customFormat="1" x14ac:dyDescent="0.2"/>
    <row r="15476" s="2043" customFormat="1" x14ac:dyDescent="0.2"/>
    <row r="15477" s="2043" customFormat="1" x14ac:dyDescent="0.2"/>
    <row r="15478" s="2043" customFormat="1" x14ac:dyDescent="0.2"/>
    <row r="15479" s="2043" customFormat="1" x14ac:dyDescent="0.2"/>
    <row r="15480" s="2043" customFormat="1" x14ac:dyDescent="0.2"/>
    <row r="15481" s="2043" customFormat="1" x14ac:dyDescent="0.2"/>
    <row r="15482" s="2043" customFormat="1" x14ac:dyDescent="0.2"/>
    <row r="15483" s="2043" customFormat="1" x14ac:dyDescent="0.2"/>
    <row r="15484" s="2043" customFormat="1" x14ac:dyDescent="0.2"/>
    <row r="15485" s="2043" customFormat="1" x14ac:dyDescent="0.2"/>
    <row r="15486" s="2043" customFormat="1" x14ac:dyDescent="0.2"/>
    <row r="15487" s="2043" customFormat="1" x14ac:dyDescent="0.2"/>
    <row r="15488" s="2043" customFormat="1" x14ac:dyDescent="0.2"/>
    <row r="15489" s="2043" customFormat="1" x14ac:dyDescent="0.2"/>
    <row r="15490" s="2043" customFormat="1" x14ac:dyDescent="0.2"/>
    <row r="15491" s="2043" customFormat="1" x14ac:dyDescent="0.2"/>
    <row r="15492" s="2043" customFormat="1" x14ac:dyDescent="0.2"/>
    <row r="15493" s="2043" customFormat="1" x14ac:dyDescent="0.2"/>
    <row r="15494" s="2043" customFormat="1" x14ac:dyDescent="0.2"/>
    <row r="15495" s="2043" customFormat="1" x14ac:dyDescent="0.2"/>
    <row r="15496" s="2043" customFormat="1" x14ac:dyDescent="0.2"/>
    <row r="15497" s="2043" customFormat="1" x14ac:dyDescent="0.2"/>
    <row r="15498" s="2043" customFormat="1" x14ac:dyDescent="0.2"/>
    <row r="15499" s="2043" customFormat="1" x14ac:dyDescent="0.2"/>
    <row r="15500" s="2043" customFormat="1" x14ac:dyDescent="0.2"/>
    <row r="15501" s="2043" customFormat="1" x14ac:dyDescent="0.2"/>
    <row r="15502" s="2043" customFormat="1" x14ac:dyDescent="0.2"/>
    <row r="15503" s="2043" customFormat="1" x14ac:dyDescent="0.2"/>
    <row r="15504" s="2043" customFormat="1" x14ac:dyDescent="0.2"/>
    <row r="15505" s="2043" customFormat="1" x14ac:dyDescent="0.2"/>
    <row r="15506" s="2043" customFormat="1" x14ac:dyDescent="0.2"/>
    <row r="15507" s="2043" customFormat="1" x14ac:dyDescent="0.2"/>
    <row r="15508" s="2043" customFormat="1" x14ac:dyDescent="0.2"/>
    <row r="15509" s="2043" customFormat="1" x14ac:dyDescent="0.2"/>
    <row r="15510" s="2043" customFormat="1" x14ac:dyDescent="0.2"/>
    <row r="15511" s="2043" customFormat="1" x14ac:dyDescent="0.2"/>
    <row r="15512" s="2043" customFormat="1" x14ac:dyDescent="0.2"/>
    <row r="15513" s="2043" customFormat="1" x14ac:dyDescent="0.2"/>
    <row r="15514" s="2043" customFormat="1" x14ac:dyDescent="0.2"/>
    <row r="15515" s="2043" customFormat="1" x14ac:dyDescent="0.2"/>
    <row r="15516" s="2043" customFormat="1" x14ac:dyDescent="0.2"/>
    <row r="15517" s="2043" customFormat="1" x14ac:dyDescent="0.2"/>
    <row r="15518" s="2043" customFormat="1" x14ac:dyDescent="0.2"/>
    <row r="15519" s="2043" customFormat="1" x14ac:dyDescent="0.2"/>
    <row r="15520" s="2043" customFormat="1" x14ac:dyDescent="0.2"/>
    <row r="15521" s="2043" customFormat="1" x14ac:dyDescent="0.2"/>
    <row r="15522" s="2043" customFormat="1" x14ac:dyDescent="0.2"/>
    <row r="15523" s="2043" customFormat="1" x14ac:dyDescent="0.2"/>
    <row r="15524" s="2043" customFormat="1" x14ac:dyDescent="0.2"/>
    <row r="15525" s="2043" customFormat="1" x14ac:dyDescent="0.2"/>
    <row r="15526" s="2043" customFormat="1" x14ac:dyDescent="0.2"/>
    <row r="15527" s="2043" customFormat="1" x14ac:dyDescent="0.2"/>
    <row r="15528" s="2043" customFormat="1" x14ac:dyDescent="0.2"/>
    <row r="15529" s="2043" customFormat="1" x14ac:dyDescent="0.2"/>
    <row r="15530" s="2043" customFormat="1" x14ac:dyDescent="0.2"/>
    <row r="15531" s="2043" customFormat="1" x14ac:dyDescent="0.2"/>
    <row r="15532" s="2043" customFormat="1" x14ac:dyDescent="0.2"/>
    <row r="15533" s="2043" customFormat="1" x14ac:dyDescent="0.2"/>
    <row r="15534" s="2043" customFormat="1" x14ac:dyDescent="0.2"/>
    <row r="15535" s="2043" customFormat="1" x14ac:dyDescent="0.2"/>
    <row r="15536" s="2043" customFormat="1" x14ac:dyDescent="0.2"/>
    <row r="15537" s="2043" customFormat="1" x14ac:dyDescent="0.2"/>
    <row r="15538" s="2043" customFormat="1" x14ac:dyDescent="0.2"/>
    <row r="15539" s="2043" customFormat="1" x14ac:dyDescent="0.2"/>
    <row r="15540" s="2043" customFormat="1" x14ac:dyDescent="0.2"/>
    <row r="15541" s="2043" customFormat="1" x14ac:dyDescent="0.2"/>
    <row r="15542" s="2043" customFormat="1" x14ac:dyDescent="0.2"/>
    <row r="15543" s="2043" customFormat="1" x14ac:dyDescent="0.2"/>
    <row r="15544" s="2043" customFormat="1" x14ac:dyDescent="0.2"/>
    <row r="15545" s="2043" customFormat="1" x14ac:dyDescent="0.2"/>
    <row r="15546" s="2043" customFormat="1" x14ac:dyDescent="0.2"/>
    <row r="15547" s="2043" customFormat="1" x14ac:dyDescent="0.2"/>
    <row r="15548" s="2043" customFormat="1" x14ac:dyDescent="0.2"/>
    <row r="15549" s="2043" customFormat="1" x14ac:dyDescent="0.2"/>
    <row r="15550" s="2043" customFormat="1" x14ac:dyDescent="0.2"/>
    <row r="15551" s="2043" customFormat="1" x14ac:dyDescent="0.2"/>
    <row r="15552" s="2043" customFormat="1" x14ac:dyDescent="0.2"/>
    <row r="15553" s="2043" customFormat="1" x14ac:dyDescent="0.2"/>
    <row r="15554" s="2043" customFormat="1" x14ac:dyDescent="0.2"/>
    <row r="15555" s="2043" customFormat="1" x14ac:dyDescent="0.2"/>
    <row r="15556" s="2043" customFormat="1" x14ac:dyDescent="0.2"/>
    <row r="15557" s="2043" customFormat="1" x14ac:dyDescent="0.2"/>
    <row r="15558" s="2043" customFormat="1" x14ac:dyDescent="0.2"/>
    <row r="15559" s="2043" customFormat="1" x14ac:dyDescent="0.2"/>
    <row r="15560" s="2043" customFormat="1" x14ac:dyDescent="0.2"/>
    <row r="15561" s="2043" customFormat="1" x14ac:dyDescent="0.2"/>
    <row r="15562" s="2043" customFormat="1" x14ac:dyDescent="0.2"/>
    <row r="15563" s="2043" customFormat="1" x14ac:dyDescent="0.2"/>
    <row r="15564" s="2043" customFormat="1" x14ac:dyDescent="0.2"/>
    <row r="15565" s="2043" customFormat="1" x14ac:dyDescent="0.2"/>
    <row r="15566" s="2043" customFormat="1" x14ac:dyDescent="0.2"/>
    <row r="15567" s="2043" customFormat="1" x14ac:dyDescent="0.2"/>
    <row r="15568" s="2043" customFormat="1" x14ac:dyDescent="0.2"/>
    <row r="15569" s="2043" customFormat="1" x14ac:dyDescent="0.2"/>
    <row r="15570" s="2043" customFormat="1" x14ac:dyDescent="0.2"/>
    <row r="15571" s="2043" customFormat="1" x14ac:dyDescent="0.2"/>
    <row r="15572" s="2043" customFormat="1" x14ac:dyDescent="0.2"/>
    <row r="15573" s="2043" customFormat="1" x14ac:dyDescent="0.2"/>
    <row r="15574" s="2043" customFormat="1" x14ac:dyDescent="0.2"/>
    <row r="15575" s="2043" customFormat="1" x14ac:dyDescent="0.2"/>
    <row r="15576" s="2043" customFormat="1" x14ac:dyDescent="0.2"/>
    <row r="15577" s="2043" customFormat="1" x14ac:dyDescent="0.2"/>
    <row r="15578" s="2043" customFormat="1" x14ac:dyDescent="0.2"/>
    <row r="15579" s="2043" customFormat="1" x14ac:dyDescent="0.2"/>
    <row r="15580" s="2043" customFormat="1" x14ac:dyDescent="0.2"/>
    <row r="15581" s="2043" customFormat="1" x14ac:dyDescent="0.2"/>
    <row r="15582" s="2043" customFormat="1" x14ac:dyDescent="0.2"/>
    <row r="15583" s="2043" customFormat="1" x14ac:dyDescent="0.2"/>
    <row r="15584" s="2043" customFormat="1" x14ac:dyDescent="0.2"/>
    <row r="15585" s="2043" customFormat="1" x14ac:dyDescent="0.2"/>
    <row r="15586" s="2043" customFormat="1" x14ac:dyDescent="0.2"/>
    <row r="15587" s="2043" customFormat="1" x14ac:dyDescent="0.2"/>
    <row r="15588" s="2043" customFormat="1" x14ac:dyDescent="0.2"/>
    <row r="15589" s="2043" customFormat="1" x14ac:dyDescent="0.2"/>
    <row r="15590" s="2043" customFormat="1" x14ac:dyDescent="0.2"/>
    <row r="15591" s="2043" customFormat="1" x14ac:dyDescent="0.2"/>
    <row r="15592" s="2043" customFormat="1" x14ac:dyDescent="0.2"/>
    <row r="15593" s="2043" customFormat="1" x14ac:dyDescent="0.2"/>
    <row r="15594" s="2043" customFormat="1" x14ac:dyDescent="0.2"/>
    <row r="15595" s="2043" customFormat="1" x14ac:dyDescent="0.2"/>
    <row r="15596" s="2043" customFormat="1" x14ac:dyDescent="0.2"/>
    <row r="15597" s="2043" customFormat="1" x14ac:dyDescent="0.2"/>
    <row r="15598" s="2043" customFormat="1" x14ac:dyDescent="0.2"/>
    <row r="15599" s="2043" customFormat="1" x14ac:dyDescent="0.2"/>
    <row r="15600" s="2043" customFormat="1" x14ac:dyDescent="0.2"/>
    <row r="15601" s="2043" customFormat="1" x14ac:dyDescent="0.2"/>
    <row r="15602" s="2043" customFormat="1" x14ac:dyDescent="0.2"/>
    <row r="15603" s="2043" customFormat="1" x14ac:dyDescent="0.2"/>
    <row r="15604" s="2043" customFormat="1" x14ac:dyDescent="0.2"/>
    <row r="15605" s="2043" customFormat="1" x14ac:dyDescent="0.2"/>
    <row r="15606" s="2043" customFormat="1" x14ac:dyDescent="0.2"/>
    <row r="15607" s="2043" customFormat="1" x14ac:dyDescent="0.2"/>
    <row r="15608" s="2043" customFormat="1" x14ac:dyDescent="0.2"/>
    <row r="15609" s="2043" customFormat="1" x14ac:dyDescent="0.2"/>
    <row r="15610" s="2043" customFormat="1" x14ac:dyDescent="0.2"/>
    <row r="15611" s="2043" customFormat="1" x14ac:dyDescent="0.2"/>
    <row r="15612" s="2043" customFormat="1" x14ac:dyDescent="0.2"/>
    <row r="15613" s="2043" customFormat="1" x14ac:dyDescent="0.2"/>
    <row r="15614" s="2043" customFormat="1" x14ac:dyDescent="0.2"/>
    <row r="15615" s="2043" customFormat="1" x14ac:dyDescent="0.2"/>
    <row r="15616" s="2043" customFormat="1" x14ac:dyDescent="0.2"/>
    <row r="15617" s="2043" customFormat="1" x14ac:dyDescent="0.2"/>
    <row r="15618" s="2043" customFormat="1" x14ac:dyDescent="0.2"/>
    <row r="15619" s="2043" customFormat="1" x14ac:dyDescent="0.2"/>
    <row r="15620" s="2043" customFormat="1" x14ac:dyDescent="0.2"/>
    <row r="15621" s="2043" customFormat="1" x14ac:dyDescent="0.2"/>
    <row r="15622" s="2043" customFormat="1" x14ac:dyDescent="0.2"/>
    <row r="15623" s="2043" customFormat="1" x14ac:dyDescent="0.2"/>
    <row r="15624" s="2043" customFormat="1" x14ac:dyDescent="0.2"/>
    <row r="15625" s="2043" customFormat="1" x14ac:dyDescent="0.2"/>
    <row r="15626" s="2043" customFormat="1" x14ac:dyDescent="0.2"/>
    <row r="15627" s="2043" customFormat="1" x14ac:dyDescent="0.2"/>
    <row r="15628" s="2043" customFormat="1" x14ac:dyDescent="0.2"/>
    <row r="15629" s="2043" customFormat="1" x14ac:dyDescent="0.2"/>
    <row r="15630" s="2043" customFormat="1" x14ac:dyDescent="0.2"/>
    <row r="15631" s="2043" customFormat="1" x14ac:dyDescent="0.2"/>
    <row r="15632" s="2043" customFormat="1" x14ac:dyDescent="0.2"/>
    <row r="15633" s="2043" customFormat="1" x14ac:dyDescent="0.2"/>
    <row r="15634" s="2043" customFormat="1" x14ac:dyDescent="0.2"/>
    <row r="15635" s="2043" customFormat="1" x14ac:dyDescent="0.2"/>
    <row r="15636" s="2043" customFormat="1" x14ac:dyDescent="0.2"/>
    <row r="15637" s="2043" customFormat="1" x14ac:dyDescent="0.2"/>
    <row r="15638" s="2043" customFormat="1" x14ac:dyDescent="0.2"/>
    <row r="15639" s="2043" customFormat="1" x14ac:dyDescent="0.2"/>
    <row r="15640" s="2043" customFormat="1" x14ac:dyDescent="0.2"/>
    <row r="15641" s="2043" customFormat="1" x14ac:dyDescent="0.2"/>
    <row r="15642" s="2043" customFormat="1" x14ac:dyDescent="0.2"/>
    <row r="15643" s="2043" customFormat="1" x14ac:dyDescent="0.2"/>
    <row r="15644" s="2043" customFormat="1" x14ac:dyDescent="0.2"/>
    <row r="15645" s="2043" customFormat="1" x14ac:dyDescent="0.2"/>
    <row r="15646" s="2043" customFormat="1" x14ac:dyDescent="0.2"/>
    <row r="15647" s="2043" customFormat="1" x14ac:dyDescent="0.2"/>
    <row r="15648" s="2043" customFormat="1" x14ac:dyDescent="0.2"/>
    <row r="15649" s="2043" customFormat="1" x14ac:dyDescent="0.2"/>
    <row r="15650" s="2043" customFormat="1" x14ac:dyDescent="0.2"/>
    <row r="15651" s="2043" customFormat="1" x14ac:dyDescent="0.2"/>
    <row r="15652" s="2043" customFormat="1" x14ac:dyDescent="0.2"/>
    <row r="15653" s="2043" customFormat="1" x14ac:dyDescent="0.2"/>
    <row r="15654" s="2043" customFormat="1" x14ac:dyDescent="0.2"/>
    <row r="15655" s="2043" customFormat="1" x14ac:dyDescent="0.2"/>
    <row r="15656" s="2043" customFormat="1" x14ac:dyDescent="0.2"/>
    <row r="15657" s="2043" customFormat="1" x14ac:dyDescent="0.2"/>
    <row r="15658" s="2043" customFormat="1" x14ac:dyDescent="0.2"/>
    <row r="15659" s="2043" customFormat="1" x14ac:dyDescent="0.2"/>
    <row r="15660" s="2043" customFormat="1" x14ac:dyDescent="0.2"/>
    <row r="15661" s="2043" customFormat="1" x14ac:dyDescent="0.2"/>
    <row r="15662" s="2043" customFormat="1" x14ac:dyDescent="0.2"/>
    <row r="15663" s="2043" customFormat="1" x14ac:dyDescent="0.2"/>
    <row r="15664" s="2043" customFormat="1" x14ac:dyDescent="0.2"/>
    <row r="15665" s="2043" customFormat="1" x14ac:dyDescent="0.2"/>
    <row r="15666" s="2043" customFormat="1" x14ac:dyDescent="0.2"/>
    <row r="15667" s="2043" customFormat="1" x14ac:dyDescent="0.2"/>
    <row r="15668" s="2043" customFormat="1" x14ac:dyDescent="0.2"/>
    <row r="15669" s="2043" customFormat="1" x14ac:dyDescent="0.2"/>
    <row r="15670" s="2043" customFormat="1" x14ac:dyDescent="0.2"/>
    <row r="15671" s="2043" customFormat="1" x14ac:dyDescent="0.2"/>
    <row r="15672" s="2043" customFormat="1" x14ac:dyDescent="0.2"/>
    <row r="15673" s="2043" customFormat="1" x14ac:dyDescent="0.2"/>
    <row r="15674" s="2043" customFormat="1" x14ac:dyDescent="0.2"/>
    <row r="15675" s="2043" customFormat="1" x14ac:dyDescent="0.2"/>
    <row r="15676" s="2043" customFormat="1" x14ac:dyDescent="0.2"/>
    <row r="15677" s="2043" customFormat="1" x14ac:dyDescent="0.2"/>
    <row r="15678" s="2043" customFormat="1" x14ac:dyDescent="0.2"/>
    <row r="15679" s="2043" customFormat="1" x14ac:dyDescent="0.2"/>
    <row r="15680" s="2043" customFormat="1" x14ac:dyDescent="0.2"/>
    <row r="15681" s="2043" customFormat="1" x14ac:dyDescent="0.2"/>
    <row r="15682" s="2043" customFormat="1" x14ac:dyDescent="0.2"/>
    <row r="15683" s="2043" customFormat="1" x14ac:dyDescent="0.2"/>
    <row r="15684" s="2043" customFormat="1" x14ac:dyDescent="0.2"/>
    <row r="15685" s="2043" customFormat="1" x14ac:dyDescent="0.2"/>
    <row r="15686" s="2043" customFormat="1" x14ac:dyDescent="0.2"/>
    <row r="15687" s="2043" customFormat="1" x14ac:dyDescent="0.2"/>
    <row r="15688" s="2043" customFormat="1" x14ac:dyDescent="0.2"/>
    <row r="15689" s="2043" customFormat="1" x14ac:dyDescent="0.2"/>
    <row r="15690" s="2043" customFormat="1" x14ac:dyDescent="0.2"/>
    <row r="15691" s="2043" customFormat="1" x14ac:dyDescent="0.2"/>
    <row r="15692" s="2043" customFormat="1" x14ac:dyDescent="0.2"/>
    <row r="15693" s="2043" customFormat="1" x14ac:dyDescent="0.2"/>
    <row r="15694" s="2043" customFormat="1" x14ac:dyDescent="0.2"/>
    <row r="15695" s="2043" customFormat="1" x14ac:dyDescent="0.2"/>
    <row r="15696" s="2043" customFormat="1" x14ac:dyDescent="0.2"/>
    <row r="15697" s="2043" customFormat="1" x14ac:dyDescent="0.2"/>
    <row r="15698" s="2043" customFormat="1" x14ac:dyDescent="0.2"/>
    <row r="15699" s="2043" customFormat="1" x14ac:dyDescent="0.2"/>
    <row r="15700" s="2043" customFormat="1" x14ac:dyDescent="0.2"/>
    <row r="15701" s="2043" customFormat="1" x14ac:dyDescent="0.2"/>
    <row r="15702" s="2043" customFormat="1" x14ac:dyDescent="0.2"/>
    <row r="15703" s="2043" customFormat="1" x14ac:dyDescent="0.2"/>
    <row r="15704" s="2043" customFormat="1" x14ac:dyDescent="0.2"/>
    <row r="15705" s="2043" customFormat="1" x14ac:dyDescent="0.2"/>
    <row r="15706" s="2043" customFormat="1" x14ac:dyDescent="0.2"/>
    <row r="15707" s="2043" customFormat="1" x14ac:dyDescent="0.2"/>
    <row r="15708" s="2043" customFormat="1" x14ac:dyDescent="0.2"/>
    <row r="15709" s="2043" customFormat="1" x14ac:dyDescent="0.2"/>
    <row r="15710" s="2043" customFormat="1" x14ac:dyDescent="0.2"/>
    <row r="15711" s="2043" customFormat="1" x14ac:dyDescent="0.2"/>
    <row r="15712" s="2043" customFormat="1" x14ac:dyDescent="0.2"/>
    <row r="15713" s="2043" customFormat="1" x14ac:dyDescent="0.2"/>
    <row r="15714" s="2043" customFormat="1" x14ac:dyDescent="0.2"/>
    <row r="15715" s="2043" customFormat="1" x14ac:dyDescent="0.2"/>
    <row r="15716" s="2043" customFormat="1" x14ac:dyDescent="0.2"/>
    <row r="15717" s="2043" customFormat="1" x14ac:dyDescent="0.2"/>
    <row r="15718" s="2043" customFormat="1" x14ac:dyDescent="0.2"/>
    <row r="15719" s="2043" customFormat="1" x14ac:dyDescent="0.2"/>
    <row r="15720" s="2043" customFormat="1" x14ac:dyDescent="0.2"/>
    <row r="15721" s="2043" customFormat="1" x14ac:dyDescent="0.2"/>
    <row r="15722" s="2043" customFormat="1" x14ac:dyDescent="0.2"/>
    <row r="15723" s="2043" customFormat="1" x14ac:dyDescent="0.2"/>
    <row r="15724" s="2043" customFormat="1" x14ac:dyDescent="0.2"/>
    <row r="15725" s="2043" customFormat="1" x14ac:dyDescent="0.2"/>
    <row r="15726" s="2043" customFormat="1" x14ac:dyDescent="0.2"/>
    <row r="15727" s="2043" customFormat="1" x14ac:dyDescent="0.2"/>
    <row r="15728" s="2043" customFormat="1" x14ac:dyDescent="0.2"/>
    <row r="15729" s="2043" customFormat="1" x14ac:dyDescent="0.2"/>
    <row r="15730" s="2043" customFormat="1" x14ac:dyDescent="0.2"/>
    <row r="15731" s="2043" customFormat="1" x14ac:dyDescent="0.2"/>
    <row r="15732" s="2043" customFormat="1" x14ac:dyDescent="0.2"/>
    <row r="15733" s="2043" customFormat="1" x14ac:dyDescent="0.2"/>
    <row r="15734" s="2043" customFormat="1" x14ac:dyDescent="0.2"/>
    <row r="15735" s="2043" customFormat="1" x14ac:dyDescent="0.2"/>
    <row r="15736" s="2043" customFormat="1" x14ac:dyDescent="0.2"/>
    <row r="15737" s="2043" customFormat="1" x14ac:dyDescent="0.2"/>
    <row r="15738" s="2043" customFormat="1" x14ac:dyDescent="0.2"/>
    <row r="15739" s="2043" customFormat="1" x14ac:dyDescent="0.2"/>
    <row r="15740" s="2043" customFormat="1" x14ac:dyDescent="0.2"/>
    <row r="15741" s="2043" customFormat="1" x14ac:dyDescent="0.2"/>
    <row r="15742" s="2043" customFormat="1" x14ac:dyDescent="0.2"/>
    <row r="15743" s="2043" customFormat="1" x14ac:dyDescent="0.2"/>
    <row r="15744" s="2043" customFormat="1" x14ac:dyDescent="0.2"/>
    <row r="15745" s="2043" customFormat="1" x14ac:dyDescent="0.2"/>
    <row r="15746" s="2043" customFormat="1" x14ac:dyDescent="0.2"/>
    <row r="15747" s="2043" customFormat="1" x14ac:dyDescent="0.2"/>
    <row r="15748" s="2043" customFormat="1" x14ac:dyDescent="0.2"/>
    <row r="15749" s="2043" customFormat="1" x14ac:dyDescent="0.2"/>
    <row r="15750" s="2043" customFormat="1" x14ac:dyDescent="0.2"/>
    <row r="15751" s="2043" customFormat="1" x14ac:dyDescent="0.2"/>
    <row r="15752" s="2043" customFormat="1" x14ac:dyDescent="0.2"/>
    <row r="15753" s="2043" customFormat="1" x14ac:dyDescent="0.2"/>
    <row r="15754" s="2043" customFormat="1" x14ac:dyDescent="0.2"/>
    <row r="15755" s="2043" customFormat="1" x14ac:dyDescent="0.2"/>
    <row r="15756" s="2043" customFormat="1" x14ac:dyDescent="0.2"/>
    <row r="15757" s="2043" customFormat="1" x14ac:dyDescent="0.2"/>
    <row r="15758" s="2043" customFormat="1" x14ac:dyDescent="0.2"/>
    <row r="15759" s="2043" customFormat="1" x14ac:dyDescent="0.2"/>
    <row r="15760" s="2043" customFormat="1" x14ac:dyDescent="0.2"/>
    <row r="15761" s="2043" customFormat="1" x14ac:dyDescent="0.2"/>
    <row r="15762" s="2043" customFormat="1" x14ac:dyDescent="0.2"/>
    <row r="15763" s="2043" customFormat="1" x14ac:dyDescent="0.2"/>
    <row r="15764" s="2043" customFormat="1" x14ac:dyDescent="0.2"/>
    <row r="15765" s="2043" customFormat="1" x14ac:dyDescent="0.2"/>
    <row r="15766" s="2043" customFormat="1" x14ac:dyDescent="0.2"/>
    <row r="15767" s="2043" customFormat="1" x14ac:dyDescent="0.2"/>
    <row r="15768" s="2043" customFormat="1" x14ac:dyDescent="0.2"/>
    <row r="15769" s="2043" customFormat="1" x14ac:dyDescent="0.2"/>
    <row r="15770" s="2043" customFormat="1" x14ac:dyDescent="0.2"/>
    <row r="15771" s="2043" customFormat="1" x14ac:dyDescent="0.2"/>
    <row r="15772" s="2043" customFormat="1" x14ac:dyDescent="0.2"/>
    <row r="15773" s="2043" customFormat="1" x14ac:dyDescent="0.2"/>
    <row r="15774" s="2043" customFormat="1" x14ac:dyDescent="0.2"/>
    <row r="15775" s="2043" customFormat="1" x14ac:dyDescent="0.2"/>
    <row r="15776" s="2043" customFormat="1" x14ac:dyDescent="0.2"/>
    <row r="15777" s="2043" customFormat="1" x14ac:dyDescent="0.2"/>
    <row r="15778" s="2043" customFormat="1" x14ac:dyDescent="0.2"/>
    <row r="15779" s="2043" customFormat="1" x14ac:dyDescent="0.2"/>
    <row r="15780" s="2043" customFormat="1" x14ac:dyDescent="0.2"/>
    <row r="15781" s="2043" customFormat="1" x14ac:dyDescent="0.2"/>
    <row r="15782" s="2043" customFormat="1" x14ac:dyDescent="0.2"/>
    <row r="15783" s="2043" customFormat="1" x14ac:dyDescent="0.2"/>
    <row r="15784" s="2043" customFormat="1" x14ac:dyDescent="0.2"/>
    <row r="15785" s="2043" customFormat="1" x14ac:dyDescent="0.2"/>
    <row r="15786" s="2043" customFormat="1" x14ac:dyDescent="0.2"/>
    <row r="15787" s="2043" customFormat="1" x14ac:dyDescent="0.2"/>
    <row r="15788" s="2043" customFormat="1" x14ac:dyDescent="0.2"/>
    <row r="15789" s="2043" customFormat="1" x14ac:dyDescent="0.2"/>
    <row r="15790" s="2043" customFormat="1" x14ac:dyDescent="0.2"/>
    <row r="15791" s="2043" customFormat="1" x14ac:dyDescent="0.2"/>
    <row r="15792" s="2043" customFormat="1" x14ac:dyDescent="0.2"/>
    <row r="15793" s="2043" customFormat="1" x14ac:dyDescent="0.2"/>
    <row r="15794" s="2043" customFormat="1" x14ac:dyDescent="0.2"/>
    <row r="15795" s="2043" customFormat="1" x14ac:dyDescent="0.2"/>
    <row r="15796" s="2043" customFormat="1" x14ac:dyDescent="0.2"/>
    <row r="15797" s="2043" customFormat="1" x14ac:dyDescent="0.2"/>
    <row r="15798" s="2043" customFormat="1" x14ac:dyDescent="0.2"/>
    <row r="15799" s="2043" customFormat="1" x14ac:dyDescent="0.2"/>
    <row r="15800" s="2043" customFormat="1" x14ac:dyDescent="0.2"/>
    <row r="15801" s="2043" customFormat="1" x14ac:dyDescent="0.2"/>
    <row r="15802" s="2043" customFormat="1" x14ac:dyDescent="0.2"/>
    <row r="15803" s="2043" customFormat="1" x14ac:dyDescent="0.2"/>
    <row r="15804" s="2043" customFormat="1" x14ac:dyDescent="0.2"/>
    <row r="15805" s="2043" customFormat="1" x14ac:dyDescent="0.2"/>
    <row r="15806" s="2043" customFormat="1" x14ac:dyDescent="0.2"/>
    <row r="15807" s="2043" customFormat="1" x14ac:dyDescent="0.2"/>
    <row r="15808" s="2043" customFormat="1" x14ac:dyDescent="0.2"/>
    <row r="15809" s="2043" customFormat="1" x14ac:dyDescent="0.2"/>
    <row r="15810" s="2043" customFormat="1" x14ac:dyDescent="0.2"/>
    <row r="15811" s="2043" customFormat="1" x14ac:dyDescent="0.2"/>
    <row r="15812" s="2043" customFormat="1" x14ac:dyDescent="0.2"/>
    <row r="15813" s="2043" customFormat="1" x14ac:dyDescent="0.2"/>
    <row r="15814" s="2043" customFormat="1" x14ac:dyDescent="0.2"/>
    <row r="15815" s="2043" customFormat="1" x14ac:dyDescent="0.2"/>
    <row r="15816" s="2043" customFormat="1" x14ac:dyDescent="0.2"/>
    <row r="15817" s="2043" customFormat="1" x14ac:dyDescent="0.2"/>
    <row r="15818" s="2043" customFormat="1" x14ac:dyDescent="0.2"/>
    <row r="15819" s="2043" customFormat="1" x14ac:dyDescent="0.2"/>
    <row r="15820" s="2043" customFormat="1" x14ac:dyDescent="0.2"/>
    <row r="15821" s="2043" customFormat="1" x14ac:dyDescent="0.2"/>
    <row r="15822" s="2043" customFormat="1" x14ac:dyDescent="0.2"/>
    <row r="15823" s="2043" customFormat="1" x14ac:dyDescent="0.2"/>
    <row r="15824" s="2043" customFormat="1" x14ac:dyDescent="0.2"/>
    <row r="15825" s="2043" customFormat="1" x14ac:dyDescent="0.2"/>
    <row r="15826" s="2043" customFormat="1" x14ac:dyDescent="0.2"/>
    <row r="15827" s="2043" customFormat="1" x14ac:dyDescent="0.2"/>
    <row r="15828" s="2043" customFormat="1" x14ac:dyDescent="0.2"/>
    <row r="15829" s="2043" customFormat="1" x14ac:dyDescent="0.2"/>
    <row r="15830" s="2043" customFormat="1" x14ac:dyDescent="0.2"/>
    <row r="15831" s="2043" customFormat="1" x14ac:dyDescent="0.2"/>
    <row r="15832" s="2043" customFormat="1" x14ac:dyDescent="0.2"/>
    <row r="15833" s="2043" customFormat="1" x14ac:dyDescent="0.2"/>
    <row r="15834" s="2043" customFormat="1" x14ac:dyDescent="0.2"/>
    <row r="15835" s="2043" customFormat="1" x14ac:dyDescent="0.2"/>
    <row r="15836" s="2043" customFormat="1" x14ac:dyDescent="0.2"/>
    <row r="15837" s="2043" customFormat="1" x14ac:dyDescent="0.2"/>
    <row r="15838" s="2043" customFormat="1" x14ac:dyDescent="0.2"/>
    <row r="15839" s="2043" customFormat="1" x14ac:dyDescent="0.2"/>
    <row r="15840" s="2043" customFormat="1" x14ac:dyDescent="0.2"/>
    <row r="15841" s="2043" customFormat="1" x14ac:dyDescent="0.2"/>
    <row r="15842" s="2043" customFormat="1" x14ac:dyDescent="0.2"/>
    <row r="15843" s="2043" customFormat="1" x14ac:dyDescent="0.2"/>
    <row r="15844" s="2043" customFormat="1" x14ac:dyDescent="0.2"/>
    <row r="15845" s="2043" customFormat="1" x14ac:dyDescent="0.2"/>
    <row r="15846" s="2043" customFormat="1" x14ac:dyDescent="0.2"/>
    <row r="15847" s="2043" customFormat="1" x14ac:dyDescent="0.2"/>
    <row r="15848" s="2043" customFormat="1" x14ac:dyDescent="0.2"/>
    <row r="15849" s="2043" customFormat="1" x14ac:dyDescent="0.2"/>
    <row r="15850" s="2043" customFormat="1" x14ac:dyDescent="0.2"/>
    <row r="15851" s="2043" customFormat="1" x14ac:dyDescent="0.2"/>
    <row r="15852" s="2043" customFormat="1" x14ac:dyDescent="0.2"/>
    <row r="15853" s="2043" customFormat="1" x14ac:dyDescent="0.2"/>
    <row r="15854" s="2043" customFormat="1" x14ac:dyDescent="0.2"/>
    <row r="15855" s="2043" customFormat="1" x14ac:dyDescent="0.2"/>
    <row r="15856" s="2043" customFormat="1" x14ac:dyDescent="0.2"/>
    <row r="15857" s="2043" customFormat="1" x14ac:dyDescent="0.2"/>
    <row r="15858" s="2043" customFormat="1" x14ac:dyDescent="0.2"/>
    <row r="15859" s="2043" customFormat="1" x14ac:dyDescent="0.2"/>
    <row r="15860" s="2043" customFormat="1" x14ac:dyDescent="0.2"/>
    <row r="15861" s="2043" customFormat="1" x14ac:dyDescent="0.2"/>
    <row r="15862" s="2043" customFormat="1" x14ac:dyDescent="0.2"/>
    <row r="15863" s="2043" customFormat="1" x14ac:dyDescent="0.2"/>
    <row r="15864" s="2043" customFormat="1" x14ac:dyDescent="0.2"/>
    <row r="15865" s="2043" customFormat="1" x14ac:dyDescent="0.2"/>
    <row r="15866" s="2043" customFormat="1" x14ac:dyDescent="0.2"/>
    <row r="15867" s="2043" customFormat="1" x14ac:dyDescent="0.2"/>
    <row r="15868" s="2043" customFormat="1" x14ac:dyDescent="0.2"/>
    <row r="15869" s="2043" customFormat="1" x14ac:dyDescent="0.2"/>
    <row r="15870" s="2043" customFormat="1" x14ac:dyDescent="0.2"/>
    <row r="15871" s="2043" customFormat="1" x14ac:dyDescent="0.2"/>
    <row r="15872" s="2043" customFormat="1" x14ac:dyDescent="0.2"/>
    <row r="15873" s="2043" customFormat="1" x14ac:dyDescent="0.2"/>
    <row r="15874" s="2043" customFormat="1" x14ac:dyDescent="0.2"/>
    <row r="15875" s="2043" customFormat="1" x14ac:dyDescent="0.2"/>
    <row r="15876" s="2043" customFormat="1" x14ac:dyDescent="0.2"/>
    <row r="15877" s="2043" customFormat="1" x14ac:dyDescent="0.2"/>
    <row r="15878" s="2043" customFormat="1" x14ac:dyDescent="0.2"/>
    <row r="15879" s="2043" customFormat="1" x14ac:dyDescent="0.2"/>
    <row r="15880" s="2043" customFormat="1" x14ac:dyDescent="0.2"/>
    <row r="15881" s="2043" customFormat="1" x14ac:dyDescent="0.2"/>
    <row r="15882" s="2043" customFormat="1" x14ac:dyDescent="0.2"/>
    <row r="15883" s="2043" customFormat="1" x14ac:dyDescent="0.2"/>
    <row r="15884" s="2043" customFormat="1" x14ac:dyDescent="0.2"/>
    <row r="15885" s="2043" customFormat="1" x14ac:dyDescent="0.2"/>
    <row r="15886" s="2043" customFormat="1" x14ac:dyDescent="0.2"/>
    <row r="15887" s="2043" customFormat="1" x14ac:dyDescent="0.2"/>
    <row r="15888" s="2043" customFormat="1" x14ac:dyDescent="0.2"/>
    <row r="15889" s="2043" customFormat="1" x14ac:dyDescent="0.2"/>
    <row r="15890" s="2043" customFormat="1" x14ac:dyDescent="0.2"/>
    <row r="15891" s="2043" customFormat="1" x14ac:dyDescent="0.2"/>
    <row r="15892" s="2043" customFormat="1" x14ac:dyDescent="0.2"/>
    <row r="15893" s="2043" customFormat="1" x14ac:dyDescent="0.2"/>
    <row r="15894" s="2043" customFormat="1" x14ac:dyDescent="0.2"/>
    <row r="15895" s="2043" customFormat="1" x14ac:dyDescent="0.2"/>
    <row r="15896" s="2043" customFormat="1" x14ac:dyDescent="0.2"/>
    <row r="15897" s="2043" customFormat="1" x14ac:dyDescent="0.2"/>
    <row r="15898" s="2043" customFormat="1" x14ac:dyDescent="0.2"/>
    <row r="15899" s="2043" customFormat="1" x14ac:dyDescent="0.2"/>
    <row r="15900" s="2043" customFormat="1" x14ac:dyDescent="0.2"/>
    <row r="15901" s="2043" customFormat="1" x14ac:dyDescent="0.2"/>
    <row r="15902" s="2043" customFormat="1" x14ac:dyDescent="0.2"/>
    <row r="15903" s="2043" customFormat="1" x14ac:dyDescent="0.2"/>
    <row r="15904" s="2043" customFormat="1" x14ac:dyDescent="0.2"/>
    <row r="15905" s="2043" customFormat="1" x14ac:dyDescent="0.2"/>
    <row r="15906" s="2043" customFormat="1" x14ac:dyDescent="0.2"/>
    <row r="15907" s="2043" customFormat="1" x14ac:dyDescent="0.2"/>
    <row r="15908" s="2043" customFormat="1" x14ac:dyDescent="0.2"/>
    <row r="15909" s="2043" customFormat="1" x14ac:dyDescent="0.2"/>
    <row r="15910" s="2043" customFormat="1" x14ac:dyDescent="0.2"/>
    <row r="15911" s="2043" customFormat="1" x14ac:dyDescent="0.2"/>
    <row r="15912" s="2043" customFormat="1" x14ac:dyDescent="0.2"/>
    <row r="15913" s="2043" customFormat="1" x14ac:dyDescent="0.2"/>
    <row r="15914" s="2043" customFormat="1" x14ac:dyDescent="0.2"/>
    <row r="15915" s="2043" customFormat="1" x14ac:dyDescent="0.2"/>
    <row r="15916" s="2043" customFormat="1" x14ac:dyDescent="0.2"/>
    <row r="15917" s="2043" customFormat="1" x14ac:dyDescent="0.2"/>
    <row r="15918" s="2043" customFormat="1" x14ac:dyDescent="0.2"/>
    <row r="15919" s="2043" customFormat="1" x14ac:dyDescent="0.2"/>
    <row r="15920" s="2043" customFormat="1" x14ac:dyDescent="0.2"/>
    <row r="15921" s="2043" customFormat="1" x14ac:dyDescent="0.2"/>
    <row r="15922" s="2043" customFormat="1" x14ac:dyDescent="0.2"/>
    <row r="15923" s="2043" customFormat="1" x14ac:dyDescent="0.2"/>
    <row r="15924" s="2043" customFormat="1" x14ac:dyDescent="0.2"/>
    <row r="15925" s="2043" customFormat="1" x14ac:dyDescent="0.2"/>
    <row r="15926" s="2043" customFormat="1" x14ac:dyDescent="0.2"/>
    <row r="15927" s="2043" customFormat="1" x14ac:dyDescent="0.2"/>
    <row r="15928" s="2043" customFormat="1" x14ac:dyDescent="0.2"/>
    <row r="15929" s="2043" customFormat="1" x14ac:dyDescent="0.2"/>
    <row r="15930" s="2043" customFormat="1" x14ac:dyDescent="0.2"/>
    <row r="15931" s="2043" customFormat="1" x14ac:dyDescent="0.2"/>
    <row r="15932" s="2043" customFormat="1" x14ac:dyDescent="0.2"/>
    <row r="15933" s="2043" customFormat="1" x14ac:dyDescent="0.2"/>
    <row r="15934" s="2043" customFormat="1" x14ac:dyDescent="0.2"/>
    <row r="15935" s="2043" customFormat="1" x14ac:dyDescent="0.2"/>
    <row r="15936" s="2043" customFormat="1" x14ac:dyDescent="0.2"/>
    <row r="15937" s="2043" customFormat="1" x14ac:dyDescent="0.2"/>
    <row r="15938" s="2043" customFormat="1" x14ac:dyDescent="0.2"/>
    <row r="15939" s="2043" customFormat="1" x14ac:dyDescent="0.2"/>
    <row r="15940" s="2043" customFormat="1" x14ac:dyDescent="0.2"/>
    <row r="15941" s="2043" customFormat="1" x14ac:dyDescent="0.2"/>
    <row r="15942" s="2043" customFormat="1" x14ac:dyDescent="0.2"/>
    <row r="15943" s="2043" customFormat="1" x14ac:dyDescent="0.2"/>
    <row r="15944" s="2043" customFormat="1" x14ac:dyDescent="0.2"/>
    <row r="15945" s="2043" customFormat="1" x14ac:dyDescent="0.2"/>
    <row r="15946" s="2043" customFormat="1" x14ac:dyDescent="0.2"/>
    <row r="15947" s="2043" customFormat="1" x14ac:dyDescent="0.2"/>
    <row r="15948" s="2043" customFormat="1" x14ac:dyDescent="0.2"/>
    <row r="15949" s="2043" customFormat="1" x14ac:dyDescent="0.2"/>
    <row r="15950" s="2043" customFormat="1" x14ac:dyDescent="0.2"/>
    <row r="15951" s="2043" customFormat="1" x14ac:dyDescent="0.2"/>
    <row r="15952" s="2043" customFormat="1" x14ac:dyDescent="0.2"/>
    <row r="15953" s="2043" customFormat="1" x14ac:dyDescent="0.2"/>
    <row r="15954" s="2043" customFormat="1" x14ac:dyDescent="0.2"/>
    <row r="15955" s="2043" customFormat="1" x14ac:dyDescent="0.2"/>
    <row r="15956" s="2043" customFormat="1" x14ac:dyDescent="0.2"/>
    <row r="15957" s="2043" customFormat="1" x14ac:dyDescent="0.2"/>
    <row r="15958" s="2043" customFormat="1" x14ac:dyDescent="0.2"/>
    <row r="15959" s="2043" customFormat="1" x14ac:dyDescent="0.2"/>
    <row r="15960" s="2043" customFormat="1" x14ac:dyDescent="0.2"/>
    <row r="15961" s="2043" customFormat="1" x14ac:dyDescent="0.2"/>
    <row r="15962" s="2043" customFormat="1" x14ac:dyDescent="0.2"/>
    <row r="15963" s="2043" customFormat="1" x14ac:dyDescent="0.2"/>
    <row r="15964" s="2043" customFormat="1" x14ac:dyDescent="0.2"/>
    <row r="15965" s="2043" customFormat="1" x14ac:dyDescent="0.2"/>
    <row r="15966" s="2043" customFormat="1" x14ac:dyDescent="0.2"/>
    <row r="15967" s="2043" customFormat="1" x14ac:dyDescent="0.2"/>
    <row r="15968" s="2043" customFormat="1" x14ac:dyDescent="0.2"/>
    <row r="15969" s="2043" customFormat="1" x14ac:dyDescent="0.2"/>
    <row r="15970" s="2043" customFormat="1" x14ac:dyDescent="0.2"/>
    <row r="15971" s="2043" customFormat="1" x14ac:dyDescent="0.2"/>
    <row r="15972" s="2043" customFormat="1" x14ac:dyDescent="0.2"/>
    <row r="15973" s="2043" customFormat="1" x14ac:dyDescent="0.2"/>
    <row r="15974" s="2043" customFormat="1" x14ac:dyDescent="0.2"/>
    <row r="15975" s="2043" customFormat="1" x14ac:dyDescent="0.2"/>
    <row r="15976" s="2043" customFormat="1" x14ac:dyDescent="0.2"/>
    <row r="15977" s="2043" customFormat="1" x14ac:dyDescent="0.2"/>
    <row r="15978" s="2043" customFormat="1" x14ac:dyDescent="0.2"/>
    <row r="15979" s="2043" customFormat="1" x14ac:dyDescent="0.2"/>
    <row r="15980" s="2043" customFormat="1" x14ac:dyDescent="0.2"/>
    <row r="15981" s="2043" customFormat="1" x14ac:dyDescent="0.2"/>
    <row r="15982" s="2043" customFormat="1" x14ac:dyDescent="0.2"/>
    <row r="15983" s="2043" customFormat="1" x14ac:dyDescent="0.2"/>
    <row r="15984" s="2043" customFormat="1" x14ac:dyDescent="0.2"/>
    <row r="15985" s="2043" customFormat="1" x14ac:dyDescent="0.2"/>
    <row r="15986" s="2043" customFormat="1" x14ac:dyDescent="0.2"/>
    <row r="15987" s="2043" customFormat="1" x14ac:dyDescent="0.2"/>
    <row r="15988" s="2043" customFormat="1" x14ac:dyDescent="0.2"/>
    <row r="15989" s="2043" customFormat="1" x14ac:dyDescent="0.2"/>
    <row r="15990" s="2043" customFormat="1" x14ac:dyDescent="0.2"/>
    <row r="15991" s="2043" customFormat="1" x14ac:dyDescent="0.2"/>
    <row r="15992" s="2043" customFormat="1" x14ac:dyDescent="0.2"/>
    <row r="15993" s="2043" customFormat="1" x14ac:dyDescent="0.2"/>
    <row r="15994" s="2043" customFormat="1" x14ac:dyDescent="0.2"/>
    <row r="15995" s="2043" customFormat="1" x14ac:dyDescent="0.2"/>
    <row r="15996" s="2043" customFormat="1" x14ac:dyDescent="0.2"/>
    <row r="15997" s="2043" customFormat="1" x14ac:dyDescent="0.2"/>
    <row r="15998" s="2043" customFormat="1" x14ac:dyDescent="0.2"/>
    <row r="15999" s="2043" customFormat="1" x14ac:dyDescent="0.2"/>
    <row r="16000" s="2043" customFormat="1" x14ac:dyDescent="0.2"/>
    <row r="16001" s="2043" customFormat="1" x14ac:dyDescent="0.2"/>
    <row r="16002" s="2043" customFormat="1" x14ac:dyDescent="0.2"/>
    <row r="16003" s="2043" customFormat="1" x14ac:dyDescent="0.2"/>
    <row r="16004" s="2043" customFormat="1" x14ac:dyDescent="0.2"/>
    <row r="16005" s="2043" customFormat="1" x14ac:dyDescent="0.2"/>
    <row r="16006" s="2043" customFormat="1" x14ac:dyDescent="0.2"/>
    <row r="16007" s="2043" customFormat="1" x14ac:dyDescent="0.2"/>
    <row r="16008" s="2043" customFormat="1" x14ac:dyDescent="0.2"/>
    <row r="16009" s="2043" customFormat="1" x14ac:dyDescent="0.2"/>
    <row r="16010" s="2043" customFormat="1" x14ac:dyDescent="0.2"/>
    <row r="16011" s="2043" customFormat="1" x14ac:dyDescent="0.2"/>
    <row r="16012" s="2043" customFormat="1" x14ac:dyDescent="0.2"/>
    <row r="16013" s="2043" customFormat="1" x14ac:dyDescent="0.2"/>
    <row r="16014" s="2043" customFormat="1" x14ac:dyDescent="0.2"/>
    <row r="16015" s="2043" customFormat="1" x14ac:dyDescent="0.2"/>
    <row r="16016" s="2043" customFormat="1" x14ac:dyDescent="0.2"/>
    <row r="16017" s="2043" customFormat="1" x14ac:dyDescent="0.2"/>
    <row r="16018" s="2043" customFormat="1" x14ac:dyDescent="0.2"/>
    <row r="16019" s="2043" customFormat="1" x14ac:dyDescent="0.2"/>
    <row r="16020" s="2043" customFormat="1" x14ac:dyDescent="0.2"/>
    <row r="16021" s="2043" customFormat="1" x14ac:dyDescent="0.2"/>
    <row r="16022" s="2043" customFormat="1" x14ac:dyDescent="0.2"/>
    <row r="16023" s="2043" customFormat="1" x14ac:dyDescent="0.2"/>
    <row r="16024" s="2043" customFormat="1" x14ac:dyDescent="0.2"/>
    <row r="16025" s="2043" customFormat="1" x14ac:dyDescent="0.2"/>
    <row r="16026" s="2043" customFormat="1" x14ac:dyDescent="0.2"/>
    <row r="16027" s="2043" customFormat="1" x14ac:dyDescent="0.2"/>
    <row r="16028" s="2043" customFormat="1" x14ac:dyDescent="0.2"/>
    <row r="16029" s="2043" customFormat="1" x14ac:dyDescent="0.2"/>
    <row r="16030" s="2043" customFormat="1" x14ac:dyDescent="0.2"/>
    <row r="16031" s="2043" customFormat="1" x14ac:dyDescent="0.2"/>
    <row r="16032" s="2043" customFormat="1" x14ac:dyDescent="0.2"/>
    <row r="16033" s="2043" customFormat="1" x14ac:dyDescent="0.2"/>
    <row r="16034" s="2043" customFormat="1" x14ac:dyDescent="0.2"/>
    <row r="16035" s="2043" customFormat="1" x14ac:dyDescent="0.2"/>
    <row r="16036" s="2043" customFormat="1" x14ac:dyDescent="0.2"/>
    <row r="16037" s="2043" customFormat="1" x14ac:dyDescent="0.2"/>
    <row r="16038" s="2043" customFormat="1" x14ac:dyDescent="0.2"/>
    <row r="16039" s="2043" customFormat="1" x14ac:dyDescent="0.2"/>
    <row r="16040" s="2043" customFormat="1" x14ac:dyDescent="0.2"/>
    <row r="16041" s="2043" customFormat="1" x14ac:dyDescent="0.2"/>
    <row r="16042" s="2043" customFormat="1" x14ac:dyDescent="0.2"/>
    <row r="16043" s="2043" customFormat="1" x14ac:dyDescent="0.2"/>
    <row r="16044" s="2043" customFormat="1" x14ac:dyDescent="0.2"/>
    <row r="16045" s="2043" customFormat="1" x14ac:dyDescent="0.2"/>
    <row r="16046" s="2043" customFormat="1" x14ac:dyDescent="0.2"/>
    <row r="16047" s="2043" customFormat="1" x14ac:dyDescent="0.2"/>
    <row r="16048" s="2043" customFormat="1" x14ac:dyDescent="0.2"/>
    <row r="16049" s="2043" customFormat="1" x14ac:dyDescent="0.2"/>
    <row r="16050" s="2043" customFormat="1" x14ac:dyDescent="0.2"/>
    <row r="16051" s="2043" customFormat="1" x14ac:dyDescent="0.2"/>
    <row r="16052" s="2043" customFormat="1" x14ac:dyDescent="0.2"/>
    <row r="16053" s="2043" customFormat="1" x14ac:dyDescent="0.2"/>
    <row r="16054" s="2043" customFormat="1" x14ac:dyDescent="0.2"/>
    <row r="16055" s="2043" customFormat="1" x14ac:dyDescent="0.2"/>
    <row r="16056" s="2043" customFormat="1" x14ac:dyDescent="0.2"/>
    <row r="16057" s="2043" customFormat="1" x14ac:dyDescent="0.2"/>
    <row r="16058" s="2043" customFormat="1" x14ac:dyDescent="0.2"/>
    <row r="16059" s="2043" customFormat="1" x14ac:dyDescent="0.2"/>
    <row r="16060" s="2043" customFormat="1" x14ac:dyDescent="0.2"/>
    <row r="16061" s="2043" customFormat="1" x14ac:dyDescent="0.2"/>
    <row r="16062" s="2043" customFormat="1" x14ac:dyDescent="0.2"/>
    <row r="16063" s="2043" customFormat="1" x14ac:dyDescent="0.2"/>
    <row r="16064" s="2043" customFormat="1" x14ac:dyDescent="0.2"/>
    <row r="16065" s="2043" customFormat="1" x14ac:dyDescent="0.2"/>
    <row r="16066" s="2043" customFormat="1" x14ac:dyDescent="0.2"/>
    <row r="16067" s="2043" customFormat="1" x14ac:dyDescent="0.2"/>
    <row r="16068" s="2043" customFormat="1" x14ac:dyDescent="0.2"/>
    <row r="16069" s="2043" customFormat="1" x14ac:dyDescent="0.2"/>
    <row r="16070" s="2043" customFormat="1" x14ac:dyDescent="0.2"/>
    <row r="16071" s="2043" customFormat="1" x14ac:dyDescent="0.2"/>
    <row r="16072" s="2043" customFormat="1" x14ac:dyDescent="0.2"/>
    <row r="16073" s="2043" customFormat="1" x14ac:dyDescent="0.2"/>
    <row r="16074" s="2043" customFormat="1" x14ac:dyDescent="0.2"/>
    <row r="16075" s="2043" customFormat="1" x14ac:dyDescent="0.2"/>
    <row r="16076" s="2043" customFormat="1" x14ac:dyDescent="0.2"/>
    <row r="16077" s="2043" customFormat="1" x14ac:dyDescent="0.2"/>
    <row r="16078" s="2043" customFormat="1" x14ac:dyDescent="0.2"/>
    <row r="16079" s="2043" customFormat="1" x14ac:dyDescent="0.2"/>
    <row r="16080" s="2043" customFormat="1" x14ac:dyDescent="0.2"/>
    <row r="16081" s="2043" customFormat="1" x14ac:dyDescent="0.2"/>
    <row r="16082" s="2043" customFormat="1" x14ac:dyDescent="0.2"/>
    <row r="16083" s="2043" customFormat="1" x14ac:dyDescent="0.2"/>
    <row r="16084" s="2043" customFormat="1" x14ac:dyDescent="0.2"/>
    <row r="16085" s="2043" customFormat="1" x14ac:dyDescent="0.2"/>
    <row r="16086" s="2043" customFormat="1" x14ac:dyDescent="0.2"/>
    <row r="16087" s="2043" customFormat="1" x14ac:dyDescent="0.2"/>
    <row r="16088" s="2043" customFormat="1" x14ac:dyDescent="0.2"/>
    <row r="16089" s="2043" customFormat="1" x14ac:dyDescent="0.2"/>
    <row r="16090" s="2043" customFormat="1" x14ac:dyDescent="0.2"/>
    <row r="16091" s="2043" customFormat="1" x14ac:dyDescent="0.2"/>
    <row r="16092" s="2043" customFormat="1" x14ac:dyDescent="0.2"/>
    <row r="16093" s="2043" customFormat="1" x14ac:dyDescent="0.2"/>
    <row r="16094" s="2043" customFormat="1" x14ac:dyDescent="0.2"/>
    <row r="16095" s="2043" customFormat="1" x14ac:dyDescent="0.2"/>
    <row r="16096" s="2043" customFormat="1" x14ac:dyDescent="0.2"/>
    <row r="16097" s="2043" customFormat="1" x14ac:dyDescent="0.2"/>
    <row r="16098" s="2043" customFormat="1" x14ac:dyDescent="0.2"/>
    <row r="16099" s="2043" customFormat="1" x14ac:dyDescent="0.2"/>
    <row r="16100" s="2043" customFormat="1" x14ac:dyDescent="0.2"/>
    <row r="16101" s="2043" customFormat="1" x14ac:dyDescent="0.2"/>
    <row r="16102" s="2043" customFormat="1" x14ac:dyDescent="0.2"/>
    <row r="16103" s="2043" customFormat="1" x14ac:dyDescent="0.2"/>
    <row r="16104" s="2043" customFormat="1" x14ac:dyDescent="0.2"/>
    <row r="16105" s="2043" customFormat="1" x14ac:dyDescent="0.2"/>
    <row r="16106" s="2043" customFormat="1" x14ac:dyDescent="0.2"/>
    <row r="16107" s="2043" customFormat="1" x14ac:dyDescent="0.2"/>
    <row r="16108" s="2043" customFormat="1" x14ac:dyDescent="0.2"/>
    <row r="16109" s="2043" customFormat="1" x14ac:dyDescent="0.2"/>
    <row r="16110" s="2043" customFormat="1" x14ac:dyDescent="0.2"/>
    <row r="16111" s="2043" customFormat="1" x14ac:dyDescent="0.2"/>
    <row r="16112" s="2043" customFormat="1" x14ac:dyDescent="0.2"/>
    <row r="16113" s="2043" customFormat="1" x14ac:dyDescent="0.2"/>
    <row r="16114" s="2043" customFormat="1" x14ac:dyDescent="0.2"/>
    <row r="16115" s="2043" customFormat="1" x14ac:dyDescent="0.2"/>
    <row r="16116" s="2043" customFormat="1" x14ac:dyDescent="0.2"/>
    <row r="16117" s="2043" customFormat="1" x14ac:dyDescent="0.2"/>
    <row r="16118" s="2043" customFormat="1" x14ac:dyDescent="0.2"/>
    <row r="16119" s="2043" customFormat="1" x14ac:dyDescent="0.2"/>
    <row r="16120" s="2043" customFormat="1" x14ac:dyDescent="0.2"/>
    <row r="16121" s="2043" customFormat="1" x14ac:dyDescent="0.2"/>
    <row r="16122" s="2043" customFormat="1" x14ac:dyDescent="0.2"/>
    <row r="16123" s="2043" customFormat="1" x14ac:dyDescent="0.2"/>
    <row r="16124" s="2043" customFormat="1" x14ac:dyDescent="0.2"/>
    <row r="16125" s="2043" customFormat="1" x14ac:dyDescent="0.2"/>
    <row r="16126" s="2043" customFormat="1" x14ac:dyDescent="0.2"/>
    <row r="16127" s="2043" customFormat="1" x14ac:dyDescent="0.2"/>
    <row r="16128" s="2043" customFormat="1" x14ac:dyDescent="0.2"/>
    <row r="16129" s="2043" customFormat="1" x14ac:dyDescent="0.2"/>
    <row r="16130" s="2043" customFormat="1" x14ac:dyDescent="0.2"/>
    <row r="16131" s="2043" customFormat="1" x14ac:dyDescent="0.2"/>
    <row r="16132" s="2043" customFormat="1" x14ac:dyDescent="0.2"/>
    <row r="16133" s="2043" customFormat="1" x14ac:dyDescent="0.2"/>
    <row r="16134" s="2043" customFormat="1" x14ac:dyDescent="0.2"/>
    <row r="16135" s="2043" customFormat="1" x14ac:dyDescent="0.2"/>
    <row r="16136" s="2043" customFormat="1" x14ac:dyDescent="0.2"/>
    <row r="16137" s="2043" customFormat="1" x14ac:dyDescent="0.2"/>
    <row r="16138" s="2043" customFormat="1" x14ac:dyDescent="0.2"/>
    <row r="16139" s="2043" customFormat="1" x14ac:dyDescent="0.2"/>
    <row r="16140" s="2043" customFormat="1" x14ac:dyDescent="0.2"/>
    <row r="16141" s="2043" customFormat="1" x14ac:dyDescent="0.2"/>
    <row r="16142" s="2043" customFormat="1" x14ac:dyDescent="0.2"/>
    <row r="16143" s="2043" customFormat="1" x14ac:dyDescent="0.2"/>
    <row r="16144" s="2043" customFormat="1" x14ac:dyDescent="0.2"/>
    <row r="16145" s="2043" customFormat="1" x14ac:dyDescent="0.2"/>
    <row r="16146" s="2043" customFormat="1" x14ac:dyDescent="0.2"/>
    <row r="16147" s="2043" customFormat="1" x14ac:dyDescent="0.2"/>
    <row r="16148" s="2043" customFormat="1" x14ac:dyDescent="0.2"/>
    <row r="16149" s="2043" customFormat="1" x14ac:dyDescent="0.2"/>
    <row r="16150" s="2043" customFormat="1" x14ac:dyDescent="0.2"/>
    <row r="16151" s="2043" customFormat="1" x14ac:dyDescent="0.2"/>
    <row r="16152" s="2043" customFormat="1" x14ac:dyDescent="0.2"/>
    <row r="16153" s="2043" customFormat="1" x14ac:dyDescent="0.2"/>
    <row r="16154" s="2043" customFormat="1" x14ac:dyDescent="0.2"/>
    <row r="16155" s="2043" customFormat="1" x14ac:dyDescent="0.2"/>
    <row r="16156" s="2043" customFormat="1" x14ac:dyDescent="0.2"/>
    <row r="16157" s="2043" customFormat="1" x14ac:dyDescent="0.2"/>
    <row r="16158" s="2043" customFormat="1" x14ac:dyDescent="0.2"/>
    <row r="16159" s="2043" customFormat="1" x14ac:dyDescent="0.2"/>
    <row r="16160" s="2043" customFormat="1" x14ac:dyDescent="0.2"/>
    <row r="16161" s="2043" customFormat="1" x14ac:dyDescent="0.2"/>
    <row r="16162" s="2043" customFormat="1" x14ac:dyDescent="0.2"/>
    <row r="16163" s="2043" customFormat="1" x14ac:dyDescent="0.2"/>
    <row r="16164" s="2043" customFormat="1" x14ac:dyDescent="0.2"/>
    <row r="16165" s="2043" customFormat="1" x14ac:dyDescent="0.2"/>
    <row r="16166" s="2043" customFormat="1" x14ac:dyDescent="0.2"/>
    <row r="16167" s="2043" customFormat="1" x14ac:dyDescent="0.2"/>
    <row r="16168" s="2043" customFormat="1" x14ac:dyDescent="0.2"/>
    <row r="16169" s="2043" customFormat="1" x14ac:dyDescent="0.2"/>
    <row r="16170" s="2043" customFormat="1" x14ac:dyDescent="0.2"/>
    <row r="16171" s="2043" customFormat="1" x14ac:dyDescent="0.2"/>
    <row r="16172" s="2043" customFormat="1" x14ac:dyDescent="0.2"/>
    <row r="16173" s="2043" customFormat="1" x14ac:dyDescent="0.2"/>
    <row r="16174" s="2043" customFormat="1" x14ac:dyDescent="0.2"/>
    <row r="16175" s="2043" customFormat="1" x14ac:dyDescent="0.2"/>
    <row r="16176" s="2043" customFormat="1" x14ac:dyDescent="0.2"/>
    <row r="16177" s="2043" customFormat="1" x14ac:dyDescent="0.2"/>
    <row r="16178" s="2043" customFormat="1" x14ac:dyDescent="0.2"/>
    <row r="16179" s="2043" customFormat="1" x14ac:dyDescent="0.2"/>
    <row r="16180" s="2043" customFormat="1" x14ac:dyDescent="0.2"/>
    <row r="16181" s="2043" customFormat="1" x14ac:dyDescent="0.2"/>
    <row r="16182" s="2043" customFormat="1" x14ac:dyDescent="0.2"/>
    <row r="16183" s="2043" customFormat="1" x14ac:dyDescent="0.2"/>
    <row r="16184" s="2043" customFormat="1" x14ac:dyDescent="0.2"/>
    <row r="16185" s="2043" customFormat="1" x14ac:dyDescent="0.2"/>
    <row r="16186" s="2043" customFormat="1" x14ac:dyDescent="0.2"/>
    <row r="16187" s="2043" customFormat="1" x14ac:dyDescent="0.2"/>
    <row r="16188" s="2043" customFormat="1" x14ac:dyDescent="0.2"/>
    <row r="16189" s="2043" customFormat="1" x14ac:dyDescent="0.2"/>
    <row r="16190" s="2043" customFormat="1" x14ac:dyDescent="0.2"/>
    <row r="16191" s="2043" customFormat="1" x14ac:dyDescent="0.2"/>
    <row r="16192" s="2043" customFormat="1" x14ac:dyDescent="0.2"/>
    <row r="16193" s="2043" customFormat="1" x14ac:dyDescent="0.2"/>
    <row r="16194" s="2043" customFormat="1" x14ac:dyDescent="0.2"/>
    <row r="16195" s="2043" customFormat="1" x14ac:dyDescent="0.2"/>
    <row r="16196" s="2043" customFormat="1" x14ac:dyDescent="0.2"/>
    <row r="16197" s="2043" customFormat="1" x14ac:dyDescent="0.2"/>
    <row r="16198" s="2043" customFormat="1" x14ac:dyDescent="0.2"/>
    <row r="16199" s="2043" customFormat="1" x14ac:dyDescent="0.2"/>
    <row r="16200" s="2043" customFormat="1" x14ac:dyDescent="0.2"/>
    <row r="16201" s="2043" customFormat="1" x14ac:dyDescent="0.2"/>
    <row r="16202" s="2043" customFormat="1" x14ac:dyDescent="0.2"/>
    <row r="16203" s="2043" customFormat="1" x14ac:dyDescent="0.2"/>
    <row r="16204" s="2043" customFormat="1" x14ac:dyDescent="0.2"/>
    <row r="16205" s="2043" customFormat="1" x14ac:dyDescent="0.2"/>
    <row r="16206" s="2043" customFormat="1" x14ac:dyDescent="0.2"/>
    <row r="16207" s="2043" customFormat="1" x14ac:dyDescent="0.2"/>
    <row r="16208" s="2043" customFormat="1" x14ac:dyDescent="0.2"/>
    <row r="16209" s="2043" customFormat="1" x14ac:dyDescent="0.2"/>
    <row r="16210" s="2043" customFormat="1" x14ac:dyDescent="0.2"/>
    <row r="16211" s="2043" customFormat="1" x14ac:dyDescent="0.2"/>
    <row r="16212" s="2043" customFormat="1" x14ac:dyDescent="0.2"/>
    <row r="16213" s="2043" customFormat="1" x14ac:dyDescent="0.2"/>
    <row r="16214" s="2043" customFormat="1" x14ac:dyDescent="0.2"/>
    <row r="16215" s="2043" customFormat="1" x14ac:dyDescent="0.2"/>
    <row r="16216" s="2043" customFormat="1" x14ac:dyDescent="0.2"/>
    <row r="16217" s="2043" customFormat="1" x14ac:dyDescent="0.2"/>
    <row r="16218" s="2043" customFormat="1" x14ac:dyDescent="0.2"/>
    <row r="16219" s="2043" customFormat="1" x14ac:dyDescent="0.2"/>
    <row r="16220" s="2043" customFormat="1" x14ac:dyDescent="0.2"/>
    <row r="16221" s="2043" customFormat="1" x14ac:dyDescent="0.2"/>
    <row r="16222" s="2043" customFormat="1" x14ac:dyDescent="0.2"/>
    <row r="16223" s="2043" customFormat="1" x14ac:dyDescent="0.2"/>
    <row r="16224" s="2043" customFormat="1" x14ac:dyDescent="0.2"/>
    <row r="16225" s="2043" customFormat="1" x14ac:dyDescent="0.2"/>
    <row r="16226" s="2043" customFormat="1" x14ac:dyDescent="0.2"/>
    <row r="16227" s="2043" customFormat="1" x14ac:dyDescent="0.2"/>
    <row r="16228" s="2043" customFormat="1" x14ac:dyDescent="0.2"/>
    <row r="16229" s="2043" customFormat="1" x14ac:dyDescent="0.2"/>
    <row r="16230" s="2043" customFormat="1" x14ac:dyDescent="0.2"/>
    <row r="16231" s="2043" customFormat="1" x14ac:dyDescent="0.2"/>
    <row r="16232" s="2043" customFormat="1" x14ac:dyDescent="0.2"/>
    <row r="16233" s="2043" customFormat="1" x14ac:dyDescent="0.2"/>
    <row r="16234" s="2043" customFormat="1" x14ac:dyDescent="0.2"/>
    <row r="16235" s="2043" customFormat="1" x14ac:dyDescent="0.2"/>
    <row r="16236" s="2043" customFormat="1" x14ac:dyDescent="0.2"/>
    <row r="16237" s="2043" customFormat="1" x14ac:dyDescent="0.2"/>
    <row r="16238" s="2043" customFormat="1" x14ac:dyDescent="0.2"/>
    <row r="16239" s="2043" customFormat="1" x14ac:dyDescent="0.2"/>
    <row r="16240" s="2043" customFormat="1" x14ac:dyDescent="0.2"/>
    <row r="16241" s="2043" customFormat="1" x14ac:dyDescent="0.2"/>
    <row r="16242" s="2043" customFormat="1" x14ac:dyDescent="0.2"/>
    <row r="16243" s="2043" customFormat="1" x14ac:dyDescent="0.2"/>
    <row r="16244" s="2043" customFormat="1" x14ac:dyDescent="0.2"/>
    <row r="16245" s="2043" customFormat="1" x14ac:dyDescent="0.2"/>
    <row r="16246" s="2043" customFormat="1" x14ac:dyDescent="0.2"/>
    <row r="16247" s="2043" customFormat="1" x14ac:dyDescent="0.2"/>
    <row r="16248" s="2043" customFormat="1" x14ac:dyDescent="0.2"/>
    <row r="16249" s="2043" customFormat="1" x14ac:dyDescent="0.2"/>
    <row r="16250" s="2043" customFormat="1" x14ac:dyDescent="0.2"/>
    <row r="16251" s="2043" customFormat="1" x14ac:dyDescent="0.2"/>
    <row r="16252" s="2043" customFormat="1" x14ac:dyDescent="0.2"/>
    <row r="16253" s="2043" customFormat="1" x14ac:dyDescent="0.2"/>
    <row r="16254" s="2043" customFormat="1" x14ac:dyDescent="0.2"/>
    <row r="16255" s="2043" customFormat="1" x14ac:dyDescent="0.2"/>
    <row r="16256" s="2043" customFormat="1" x14ac:dyDescent="0.2"/>
    <row r="16257" s="2043" customFormat="1" x14ac:dyDescent="0.2"/>
    <row r="16258" s="2043" customFormat="1" x14ac:dyDescent="0.2"/>
    <row r="16259" s="2043" customFormat="1" x14ac:dyDescent="0.2"/>
    <row r="16260" s="2043" customFormat="1" x14ac:dyDescent="0.2"/>
    <row r="16261" s="2043" customFormat="1" x14ac:dyDescent="0.2"/>
    <row r="16262" s="2043" customFormat="1" x14ac:dyDescent="0.2"/>
    <row r="16263" s="2043" customFormat="1" x14ac:dyDescent="0.2"/>
    <row r="16264" s="2043" customFormat="1" x14ac:dyDescent="0.2"/>
    <row r="16265" s="2043" customFormat="1" x14ac:dyDescent="0.2"/>
    <row r="16266" s="2043" customFormat="1" x14ac:dyDescent="0.2"/>
    <row r="16267" s="2043" customFormat="1" x14ac:dyDescent="0.2"/>
    <row r="16268" s="2043" customFormat="1" x14ac:dyDescent="0.2"/>
    <row r="16269" s="2043" customFormat="1" x14ac:dyDescent="0.2"/>
    <row r="16270" s="2043" customFormat="1" x14ac:dyDescent="0.2"/>
    <row r="16271" s="2043" customFormat="1" x14ac:dyDescent="0.2"/>
    <row r="16272" s="2043" customFormat="1" x14ac:dyDescent="0.2"/>
    <row r="16273" s="2043" customFormat="1" x14ac:dyDescent="0.2"/>
    <row r="16274" s="2043" customFormat="1" x14ac:dyDescent="0.2"/>
    <row r="16275" s="2043" customFormat="1" x14ac:dyDescent="0.2"/>
    <row r="16276" s="2043" customFormat="1" x14ac:dyDescent="0.2"/>
    <row r="16277" s="2043" customFormat="1" x14ac:dyDescent="0.2"/>
    <row r="16278" s="2043" customFormat="1" x14ac:dyDescent="0.2"/>
    <row r="16279" s="2043" customFormat="1" x14ac:dyDescent="0.2"/>
    <row r="16280" s="2043" customFormat="1" x14ac:dyDescent="0.2"/>
    <row r="16281" s="2043" customFormat="1" x14ac:dyDescent="0.2"/>
    <row r="16282" s="2043" customFormat="1" x14ac:dyDescent="0.2"/>
    <row r="16283" s="2043" customFormat="1" x14ac:dyDescent="0.2"/>
    <row r="16284" s="2043" customFormat="1" x14ac:dyDescent="0.2"/>
    <row r="16285" s="2043" customFormat="1" x14ac:dyDescent="0.2"/>
    <row r="16286" s="2043" customFormat="1" x14ac:dyDescent="0.2"/>
    <row r="16287" s="2043" customFormat="1" x14ac:dyDescent="0.2"/>
    <row r="16288" s="2043" customFormat="1" x14ac:dyDescent="0.2"/>
    <row r="16289" s="2043" customFormat="1" x14ac:dyDescent="0.2"/>
    <row r="16290" s="2043" customFormat="1" x14ac:dyDescent="0.2"/>
    <row r="16291" s="2043" customFormat="1" x14ac:dyDescent="0.2"/>
    <row r="16292" s="2043" customFormat="1" x14ac:dyDescent="0.2"/>
    <row r="16293" s="2043" customFormat="1" x14ac:dyDescent="0.2"/>
    <row r="16294" s="2043" customFormat="1" x14ac:dyDescent="0.2"/>
    <row r="16295" s="2043" customFormat="1" x14ac:dyDescent="0.2"/>
    <row r="16296" s="2043" customFormat="1" x14ac:dyDescent="0.2"/>
    <row r="16297" s="2043" customFormat="1" x14ac:dyDescent="0.2"/>
    <row r="16298" s="2043" customFormat="1" x14ac:dyDescent="0.2"/>
    <row r="16299" s="2043" customFormat="1" x14ac:dyDescent="0.2"/>
    <row r="16300" s="2043" customFormat="1" x14ac:dyDescent="0.2"/>
    <row r="16301" s="2043" customFormat="1" x14ac:dyDescent="0.2"/>
    <row r="16302" s="2043" customFormat="1" x14ac:dyDescent="0.2"/>
    <row r="16303" s="2043" customFormat="1" x14ac:dyDescent="0.2"/>
    <row r="16304" s="2043" customFormat="1" x14ac:dyDescent="0.2"/>
    <row r="16305" s="2043" customFormat="1" x14ac:dyDescent="0.2"/>
    <row r="16306" s="2043" customFormat="1" x14ac:dyDescent="0.2"/>
    <row r="16307" s="2043" customFormat="1" x14ac:dyDescent="0.2"/>
    <row r="16308" s="2043" customFormat="1" x14ac:dyDescent="0.2"/>
    <row r="16309" s="2043" customFormat="1" x14ac:dyDescent="0.2"/>
    <row r="16310" s="2043" customFormat="1" x14ac:dyDescent="0.2"/>
    <row r="16311" s="2043" customFormat="1" x14ac:dyDescent="0.2"/>
    <row r="16312" s="2043" customFormat="1" x14ac:dyDescent="0.2"/>
    <row r="16313" s="2043" customFormat="1" x14ac:dyDescent="0.2"/>
    <row r="16314" s="2043" customFormat="1" x14ac:dyDescent="0.2"/>
    <row r="16315" s="2043" customFormat="1" x14ac:dyDescent="0.2"/>
    <row r="16316" s="2043" customFormat="1" x14ac:dyDescent="0.2"/>
    <row r="16317" s="2043" customFormat="1" x14ac:dyDescent="0.2"/>
    <row r="16318" s="2043" customFormat="1" x14ac:dyDescent="0.2"/>
    <row r="16319" s="2043" customFormat="1" x14ac:dyDescent="0.2"/>
    <row r="16320" s="2043" customFormat="1" x14ac:dyDescent="0.2"/>
    <row r="16321" s="2043" customFormat="1" x14ac:dyDescent="0.2"/>
    <row r="16322" s="2043" customFormat="1" x14ac:dyDescent="0.2"/>
    <row r="16323" s="2043" customFormat="1" x14ac:dyDescent="0.2"/>
    <row r="16324" s="2043" customFormat="1" x14ac:dyDescent="0.2"/>
    <row r="16325" s="2043" customFormat="1" x14ac:dyDescent="0.2"/>
    <row r="16326" s="2043" customFormat="1" x14ac:dyDescent="0.2"/>
    <row r="16327" s="2043" customFormat="1" x14ac:dyDescent="0.2"/>
    <row r="16328" s="2043" customFormat="1" x14ac:dyDescent="0.2"/>
    <row r="16329" s="2043" customFormat="1" x14ac:dyDescent="0.2"/>
    <row r="16330" s="2043" customFormat="1" x14ac:dyDescent="0.2"/>
    <row r="16331" s="2043" customFormat="1" x14ac:dyDescent="0.2"/>
    <row r="16332" s="2043" customFormat="1" x14ac:dyDescent="0.2"/>
    <row r="16333" s="2043" customFormat="1" x14ac:dyDescent="0.2"/>
    <row r="16334" s="2043" customFormat="1" x14ac:dyDescent="0.2"/>
    <row r="16335" s="2043" customFormat="1" x14ac:dyDescent="0.2"/>
    <row r="16336" s="2043" customFormat="1" x14ac:dyDescent="0.2"/>
    <row r="16337" s="2043" customFormat="1" x14ac:dyDescent="0.2"/>
    <row r="16338" s="2043" customFormat="1" x14ac:dyDescent="0.2"/>
    <row r="16339" s="2043" customFormat="1" x14ac:dyDescent="0.2"/>
    <row r="16340" s="2043" customFormat="1" x14ac:dyDescent="0.2"/>
    <row r="16341" s="2043" customFormat="1" x14ac:dyDescent="0.2"/>
    <row r="16342" s="2043" customFormat="1" x14ac:dyDescent="0.2"/>
    <row r="16343" s="2043" customFormat="1" x14ac:dyDescent="0.2"/>
    <row r="16344" s="2043" customFormat="1" x14ac:dyDescent="0.2"/>
    <row r="16345" s="2043" customFormat="1" x14ac:dyDescent="0.2"/>
    <row r="16346" s="2043" customFormat="1" x14ac:dyDescent="0.2"/>
    <row r="16347" s="2043" customFormat="1" x14ac:dyDescent="0.2"/>
    <row r="16348" s="2043" customFormat="1" x14ac:dyDescent="0.2"/>
    <row r="16349" s="2043" customFormat="1" x14ac:dyDescent="0.2"/>
    <row r="16350" s="2043" customFormat="1" x14ac:dyDescent="0.2"/>
    <row r="16351" s="2043" customFormat="1" x14ac:dyDescent="0.2"/>
    <row r="16352" s="2043" customFormat="1" x14ac:dyDescent="0.2"/>
    <row r="16353" s="2043" customFormat="1" x14ac:dyDescent="0.2"/>
    <row r="16354" s="2043" customFormat="1" x14ac:dyDescent="0.2"/>
    <row r="16355" s="2043" customFormat="1" x14ac:dyDescent="0.2"/>
    <row r="16356" s="2043" customFormat="1" x14ac:dyDescent="0.2"/>
    <row r="16357" s="2043" customFormat="1" x14ac:dyDescent="0.2"/>
    <row r="16358" s="2043" customFormat="1" x14ac:dyDescent="0.2"/>
    <row r="16359" s="2043" customFormat="1" x14ac:dyDescent="0.2"/>
    <row r="16360" s="2043" customFormat="1" x14ac:dyDescent="0.2"/>
    <row r="16361" s="2043" customFormat="1" x14ac:dyDescent="0.2"/>
    <row r="16362" s="2043" customFormat="1" x14ac:dyDescent="0.2"/>
    <row r="16363" s="2043" customFormat="1" x14ac:dyDescent="0.2"/>
    <row r="16364" s="2043" customFormat="1" x14ac:dyDescent="0.2"/>
    <row r="16365" s="2043" customFormat="1" x14ac:dyDescent="0.2"/>
    <row r="16366" s="2043" customFormat="1" x14ac:dyDescent="0.2"/>
    <row r="16367" s="2043" customFormat="1" x14ac:dyDescent="0.2"/>
    <row r="16368" s="2043" customFormat="1" x14ac:dyDescent="0.2"/>
    <row r="16369" s="2043" customFormat="1" x14ac:dyDescent="0.2"/>
    <row r="16370" s="2043" customFormat="1" x14ac:dyDescent="0.2"/>
    <row r="16371" s="2043" customFormat="1" x14ac:dyDescent="0.2"/>
    <row r="16372" s="2043" customFormat="1" x14ac:dyDescent="0.2"/>
    <row r="16373" s="2043" customFormat="1" x14ac:dyDescent="0.2"/>
    <row r="16374" s="2043" customFormat="1" x14ac:dyDescent="0.2"/>
    <row r="16375" s="2043" customFormat="1" x14ac:dyDescent="0.2"/>
    <row r="16376" s="2043" customFormat="1" x14ac:dyDescent="0.2"/>
    <row r="16377" s="2043" customFormat="1" x14ac:dyDescent="0.2"/>
    <row r="16378" s="2043" customFormat="1" x14ac:dyDescent="0.2"/>
    <row r="16379" s="2043" customFormat="1" x14ac:dyDescent="0.2"/>
    <row r="16380" s="2043" customFormat="1" x14ac:dyDescent="0.2"/>
    <row r="16381" s="2043" customFormat="1" x14ac:dyDescent="0.2"/>
    <row r="16382" s="2043" customFormat="1" x14ac:dyDescent="0.2"/>
    <row r="16383" s="2043" customFormat="1" x14ac:dyDescent="0.2"/>
    <row r="16384" s="2043" customFormat="1" x14ac:dyDescent="0.2"/>
    <row r="16385" s="2043" customFormat="1" x14ac:dyDescent="0.2"/>
    <row r="16386" s="2043" customFormat="1" x14ac:dyDescent="0.2"/>
    <row r="16387" s="2043" customFormat="1" x14ac:dyDescent="0.2"/>
    <row r="16388" s="2043" customFormat="1" x14ac:dyDescent="0.2"/>
    <row r="16389" s="2043" customFormat="1" x14ac:dyDescent="0.2"/>
    <row r="16390" s="2043" customFormat="1" x14ac:dyDescent="0.2"/>
    <row r="16391" s="2043" customFormat="1" x14ac:dyDescent="0.2"/>
    <row r="16392" s="2043" customFormat="1" x14ac:dyDescent="0.2"/>
    <row r="16393" s="2043" customFormat="1" x14ac:dyDescent="0.2"/>
    <row r="16394" s="2043" customFormat="1" x14ac:dyDescent="0.2"/>
    <row r="16395" s="2043" customFormat="1" x14ac:dyDescent="0.2"/>
    <row r="16396" s="2043" customFormat="1" x14ac:dyDescent="0.2"/>
    <row r="16397" s="2043" customFormat="1" x14ac:dyDescent="0.2"/>
    <row r="16398" s="2043" customFormat="1" x14ac:dyDescent="0.2"/>
    <row r="16399" s="2043" customFormat="1" x14ac:dyDescent="0.2"/>
    <row r="16400" s="2043" customFormat="1" x14ac:dyDescent="0.2"/>
    <row r="16401" s="2043" customFormat="1" x14ac:dyDescent="0.2"/>
    <row r="16402" s="2043" customFormat="1" x14ac:dyDescent="0.2"/>
    <row r="16403" s="2043" customFormat="1" x14ac:dyDescent="0.2"/>
    <row r="16404" s="2043" customFormat="1" x14ac:dyDescent="0.2"/>
    <row r="16405" s="2043" customFormat="1" x14ac:dyDescent="0.2"/>
    <row r="16406" s="2043" customFormat="1" x14ac:dyDescent="0.2"/>
    <row r="16407" s="2043" customFormat="1" x14ac:dyDescent="0.2"/>
    <row r="16408" s="2043" customFormat="1" x14ac:dyDescent="0.2"/>
    <row r="16409" s="2043" customFormat="1" x14ac:dyDescent="0.2"/>
    <row r="16410" s="2043" customFormat="1" x14ac:dyDescent="0.2"/>
    <row r="16411" s="2043" customFormat="1" x14ac:dyDescent="0.2"/>
    <row r="16412" s="2043" customFormat="1" x14ac:dyDescent="0.2"/>
    <row r="16413" s="2043" customFormat="1" x14ac:dyDescent="0.2"/>
    <row r="16414" s="2043" customFormat="1" x14ac:dyDescent="0.2"/>
    <row r="16415" s="2043" customFormat="1" x14ac:dyDescent="0.2"/>
    <row r="16416" s="2043" customFormat="1" x14ac:dyDescent="0.2"/>
    <row r="16417" s="2043" customFormat="1" x14ac:dyDescent="0.2"/>
    <row r="16418" s="2043" customFormat="1" x14ac:dyDescent="0.2"/>
    <row r="16419" s="2043" customFormat="1" x14ac:dyDescent="0.2"/>
    <row r="16420" s="2043" customFormat="1" x14ac:dyDescent="0.2"/>
    <row r="16421" s="2043" customFormat="1" x14ac:dyDescent="0.2"/>
    <row r="16422" s="2043" customFormat="1" x14ac:dyDescent="0.2"/>
    <row r="16423" s="2043" customFormat="1" x14ac:dyDescent="0.2"/>
    <row r="16424" s="2043" customFormat="1" x14ac:dyDescent="0.2"/>
    <row r="16425" s="2043" customFormat="1" x14ac:dyDescent="0.2"/>
    <row r="16426" s="2043" customFormat="1" x14ac:dyDescent="0.2"/>
    <row r="16427" s="2043" customFormat="1" x14ac:dyDescent="0.2"/>
    <row r="16428" s="2043" customFormat="1" x14ac:dyDescent="0.2"/>
    <row r="16429" s="2043" customFormat="1" x14ac:dyDescent="0.2"/>
    <row r="16430" s="2043" customFormat="1" x14ac:dyDescent="0.2"/>
    <row r="16431" s="2043" customFormat="1" x14ac:dyDescent="0.2"/>
    <row r="16432" s="2043" customFormat="1" x14ac:dyDescent="0.2"/>
    <row r="16433" s="2043" customFormat="1" x14ac:dyDescent="0.2"/>
    <row r="16434" s="2043" customFormat="1" x14ac:dyDescent="0.2"/>
    <row r="16435" s="2043" customFormat="1" x14ac:dyDescent="0.2"/>
    <row r="16436" s="2043" customFormat="1" x14ac:dyDescent="0.2"/>
    <row r="16437" s="2043" customFormat="1" x14ac:dyDescent="0.2"/>
    <row r="16438" s="2043" customFormat="1" x14ac:dyDescent="0.2"/>
    <row r="16439" s="2043" customFormat="1" x14ac:dyDescent="0.2"/>
    <row r="16440" s="2043" customFormat="1" x14ac:dyDescent="0.2"/>
    <row r="16441" s="2043" customFormat="1" x14ac:dyDescent="0.2"/>
    <row r="16442" s="2043" customFormat="1" x14ac:dyDescent="0.2"/>
    <row r="16443" s="2043" customFormat="1" x14ac:dyDescent="0.2"/>
    <row r="16444" s="2043" customFormat="1" x14ac:dyDescent="0.2"/>
    <row r="16445" s="2043" customFormat="1" x14ac:dyDescent="0.2"/>
    <row r="16446" s="2043" customFormat="1" x14ac:dyDescent="0.2"/>
    <row r="16447" s="2043" customFormat="1" x14ac:dyDescent="0.2"/>
    <row r="16448" s="2043" customFormat="1" x14ac:dyDescent="0.2"/>
    <row r="16449" s="2043" customFormat="1" x14ac:dyDescent="0.2"/>
    <row r="16450" s="2043" customFormat="1" x14ac:dyDescent="0.2"/>
    <row r="16451" s="2043" customFormat="1" x14ac:dyDescent="0.2"/>
    <row r="16452" s="2043" customFormat="1" x14ac:dyDescent="0.2"/>
    <row r="16453" s="2043" customFormat="1" x14ac:dyDescent="0.2"/>
    <row r="16454" s="2043" customFormat="1" x14ac:dyDescent="0.2"/>
    <row r="16455" s="2043" customFormat="1" x14ac:dyDescent="0.2"/>
    <row r="16456" s="2043" customFormat="1" x14ac:dyDescent="0.2"/>
    <row r="16457" s="2043" customFormat="1" x14ac:dyDescent="0.2"/>
    <row r="16458" s="2043" customFormat="1" x14ac:dyDescent="0.2"/>
    <row r="16459" s="2043" customFormat="1" x14ac:dyDescent="0.2"/>
    <row r="16460" s="2043" customFormat="1" x14ac:dyDescent="0.2"/>
    <row r="16461" s="2043" customFormat="1" x14ac:dyDescent="0.2"/>
    <row r="16462" s="2043" customFormat="1" x14ac:dyDescent="0.2"/>
    <row r="16463" s="2043" customFormat="1" x14ac:dyDescent="0.2"/>
    <row r="16464" s="2043" customFormat="1" x14ac:dyDescent="0.2"/>
    <row r="16465" s="2043" customFormat="1" x14ac:dyDescent="0.2"/>
    <row r="16466" s="2043" customFormat="1" x14ac:dyDescent="0.2"/>
    <row r="16467" s="2043" customFormat="1" x14ac:dyDescent="0.2"/>
    <row r="16468" s="2043" customFormat="1" x14ac:dyDescent="0.2"/>
    <row r="16469" s="2043" customFormat="1" x14ac:dyDescent="0.2"/>
    <row r="16470" s="2043" customFormat="1" x14ac:dyDescent="0.2"/>
    <row r="16471" s="2043" customFormat="1" x14ac:dyDescent="0.2"/>
    <row r="16472" s="2043" customFormat="1" x14ac:dyDescent="0.2"/>
    <row r="16473" s="2043" customFormat="1" x14ac:dyDescent="0.2"/>
    <row r="16474" s="2043" customFormat="1" x14ac:dyDescent="0.2"/>
    <row r="16475" s="2043" customFormat="1" x14ac:dyDescent="0.2"/>
    <row r="16476" s="2043" customFormat="1" x14ac:dyDescent="0.2"/>
    <row r="16477" s="2043" customFormat="1" x14ac:dyDescent="0.2"/>
    <row r="16478" s="2043" customFormat="1" x14ac:dyDescent="0.2"/>
    <row r="16479" s="2043" customFormat="1" x14ac:dyDescent="0.2"/>
    <row r="16480" s="2043" customFormat="1" x14ac:dyDescent="0.2"/>
    <row r="16481" s="2043" customFormat="1" x14ac:dyDescent="0.2"/>
    <row r="16482" s="2043" customFormat="1" x14ac:dyDescent="0.2"/>
    <row r="16483" s="2043" customFormat="1" x14ac:dyDescent="0.2"/>
    <row r="16484" s="2043" customFormat="1" x14ac:dyDescent="0.2"/>
    <row r="16485" s="2043" customFormat="1" x14ac:dyDescent="0.2"/>
    <row r="16486" s="2043" customFormat="1" x14ac:dyDescent="0.2"/>
    <row r="16487" s="2043" customFormat="1" x14ac:dyDescent="0.2"/>
    <row r="16488" s="2043" customFormat="1" x14ac:dyDescent="0.2"/>
    <row r="16489" s="2043" customFormat="1" x14ac:dyDescent="0.2"/>
    <row r="16490" s="2043" customFormat="1" x14ac:dyDescent="0.2"/>
    <row r="16491" s="2043" customFormat="1" x14ac:dyDescent="0.2"/>
    <row r="16492" s="2043" customFormat="1" x14ac:dyDescent="0.2"/>
    <row r="16493" s="2043" customFormat="1" x14ac:dyDescent="0.2"/>
    <row r="16494" s="2043" customFormat="1" x14ac:dyDescent="0.2"/>
    <row r="16495" s="2043" customFormat="1" x14ac:dyDescent="0.2"/>
    <row r="16496" s="2043" customFormat="1" x14ac:dyDescent="0.2"/>
    <row r="16497" s="2043" customFormat="1" x14ac:dyDescent="0.2"/>
    <row r="16498" s="2043" customFormat="1" x14ac:dyDescent="0.2"/>
    <row r="16499" s="2043" customFormat="1" x14ac:dyDescent="0.2"/>
    <row r="16500" s="2043" customFormat="1" x14ac:dyDescent="0.2"/>
    <row r="16501" s="2043" customFormat="1" x14ac:dyDescent="0.2"/>
    <row r="16502" s="2043" customFormat="1" x14ac:dyDescent="0.2"/>
    <row r="16503" s="2043" customFormat="1" x14ac:dyDescent="0.2"/>
    <row r="16504" s="2043" customFormat="1" x14ac:dyDescent="0.2"/>
    <row r="16505" s="2043" customFormat="1" x14ac:dyDescent="0.2"/>
    <row r="16506" s="2043" customFormat="1" x14ac:dyDescent="0.2"/>
    <row r="16507" s="2043" customFormat="1" x14ac:dyDescent="0.2"/>
    <row r="16508" s="2043" customFormat="1" x14ac:dyDescent="0.2"/>
    <row r="16509" s="2043" customFormat="1" x14ac:dyDescent="0.2"/>
    <row r="16510" s="2043" customFormat="1" x14ac:dyDescent="0.2"/>
    <row r="16511" s="2043" customFormat="1" x14ac:dyDescent="0.2"/>
    <row r="16512" s="2043" customFormat="1" x14ac:dyDescent="0.2"/>
    <row r="16513" s="2043" customFormat="1" x14ac:dyDescent="0.2"/>
    <row r="16514" s="2043" customFormat="1" x14ac:dyDescent="0.2"/>
    <row r="16515" s="2043" customFormat="1" x14ac:dyDescent="0.2"/>
    <row r="16516" s="2043" customFormat="1" x14ac:dyDescent="0.2"/>
    <row r="16517" s="2043" customFormat="1" x14ac:dyDescent="0.2"/>
    <row r="16518" s="2043" customFormat="1" x14ac:dyDescent="0.2"/>
    <row r="16519" s="2043" customFormat="1" x14ac:dyDescent="0.2"/>
    <row r="16520" s="2043" customFormat="1" x14ac:dyDescent="0.2"/>
    <row r="16521" s="2043" customFormat="1" x14ac:dyDescent="0.2"/>
    <row r="16522" s="2043" customFormat="1" x14ac:dyDescent="0.2"/>
    <row r="16523" s="2043" customFormat="1" x14ac:dyDescent="0.2"/>
    <row r="16524" s="2043" customFormat="1" x14ac:dyDescent="0.2"/>
    <row r="16525" s="2043" customFormat="1" x14ac:dyDescent="0.2"/>
    <row r="16526" s="2043" customFormat="1" x14ac:dyDescent="0.2"/>
    <row r="16527" s="2043" customFormat="1" x14ac:dyDescent="0.2"/>
    <row r="16528" s="2043" customFormat="1" x14ac:dyDescent="0.2"/>
    <row r="16529" s="2043" customFormat="1" x14ac:dyDescent="0.2"/>
    <row r="16530" s="2043" customFormat="1" x14ac:dyDescent="0.2"/>
    <row r="16531" s="2043" customFormat="1" x14ac:dyDescent="0.2"/>
    <row r="16532" s="2043" customFormat="1" x14ac:dyDescent="0.2"/>
    <row r="16533" s="2043" customFormat="1" x14ac:dyDescent="0.2"/>
    <row r="16534" s="2043" customFormat="1" x14ac:dyDescent="0.2"/>
    <row r="16535" s="2043" customFormat="1" x14ac:dyDescent="0.2"/>
    <row r="16536" s="2043" customFormat="1" x14ac:dyDescent="0.2"/>
    <row r="16537" s="2043" customFormat="1" x14ac:dyDescent="0.2"/>
    <row r="16538" s="2043" customFormat="1" x14ac:dyDescent="0.2"/>
    <row r="16539" s="2043" customFormat="1" x14ac:dyDescent="0.2"/>
    <row r="16540" s="2043" customFormat="1" x14ac:dyDescent="0.2"/>
    <row r="16541" s="2043" customFormat="1" x14ac:dyDescent="0.2"/>
    <row r="16542" s="2043" customFormat="1" x14ac:dyDescent="0.2"/>
    <row r="16543" s="2043" customFormat="1" x14ac:dyDescent="0.2"/>
    <row r="16544" s="2043" customFormat="1" x14ac:dyDescent="0.2"/>
    <row r="16545" s="2043" customFormat="1" x14ac:dyDescent="0.2"/>
    <row r="16546" s="2043" customFormat="1" x14ac:dyDescent="0.2"/>
    <row r="16547" s="2043" customFormat="1" x14ac:dyDescent="0.2"/>
    <row r="16548" s="2043" customFormat="1" x14ac:dyDescent="0.2"/>
    <row r="16549" s="2043" customFormat="1" x14ac:dyDescent="0.2"/>
    <row r="16550" s="2043" customFormat="1" x14ac:dyDescent="0.2"/>
    <row r="16551" s="2043" customFormat="1" x14ac:dyDescent="0.2"/>
    <row r="16552" s="2043" customFormat="1" x14ac:dyDescent="0.2"/>
    <row r="16553" s="2043" customFormat="1" x14ac:dyDescent="0.2"/>
    <row r="16554" s="2043" customFormat="1" x14ac:dyDescent="0.2"/>
    <row r="16555" s="2043" customFormat="1" x14ac:dyDescent="0.2"/>
    <row r="16556" s="2043" customFormat="1" x14ac:dyDescent="0.2"/>
    <row r="16557" s="2043" customFormat="1" x14ac:dyDescent="0.2"/>
    <row r="16558" s="2043" customFormat="1" x14ac:dyDescent="0.2"/>
    <row r="16559" s="2043" customFormat="1" x14ac:dyDescent="0.2"/>
    <row r="16560" s="2043" customFormat="1" x14ac:dyDescent="0.2"/>
    <row r="16561" s="2043" customFormat="1" x14ac:dyDescent="0.2"/>
    <row r="16562" s="2043" customFormat="1" x14ac:dyDescent="0.2"/>
    <row r="16563" s="2043" customFormat="1" x14ac:dyDescent="0.2"/>
    <row r="16564" s="2043" customFormat="1" x14ac:dyDescent="0.2"/>
    <row r="16565" s="2043" customFormat="1" x14ac:dyDescent="0.2"/>
    <row r="16566" s="2043" customFormat="1" x14ac:dyDescent="0.2"/>
    <row r="16567" s="2043" customFormat="1" x14ac:dyDescent="0.2"/>
    <row r="16568" s="2043" customFormat="1" x14ac:dyDescent="0.2"/>
    <row r="16569" s="2043" customFormat="1" x14ac:dyDescent="0.2"/>
    <row r="16570" s="2043" customFormat="1" x14ac:dyDescent="0.2"/>
    <row r="16571" s="2043" customFormat="1" x14ac:dyDescent="0.2"/>
    <row r="16572" s="2043" customFormat="1" x14ac:dyDescent="0.2"/>
    <row r="16573" s="2043" customFormat="1" x14ac:dyDescent="0.2"/>
    <row r="16574" s="2043" customFormat="1" x14ac:dyDescent="0.2"/>
    <row r="16575" s="2043" customFormat="1" x14ac:dyDescent="0.2"/>
    <row r="16576" s="2043" customFormat="1" x14ac:dyDescent="0.2"/>
    <row r="16577" s="2043" customFormat="1" x14ac:dyDescent="0.2"/>
    <row r="16578" s="2043" customFormat="1" x14ac:dyDescent="0.2"/>
    <row r="16579" s="2043" customFormat="1" x14ac:dyDescent="0.2"/>
    <row r="16580" s="2043" customFormat="1" x14ac:dyDescent="0.2"/>
    <row r="16581" s="2043" customFormat="1" x14ac:dyDescent="0.2"/>
    <row r="16582" s="2043" customFormat="1" x14ac:dyDescent="0.2"/>
    <row r="16583" s="2043" customFormat="1" x14ac:dyDescent="0.2"/>
    <row r="16584" s="2043" customFormat="1" x14ac:dyDescent="0.2"/>
    <row r="16585" s="2043" customFormat="1" x14ac:dyDescent="0.2"/>
    <row r="16586" s="2043" customFormat="1" x14ac:dyDescent="0.2"/>
    <row r="16587" s="2043" customFormat="1" x14ac:dyDescent="0.2"/>
    <row r="16588" s="2043" customFormat="1" x14ac:dyDescent="0.2"/>
    <row r="16589" s="2043" customFormat="1" x14ac:dyDescent="0.2"/>
    <row r="16590" s="2043" customFormat="1" x14ac:dyDescent="0.2"/>
    <row r="16591" s="2043" customFormat="1" x14ac:dyDescent="0.2"/>
    <row r="16592" s="2043" customFormat="1" x14ac:dyDescent="0.2"/>
    <row r="16593" s="2043" customFormat="1" x14ac:dyDescent="0.2"/>
    <row r="16594" s="2043" customFormat="1" x14ac:dyDescent="0.2"/>
    <row r="16595" s="2043" customFormat="1" x14ac:dyDescent="0.2"/>
    <row r="16596" s="2043" customFormat="1" x14ac:dyDescent="0.2"/>
    <row r="16597" s="2043" customFormat="1" x14ac:dyDescent="0.2"/>
    <row r="16598" s="2043" customFormat="1" x14ac:dyDescent="0.2"/>
    <row r="16599" s="2043" customFormat="1" x14ac:dyDescent="0.2"/>
    <row r="16600" s="2043" customFormat="1" x14ac:dyDescent="0.2"/>
    <row r="16601" s="2043" customFormat="1" x14ac:dyDescent="0.2"/>
    <row r="16602" s="2043" customFormat="1" x14ac:dyDescent="0.2"/>
    <row r="16603" s="2043" customFormat="1" x14ac:dyDescent="0.2"/>
    <row r="16604" s="2043" customFormat="1" x14ac:dyDescent="0.2"/>
    <row r="16605" s="2043" customFormat="1" x14ac:dyDescent="0.2"/>
    <row r="16606" s="2043" customFormat="1" x14ac:dyDescent="0.2"/>
    <row r="16607" s="2043" customFormat="1" x14ac:dyDescent="0.2"/>
    <row r="16608" s="2043" customFormat="1" x14ac:dyDescent="0.2"/>
    <row r="16609" s="2043" customFormat="1" x14ac:dyDescent="0.2"/>
    <row r="16610" s="2043" customFormat="1" x14ac:dyDescent="0.2"/>
    <row r="16611" s="2043" customFormat="1" x14ac:dyDescent="0.2"/>
    <row r="16612" s="2043" customFormat="1" x14ac:dyDescent="0.2"/>
    <row r="16613" s="2043" customFormat="1" x14ac:dyDescent="0.2"/>
    <row r="16614" s="2043" customFormat="1" x14ac:dyDescent="0.2"/>
    <row r="16615" s="2043" customFormat="1" x14ac:dyDescent="0.2"/>
    <row r="16616" s="2043" customFormat="1" x14ac:dyDescent="0.2"/>
    <row r="16617" s="2043" customFormat="1" x14ac:dyDescent="0.2"/>
    <row r="16618" s="2043" customFormat="1" x14ac:dyDescent="0.2"/>
    <row r="16619" s="2043" customFormat="1" x14ac:dyDescent="0.2"/>
    <row r="16620" s="2043" customFormat="1" x14ac:dyDescent="0.2"/>
    <row r="16621" s="2043" customFormat="1" x14ac:dyDescent="0.2"/>
    <row r="16622" s="2043" customFormat="1" x14ac:dyDescent="0.2"/>
    <row r="16623" s="2043" customFormat="1" x14ac:dyDescent="0.2"/>
    <row r="16624" s="2043" customFormat="1" x14ac:dyDescent="0.2"/>
    <row r="16625" s="2043" customFormat="1" x14ac:dyDescent="0.2"/>
    <row r="16626" s="2043" customFormat="1" x14ac:dyDescent="0.2"/>
    <row r="16627" s="2043" customFormat="1" x14ac:dyDescent="0.2"/>
    <row r="16628" s="2043" customFormat="1" x14ac:dyDescent="0.2"/>
    <row r="16629" s="2043" customFormat="1" x14ac:dyDescent="0.2"/>
    <row r="16630" s="2043" customFormat="1" x14ac:dyDescent="0.2"/>
    <row r="16631" s="2043" customFormat="1" x14ac:dyDescent="0.2"/>
    <row r="16632" s="2043" customFormat="1" x14ac:dyDescent="0.2"/>
    <row r="16633" s="2043" customFormat="1" x14ac:dyDescent="0.2"/>
    <row r="16634" s="2043" customFormat="1" x14ac:dyDescent="0.2"/>
    <row r="16635" s="2043" customFormat="1" x14ac:dyDescent="0.2"/>
    <row r="16636" s="2043" customFormat="1" x14ac:dyDescent="0.2"/>
    <row r="16637" s="2043" customFormat="1" x14ac:dyDescent="0.2"/>
    <row r="16638" s="2043" customFormat="1" x14ac:dyDescent="0.2"/>
    <row r="16639" s="2043" customFormat="1" x14ac:dyDescent="0.2"/>
    <row r="16640" s="2043" customFormat="1" x14ac:dyDescent="0.2"/>
    <row r="16641" s="2043" customFormat="1" x14ac:dyDescent="0.2"/>
    <row r="16642" s="2043" customFormat="1" x14ac:dyDescent="0.2"/>
    <row r="16643" s="2043" customFormat="1" x14ac:dyDescent="0.2"/>
    <row r="16644" s="2043" customFormat="1" x14ac:dyDescent="0.2"/>
    <row r="16645" s="2043" customFormat="1" x14ac:dyDescent="0.2"/>
    <row r="16646" s="2043" customFormat="1" x14ac:dyDescent="0.2"/>
    <row r="16647" s="2043" customFormat="1" x14ac:dyDescent="0.2"/>
    <row r="16648" s="2043" customFormat="1" x14ac:dyDescent="0.2"/>
    <row r="16649" s="2043" customFormat="1" x14ac:dyDescent="0.2"/>
    <row r="16650" s="2043" customFormat="1" x14ac:dyDescent="0.2"/>
    <row r="16651" s="2043" customFormat="1" x14ac:dyDescent="0.2"/>
    <row r="16652" s="2043" customFormat="1" x14ac:dyDescent="0.2"/>
    <row r="16653" s="2043" customFormat="1" x14ac:dyDescent="0.2"/>
    <row r="16654" s="2043" customFormat="1" x14ac:dyDescent="0.2"/>
    <row r="16655" s="2043" customFormat="1" x14ac:dyDescent="0.2"/>
    <row r="16656" s="2043" customFormat="1" x14ac:dyDescent="0.2"/>
    <row r="16657" s="2043" customFormat="1" x14ac:dyDescent="0.2"/>
    <row r="16658" s="2043" customFormat="1" x14ac:dyDescent="0.2"/>
    <row r="16659" s="2043" customFormat="1" x14ac:dyDescent="0.2"/>
    <row r="16660" s="2043" customFormat="1" x14ac:dyDescent="0.2"/>
    <row r="16661" s="2043" customFormat="1" x14ac:dyDescent="0.2"/>
    <row r="16662" s="2043" customFormat="1" x14ac:dyDescent="0.2"/>
    <row r="16663" s="2043" customFormat="1" x14ac:dyDescent="0.2"/>
    <row r="16664" s="2043" customFormat="1" x14ac:dyDescent="0.2"/>
    <row r="16665" s="2043" customFormat="1" x14ac:dyDescent="0.2"/>
    <row r="16666" s="2043" customFormat="1" x14ac:dyDescent="0.2"/>
    <row r="16667" s="2043" customFormat="1" x14ac:dyDescent="0.2"/>
    <row r="16668" s="2043" customFormat="1" x14ac:dyDescent="0.2"/>
    <row r="16669" s="2043" customFormat="1" x14ac:dyDescent="0.2"/>
    <row r="16670" s="2043" customFormat="1" x14ac:dyDescent="0.2"/>
    <row r="16671" s="2043" customFormat="1" x14ac:dyDescent="0.2"/>
    <row r="16672" s="2043" customFormat="1" x14ac:dyDescent="0.2"/>
    <row r="16673" s="2043" customFormat="1" x14ac:dyDescent="0.2"/>
    <row r="16674" s="2043" customFormat="1" x14ac:dyDescent="0.2"/>
    <row r="16675" s="2043" customFormat="1" x14ac:dyDescent="0.2"/>
    <row r="16676" s="2043" customFormat="1" x14ac:dyDescent="0.2"/>
    <row r="16677" s="2043" customFormat="1" x14ac:dyDescent="0.2"/>
    <row r="16678" s="2043" customFormat="1" x14ac:dyDescent="0.2"/>
    <row r="16679" s="2043" customFormat="1" x14ac:dyDescent="0.2"/>
    <row r="16680" s="2043" customFormat="1" x14ac:dyDescent="0.2"/>
    <row r="16681" s="2043" customFormat="1" x14ac:dyDescent="0.2"/>
    <row r="16682" s="2043" customFormat="1" x14ac:dyDescent="0.2"/>
    <row r="16683" s="2043" customFormat="1" x14ac:dyDescent="0.2"/>
    <row r="16684" s="2043" customFormat="1" x14ac:dyDescent="0.2"/>
    <row r="16685" s="2043" customFormat="1" x14ac:dyDescent="0.2"/>
    <row r="16686" s="2043" customFormat="1" x14ac:dyDescent="0.2"/>
    <row r="16687" s="2043" customFormat="1" x14ac:dyDescent="0.2"/>
    <row r="16688" s="2043" customFormat="1" x14ac:dyDescent="0.2"/>
    <row r="16689" s="2043" customFormat="1" x14ac:dyDescent="0.2"/>
    <row r="16690" s="2043" customFormat="1" x14ac:dyDescent="0.2"/>
    <row r="16691" s="2043" customFormat="1" x14ac:dyDescent="0.2"/>
    <row r="16692" s="2043" customFormat="1" x14ac:dyDescent="0.2"/>
    <row r="16693" s="2043" customFormat="1" x14ac:dyDescent="0.2"/>
    <row r="16694" s="2043" customFormat="1" x14ac:dyDescent="0.2"/>
    <row r="16695" s="2043" customFormat="1" x14ac:dyDescent="0.2"/>
    <row r="16696" s="2043" customFormat="1" x14ac:dyDescent="0.2"/>
    <row r="16697" s="2043" customFormat="1" x14ac:dyDescent="0.2"/>
    <row r="16698" s="2043" customFormat="1" x14ac:dyDescent="0.2"/>
    <row r="16699" s="2043" customFormat="1" x14ac:dyDescent="0.2"/>
    <row r="16700" s="2043" customFormat="1" x14ac:dyDescent="0.2"/>
    <row r="16701" s="2043" customFormat="1" x14ac:dyDescent="0.2"/>
    <row r="16702" s="2043" customFormat="1" x14ac:dyDescent="0.2"/>
    <row r="16703" s="2043" customFormat="1" x14ac:dyDescent="0.2"/>
    <row r="16704" s="2043" customFormat="1" x14ac:dyDescent="0.2"/>
    <row r="16705" s="2043" customFormat="1" x14ac:dyDescent="0.2"/>
    <row r="16706" s="2043" customFormat="1" x14ac:dyDescent="0.2"/>
    <row r="16707" s="2043" customFormat="1" x14ac:dyDescent="0.2"/>
    <row r="16708" s="2043" customFormat="1" x14ac:dyDescent="0.2"/>
    <row r="16709" s="2043" customFormat="1" x14ac:dyDescent="0.2"/>
    <row r="16710" s="2043" customFormat="1" x14ac:dyDescent="0.2"/>
    <row r="16711" s="2043" customFormat="1" x14ac:dyDescent="0.2"/>
    <row r="16712" s="2043" customFormat="1" x14ac:dyDescent="0.2"/>
    <row r="16713" s="2043" customFormat="1" x14ac:dyDescent="0.2"/>
    <row r="16714" s="2043" customFormat="1" x14ac:dyDescent="0.2"/>
    <row r="16715" s="2043" customFormat="1" x14ac:dyDescent="0.2"/>
    <row r="16716" s="2043" customFormat="1" x14ac:dyDescent="0.2"/>
    <row r="16717" s="2043" customFormat="1" x14ac:dyDescent="0.2"/>
    <row r="16718" s="2043" customFormat="1" x14ac:dyDescent="0.2"/>
    <row r="16719" s="2043" customFormat="1" x14ac:dyDescent="0.2"/>
    <row r="16720" s="2043" customFormat="1" x14ac:dyDescent="0.2"/>
    <row r="16721" s="2043" customFormat="1" x14ac:dyDescent="0.2"/>
    <row r="16722" s="2043" customFormat="1" x14ac:dyDescent="0.2"/>
    <row r="16723" s="2043" customFormat="1" x14ac:dyDescent="0.2"/>
    <row r="16724" s="2043" customFormat="1" x14ac:dyDescent="0.2"/>
    <row r="16725" s="2043" customFormat="1" x14ac:dyDescent="0.2"/>
    <row r="16726" s="2043" customFormat="1" x14ac:dyDescent="0.2"/>
    <row r="16727" s="2043" customFormat="1" x14ac:dyDescent="0.2"/>
    <row r="16728" s="2043" customFormat="1" x14ac:dyDescent="0.2"/>
    <row r="16729" s="2043" customFormat="1" x14ac:dyDescent="0.2"/>
    <row r="16730" s="2043" customFormat="1" x14ac:dyDescent="0.2"/>
    <row r="16731" s="2043" customFormat="1" x14ac:dyDescent="0.2"/>
    <row r="16732" s="2043" customFormat="1" x14ac:dyDescent="0.2"/>
    <row r="16733" s="2043" customFormat="1" x14ac:dyDescent="0.2"/>
    <row r="16734" s="2043" customFormat="1" x14ac:dyDescent="0.2"/>
    <row r="16735" s="2043" customFormat="1" x14ac:dyDescent="0.2"/>
    <row r="16736" s="2043" customFormat="1" x14ac:dyDescent="0.2"/>
    <row r="16737" s="2043" customFormat="1" x14ac:dyDescent="0.2"/>
    <row r="16738" s="2043" customFormat="1" x14ac:dyDescent="0.2"/>
    <row r="16739" s="2043" customFormat="1" x14ac:dyDescent="0.2"/>
    <row r="16740" s="2043" customFormat="1" x14ac:dyDescent="0.2"/>
    <row r="16741" s="2043" customFormat="1" x14ac:dyDescent="0.2"/>
    <row r="16742" s="2043" customFormat="1" x14ac:dyDescent="0.2"/>
    <row r="16743" s="2043" customFormat="1" x14ac:dyDescent="0.2"/>
    <row r="16744" s="2043" customFormat="1" x14ac:dyDescent="0.2"/>
    <row r="16745" s="2043" customFormat="1" x14ac:dyDescent="0.2"/>
    <row r="16746" s="2043" customFormat="1" x14ac:dyDescent="0.2"/>
    <row r="16747" s="2043" customFormat="1" x14ac:dyDescent="0.2"/>
    <row r="16748" s="2043" customFormat="1" x14ac:dyDescent="0.2"/>
    <row r="16749" s="2043" customFormat="1" x14ac:dyDescent="0.2"/>
    <row r="16750" s="2043" customFormat="1" x14ac:dyDescent="0.2"/>
    <row r="16751" s="2043" customFormat="1" x14ac:dyDescent="0.2"/>
    <row r="16752" s="2043" customFormat="1" x14ac:dyDescent="0.2"/>
    <row r="16753" s="2043" customFormat="1" x14ac:dyDescent="0.2"/>
    <row r="16754" s="2043" customFormat="1" x14ac:dyDescent="0.2"/>
    <row r="16755" s="2043" customFormat="1" x14ac:dyDescent="0.2"/>
    <row r="16756" s="2043" customFormat="1" x14ac:dyDescent="0.2"/>
    <row r="16757" s="2043" customFormat="1" x14ac:dyDescent="0.2"/>
    <row r="16758" s="2043" customFormat="1" x14ac:dyDescent="0.2"/>
    <row r="16759" s="2043" customFormat="1" x14ac:dyDescent="0.2"/>
    <row r="16760" s="2043" customFormat="1" x14ac:dyDescent="0.2"/>
    <row r="16761" s="2043" customFormat="1" x14ac:dyDescent="0.2"/>
    <row r="16762" s="2043" customFormat="1" x14ac:dyDescent="0.2"/>
    <row r="16763" s="2043" customFormat="1" x14ac:dyDescent="0.2"/>
    <row r="16764" s="2043" customFormat="1" x14ac:dyDescent="0.2"/>
    <row r="16765" s="2043" customFormat="1" x14ac:dyDescent="0.2"/>
    <row r="16766" s="2043" customFormat="1" x14ac:dyDescent="0.2"/>
    <row r="16767" s="2043" customFormat="1" x14ac:dyDescent="0.2"/>
    <row r="16768" s="2043" customFormat="1" x14ac:dyDescent="0.2"/>
    <row r="16769" s="2043" customFormat="1" x14ac:dyDescent="0.2"/>
    <row r="16770" s="2043" customFormat="1" x14ac:dyDescent="0.2"/>
    <row r="16771" s="2043" customFormat="1" x14ac:dyDescent="0.2"/>
    <row r="16772" s="2043" customFormat="1" x14ac:dyDescent="0.2"/>
    <row r="16773" s="2043" customFormat="1" x14ac:dyDescent="0.2"/>
    <row r="16774" s="2043" customFormat="1" x14ac:dyDescent="0.2"/>
    <row r="16775" s="2043" customFormat="1" x14ac:dyDescent="0.2"/>
    <row r="16776" s="2043" customFormat="1" x14ac:dyDescent="0.2"/>
    <row r="16777" s="2043" customFormat="1" x14ac:dyDescent="0.2"/>
    <row r="16778" s="2043" customFormat="1" x14ac:dyDescent="0.2"/>
    <row r="16779" s="2043" customFormat="1" x14ac:dyDescent="0.2"/>
    <row r="16780" s="2043" customFormat="1" x14ac:dyDescent="0.2"/>
    <row r="16781" s="2043" customFormat="1" x14ac:dyDescent="0.2"/>
    <row r="16782" s="2043" customFormat="1" x14ac:dyDescent="0.2"/>
    <row r="16783" s="2043" customFormat="1" x14ac:dyDescent="0.2"/>
    <row r="16784" s="2043" customFormat="1" x14ac:dyDescent="0.2"/>
    <row r="16785" s="2043" customFormat="1" x14ac:dyDescent="0.2"/>
    <row r="16786" s="2043" customFormat="1" x14ac:dyDescent="0.2"/>
    <row r="16787" s="2043" customFormat="1" x14ac:dyDescent="0.2"/>
    <row r="16788" s="2043" customFormat="1" x14ac:dyDescent="0.2"/>
    <row r="16789" s="2043" customFormat="1" x14ac:dyDescent="0.2"/>
    <row r="16790" s="2043" customFormat="1" x14ac:dyDescent="0.2"/>
    <row r="16791" s="2043" customFormat="1" x14ac:dyDescent="0.2"/>
    <row r="16792" s="2043" customFormat="1" x14ac:dyDescent="0.2"/>
    <row r="16793" s="2043" customFormat="1" x14ac:dyDescent="0.2"/>
    <row r="16794" s="2043" customFormat="1" x14ac:dyDescent="0.2"/>
    <row r="16795" s="2043" customFormat="1" x14ac:dyDescent="0.2"/>
    <row r="16796" s="2043" customFormat="1" x14ac:dyDescent="0.2"/>
    <row r="16797" s="2043" customFormat="1" x14ac:dyDescent="0.2"/>
    <row r="16798" s="2043" customFormat="1" x14ac:dyDescent="0.2"/>
    <row r="16799" s="2043" customFormat="1" x14ac:dyDescent="0.2"/>
    <row r="16800" s="2043" customFormat="1" x14ac:dyDescent="0.2"/>
    <row r="16801" s="2043" customFormat="1" x14ac:dyDescent="0.2"/>
    <row r="16802" s="2043" customFormat="1" x14ac:dyDescent="0.2"/>
    <row r="16803" s="2043" customFormat="1" x14ac:dyDescent="0.2"/>
    <row r="16804" s="2043" customFormat="1" x14ac:dyDescent="0.2"/>
    <row r="16805" s="2043" customFormat="1" x14ac:dyDescent="0.2"/>
    <row r="16806" s="2043" customFormat="1" x14ac:dyDescent="0.2"/>
    <row r="16807" s="2043" customFormat="1" x14ac:dyDescent="0.2"/>
    <row r="16808" s="2043" customFormat="1" x14ac:dyDescent="0.2"/>
    <row r="16809" s="2043" customFormat="1" x14ac:dyDescent="0.2"/>
    <row r="16810" s="2043" customFormat="1" x14ac:dyDescent="0.2"/>
    <row r="16811" s="2043" customFormat="1" x14ac:dyDescent="0.2"/>
    <row r="16812" s="2043" customFormat="1" x14ac:dyDescent="0.2"/>
    <row r="16813" s="2043" customFormat="1" x14ac:dyDescent="0.2"/>
    <row r="16814" s="2043" customFormat="1" x14ac:dyDescent="0.2"/>
    <row r="16815" s="2043" customFormat="1" x14ac:dyDescent="0.2"/>
    <row r="16816" s="2043" customFormat="1" x14ac:dyDescent="0.2"/>
    <row r="16817" s="2043" customFormat="1" x14ac:dyDescent="0.2"/>
    <row r="16818" s="2043" customFormat="1" x14ac:dyDescent="0.2"/>
    <row r="16819" s="2043" customFormat="1" x14ac:dyDescent="0.2"/>
    <row r="16820" s="2043" customFormat="1" x14ac:dyDescent="0.2"/>
    <row r="16821" s="2043" customFormat="1" x14ac:dyDescent="0.2"/>
    <row r="16822" s="2043" customFormat="1" x14ac:dyDescent="0.2"/>
    <row r="16823" s="2043" customFormat="1" x14ac:dyDescent="0.2"/>
    <row r="16824" s="2043" customFormat="1" x14ac:dyDescent="0.2"/>
    <row r="16825" s="2043" customFormat="1" x14ac:dyDescent="0.2"/>
    <row r="16826" s="2043" customFormat="1" x14ac:dyDescent="0.2"/>
    <row r="16827" s="2043" customFormat="1" x14ac:dyDescent="0.2"/>
    <row r="16828" s="2043" customFormat="1" x14ac:dyDescent="0.2"/>
    <row r="16829" s="2043" customFormat="1" x14ac:dyDescent="0.2"/>
    <row r="16830" s="2043" customFormat="1" x14ac:dyDescent="0.2"/>
    <row r="16831" s="2043" customFormat="1" x14ac:dyDescent="0.2"/>
    <row r="16832" s="2043" customFormat="1" x14ac:dyDescent="0.2"/>
    <row r="16833" s="2043" customFormat="1" x14ac:dyDescent="0.2"/>
    <row r="16834" s="2043" customFormat="1" x14ac:dyDescent="0.2"/>
    <row r="16835" s="2043" customFormat="1" x14ac:dyDescent="0.2"/>
    <row r="16836" s="2043" customFormat="1" x14ac:dyDescent="0.2"/>
    <row r="16837" s="2043" customFormat="1" x14ac:dyDescent="0.2"/>
    <row r="16838" s="2043" customFormat="1" x14ac:dyDescent="0.2"/>
    <row r="16839" s="2043" customFormat="1" x14ac:dyDescent="0.2"/>
    <row r="16840" s="2043" customFormat="1" x14ac:dyDescent="0.2"/>
    <row r="16841" s="2043" customFormat="1" x14ac:dyDescent="0.2"/>
    <row r="16842" s="2043" customFormat="1" x14ac:dyDescent="0.2"/>
    <row r="16843" s="2043" customFormat="1" x14ac:dyDescent="0.2"/>
    <row r="16844" s="2043" customFormat="1" x14ac:dyDescent="0.2"/>
    <row r="16845" s="2043" customFormat="1" x14ac:dyDescent="0.2"/>
    <row r="16846" s="2043" customFormat="1" x14ac:dyDescent="0.2"/>
    <row r="16847" s="2043" customFormat="1" x14ac:dyDescent="0.2"/>
    <row r="16848" s="2043" customFormat="1" x14ac:dyDescent="0.2"/>
    <row r="16849" s="2043" customFormat="1" x14ac:dyDescent="0.2"/>
    <row r="16850" s="2043" customFormat="1" x14ac:dyDescent="0.2"/>
    <row r="16851" s="2043" customFormat="1" x14ac:dyDescent="0.2"/>
    <row r="16852" s="2043" customFormat="1" x14ac:dyDescent="0.2"/>
    <row r="16853" s="2043" customFormat="1" x14ac:dyDescent="0.2"/>
    <row r="16854" s="2043" customFormat="1" x14ac:dyDescent="0.2"/>
    <row r="16855" s="2043" customFormat="1" x14ac:dyDescent="0.2"/>
    <row r="16856" s="2043" customFormat="1" x14ac:dyDescent="0.2"/>
    <row r="16857" s="2043" customFormat="1" x14ac:dyDescent="0.2"/>
    <row r="16858" s="2043" customFormat="1" x14ac:dyDescent="0.2"/>
    <row r="16859" s="2043" customFormat="1" x14ac:dyDescent="0.2"/>
    <row r="16860" s="2043" customFormat="1" x14ac:dyDescent="0.2"/>
    <row r="16861" s="2043" customFormat="1" x14ac:dyDescent="0.2"/>
    <row r="16862" s="2043" customFormat="1" x14ac:dyDescent="0.2"/>
    <row r="16863" s="2043" customFormat="1" x14ac:dyDescent="0.2"/>
    <row r="16864" s="2043" customFormat="1" x14ac:dyDescent="0.2"/>
    <row r="16865" s="2043" customFormat="1" x14ac:dyDescent="0.2"/>
    <row r="16866" s="2043" customFormat="1" x14ac:dyDescent="0.2"/>
    <row r="16867" s="2043" customFormat="1" x14ac:dyDescent="0.2"/>
    <row r="16868" s="2043" customFormat="1" x14ac:dyDescent="0.2"/>
    <row r="16869" s="2043" customFormat="1" x14ac:dyDescent="0.2"/>
    <row r="16870" s="2043" customFormat="1" x14ac:dyDescent="0.2"/>
    <row r="16871" s="2043" customFormat="1" x14ac:dyDescent="0.2"/>
    <row r="16872" s="2043" customFormat="1" x14ac:dyDescent="0.2"/>
    <row r="16873" s="2043" customFormat="1" x14ac:dyDescent="0.2"/>
    <row r="16874" s="2043" customFormat="1" x14ac:dyDescent="0.2"/>
    <row r="16875" s="2043" customFormat="1" x14ac:dyDescent="0.2"/>
    <row r="16876" s="2043" customFormat="1" x14ac:dyDescent="0.2"/>
    <row r="16877" s="2043" customFormat="1" x14ac:dyDescent="0.2"/>
    <row r="16878" s="2043" customFormat="1" x14ac:dyDescent="0.2"/>
    <row r="16879" s="2043" customFormat="1" x14ac:dyDescent="0.2"/>
    <row r="16880" s="2043" customFormat="1" x14ac:dyDescent="0.2"/>
    <row r="16881" s="2043" customFormat="1" x14ac:dyDescent="0.2"/>
    <row r="16882" s="2043" customFormat="1" x14ac:dyDescent="0.2"/>
    <row r="16883" s="2043" customFormat="1" x14ac:dyDescent="0.2"/>
    <row r="16884" s="2043" customFormat="1" x14ac:dyDescent="0.2"/>
    <row r="16885" s="2043" customFormat="1" x14ac:dyDescent="0.2"/>
    <row r="16886" s="2043" customFormat="1" x14ac:dyDescent="0.2"/>
    <row r="16887" s="2043" customFormat="1" x14ac:dyDescent="0.2"/>
    <row r="16888" s="2043" customFormat="1" x14ac:dyDescent="0.2"/>
    <row r="16889" s="2043" customFormat="1" x14ac:dyDescent="0.2"/>
    <row r="16890" s="2043" customFormat="1" x14ac:dyDescent="0.2"/>
    <row r="16891" s="2043" customFormat="1" x14ac:dyDescent="0.2"/>
    <row r="16892" s="2043" customFormat="1" x14ac:dyDescent="0.2"/>
    <row r="16893" s="2043" customFormat="1" x14ac:dyDescent="0.2"/>
    <row r="16894" s="2043" customFormat="1" x14ac:dyDescent="0.2"/>
    <row r="16895" s="2043" customFormat="1" x14ac:dyDescent="0.2"/>
    <row r="16896" s="2043" customFormat="1" x14ac:dyDescent="0.2"/>
    <row r="16897" s="2043" customFormat="1" x14ac:dyDescent="0.2"/>
    <row r="16898" s="2043" customFormat="1" x14ac:dyDescent="0.2"/>
    <row r="16899" s="2043" customFormat="1" x14ac:dyDescent="0.2"/>
    <row r="16900" s="2043" customFormat="1" x14ac:dyDescent="0.2"/>
    <row r="16901" s="2043" customFormat="1" x14ac:dyDescent="0.2"/>
    <row r="16902" s="2043" customFormat="1" x14ac:dyDescent="0.2"/>
    <row r="16903" s="2043" customFormat="1" x14ac:dyDescent="0.2"/>
    <row r="16904" s="2043" customFormat="1" x14ac:dyDescent="0.2"/>
    <row r="16905" s="2043" customFormat="1" x14ac:dyDescent="0.2"/>
    <row r="16906" s="2043" customFormat="1" x14ac:dyDescent="0.2"/>
    <row r="16907" s="2043" customFormat="1" x14ac:dyDescent="0.2"/>
    <row r="16908" s="2043" customFormat="1" x14ac:dyDescent="0.2"/>
    <row r="16909" s="2043" customFormat="1" x14ac:dyDescent="0.2"/>
    <row r="16910" s="2043" customFormat="1" x14ac:dyDescent="0.2"/>
    <row r="16911" s="2043" customFormat="1" x14ac:dyDescent="0.2"/>
    <row r="16912" s="2043" customFormat="1" x14ac:dyDescent="0.2"/>
    <row r="16913" s="2043" customFormat="1" x14ac:dyDescent="0.2"/>
    <row r="16914" s="2043" customFormat="1" x14ac:dyDescent="0.2"/>
    <row r="16915" s="2043" customFormat="1" x14ac:dyDescent="0.2"/>
    <row r="16916" s="2043" customFormat="1" x14ac:dyDescent="0.2"/>
    <row r="16917" s="2043" customFormat="1" x14ac:dyDescent="0.2"/>
    <row r="16918" s="2043" customFormat="1" x14ac:dyDescent="0.2"/>
    <row r="16919" s="2043" customFormat="1" x14ac:dyDescent="0.2"/>
    <row r="16920" s="2043" customFormat="1" x14ac:dyDescent="0.2"/>
    <row r="16921" s="2043" customFormat="1" x14ac:dyDescent="0.2"/>
    <row r="16922" s="2043" customFormat="1" x14ac:dyDescent="0.2"/>
    <row r="16923" s="2043" customFormat="1" x14ac:dyDescent="0.2"/>
    <row r="16924" s="2043" customFormat="1" x14ac:dyDescent="0.2"/>
    <row r="16925" s="2043" customFormat="1" x14ac:dyDescent="0.2"/>
    <row r="16926" s="2043" customFormat="1" x14ac:dyDescent="0.2"/>
    <row r="16927" s="2043" customFormat="1" x14ac:dyDescent="0.2"/>
    <row r="16928" s="2043" customFormat="1" x14ac:dyDescent="0.2"/>
    <row r="16929" s="2043" customFormat="1" x14ac:dyDescent="0.2"/>
    <row r="16930" s="2043" customFormat="1" x14ac:dyDescent="0.2"/>
    <row r="16931" s="2043" customFormat="1" x14ac:dyDescent="0.2"/>
    <row r="16932" s="2043" customFormat="1" x14ac:dyDescent="0.2"/>
    <row r="16933" s="2043" customFormat="1" x14ac:dyDescent="0.2"/>
    <row r="16934" s="2043" customFormat="1" x14ac:dyDescent="0.2"/>
    <row r="16935" s="2043" customFormat="1" x14ac:dyDescent="0.2"/>
    <row r="16936" s="2043" customFormat="1" x14ac:dyDescent="0.2"/>
    <row r="16937" s="2043" customFormat="1" x14ac:dyDescent="0.2"/>
    <row r="16938" s="2043" customFormat="1" x14ac:dyDescent="0.2"/>
    <row r="16939" s="2043" customFormat="1" x14ac:dyDescent="0.2"/>
    <row r="16940" s="2043" customFormat="1" x14ac:dyDescent="0.2"/>
    <row r="16941" s="2043" customFormat="1" x14ac:dyDescent="0.2"/>
    <row r="16942" s="2043" customFormat="1" x14ac:dyDescent="0.2"/>
    <row r="16943" s="2043" customFormat="1" x14ac:dyDescent="0.2"/>
    <row r="16944" s="2043" customFormat="1" x14ac:dyDescent="0.2"/>
    <row r="16945" s="2043" customFormat="1" x14ac:dyDescent="0.2"/>
    <row r="16946" s="2043" customFormat="1" x14ac:dyDescent="0.2"/>
    <row r="16947" s="2043" customFormat="1" x14ac:dyDescent="0.2"/>
    <row r="16948" s="2043" customFormat="1" x14ac:dyDescent="0.2"/>
    <row r="16949" s="2043" customFormat="1" x14ac:dyDescent="0.2"/>
    <row r="16950" s="2043" customFormat="1" x14ac:dyDescent="0.2"/>
    <row r="16951" s="2043" customFormat="1" x14ac:dyDescent="0.2"/>
    <row r="16952" s="2043" customFormat="1" x14ac:dyDescent="0.2"/>
    <row r="16953" s="2043" customFormat="1" x14ac:dyDescent="0.2"/>
    <row r="16954" s="2043" customFormat="1" x14ac:dyDescent="0.2"/>
    <row r="16955" s="2043" customFormat="1" x14ac:dyDescent="0.2"/>
    <row r="16956" s="2043" customFormat="1" x14ac:dyDescent="0.2"/>
    <row r="16957" s="2043" customFormat="1" x14ac:dyDescent="0.2"/>
    <row r="16958" s="2043" customFormat="1" x14ac:dyDescent="0.2"/>
    <row r="16959" s="2043" customFormat="1" x14ac:dyDescent="0.2"/>
    <row r="16960" s="2043" customFormat="1" x14ac:dyDescent="0.2"/>
    <row r="16961" s="2043" customFormat="1" x14ac:dyDescent="0.2"/>
    <row r="16962" s="2043" customFormat="1" x14ac:dyDescent="0.2"/>
    <row r="16963" s="2043" customFormat="1" x14ac:dyDescent="0.2"/>
    <row r="16964" s="2043" customFormat="1" x14ac:dyDescent="0.2"/>
    <row r="16965" s="2043" customFormat="1" x14ac:dyDescent="0.2"/>
    <row r="16966" s="2043" customFormat="1" x14ac:dyDescent="0.2"/>
    <row r="16967" s="2043" customFormat="1" x14ac:dyDescent="0.2"/>
    <row r="16968" s="2043" customFormat="1" x14ac:dyDescent="0.2"/>
    <row r="16969" s="2043" customFormat="1" x14ac:dyDescent="0.2"/>
    <row r="16970" s="2043" customFormat="1" x14ac:dyDescent="0.2"/>
    <row r="16971" s="2043" customFormat="1" x14ac:dyDescent="0.2"/>
    <row r="16972" s="2043" customFormat="1" x14ac:dyDescent="0.2"/>
    <row r="16973" s="2043" customFormat="1" x14ac:dyDescent="0.2"/>
    <row r="16974" s="2043" customFormat="1" x14ac:dyDescent="0.2"/>
    <row r="16975" s="2043" customFormat="1" x14ac:dyDescent="0.2"/>
    <row r="16976" s="2043" customFormat="1" x14ac:dyDescent="0.2"/>
    <row r="16977" s="2043" customFormat="1" x14ac:dyDescent="0.2"/>
    <row r="16978" s="2043" customFormat="1" x14ac:dyDescent="0.2"/>
    <row r="16979" s="2043" customFormat="1" x14ac:dyDescent="0.2"/>
    <row r="16980" s="2043" customFormat="1" x14ac:dyDescent="0.2"/>
    <row r="16981" s="2043" customFormat="1" x14ac:dyDescent="0.2"/>
    <row r="16982" s="2043" customFormat="1" x14ac:dyDescent="0.2"/>
    <row r="16983" s="2043" customFormat="1" x14ac:dyDescent="0.2"/>
    <row r="16984" s="2043" customFormat="1" x14ac:dyDescent="0.2"/>
    <row r="16985" s="2043" customFormat="1" x14ac:dyDescent="0.2"/>
    <row r="16986" s="2043" customFormat="1" x14ac:dyDescent="0.2"/>
    <row r="16987" s="2043" customFormat="1" x14ac:dyDescent="0.2"/>
    <row r="16988" s="2043" customFormat="1" x14ac:dyDescent="0.2"/>
    <row r="16989" s="2043" customFormat="1" x14ac:dyDescent="0.2"/>
    <row r="16990" s="2043" customFormat="1" x14ac:dyDescent="0.2"/>
    <row r="16991" s="2043" customFormat="1" x14ac:dyDescent="0.2"/>
    <row r="16992" s="2043" customFormat="1" x14ac:dyDescent="0.2"/>
    <row r="16993" s="2043" customFormat="1" x14ac:dyDescent="0.2"/>
    <row r="16994" s="2043" customFormat="1" x14ac:dyDescent="0.2"/>
    <row r="16995" s="2043" customFormat="1" x14ac:dyDescent="0.2"/>
    <row r="16996" s="2043" customFormat="1" x14ac:dyDescent="0.2"/>
    <row r="16997" s="2043" customFormat="1" x14ac:dyDescent="0.2"/>
    <row r="16998" s="2043" customFormat="1" x14ac:dyDescent="0.2"/>
    <row r="16999" s="2043" customFormat="1" x14ac:dyDescent="0.2"/>
    <row r="17000" s="2043" customFormat="1" x14ac:dyDescent="0.2"/>
    <row r="17001" s="2043" customFormat="1" x14ac:dyDescent="0.2"/>
    <row r="17002" s="2043" customFormat="1" x14ac:dyDescent="0.2"/>
    <row r="17003" s="2043" customFormat="1" x14ac:dyDescent="0.2"/>
    <row r="17004" s="2043" customFormat="1" x14ac:dyDescent="0.2"/>
    <row r="17005" s="2043" customFormat="1" x14ac:dyDescent="0.2"/>
    <row r="17006" s="2043" customFormat="1" x14ac:dyDescent="0.2"/>
    <row r="17007" s="2043" customFormat="1" x14ac:dyDescent="0.2"/>
    <row r="17008" s="2043" customFormat="1" x14ac:dyDescent="0.2"/>
    <row r="17009" s="2043" customFormat="1" x14ac:dyDescent="0.2"/>
    <row r="17010" s="2043" customFormat="1" x14ac:dyDescent="0.2"/>
    <row r="17011" s="2043" customFormat="1" x14ac:dyDescent="0.2"/>
    <row r="17012" s="2043" customFormat="1" x14ac:dyDescent="0.2"/>
    <row r="17013" s="2043" customFormat="1" x14ac:dyDescent="0.2"/>
    <row r="17014" s="2043" customFormat="1" x14ac:dyDescent="0.2"/>
    <row r="17015" s="2043" customFormat="1" x14ac:dyDescent="0.2"/>
    <row r="17016" s="2043" customFormat="1" x14ac:dyDescent="0.2"/>
    <row r="17017" s="2043" customFormat="1" x14ac:dyDescent="0.2"/>
    <row r="17018" s="2043" customFormat="1" x14ac:dyDescent="0.2"/>
    <row r="17019" s="2043" customFormat="1" x14ac:dyDescent="0.2"/>
    <row r="17020" s="2043" customFormat="1" x14ac:dyDescent="0.2"/>
    <row r="17021" s="2043" customFormat="1" x14ac:dyDescent="0.2"/>
    <row r="17022" s="2043" customFormat="1" x14ac:dyDescent="0.2"/>
    <row r="17023" s="2043" customFormat="1" x14ac:dyDescent="0.2"/>
    <row r="17024" s="2043" customFormat="1" x14ac:dyDescent="0.2"/>
    <row r="17025" s="2043" customFormat="1" x14ac:dyDescent="0.2"/>
    <row r="17026" s="2043" customFormat="1" x14ac:dyDescent="0.2"/>
    <row r="17027" s="2043" customFormat="1" x14ac:dyDescent="0.2"/>
    <row r="17028" s="2043" customFormat="1" x14ac:dyDescent="0.2"/>
    <row r="17029" s="2043" customFormat="1" x14ac:dyDescent="0.2"/>
    <row r="17030" s="2043" customFormat="1" x14ac:dyDescent="0.2"/>
    <row r="17031" s="2043" customFormat="1" x14ac:dyDescent="0.2"/>
    <row r="17032" s="2043" customFormat="1" x14ac:dyDescent="0.2"/>
    <row r="17033" s="2043" customFormat="1" x14ac:dyDescent="0.2"/>
    <row r="17034" s="2043" customFormat="1" x14ac:dyDescent="0.2"/>
    <row r="17035" s="2043" customFormat="1" x14ac:dyDescent="0.2"/>
    <row r="17036" s="2043" customFormat="1" x14ac:dyDescent="0.2"/>
    <row r="17037" s="2043" customFormat="1" x14ac:dyDescent="0.2"/>
    <row r="17038" s="2043" customFormat="1" x14ac:dyDescent="0.2"/>
    <row r="17039" s="2043" customFormat="1" x14ac:dyDescent="0.2"/>
    <row r="17040" s="2043" customFormat="1" x14ac:dyDescent="0.2"/>
    <row r="17041" s="2043" customFormat="1" x14ac:dyDescent="0.2"/>
    <row r="17042" s="2043" customFormat="1" x14ac:dyDescent="0.2"/>
    <row r="17043" s="2043" customFormat="1" x14ac:dyDescent="0.2"/>
    <row r="17044" s="2043" customFormat="1" x14ac:dyDescent="0.2"/>
    <row r="17045" s="2043" customFormat="1" x14ac:dyDescent="0.2"/>
    <row r="17046" s="2043" customFormat="1" x14ac:dyDescent="0.2"/>
    <row r="17047" s="2043" customFormat="1" x14ac:dyDescent="0.2"/>
    <row r="17048" s="2043" customFormat="1" x14ac:dyDescent="0.2"/>
    <row r="17049" s="2043" customFormat="1" x14ac:dyDescent="0.2"/>
    <row r="17050" s="2043" customFormat="1" x14ac:dyDescent="0.2"/>
    <row r="17051" s="2043" customFormat="1" x14ac:dyDescent="0.2"/>
    <row r="17052" s="2043" customFormat="1" x14ac:dyDescent="0.2"/>
    <row r="17053" s="2043" customFormat="1" x14ac:dyDescent="0.2"/>
    <row r="17054" s="2043" customFormat="1" x14ac:dyDescent="0.2"/>
    <row r="17055" s="2043" customFormat="1" x14ac:dyDescent="0.2"/>
    <row r="17056" s="2043" customFormat="1" x14ac:dyDescent="0.2"/>
    <row r="17057" s="2043" customFormat="1" x14ac:dyDescent="0.2"/>
    <row r="17058" s="2043" customFormat="1" x14ac:dyDescent="0.2"/>
    <row r="17059" s="2043" customFormat="1" x14ac:dyDescent="0.2"/>
    <row r="17060" s="2043" customFormat="1" x14ac:dyDescent="0.2"/>
    <row r="17061" s="2043" customFormat="1" x14ac:dyDescent="0.2"/>
    <row r="17062" s="2043" customFormat="1" x14ac:dyDescent="0.2"/>
    <row r="17063" s="2043" customFormat="1" x14ac:dyDescent="0.2"/>
    <row r="17064" s="2043" customFormat="1" x14ac:dyDescent="0.2"/>
    <row r="17065" s="2043" customFormat="1" x14ac:dyDescent="0.2"/>
    <row r="17066" s="2043" customFormat="1" x14ac:dyDescent="0.2"/>
    <row r="17067" s="2043" customFormat="1" x14ac:dyDescent="0.2"/>
    <row r="17068" s="2043" customFormat="1" x14ac:dyDescent="0.2"/>
    <row r="17069" s="2043" customFormat="1" x14ac:dyDescent="0.2"/>
    <row r="17070" s="2043" customFormat="1" x14ac:dyDescent="0.2"/>
    <row r="17071" s="2043" customFormat="1" x14ac:dyDescent="0.2"/>
    <row r="17072" s="2043" customFormat="1" x14ac:dyDescent="0.2"/>
    <row r="17073" s="2043" customFormat="1" x14ac:dyDescent="0.2"/>
    <row r="17074" s="2043" customFormat="1" x14ac:dyDescent="0.2"/>
    <row r="17075" s="2043" customFormat="1" x14ac:dyDescent="0.2"/>
    <row r="17076" s="2043" customFormat="1" x14ac:dyDescent="0.2"/>
    <row r="17077" s="2043" customFormat="1" x14ac:dyDescent="0.2"/>
    <row r="17078" s="2043" customFormat="1" x14ac:dyDescent="0.2"/>
    <row r="17079" s="2043" customFormat="1" x14ac:dyDescent="0.2"/>
    <row r="17080" s="2043" customFormat="1" x14ac:dyDescent="0.2"/>
    <row r="17081" s="2043" customFormat="1" x14ac:dyDescent="0.2"/>
    <row r="17082" s="2043" customFormat="1" x14ac:dyDescent="0.2"/>
    <row r="17083" s="2043" customFormat="1" x14ac:dyDescent="0.2"/>
    <row r="17084" s="2043" customFormat="1" x14ac:dyDescent="0.2"/>
    <row r="17085" s="2043" customFormat="1" x14ac:dyDescent="0.2"/>
    <row r="17086" s="2043" customFormat="1" x14ac:dyDescent="0.2"/>
    <row r="17087" s="2043" customFormat="1" x14ac:dyDescent="0.2"/>
    <row r="17088" s="2043" customFormat="1" x14ac:dyDescent="0.2"/>
    <row r="17089" s="2043" customFormat="1" x14ac:dyDescent="0.2"/>
    <row r="17090" s="2043" customFormat="1" x14ac:dyDescent="0.2"/>
    <row r="17091" s="2043" customFormat="1" x14ac:dyDescent="0.2"/>
    <row r="17092" s="2043" customFormat="1" x14ac:dyDescent="0.2"/>
    <row r="17093" s="2043" customFormat="1" x14ac:dyDescent="0.2"/>
    <row r="17094" s="2043" customFormat="1" x14ac:dyDescent="0.2"/>
    <row r="17095" s="2043" customFormat="1" x14ac:dyDescent="0.2"/>
    <row r="17096" s="2043" customFormat="1" x14ac:dyDescent="0.2"/>
    <row r="17097" s="2043" customFormat="1" x14ac:dyDescent="0.2"/>
    <row r="17098" s="2043" customFormat="1" x14ac:dyDescent="0.2"/>
    <row r="17099" s="2043" customFormat="1" x14ac:dyDescent="0.2"/>
    <row r="17100" s="2043" customFormat="1" x14ac:dyDescent="0.2"/>
    <row r="17101" s="2043" customFormat="1" x14ac:dyDescent="0.2"/>
    <row r="17102" s="2043" customFormat="1" x14ac:dyDescent="0.2"/>
    <row r="17103" s="2043" customFormat="1" x14ac:dyDescent="0.2"/>
    <row r="17104" s="2043" customFormat="1" x14ac:dyDescent="0.2"/>
    <row r="17105" s="2043" customFormat="1" x14ac:dyDescent="0.2"/>
    <row r="17106" s="2043" customFormat="1" x14ac:dyDescent="0.2"/>
    <row r="17107" s="2043" customFormat="1" x14ac:dyDescent="0.2"/>
    <row r="17108" s="2043" customFormat="1" x14ac:dyDescent="0.2"/>
    <row r="17109" s="2043" customFormat="1" x14ac:dyDescent="0.2"/>
    <row r="17110" s="2043" customFormat="1" x14ac:dyDescent="0.2"/>
    <row r="17111" s="2043" customFormat="1" x14ac:dyDescent="0.2"/>
    <row r="17112" s="2043" customFormat="1" x14ac:dyDescent="0.2"/>
    <row r="17113" s="2043" customFormat="1" x14ac:dyDescent="0.2"/>
    <row r="17114" s="2043" customFormat="1" x14ac:dyDescent="0.2"/>
    <row r="17115" s="2043" customFormat="1" x14ac:dyDescent="0.2"/>
    <row r="17116" s="2043" customFormat="1" x14ac:dyDescent="0.2"/>
    <row r="17117" s="2043" customFormat="1" x14ac:dyDescent="0.2"/>
    <row r="17118" s="2043" customFormat="1" x14ac:dyDescent="0.2"/>
    <row r="17119" s="2043" customFormat="1" x14ac:dyDescent="0.2"/>
    <row r="17120" s="2043" customFormat="1" x14ac:dyDescent="0.2"/>
    <row r="17121" s="2043" customFormat="1" x14ac:dyDescent="0.2"/>
    <row r="17122" s="2043" customFormat="1" x14ac:dyDescent="0.2"/>
    <row r="17123" s="2043" customFormat="1" x14ac:dyDescent="0.2"/>
    <row r="17124" s="2043" customFormat="1" x14ac:dyDescent="0.2"/>
    <row r="17125" s="2043" customFormat="1" x14ac:dyDescent="0.2"/>
    <row r="17126" s="2043" customFormat="1" x14ac:dyDescent="0.2"/>
    <row r="17127" s="2043" customFormat="1" x14ac:dyDescent="0.2"/>
    <row r="17128" s="2043" customFormat="1" x14ac:dyDescent="0.2"/>
    <row r="17129" s="2043" customFormat="1" x14ac:dyDescent="0.2"/>
    <row r="17130" s="2043" customFormat="1" x14ac:dyDescent="0.2"/>
    <row r="17131" s="2043" customFormat="1" x14ac:dyDescent="0.2"/>
    <row r="17132" s="2043" customFormat="1" x14ac:dyDescent="0.2"/>
    <row r="17133" s="2043" customFormat="1" x14ac:dyDescent="0.2"/>
    <row r="17134" s="2043" customFormat="1" x14ac:dyDescent="0.2"/>
    <row r="17135" s="2043" customFormat="1" x14ac:dyDescent="0.2"/>
    <row r="17136" s="2043" customFormat="1" x14ac:dyDescent="0.2"/>
    <row r="17137" s="2043" customFormat="1" x14ac:dyDescent="0.2"/>
    <row r="17138" s="2043" customFormat="1" x14ac:dyDescent="0.2"/>
    <row r="17139" s="2043" customFormat="1" x14ac:dyDescent="0.2"/>
    <row r="17140" s="2043" customFormat="1" x14ac:dyDescent="0.2"/>
    <row r="17141" s="2043" customFormat="1" x14ac:dyDescent="0.2"/>
    <row r="17142" s="2043" customFormat="1" x14ac:dyDescent="0.2"/>
    <row r="17143" s="2043" customFormat="1" x14ac:dyDescent="0.2"/>
    <row r="17144" s="2043" customFormat="1" x14ac:dyDescent="0.2"/>
    <row r="17145" s="2043" customFormat="1" x14ac:dyDescent="0.2"/>
    <row r="17146" s="2043" customFormat="1" x14ac:dyDescent="0.2"/>
    <row r="17147" s="2043" customFormat="1" x14ac:dyDescent="0.2"/>
    <row r="17148" s="2043" customFormat="1" x14ac:dyDescent="0.2"/>
    <row r="17149" s="2043" customFormat="1" x14ac:dyDescent="0.2"/>
    <row r="17150" s="2043" customFormat="1" x14ac:dyDescent="0.2"/>
    <row r="17151" s="2043" customFormat="1" x14ac:dyDescent="0.2"/>
    <row r="17152" s="2043" customFormat="1" x14ac:dyDescent="0.2"/>
    <row r="17153" s="2043" customFormat="1" x14ac:dyDescent="0.2"/>
    <row r="17154" s="2043" customFormat="1" x14ac:dyDescent="0.2"/>
    <row r="17155" s="2043" customFormat="1" x14ac:dyDescent="0.2"/>
    <row r="17156" s="2043" customFormat="1" x14ac:dyDescent="0.2"/>
    <row r="17157" s="2043" customFormat="1" x14ac:dyDescent="0.2"/>
    <row r="17158" s="2043" customFormat="1" x14ac:dyDescent="0.2"/>
    <row r="17159" s="2043" customFormat="1" x14ac:dyDescent="0.2"/>
    <row r="17160" s="2043" customFormat="1" x14ac:dyDescent="0.2"/>
    <row r="17161" s="2043" customFormat="1" x14ac:dyDescent="0.2"/>
    <row r="17162" s="2043" customFormat="1" x14ac:dyDescent="0.2"/>
    <row r="17163" s="2043" customFormat="1" x14ac:dyDescent="0.2"/>
    <row r="17164" s="2043" customFormat="1" x14ac:dyDescent="0.2"/>
    <row r="17165" s="2043" customFormat="1" x14ac:dyDescent="0.2"/>
    <row r="17166" s="2043" customFormat="1" x14ac:dyDescent="0.2"/>
    <row r="17167" s="2043" customFormat="1" x14ac:dyDescent="0.2"/>
    <row r="17168" s="2043" customFormat="1" x14ac:dyDescent="0.2"/>
    <row r="17169" s="2043" customFormat="1" x14ac:dyDescent="0.2"/>
    <row r="17170" s="2043" customFormat="1" x14ac:dyDescent="0.2"/>
    <row r="17171" s="2043" customFormat="1" x14ac:dyDescent="0.2"/>
    <row r="17172" s="2043" customFormat="1" x14ac:dyDescent="0.2"/>
    <row r="17173" s="2043" customFormat="1" x14ac:dyDescent="0.2"/>
    <row r="17174" s="2043" customFormat="1" x14ac:dyDescent="0.2"/>
    <row r="17175" s="2043" customFormat="1" x14ac:dyDescent="0.2"/>
    <row r="17176" s="2043" customFormat="1" x14ac:dyDescent="0.2"/>
    <row r="17177" s="2043" customFormat="1" x14ac:dyDescent="0.2"/>
    <row r="17178" s="2043" customFormat="1" x14ac:dyDescent="0.2"/>
    <row r="17179" s="2043" customFormat="1" x14ac:dyDescent="0.2"/>
    <row r="17180" s="2043" customFormat="1" x14ac:dyDescent="0.2"/>
    <row r="17181" s="2043" customFormat="1" x14ac:dyDescent="0.2"/>
    <row r="17182" s="2043" customFormat="1" x14ac:dyDescent="0.2"/>
    <row r="17183" s="2043" customFormat="1" x14ac:dyDescent="0.2"/>
    <row r="17184" s="2043" customFormat="1" x14ac:dyDescent="0.2"/>
    <row r="17185" s="2043" customFormat="1" x14ac:dyDescent="0.2"/>
    <row r="17186" s="2043" customFormat="1" x14ac:dyDescent="0.2"/>
    <row r="17187" s="2043" customFormat="1" x14ac:dyDescent="0.2"/>
    <row r="17188" s="2043" customFormat="1" x14ac:dyDescent="0.2"/>
    <row r="17189" s="2043" customFormat="1" x14ac:dyDescent="0.2"/>
    <row r="17190" s="2043" customFormat="1" x14ac:dyDescent="0.2"/>
    <row r="17191" s="2043" customFormat="1" x14ac:dyDescent="0.2"/>
    <row r="17192" s="2043" customFormat="1" x14ac:dyDescent="0.2"/>
    <row r="17193" s="2043" customFormat="1" x14ac:dyDescent="0.2"/>
    <row r="17194" s="2043" customFormat="1" x14ac:dyDescent="0.2"/>
    <row r="17195" s="2043" customFormat="1" x14ac:dyDescent="0.2"/>
    <row r="17196" s="2043" customFormat="1" x14ac:dyDescent="0.2"/>
    <row r="17197" s="2043" customFormat="1" x14ac:dyDescent="0.2"/>
    <row r="17198" s="2043" customFormat="1" x14ac:dyDescent="0.2"/>
    <row r="17199" s="2043" customFormat="1" x14ac:dyDescent="0.2"/>
    <row r="17200" s="2043" customFormat="1" x14ac:dyDescent="0.2"/>
    <row r="17201" s="2043" customFormat="1" x14ac:dyDescent="0.2"/>
    <row r="17202" s="2043" customFormat="1" x14ac:dyDescent="0.2"/>
    <row r="17203" s="2043" customFormat="1" x14ac:dyDescent="0.2"/>
    <row r="17204" s="2043" customFormat="1" x14ac:dyDescent="0.2"/>
    <row r="17205" s="2043" customFormat="1" x14ac:dyDescent="0.2"/>
    <row r="17206" s="2043" customFormat="1" x14ac:dyDescent="0.2"/>
    <row r="17207" s="2043" customFormat="1" x14ac:dyDescent="0.2"/>
    <row r="17208" s="2043" customFormat="1" x14ac:dyDescent="0.2"/>
    <row r="17209" s="2043" customFormat="1" x14ac:dyDescent="0.2"/>
    <row r="17210" s="2043" customFormat="1" x14ac:dyDescent="0.2"/>
    <row r="17211" s="2043" customFormat="1" x14ac:dyDescent="0.2"/>
    <row r="17212" s="2043" customFormat="1" x14ac:dyDescent="0.2"/>
    <row r="17213" s="2043" customFormat="1" x14ac:dyDescent="0.2"/>
    <row r="17214" s="2043" customFormat="1" x14ac:dyDescent="0.2"/>
    <row r="17215" s="2043" customFormat="1" x14ac:dyDescent="0.2"/>
    <row r="17216" s="2043" customFormat="1" x14ac:dyDescent="0.2"/>
    <row r="17217" s="2043" customFormat="1" x14ac:dyDescent="0.2"/>
    <row r="17218" s="2043" customFormat="1" x14ac:dyDescent="0.2"/>
    <row r="17219" s="2043" customFormat="1" x14ac:dyDescent="0.2"/>
    <row r="17220" s="2043" customFormat="1" x14ac:dyDescent="0.2"/>
    <row r="17221" s="2043" customFormat="1" x14ac:dyDescent="0.2"/>
    <row r="17222" s="2043" customFormat="1" x14ac:dyDescent="0.2"/>
    <row r="17223" s="2043" customFormat="1" x14ac:dyDescent="0.2"/>
    <row r="17224" s="2043" customFormat="1" x14ac:dyDescent="0.2"/>
    <row r="17225" s="2043" customFormat="1" x14ac:dyDescent="0.2"/>
    <row r="17226" s="2043" customFormat="1" x14ac:dyDescent="0.2"/>
    <row r="17227" s="2043" customFormat="1" x14ac:dyDescent="0.2"/>
    <row r="17228" s="2043" customFormat="1" x14ac:dyDescent="0.2"/>
    <row r="17229" s="2043" customFormat="1" x14ac:dyDescent="0.2"/>
    <row r="17230" s="2043" customFormat="1" x14ac:dyDescent="0.2"/>
    <row r="17231" s="2043" customFormat="1" x14ac:dyDescent="0.2"/>
    <row r="17232" s="2043" customFormat="1" x14ac:dyDescent="0.2"/>
    <row r="17233" s="2043" customFormat="1" x14ac:dyDescent="0.2"/>
    <row r="17234" s="2043" customFormat="1" x14ac:dyDescent="0.2"/>
    <row r="17235" s="2043" customFormat="1" x14ac:dyDescent="0.2"/>
    <row r="17236" s="2043" customFormat="1" x14ac:dyDescent="0.2"/>
    <row r="17237" s="2043" customFormat="1" x14ac:dyDescent="0.2"/>
    <row r="17238" s="2043" customFormat="1" x14ac:dyDescent="0.2"/>
    <row r="17239" s="2043" customFormat="1" x14ac:dyDescent="0.2"/>
    <row r="17240" s="2043" customFormat="1" x14ac:dyDescent="0.2"/>
    <row r="17241" s="2043" customFormat="1" x14ac:dyDescent="0.2"/>
    <row r="17242" s="2043" customFormat="1" x14ac:dyDescent="0.2"/>
    <row r="17243" s="2043" customFormat="1" x14ac:dyDescent="0.2"/>
    <row r="17244" s="2043" customFormat="1" x14ac:dyDescent="0.2"/>
    <row r="17245" s="2043" customFormat="1" x14ac:dyDescent="0.2"/>
    <row r="17246" s="2043" customFormat="1" x14ac:dyDescent="0.2"/>
    <row r="17247" s="2043" customFormat="1" x14ac:dyDescent="0.2"/>
    <row r="17248" s="2043" customFormat="1" x14ac:dyDescent="0.2"/>
    <row r="17249" s="2043" customFormat="1" x14ac:dyDescent="0.2"/>
    <row r="17250" s="2043" customFormat="1" x14ac:dyDescent="0.2"/>
    <row r="17251" s="2043" customFormat="1" x14ac:dyDescent="0.2"/>
    <row r="17252" s="2043" customFormat="1" x14ac:dyDescent="0.2"/>
    <row r="17253" s="2043" customFormat="1" x14ac:dyDescent="0.2"/>
    <row r="17254" s="2043" customFormat="1" x14ac:dyDescent="0.2"/>
    <row r="17255" s="2043" customFormat="1" x14ac:dyDescent="0.2"/>
    <row r="17256" s="2043" customFormat="1" x14ac:dyDescent="0.2"/>
    <row r="17257" s="2043" customFormat="1" x14ac:dyDescent="0.2"/>
    <row r="17258" s="2043" customFormat="1" x14ac:dyDescent="0.2"/>
    <row r="17259" s="2043" customFormat="1" x14ac:dyDescent="0.2"/>
    <row r="17260" s="2043" customFormat="1" x14ac:dyDescent="0.2"/>
    <row r="17261" s="2043" customFormat="1" x14ac:dyDescent="0.2"/>
    <row r="17262" s="2043" customFormat="1" x14ac:dyDescent="0.2"/>
    <row r="17263" s="2043" customFormat="1" x14ac:dyDescent="0.2"/>
    <row r="17264" s="2043" customFormat="1" x14ac:dyDescent="0.2"/>
    <row r="17265" s="2043" customFormat="1" x14ac:dyDescent="0.2"/>
    <row r="17266" s="2043" customFormat="1" x14ac:dyDescent="0.2"/>
    <row r="17267" s="2043" customFormat="1" x14ac:dyDescent="0.2"/>
    <row r="17268" s="2043" customFormat="1" x14ac:dyDescent="0.2"/>
    <row r="17269" s="2043" customFormat="1" x14ac:dyDescent="0.2"/>
    <row r="17270" s="2043" customFormat="1" x14ac:dyDescent="0.2"/>
    <row r="17271" s="2043" customFormat="1" x14ac:dyDescent="0.2"/>
    <row r="17272" s="2043" customFormat="1" x14ac:dyDescent="0.2"/>
    <row r="17273" s="2043" customFormat="1" x14ac:dyDescent="0.2"/>
    <row r="17274" s="2043" customFormat="1" x14ac:dyDescent="0.2"/>
    <row r="17275" s="2043" customFormat="1" x14ac:dyDescent="0.2"/>
    <row r="17276" s="2043" customFormat="1" x14ac:dyDescent="0.2"/>
    <row r="17277" s="2043" customFormat="1" x14ac:dyDescent="0.2"/>
    <row r="17278" s="2043" customFormat="1" x14ac:dyDescent="0.2"/>
    <row r="17279" s="2043" customFormat="1" x14ac:dyDescent="0.2"/>
    <row r="17280" s="2043" customFormat="1" x14ac:dyDescent="0.2"/>
    <row r="17281" s="2043" customFormat="1" x14ac:dyDescent="0.2"/>
    <row r="17282" s="2043" customFormat="1" x14ac:dyDescent="0.2"/>
    <row r="17283" s="2043" customFormat="1" x14ac:dyDescent="0.2"/>
    <row r="17284" s="2043" customFormat="1" x14ac:dyDescent="0.2"/>
    <row r="17285" s="2043" customFormat="1" x14ac:dyDescent="0.2"/>
    <row r="17286" s="2043" customFormat="1" x14ac:dyDescent="0.2"/>
    <row r="17287" s="2043" customFormat="1" x14ac:dyDescent="0.2"/>
    <row r="17288" s="2043" customFormat="1" x14ac:dyDescent="0.2"/>
    <row r="17289" s="2043" customFormat="1" x14ac:dyDescent="0.2"/>
    <row r="17290" s="2043" customFormat="1" x14ac:dyDescent="0.2"/>
    <row r="17291" s="2043" customFormat="1" x14ac:dyDescent="0.2"/>
    <row r="17292" s="2043" customFormat="1" x14ac:dyDescent="0.2"/>
    <row r="17293" s="2043" customFormat="1" x14ac:dyDescent="0.2"/>
    <row r="17294" s="2043" customFormat="1" x14ac:dyDescent="0.2"/>
    <row r="17295" s="2043" customFormat="1" x14ac:dyDescent="0.2"/>
    <row r="17296" s="2043" customFormat="1" x14ac:dyDescent="0.2"/>
    <row r="17297" s="2043" customFormat="1" x14ac:dyDescent="0.2"/>
    <row r="17298" s="2043" customFormat="1" x14ac:dyDescent="0.2"/>
    <row r="17299" s="2043" customFormat="1" x14ac:dyDescent="0.2"/>
    <row r="17300" s="2043" customFormat="1" x14ac:dyDescent="0.2"/>
    <row r="17301" s="2043" customFormat="1" x14ac:dyDescent="0.2"/>
    <row r="17302" s="2043" customFormat="1" x14ac:dyDescent="0.2"/>
    <row r="17303" s="2043" customFormat="1" x14ac:dyDescent="0.2"/>
    <row r="17304" s="2043" customFormat="1" x14ac:dyDescent="0.2"/>
    <row r="17305" s="2043" customFormat="1" x14ac:dyDescent="0.2"/>
    <row r="17306" s="2043" customFormat="1" x14ac:dyDescent="0.2"/>
    <row r="17307" s="2043" customFormat="1" x14ac:dyDescent="0.2"/>
    <row r="17308" s="2043" customFormat="1" x14ac:dyDescent="0.2"/>
    <row r="17309" s="2043" customFormat="1" x14ac:dyDescent="0.2"/>
    <row r="17310" s="2043" customFormat="1" x14ac:dyDescent="0.2"/>
    <row r="17311" s="2043" customFormat="1" x14ac:dyDescent="0.2"/>
    <row r="17312" s="2043" customFormat="1" x14ac:dyDescent="0.2"/>
    <row r="17313" s="2043" customFormat="1" x14ac:dyDescent="0.2"/>
    <row r="17314" s="2043" customFormat="1" x14ac:dyDescent="0.2"/>
    <row r="17315" s="2043" customFormat="1" x14ac:dyDescent="0.2"/>
    <row r="17316" s="2043" customFormat="1" x14ac:dyDescent="0.2"/>
    <row r="17317" s="2043" customFormat="1" x14ac:dyDescent="0.2"/>
    <row r="17318" s="2043" customFormat="1" x14ac:dyDescent="0.2"/>
    <row r="17319" s="2043" customFormat="1" x14ac:dyDescent="0.2"/>
    <row r="17320" s="2043" customFormat="1" x14ac:dyDescent="0.2"/>
    <row r="17321" s="2043" customFormat="1" x14ac:dyDescent="0.2"/>
    <row r="17322" s="2043" customFormat="1" x14ac:dyDescent="0.2"/>
    <row r="17323" s="2043" customFormat="1" x14ac:dyDescent="0.2"/>
    <row r="17324" s="2043" customFormat="1" x14ac:dyDescent="0.2"/>
    <row r="17325" s="2043" customFormat="1" x14ac:dyDescent="0.2"/>
    <row r="17326" s="2043" customFormat="1" x14ac:dyDescent="0.2"/>
    <row r="17327" s="2043" customFormat="1" x14ac:dyDescent="0.2"/>
    <row r="17328" s="2043" customFormat="1" x14ac:dyDescent="0.2"/>
    <row r="17329" s="2043" customFormat="1" x14ac:dyDescent="0.2"/>
    <row r="17330" s="2043" customFormat="1" x14ac:dyDescent="0.2"/>
    <row r="17331" s="2043" customFormat="1" x14ac:dyDescent="0.2"/>
    <row r="17332" s="2043" customFormat="1" x14ac:dyDescent="0.2"/>
    <row r="17333" s="2043" customFormat="1" x14ac:dyDescent="0.2"/>
    <row r="17334" s="2043" customFormat="1" x14ac:dyDescent="0.2"/>
    <row r="17335" s="2043" customFormat="1" x14ac:dyDescent="0.2"/>
    <row r="17336" s="2043" customFormat="1" x14ac:dyDescent="0.2"/>
    <row r="17337" s="2043" customFormat="1" x14ac:dyDescent="0.2"/>
    <row r="17338" s="2043" customFormat="1" x14ac:dyDescent="0.2"/>
    <row r="17339" s="2043" customFormat="1" x14ac:dyDescent="0.2"/>
    <row r="17340" s="2043" customFormat="1" x14ac:dyDescent="0.2"/>
    <row r="17341" s="2043" customFormat="1" x14ac:dyDescent="0.2"/>
    <row r="17342" s="2043" customFormat="1" x14ac:dyDescent="0.2"/>
    <row r="17343" s="2043" customFormat="1" x14ac:dyDescent="0.2"/>
    <row r="17344" s="2043" customFormat="1" x14ac:dyDescent="0.2"/>
    <row r="17345" s="2043" customFormat="1" x14ac:dyDescent="0.2"/>
    <row r="17346" s="2043" customFormat="1" x14ac:dyDescent="0.2"/>
    <row r="17347" s="2043" customFormat="1" x14ac:dyDescent="0.2"/>
    <row r="17348" s="2043" customFormat="1" x14ac:dyDescent="0.2"/>
    <row r="17349" s="2043" customFormat="1" x14ac:dyDescent="0.2"/>
    <row r="17350" s="2043" customFormat="1" x14ac:dyDescent="0.2"/>
    <row r="17351" s="2043" customFormat="1" x14ac:dyDescent="0.2"/>
    <row r="17352" s="2043" customFormat="1" x14ac:dyDescent="0.2"/>
    <row r="17353" s="2043" customFormat="1" x14ac:dyDescent="0.2"/>
    <row r="17354" s="2043" customFormat="1" x14ac:dyDescent="0.2"/>
    <row r="17355" s="2043" customFormat="1" x14ac:dyDescent="0.2"/>
    <row r="17356" s="2043" customFormat="1" x14ac:dyDescent="0.2"/>
    <row r="17357" s="2043" customFormat="1" x14ac:dyDescent="0.2"/>
    <row r="17358" s="2043" customFormat="1" x14ac:dyDescent="0.2"/>
    <row r="17359" s="2043" customFormat="1" x14ac:dyDescent="0.2"/>
    <row r="17360" s="2043" customFormat="1" x14ac:dyDescent="0.2"/>
    <row r="17361" s="2043" customFormat="1" x14ac:dyDescent="0.2"/>
    <row r="17362" s="2043" customFormat="1" x14ac:dyDescent="0.2"/>
    <row r="17363" s="2043" customFormat="1" x14ac:dyDescent="0.2"/>
    <row r="17364" s="2043" customFormat="1" x14ac:dyDescent="0.2"/>
    <row r="17365" s="2043" customFormat="1" x14ac:dyDescent="0.2"/>
    <row r="17366" s="2043" customFormat="1" x14ac:dyDescent="0.2"/>
    <row r="17367" s="2043" customFormat="1" x14ac:dyDescent="0.2"/>
    <row r="17368" s="2043" customFormat="1" x14ac:dyDescent="0.2"/>
    <row r="17369" s="2043" customFormat="1" x14ac:dyDescent="0.2"/>
    <row r="17370" s="2043" customFormat="1" x14ac:dyDescent="0.2"/>
    <row r="17371" s="2043" customFormat="1" x14ac:dyDescent="0.2"/>
    <row r="17372" s="2043" customFormat="1" x14ac:dyDescent="0.2"/>
    <row r="17373" s="2043" customFormat="1" x14ac:dyDescent="0.2"/>
    <row r="17374" s="2043" customFormat="1" x14ac:dyDescent="0.2"/>
    <row r="17375" s="2043" customFormat="1" x14ac:dyDescent="0.2"/>
    <row r="17376" s="2043" customFormat="1" x14ac:dyDescent="0.2"/>
    <row r="17377" s="2043" customFormat="1" x14ac:dyDescent="0.2"/>
    <row r="17378" s="2043" customFormat="1" x14ac:dyDescent="0.2"/>
    <row r="17379" s="2043" customFormat="1" x14ac:dyDescent="0.2"/>
    <row r="17380" s="2043" customFormat="1" x14ac:dyDescent="0.2"/>
    <row r="17381" s="2043" customFormat="1" x14ac:dyDescent="0.2"/>
    <row r="17382" s="2043" customFormat="1" x14ac:dyDescent="0.2"/>
    <row r="17383" s="2043" customFormat="1" x14ac:dyDescent="0.2"/>
    <row r="17384" s="2043" customFormat="1" x14ac:dyDescent="0.2"/>
    <row r="17385" s="2043" customFormat="1" x14ac:dyDescent="0.2"/>
    <row r="17386" s="2043" customFormat="1" x14ac:dyDescent="0.2"/>
    <row r="17387" s="2043" customFormat="1" x14ac:dyDescent="0.2"/>
    <row r="17388" s="2043" customFormat="1" x14ac:dyDescent="0.2"/>
    <row r="17389" s="2043" customFormat="1" x14ac:dyDescent="0.2"/>
    <row r="17390" s="2043" customFormat="1" x14ac:dyDescent="0.2"/>
    <row r="17391" s="2043" customFormat="1" x14ac:dyDescent="0.2"/>
    <row r="17392" s="2043" customFormat="1" x14ac:dyDescent="0.2"/>
    <row r="17393" s="2043" customFormat="1" x14ac:dyDescent="0.2"/>
    <row r="17394" s="2043" customFormat="1" x14ac:dyDescent="0.2"/>
    <row r="17395" s="2043" customFormat="1" x14ac:dyDescent="0.2"/>
    <row r="17396" s="2043" customFormat="1" x14ac:dyDescent="0.2"/>
    <row r="17397" s="2043" customFormat="1" x14ac:dyDescent="0.2"/>
    <row r="17398" s="2043" customFormat="1" x14ac:dyDescent="0.2"/>
    <row r="17399" s="2043" customFormat="1" x14ac:dyDescent="0.2"/>
    <row r="17400" s="2043" customFormat="1" x14ac:dyDescent="0.2"/>
    <row r="17401" s="2043" customFormat="1" x14ac:dyDescent="0.2"/>
    <row r="17402" s="2043" customFormat="1" x14ac:dyDescent="0.2"/>
    <row r="17403" s="2043" customFormat="1" x14ac:dyDescent="0.2"/>
    <row r="17404" s="2043" customFormat="1" x14ac:dyDescent="0.2"/>
    <row r="17405" s="2043" customFormat="1" x14ac:dyDescent="0.2"/>
    <row r="17406" s="2043" customFormat="1" x14ac:dyDescent="0.2"/>
    <row r="17407" s="2043" customFormat="1" x14ac:dyDescent="0.2"/>
    <row r="17408" s="2043" customFormat="1" x14ac:dyDescent="0.2"/>
    <row r="17409" s="2043" customFormat="1" x14ac:dyDescent="0.2"/>
    <row r="17410" s="2043" customFormat="1" x14ac:dyDescent="0.2"/>
    <row r="17411" s="2043" customFormat="1" x14ac:dyDescent="0.2"/>
    <row r="17412" s="2043" customFormat="1" x14ac:dyDescent="0.2"/>
    <row r="17413" s="2043" customFormat="1" x14ac:dyDescent="0.2"/>
    <row r="17414" s="2043" customFormat="1" x14ac:dyDescent="0.2"/>
    <row r="17415" s="2043" customFormat="1" x14ac:dyDescent="0.2"/>
    <row r="17416" s="2043" customFormat="1" x14ac:dyDescent="0.2"/>
    <row r="17417" s="2043" customFormat="1" x14ac:dyDescent="0.2"/>
    <row r="17418" s="2043" customFormat="1" x14ac:dyDescent="0.2"/>
    <row r="17419" s="2043" customFormat="1" x14ac:dyDescent="0.2"/>
    <row r="17420" s="2043" customFormat="1" x14ac:dyDescent="0.2"/>
    <row r="17421" s="2043" customFormat="1" x14ac:dyDescent="0.2"/>
    <row r="17422" s="2043" customFormat="1" x14ac:dyDescent="0.2"/>
    <row r="17423" s="2043" customFormat="1" x14ac:dyDescent="0.2"/>
    <row r="17424" s="2043" customFormat="1" x14ac:dyDescent="0.2"/>
    <row r="17425" s="2043" customFormat="1" x14ac:dyDescent="0.2"/>
    <row r="17426" s="2043" customFormat="1" x14ac:dyDescent="0.2"/>
    <row r="17427" s="2043" customFormat="1" x14ac:dyDescent="0.2"/>
    <row r="17428" s="2043" customFormat="1" x14ac:dyDescent="0.2"/>
    <row r="17429" s="2043" customFormat="1" x14ac:dyDescent="0.2"/>
    <row r="17430" s="2043" customFormat="1" x14ac:dyDescent="0.2"/>
    <row r="17431" s="2043" customFormat="1" x14ac:dyDescent="0.2"/>
    <row r="17432" s="2043" customFormat="1" x14ac:dyDescent="0.2"/>
    <row r="17433" s="2043" customFormat="1" x14ac:dyDescent="0.2"/>
    <row r="17434" s="2043" customFormat="1" x14ac:dyDescent="0.2"/>
    <row r="17435" s="2043" customFormat="1" x14ac:dyDescent="0.2"/>
    <row r="17436" s="2043" customFormat="1" x14ac:dyDescent="0.2"/>
    <row r="17437" s="2043" customFormat="1" x14ac:dyDescent="0.2"/>
    <row r="17438" s="2043" customFormat="1" x14ac:dyDescent="0.2"/>
    <row r="17439" s="2043" customFormat="1" x14ac:dyDescent="0.2"/>
    <row r="17440" s="2043" customFormat="1" x14ac:dyDescent="0.2"/>
    <row r="17441" s="2043" customFormat="1" x14ac:dyDescent="0.2"/>
    <row r="17442" s="2043" customFormat="1" x14ac:dyDescent="0.2"/>
    <row r="17443" s="2043" customFormat="1" x14ac:dyDescent="0.2"/>
    <row r="17444" s="2043" customFormat="1" x14ac:dyDescent="0.2"/>
    <row r="17445" s="2043" customFormat="1" x14ac:dyDescent="0.2"/>
    <row r="17446" s="2043" customFormat="1" x14ac:dyDescent="0.2"/>
    <row r="17447" s="2043" customFormat="1" x14ac:dyDescent="0.2"/>
    <row r="17448" s="2043" customFormat="1" x14ac:dyDescent="0.2"/>
    <row r="17449" s="2043" customFormat="1" x14ac:dyDescent="0.2"/>
    <row r="17450" s="2043" customFormat="1" x14ac:dyDescent="0.2"/>
    <row r="17451" s="2043" customFormat="1" x14ac:dyDescent="0.2"/>
    <row r="17452" s="2043" customFormat="1" x14ac:dyDescent="0.2"/>
    <row r="17453" s="2043" customFormat="1" x14ac:dyDescent="0.2"/>
    <row r="17454" s="2043" customFormat="1" x14ac:dyDescent="0.2"/>
    <row r="17455" s="2043" customFormat="1" x14ac:dyDescent="0.2"/>
    <row r="17456" s="2043" customFormat="1" x14ac:dyDescent="0.2"/>
    <row r="17457" s="2043" customFormat="1" x14ac:dyDescent="0.2"/>
    <row r="17458" s="2043" customFormat="1" x14ac:dyDescent="0.2"/>
    <row r="17459" s="2043" customFormat="1" x14ac:dyDescent="0.2"/>
    <row r="17460" s="2043" customFormat="1" x14ac:dyDescent="0.2"/>
    <row r="17461" s="2043" customFormat="1" x14ac:dyDescent="0.2"/>
    <row r="17462" s="2043" customFormat="1" x14ac:dyDescent="0.2"/>
    <row r="17463" s="2043" customFormat="1" x14ac:dyDescent="0.2"/>
    <row r="17464" s="2043" customFormat="1" x14ac:dyDescent="0.2"/>
    <row r="17465" s="2043" customFormat="1" x14ac:dyDescent="0.2"/>
    <row r="17466" s="2043" customFormat="1" x14ac:dyDescent="0.2"/>
    <row r="17467" s="2043" customFormat="1" x14ac:dyDescent="0.2"/>
    <row r="17468" s="2043" customFormat="1" x14ac:dyDescent="0.2"/>
    <row r="17469" s="2043" customFormat="1" x14ac:dyDescent="0.2"/>
    <row r="17470" s="2043" customFormat="1" x14ac:dyDescent="0.2"/>
    <row r="17471" s="2043" customFormat="1" x14ac:dyDescent="0.2"/>
    <row r="17472" s="2043" customFormat="1" x14ac:dyDescent="0.2"/>
    <row r="17473" s="2043" customFormat="1" x14ac:dyDescent="0.2"/>
    <row r="17474" s="2043" customFormat="1" x14ac:dyDescent="0.2"/>
    <row r="17475" s="2043" customFormat="1" x14ac:dyDescent="0.2"/>
    <row r="17476" s="2043" customFormat="1" x14ac:dyDescent="0.2"/>
    <row r="17477" s="2043" customFormat="1" x14ac:dyDescent="0.2"/>
    <row r="17478" s="2043" customFormat="1" x14ac:dyDescent="0.2"/>
    <row r="17479" s="2043" customFormat="1" x14ac:dyDescent="0.2"/>
    <row r="17480" s="2043" customFormat="1" x14ac:dyDescent="0.2"/>
    <row r="17481" s="2043" customFormat="1" x14ac:dyDescent="0.2"/>
    <row r="17482" s="2043" customFormat="1" x14ac:dyDescent="0.2"/>
    <row r="17483" s="2043" customFormat="1" x14ac:dyDescent="0.2"/>
    <row r="17484" s="2043" customFormat="1" x14ac:dyDescent="0.2"/>
    <row r="17485" s="2043" customFormat="1" x14ac:dyDescent="0.2"/>
    <row r="17486" s="2043" customFormat="1" x14ac:dyDescent="0.2"/>
    <row r="17487" s="2043" customFormat="1" x14ac:dyDescent="0.2"/>
    <row r="17488" s="2043" customFormat="1" x14ac:dyDescent="0.2"/>
    <row r="17489" s="2043" customFormat="1" x14ac:dyDescent="0.2"/>
    <row r="17490" s="2043" customFormat="1" x14ac:dyDescent="0.2"/>
    <row r="17491" s="2043" customFormat="1" x14ac:dyDescent="0.2"/>
    <row r="17492" s="2043" customFormat="1" x14ac:dyDescent="0.2"/>
    <row r="17493" s="2043" customFormat="1" x14ac:dyDescent="0.2"/>
    <row r="17494" s="2043" customFormat="1" x14ac:dyDescent="0.2"/>
    <row r="17495" s="2043" customFormat="1" x14ac:dyDescent="0.2"/>
    <row r="17496" s="2043" customFormat="1" x14ac:dyDescent="0.2"/>
    <row r="17497" s="2043" customFormat="1" x14ac:dyDescent="0.2"/>
    <row r="17498" s="2043" customFormat="1" x14ac:dyDescent="0.2"/>
    <row r="17499" s="2043" customFormat="1" x14ac:dyDescent="0.2"/>
    <row r="17500" s="2043" customFormat="1" x14ac:dyDescent="0.2"/>
    <row r="17501" s="2043" customFormat="1" x14ac:dyDescent="0.2"/>
    <row r="17502" s="2043" customFormat="1" x14ac:dyDescent="0.2"/>
    <row r="17503" s="2043" customFormat="1" x14ac:dyDescent="0.2"/>
    <row r="17504" s="2043" customFormat="1" x14ac:dyDescent="0.2"/>
    <row r="17505" s="2043" customFormat="1" x14ac:dyDescent="0.2"/>
    <row r="17506" s="2043" customFormat="1" x14ac:dyDescent="0.2"/>
    <row r="17507" s="2043" customFormat="1" x14ac:dyDescent="0.2"/>
    <row r="17508" s="2043" customFormat="1" x14ac:dyDescent="0.2"/>
    <row r="17509" s="2043" customFormat="1" x14ac:dyDescent="0.2"/>
    <row r="17510" s="2043" customFormat="1" x14ac:dyDescent="0.2"/>
    <row r="17511" s="2043" customFormat="1" x14ac:dyDescent="0.2"/>
    <row r="17512" s="2043" customFormat="1" x14ac:dyDescent="0.2"/>
    <row r="17513" s="2043" customFormat="1" x14ac:dyDescent="0.2"/>
    <row r="17514" s="2043" customFormat="1" x14ac:dyDescent="0.2"/>
    <row r="17515" s="2043" customFormat="1" x14ac:dyDescent="0.2"/>
    <row r="17516" s="2043" customFormat="1" x14ac:dyDescent="0.2"/>
    <row r="17517" s="2043" customFormat="1" x14ac:dyDescent="0.2"/>
    <row r="17518" s="2043" customFormat="1" x14ac:dyDescent="0.2"/>
    <row r="17519" s="2043" customFormat="1" x14ac:dyDescent="0.2"/>
    <row r="17520" s="2043" customFormat="1" x14ac:dyDescent="0.2"/>
    <row r="17521" s="2043" customFormat="1" x14ac:dyDescent="0.2"/>
    <row r="17522" s="2043" customFormat="1" x14ac:dyDescent="0.2"/>
    <row r="17523" s="2043" customFormat="1" x14ac:dyDescent="0.2"/>
    <row r="17524" s="2043" customFormat="1" x14ac:dyDescent="0.2"/>
    <row r="17525" s="2043" customFormat="1" x14ac:dyDescent="0.2"/>
    <row r="17526" s="2043" customFormat="1" x14ac:dyDescent="0.2"/>
    <row r="17527" s="2043" customFormat="1" x14ac:dyDescent="0.2"/>
    <row r="17528" s="2043" customFormat="1" x14ac:dyDescent="0.2"/>
    <row r="17529" s="2043" customFormat="1" x14ac:dyDescent="0.2"/>
    <row r="17530" s="2043" customFormat="1" x14ac:dyDescent="0.2"/>
    <row r="17531" s="2043" customFormat="1" x14ac:dyDescent="0.2"/>
    <row r="17532" s="2043" customFormat="1" x14ac:dyDescent="0.2"/>
    <row r="17533" s="2043" customFormat="1" x14ac:dyDescent="0.2"/>
    <row r="17534" s="2043" customFormat="1" x14ac:dyDescent="0.2"/>
    <row r="17535" s="2043" customFormat="1" x14ac:dyDescent="0.2"/>
    <row r="17536" s="2043" customFormat="1" x14ac:dyDescent="0.2"/>
    <row r="17537" s="2043" customFormat="1" x14ac:dyDescent="0.2"/>
    <row r="17538" s="2043" customFormat="1" x14ac:dyDescent="0.2"/>
    <row r="17539" s="2043" customFormat="1" x14ac:dyDescent="0.2"/>
    <row r="17540" s="2043" customFormat="1" x14ac:dyDescent="0.2"/>
    <row r="17541" s="2043" customFormat="1" x14ac:dyDescent="0.2"/>
    <row r="17542" s="2043" customFormat="1" x14ac:dyDescent="0.2"/>
    <row r="17543" s="2043" customFormat="1" x14ac:dyDescent="0.2"/>
    <row r="17544" s="2043" customFormat="1" x14ac:dyDescent="0.2"/>
    <row r="17545" s="2043" customFormat="1" x14ac:dyDescent="0.2"/>
    <row r="17546" s="2043" customFormat="1" x14ac:dyDescent="0.2"/>
    <row r="17547" s="2043" customFormat="1" x14ac:dyDescent="0.2"/>
    <row r="17548" s="2043" customFormat="1" x14ac:dyDescent="0.2"/>
    <row r="17549" s="2043" customFormat="1" x14ac:dyDescent="0.2"/>
    <row r="17550" s="2043" customFormat="1" x14ac:dyDescent="0.2"/>
    <row r="17551" s="2043" customFormat="1" x14ac:dyDescent="0.2"/>
    <row r="17552" s="2043" customFormat="1" x14ac:dyDescent="0.2"/>
    <row r="17553" s="2043" customFormat="1" x14ac:dyDescent="0.2"/>
    <row r="17554" s="2043" customFormat="1" x14ac:dyDescent="0.2"/>
    <row r="17555" s="2043" customFormat="1" x14ac:dyDescent="0.2"/>
    <row r="17556" s="2043" customFormat="1" x14ac:dyDescent="0.2"/>
    <row r="17557" s="2043" customFormat="1" x14ac:dyDescent="0.2"/>
    <row r="17558" s="2043" customFormat="1" x14ac:dyDescent="0.2"/>
    <row r="17559" s="2043" customFormat="1" x14ac:dyDescent="0.2"/>
    <row r="17560" s="2043" customFormat="1" x14ac:dyDescent="0.2"/>
    <row r="17561" s="2043" customFormat="1" x14ac:dyDescent="0.2"/>
    <row r="17562" s="2043" customFormat="1" x14ac:dyDescent="0.2"/>
    <row r="17563" s="2043" customFormat="1" x14ac:dyDescent="0.2"/>
    <row r="17564" s="2043" customFormat="1" x14ac:dyDescent="0.2"/>
    <row r="17565" s="2043" customFormat="1" x14ac:dyDescent="0.2"/>
    <row r="17566" s="2043" customFormat="1" x14ac:dyDescent="0.2"/>
    <row r="17567" s="2043" customFormat="1" x14ac:dyDescent="0.2"/>
    <row r="17568" s="2043" customFormat="1" x14ac:dyDescent="0.2"/>
    <row r="17569" s="2043" customFormat="1" x14ac:dyDescent="0.2"/>
    <row r="17570" s="2043" customFormat="1" x14ac:dyDescent="0.2"/>
    <row r="17571" s="2043" customFormat="1" x14ac:dyDescent="0.2"/>
    <row r="17572" s="2043" customFormat="1" x14ac:dyDescent="0.2"/>
    <row r="17573" s="2043" customFormat="1" x14ac:dyDescent="0.2"/>
    <row r="17574" s="2043" customFormat="1" x14ac:dyDescent="0.2"/>
    <row r="17575" s="2043" customFormat="1" x14ac:dyDescent="0.2"/>
    <row r="17576" s="2043" customFormat="1" x14ac:dyDescent="0.2"/>
    <row r="17577" s="2043" customFormat="1" x14ac:dyDescent="0.2"/>
    <row r="17578" s="2043" customFormat="1" x14ac:dyDescent="0.2"/>
    <row r="17579" s="2043" customFormat="1" x14ac:dyDescent="0.2"/>
    <row r="17580" s="2043" customFormat="1" x14ac:dyDescent="0.2"/>
    <row r="17581" s="2043" customFormat="1" x14ac:dyDescent="0.2"/>
    <row r="17582" s="2043" customFormat="1" x14ac:dyDescent="0.2"/>
    <row r="17583" s="2043" customFormat="1" x14ac:dyDescent="0.2"/>
    <row r="17584" s="2043" customFormat="1" x14ac:dyDescent="0.2"/>
    <row r="17585" s="2043" customFormat="1" x14ac:dyDescent="0.2"/>
    <row r="17586" s="2043" customFormat="1" x14ac:dyDescent="0.2"/>
    <row r="17587" s="2043" customFormat="1" x14ac:dyDescent="0.2"/>
    <row r="17588" s="2043" customFormat="1" x14ac:dyDescent="0.2"/>
    <row r="17589" s="2043" customFormat="1" x14ac:dyDescent="0.2"/>
    <row r="17590" s="2043" customFormat="1" x14ac:dyDescent="0.2"/>
    <row r="17591" s="2043" customFormat="1" x14ac:dyDescent="0.2"/>
    <row r="17592" s="2043" customFormat="1" x14ac:dyDescent="0.2"/>
    <row r="17593" s="2043" customFormat="1" x14ac:dyDescent="0.2"/>
    <row r="17594" s="2043" customFormat="1" x14ac:dyDescent="0.2"/>
    <row r="17595" s="2043" customFormat="1" x14ac:dyDescent="0.2"/>
    <row r="17596" s="2043" customFormat="1" x14ac:dyDescent="0.2"/>
    <row r="17597" s="2043" customFormat="1" x14ac:dyDescent="0.2"/>
    <row r="17598" s="2043" customFormat="1" x14ac:dyDescent="0.2"/>
    <row r="17599" s="2043" customFormat="1" x14ac:dyDescent="0.2"/>
    <row r="17600" s="2043" customFormat="1" x14ac:dyDescent="0.2"/>
    <row r="17601" s="2043" customFormat="1" x14ac:dyDescent="0.2"/>
    <row r="17602" s="2043" customFormat="1" x14ac:dyDescent="0.2"/>
    <row r="17603" s="2043" customFormat="1" x14ac:dyDescent="0.2"/>
    <row r="17604" s="2043" customFormat="1" x14ac:dyDescent="0.2"/>
    <row r="17605" s="2043" customFormat="1" x14ac:dyDescent="0.2"/>
    <row r="17606" s="2043" customFormat="1" x14ac:dyDescent="0.2"/>
    <row r="17607" s="2043" customFormat="1" x14ac:dyDescent="0.2"/>
    <row r="17608" s="2043" customFormat="1" x14ac:dyDescent="0.2"/>
    <row r="17609" s="2043" customFormat="1" x14ac:dyDescent="0.2"/>
    <row r="17610" s="2043" customFormat="1" x14ac:dyDescent="0.2"/>
    <row r="17611" s="2043" customFormat="1" x14ac:dyDescent="0.2"/>
    <row r="17612" s="2043" customFormat="1" x14ac:dyDescent="0.2"/>
    <row r="17613" s="2043" customFormat="1" x14ac:dyDescent="0.2"/>
    <row r="17614" s="2043" customFormat="1" x14ac:dyDescent="0.2"/>
    <row r="17615" s="2043" customFormat="1" x14ac:dyDescent="0.2"/>
    <row r="17616" s="2043" customFormat="1" x14ac:dyDescent="0.2"/>
    <row r="17617" s="2043" customFormat="1" x14ac:dyDescent="0.2"/>
    <row r="17618" s="2043" customFormat="1" x14ac:dyDescent="0.2"/>
    <row r="17619" s="2043" customFormat="1" x14ac:dyDescent="0.2"/>
    <row r="17620" s="2043" customFormat="1" x14ac:dyDescent="0.2"/>
    <row r="17621" s="2043" customFormat="1" x14ac:dyDescent="0.2"/>
    <row r="17622" s="2043" customFormat="1" x14ac:dyDescent="0.2"/>
    <row r="17623" s="2043" customFormat="1" x14ac:dyDescent="0.2"/>
    <row r="17624" s="2043" customFormat="1" x14ac:dyDescent="0.2"/>
    <row r="17625" s="2043" customFormat="1" x14ac:dyDescent="0.2"/>
    <row r="17626" s="2043" customFormat="1" x14ac:dyDescent="0.2"/>
    <row r="17627" s="2043" customFormat="1" x14ac:dyDescent="0.2"/>
    <row r="17628" s="2043" customFormat="1" x14ac:dyDescent="0.2"/>
    <row r="17629" s="2043" customFormat="1" x14ac:dyDescent="0.2"/>
    <row r="17630" s="2043" customFormat="1" x14ac:dyDescent="0.2"/>
    <row r="17631" s="2043" customFormat="1" x14ac:dyDescent="0.2"/>
    <row r="17632" s="2043" customFormat="1" x14ac:dyDescent="0.2"/>
    <row r="17633" s="2043" customFormat="1" x14ac:dyDescent="0.2"/>
    <row r="17634" s="2043" customFormat="1" x14ac:dyDescent="0.2"/>
    <row r="17635" s="2043" customFormat="1" x14ac:dyDescent="0.2"/>
    <row r="17636" s="2043" customFormat="1" x14ac:dyDescent="0.2"/>
    <row r="17637" s="2043" customFormat="1" x14ac:dyDescent="0.2"/>
    <row r="17638" s="2043" customFormat="1" x14ac:dyDescent="0.2"/>
    <row r="17639" s="2043" customFormat="1" x14ac:dyDescent="0.2"/>
    <row r="17640" s="2043" customFormat="1" x14ac:dyDescent="0.2"/>
    <row r="17641" s="2043" customFormat="1" x14ac:dyDescent="0.2"/>
    <row r="17642" s="2043" customFormat="1" x14ac:dyDescent="0.2"/>
    <row r="17643" s="2043" customFormat="1" x14ac:dyDescent="0.2"/>
    <row r="17644" s="2043" customFormat="1" x14ac:dyDescent="0.2"/>
    <row r="17645" s="2043" customFormat="1" x14ac:dyDescent="0.2"/>
    <row r="17646" s="2043" customFormat="1" x14ac:dyDescent="0.2"/>
    <row r="17647" s="2043" customFormat="1" x14ac:dyDescent="0.2"/>
    <row r="17648" s="2043" customFormat="1" x14ac:dyDescent="0.2"/>
    <row r="17649" s="2043" customFormat="1" x14ac:dyDescent="0.2"/>
    <row r="17650" s="2043" customFormat="1" x14ac:dyDescent="0.2"/>
    <row r="17651" s="2043" customFormat="1" x14ac:dyDescent="0.2"/>
    <row r="17652" s="2043" customFormat="1" x14ac:dyDescent="0.2"/>
    <row r="17653" s="2043" customFormat="1" x14ac:dyDescent="0.2"/>
    <row r="17654" s="2043" customFormat="1" x14ac:dyDescent="0.2"/>
    <row r="17655" s="2043" customFormat="1" x14ac:dyDescent="0.2"/>
    <row r="17656" s="2043" customFormat="1" x14ac:dyDescent="0.2"/>
    <row r="17657" s="2043" customFormat="1" x14ac:dyDescent="0.2"/>
    <row r="17658" s="2043" customFormat="1" x14ac:dyDescent="0.2"/>
    <row r="17659" s="2043" customFormat="1" x14ac:dyDescent="0.2"/>
    <row r="17660" s="2043" customFormat="1" x14ac:dyDescent="0.2"/>
    <row r="17661" s="2043" customFormat="1" x14ac:dyDescent="0.2"/>
    <row r="17662" s="2043" customFormat="1" x14ac:dyDescent="0.2"/>
    <row r="17663" s="2043" customFormat="1" x14ac:dyDescent="0.2"/>
    <row r="17664" s="2043" customFormat="1" x14ac:dyDescent="0.2"/>
    <row r="17665" s="2043" customFormat="1" x14ac:dyDescent="0.2"/>
    <row r="17666" s="2043" customFormat="1" x14ac:dyDescent="0.2"/>
    <row r="17667" s="2043" customFormat="1" x14ac:dyDescent="0.2"/>
    <row r="17668" s="2043" customFormat="1" x14ac:dyDescent="0.2"/>
    <row r="17669" s="2043" customFormat="1" x14ac:dyDescent="0.2"/>
    <row r="17670" s="2043" customFormat="1" x14ac:dyDescent="0.2"/>
    <row r="17671" s="2043" customFormat="1" x14ac:dyDescent="0.2"/>
    <row r="17672" s="2043" customFormat="1" x14ac:dyDescent="0.2"/>
    <row r="17673" s="2043" customFormat="1" x14ac:dyDescent="0.2"/>
    <row r="17674" s="2043" customFormat="1" x14ac:dyDescent="0.2"/>
    <row r="17675" s="2043" customFormat="1" x14ac:dyDescent="0.2"/>
    <row r="17676" s="2043" customFormat="1" x14ac:dyDescent="0.2"/>
    <row r="17677" s="2043" customFormat="1" x14ac:dyDescent="0.2"/>
    <row r="17678" s="2043" customFormat="1" x14ac:dyDescent="0.2"/>
    <row r="17679" s="2043" customFormat="1" x14ac:dyDescent="0.2"/>
    <row r="17680" s="2043" customFormat="1" x14ac:dyDescent="0.2"/>
    <row r="17681" s="2043" customFormat="1" x14ac:dyDescent="0.2"/>
    <row r="17682" s="2043" customFormat="1" x14ac:dyDescent="0.2"/>
    <row r="17683" s="2043" customFormat="1" x14ac:dyDescent="0.2"/>
    <row r="17684" s="2043" customFormat="1" x14ac:dyDescent="0.2"/>
    <row r="17685" s="2043" customFormat="1" x14ac:dyDescent="0.2"/>
    <row r="17686" s="2043" customFormat="1" x14ac:dyDescent="0.2"/>
    <row r="17687" s="2043" customFormat="1" x14ac:dyDescent="0.2"/>
    <row r="17688" s="2043" customFormat="1" x14ac:dyDescent="0.2"/>
    <row r="17689" s="2043" customFormat="1" x14ac:dyDescent="0.2"/>
    <row r="17690" s="2043" customFormat="1" x14ac:dyDescent="0.2"/>
    <row r="17691" s="2043" customFormat="1" x14ac:dyDescent="0.2"/>
    <row r="17692" s="2043" customFormat="1" x14ac:dyDescent="0.2"/>
    <row r="17693" s="2043" customFormat="1" x14ac:dyDescent="0.2"/>
    <row r="17694" s="2043" customFormat="1" x14ac:dyDescent="0.2"/>
    <row r="17695" s="2043" customFormat="1" x14ac:dyDescent="0.2"/>
    <row r="17696" s="2043" customFormat="1" x14ac:dyDescent="0.2"/>
    <row r="17697" s="2043" customFormat="1" x14ac:dyDescent="0.2"/>
    <row r="17698" s="2043" customFormat="1" x14ac:dyDescent="0.2"/>
    <row r="17699" s="2043" customFormat="1" x14ac:dyDescent="0.2"/>
    <row r="17700" s="2043" customFormat="1" x14ac:dyDescent="0.2"/>
    <row r="17701" s="2043" customFormat="1" x14ac:dyDescent="0.2"/>
    <row r="17702" s="2043" customFormat="1" x14ac:dyDescent="0.2"/>
    <row r="17703" s="2043" customFormat="1" x14ac:dyDescent="0.2"/>
    <row r="17704" s="2043" customFormat="1" x14ac:dyDescent="0.2"/>
    <row r="17705" s="2043" customFormat="1" x14ac:dyDescent="0.2"/>
    <row r="17706" s="2043" customFormat="1" x14ac:dyDescent="0.2"/>
    <row r="17707" s="2043" customFormat="1" x14ac:dyDescent="0.2"/>
    <row r="17708" s="2043" customFormat="1" x14ac:dyDescent="0.2"/>
    <row r="17709" s="2043" customFormat="1" x14ac:dyDescent="0.2"/>
    <row r="17710" s="2043" customFormat="1" x14ac:dyDescent="0.2"/>
    <row r="17711" s="2043" customFormat="1" x14ac:dyDescent="0.2"/>
    <row r="17712" s="2043" customFormat="1" x14ac:dyDescent="0.2"/>
    <row r="17713" s="2043" customFormat="1" x14ac:dyDescent="0.2"/>
    <row r="17714" s="2043" customFormat="1" x14ac:dyDescent="0.2"/>
    <row r="17715" s="2043" customFormat="1" x14ac:dyDescent="0.2"/>
    <row r="17716" s="2043" customFormat="1" x14ac:dyDescent="0.2"/>
    <row r="17717" s="2043" customFormat="1" x14ac:dyDescent="0.2"/>
    <row r="17718" s="2043" customFormat="1" x14ac:dyDescent="0.2"/>
    <row r="17719" s="2043" customFormat="1" x14ac:dyDescent="0.2"/>
    <row r="17720" s="2043" customFormat="1" x14ac:dyDescent="0.2"/>
    <row r="17721" s="2043" customFormat="1" x14ac:dyDescent="0.2"/>
    <row r="17722" s="2043" customFormat="1" x14ac:dyDescent="0.2"/>
    <row r="17723" s="2043" customFormat="1" x14ac:dyDescent="0.2"/>
    <row r="17724" s="2043" customFormat="1" x14ac:dyDescent="0.2"/>
    <row r="17725" s="2043" customFormat="1" x14ac:dyDescent="0.2"/>
    <row r="17726" s="2043" customFormat="1" x14ac:dyDescent="0.2"/>
    <row r="17727" s="2043" customFormat="1" x14ac:dyDescent="0.2"/>
    <row r="17728" s="2043" customFormat="1" x14ac:dyDescent="0.2"/>
    <row r="17729" s="2043" customFormat="1" x14ac:dyDescent="0.2"/>
    <row r="17730" s="2043" customFormat="1" x14ac:dyDescent="0.2"/>
    <row r="17731" s="2043" customFormat="1" x14ac:dyDescent="0.2"/>
    <row r="17732" s="2043" customFormat="1" x14ac:dyDescent="0.2"/>
    <row r="17733" s="2043" customFormat="1" x14ac:dyDescent="0.2"/>
    <row r="17734" s="2043" customFormat="1" x14ac:dyDescent="0.2"/>
    <row r="17735" s="2043" customFormat="1" x14ac:dyDescent="0.2"/>
    <row r="17736" s="2043" customFormat="1" x14ac:dyDescent="0.2"/>
    <row r="17737" s="2043" customFormat="1" x14ac:dyDescent="0.2"/>
    <row r="17738" s="2043" customFormat="1" x14ac:dyDescent="0.2"/>
    <row r="17739" s="2043" customFormat="1" x14ac:dyDescent="0.2"/>
    <row r="17740" s="2043" customFormat="1" x14ac:dyDescent="0.2"/>
    <row r="17741" s="2043" customFormat="1" x14ac:dyDescent="0.2"/>
    <row r="17742" s="2043" customFormat="1" x14ac:dyDescent="0.2"/>
    <row r="17743" s="2043" customFormat="1" x14ac:dyDescent="0.2"/>
    <row r="17744" s="2043" customFormat="1" x14ac:dyDescent="0.2"/>
    <row r="17745" s="2043" customFormat="1" x14ac:dyDescent="0.2"/>
    <row r="17746" s="2043" customFormat="1" x14ac:dyDescent="0.2"/>
    <row r="17747" s="2043" customFormat="1" x14ac:dyDescent="0.2"/>
    <row r="17748" s="2043" customFormat="1" x14ac:dyDescent="0.2"/>
    <row r="17749" s="2043" customFormat="1" x14ac:dyDescent="0.2"/>
    <row r="17750" s="2043" customFormat="1" x14ac:dyDescent="0.2"/>
    <row r="17751" s="2043" customFormat="1" x14ac:dyDescent="0.2"/>
    <row r="17752" s="2043" customFormat="1" x14ac:dyDescent="0.2"/>
    <row r="17753" s="2043" customFormat="1" x14ac:dyDescent="0.2"/>
    <row r="17754" s="2043" customFormat="1" x14ac:dyDescent="0.2"/>
    <row r="17755" s="2043" customFormat="1" x14ac:dyDescent="0.2"/>
    <row r="17756" s="2043" customFormat="1" x14ac:dyDescent="0.2"/>
    <row r="17757" s="2043" customFormat="1" x14ac:dyDescent="0.2"/>
    <row r="17758" s="2043" customFormat="1" x14ac:dyDescent="0.2"/>
    <row r="17759" s="2043" customFormat="1" x14ac:dyDescent="0.2"/>
    <row r="17760" s="2043" customFormat="1" x14ac:dyDescent="0.2"/>
    <row r="17761" s="2043" customFormat="1" x14ac:dyDescent="0.2"/>
    <row r="17762" s="2043" customFormat="1" x14ac:dyDescent="0.2"/>
    <row r="17763" s="2043" customFormat="1" x14ac:dyDescent="0.2"/>
    <row r="17764" s="2043" customFormat="1" x14ac:dyDescent="0.2"/>
    <row r="17765" s="2043" customFormat="1" x14ac:dyDescent="0.2"/>
    <row r="17766" s="2043" customFormat="1" x14ac:dyDescent="0.2"/>
    <row r="17767" s="2043" customFormat="1" x14ac:dyDescent="0.2"/>
    <row r="17768" s="2043" customFormat="1" x14ac:dyDescent="0.2"/>
    <row r="17769" s="2043" customFormat="1" x14ac:dyDescent="0.2"/>
    <row r="17770" s="2043" customFormat="1" x14ac:dyDescent="0.2"/>
    <row r="17771" s="2043" customFormat="1" x14ac:dyDescent="0.2"/>
    <row r="17772" s="2043" customFormat="1" x14ac:dyDescent="0.2"/>
    <row r="17773" s="2043" customFormat="1" x14ac:dyDescent="0.2"/>
    <row r="17774" s="2043" customFormat="1" x14ac:dyDescent="0.2"/>
    <row r="17775" s="2043" customFormat="1" x14ac:dyDescent="0.2"/>
    <row r="17776" s="2043" customFormat="1" x14ac:dyDescent="0.2"/>
    <row r="17777" s="2043" customFormat="1" x14ac:dyDescent="0.2"/>
    <row r="17778" s="2043" customFormat="1" x14ac:dyDescent="0.2"/>
    <row r="17779" s="2043" customFormat="1" x14ac:dyDescent="0.2"/>
    <row r="17780" s="2043" customFormat="1" x14ac:dyDescent="0.2"/>
    <row r="17781" s="2043" customFormat="1" x14ac:dyDescent="0.2"/>
    <row r="17782" s="2043" customFormat="1" x14ac:dyDescent="0.2"/>
    <row r="17783" s="2043" customFormat="1" x14ac:dyDescent="0.2"/>
    <row r="17784" s="2043" customFormat="1" x14ac:dyDescent="0.2"/>
    <row r="17785" s="2043" customFormat="1" x14ac:dyDescent="0.2"/>
    <row r="17786" s="2043" customFormat="1" x14ac:dyDescent="0.2"/>
    <row r="17787" s="2043" customFormat="1" x14ac:dyDescent="0.2"/>
    <row r="17788" s="2043" customFormat="1" x14ac:dyDescent="0.2"/>
    <row r="17789" s="2043" customFormat="1" x14ac:dyDescent="0.2"/>
    <row r="17790" s="2043" customFormat="1" x14ac:dyDescent="0.2"/>
    <row r="17791" s="2043" customFormat="1" x14ac:dyDescent="0.2"/>
    <row r="17792" s="2043" customFormat="1" x14ac:dyDescent="0.2"/>
    <row r="17793" s="2043" customFormat="1" x14ac:dyDescent="0.2"/>
    <row r="17794" s="2043" customFormat="1" x14ac:dyDescent="0.2"/>
    <row r="17795" s="2043" customFormat="1" x14ac:dyDescent="0.2"/>
    <row r="17796" s="2043" customFormat="1" x14ac:dyDescent="0.2"/>
    <row r="17797" s="2043" customFormat="1" x14ac:dyDescent="0.2"/>
    <row r="17798" s="2043" customFormat="1" x14ac:dyDescent="0.2"/>
    <row r="17799" s="2043" customFormat="1" x14ac:dyDescent="0.2"/>
    <row r="17800" s="2043" customFormat="1" x14ac:dyDescent="0.2"/>
    <row r="17801" s="2043" customFormat="1" x14ac:dyDescent="0.2"/>
    <row r="17802" s="2043" customFormat="1" x14ac:dyDescent="0.2"/>
    <row r="17803" s="2043" customFormat="1" x14ac:dyDescent="0.2"/>
    <row r="17804" s="2043" customFormat="1" x14ac:dyDescent="0.2"/>
    <row r="17805" s="2043" customFormat="1" x14ac:dyDescent="0.2"/>
    <row r="17806" s="2043" customFormat="1" x14ac:dyDescent="0.2"/>
    <row r="17807" s="2043" customFormat="1" x14ac:dyDescent="0.2"/>
    <row r="17808" s="2043" customFormat="1" x14ac:dyDescent="0.2"/>
    <row r="17809" s="2043" customFormat="1" x14ac:dyDescent="0.2"/>
    <row r="17810" s="2043" customFormat="1" x14ac:dyDescent="0.2"/>
    <row r="17811" s="2043" customFormat="1" x14ac:dyDescent="0.2"/>
    <row r="17812" s="2043" customFormat="1" x14ac:dyDescent="0.2"/>
    <row r="17813" s="2043" customFormat="1" x14ac:dyDescent="0.2"/>
    <row r="17814" s="2043" customFormat="1" x14ac:dyDescent="0.2"/>
    <row r="17815" s="2043" customFormat="1" x14ac:dyDescent="0.2"/>
    <row r="17816" s="2043" customFormat="1" x14ac:dyDescent="0.2"/>
    <row r="17817" s="2043" customFormat="1" x14ac:dyDescent="0.2"/>
    <row r="17818" s="2043" customFormat="1" x14ac:dyDescent="0.2"/>
    <row r="17819" s="2043" customFormat="1" x14ac:dyDescent="0.2"/>
    <row r="17820" s="2043" customFormat="1" x14ac:dyDescent="0.2"/>
    <row r="17821" s="2043" customFormat="1" x14ac:dyDescent="0.2"/>
    <row r="17822" s="2043" customFormat="1" x14ac:dyDescent="0.2"/>
    <row r="17823" s="2043" customFormat="1" x14ac:dyDescent="0.2"/>
    <row r="17824" s="2043" customFormat="1" x14ac:dyDescent="0.2"/>
    <row r="17825" s="2043" customFormat="1" x14ac:dyDescent="0.2"/>
    <row r="17826" s="2043" customFormat="1" x14ac:dyDescent="0.2"/>
    <row r="17827" s="2043" customFormat="1" x14ac:dyDescent="0.2"/>
    <row r="17828" s="2043" customFormat="1" x14ac:dyDescent="0.2"/>
    <row r="17829" s="2043" customFormat="1" x14ac:dyDescent="0.2"/>
    <row r="17830" s="2043" customFormat="1" x14ac:dyDescent="0.2"/>
    <row r="17831" s="2043" customFormat="1" x14ac:dyDescent="0.2"/>
    <row r="17832" s="2043" customFormat="1" x14ac:dyDescent="0.2"/>
    <row r="17833" s="2043" customFormat="1" x14ac:dyDescent="0.2"/>
    <row r="17834" s="2043" customFormat="1" x14ac:dyDescent="0.2"/>
    <row r="17835" s="2043" customFormat="1" x14ac:dyDescent="0.2"/>
    <row r="17836" s="2043" customFormat="1" x14ac:dyDescent="0.2"/>
    <row r="17837" s="2043" customFormat="1" x14ac:dyDescent="0.2"/>
    <row r="17838" s="2043" customFormat="1" x14ac:dyDescent="0.2"/>
    <row r="17839" s="2043" customFormat="1" x14ac:dyDescent="0.2"/>
    <row r="17840" s="2043" customFormat="1" x14ac:dyDescent="0.2"/>
    <row r="17841" s="2043" customFormat="1" x14ac:dyDescent="0.2"/>
    <row r="17842" s="2043" customFormat="1" x14ac:dyDescent="0.2"/>
    <row r="17843" s="2043" customFormat="1" x14ac:dyDescent="0.2"/>
    <row r="17844" s="2043" customFormat="1" x14ac:dyDescent="0.2"/>
    <row r="17845" s="2043" customFormat="1" x14ac:dyDescent="0.2"/>
    <row r="17846" s="2043" customFormat="1" x14ac:dyDescent="0.2"/>
    <row r="17847" s="2043" customFormat="1" x14ac:dyDescent="0.2"/>
    <row r="17848" s="2043" customFormat="1" x14ac:dyDescent="0.2"/>
    <row r="17849" s="2043" customFormat="1" x14ac:dyDescent="0.2"/>
    <row r="17850" s="2043" customFormat="1" x14ac:dyDescent="0.2"/>
    <row r="17851" s="2043" customFormat="1" x14ac:dyDescent="0.2"/>
    <row r="17852" s="2043" customFormat="1" x14ac:dyDescent="0.2"/>
    <row r="17853" s="2043" customFormat="1" x14ac:dyDescent="0.2"/>
    <row r="17854" s="2043" customFormat="1" x14ac:dyDescent="0.2"/>
    <row r="17855" s="2043" customFormat="1" x14ac:dyDescent="0.2"/>
    <row r="17856" s="2043" customFormat="1" x14ac:dyDescent="0.2"/>
    <row r="17857" s="2043" customFormat="1" x14ac:dyDescent="0.2"/>
    <row r="17858" s="2043" customFormat="1" x14ac:dyDescent="0.2"/>
    <row r="17859" s="2043" customFormat="1" x14ac:dyDescent="0.2"/>
    <row r="17860" s="2043" customFormat="1" x14ac:dyDescent="0.2"/>
    <row r="17861" s="2043" customFormat="1" x14ac:dyDescent="0.2"/>
    <row r="17862" s="2043" customFormat="1" x14ac:dyDescent="0.2"/>
    <row r="17863" s="2043" customFormat="1" x14ac:dyDescent="0.2"/>
    <row r="17864" s="2043" customFormat="1" x14ac:dyDescent="0.2"/>
    <row r="17865" s="2043" customFormat="1" x14ac:dyDescent="0.2"/>
    <row r="17866" s="2043" customFormat="1" x14ac:dyDescent="0.2"/>
    <row r="17867" s="2043" customFormat="1" x14ac:dyDescent="0.2"/>
    <row r="17868" s="2043" customFormat="1" x14ac:dyDescent="0.2"/>
    <row r="17869" s="2043" customFormat="1" x14ac:dyDescent="0.2"/>
    <row r="17870" s="2043" customFormat="1" x14ac:dyDescent="0.2"/>
    <row r="17871" s="2043" customFormat="1" x14ac:dyDescent="0.2"/>
    <row r="17872" s="2043" customFormat="1" x14ac:dyDescent="0.2"/>
    <row r="17873" s="2043" customFormat="1" x14ac:dyDescent="0.2"/>
    <row r="17874" s="2043" customFormat="1" x14ac:dyDescent="0.2"/>
    <row r="17875" s="2043" customFormat="1" x14ac:dyDescent="0.2"/>
    <row r="17876" s="2043" customFormat="1" x14ac:dyDescent="0.2"/>
    <row r="17877" s="2043" customFormat="1" x14ac:dyDescent="0.2"/>
    <row r="17878" s="2043" customFormat="1" x14ac:dyDescent="0.2"/>
    <row r="17879" s="2043" customFormat="1" x14ac:dyDescent="0.2"/>
    <row r="17880" s="2043" customFormat="1" x14ac:dyDescent="0.2"/>
    <row r="17881" s="2043" customFormat="1" x14ac:dyDescent="0.2"/>
    <row r="17882" s="2043" customFormat="1" x14ac:dyDescent="0.2"/>
    <row r="17883" s="2043" customFormat="1" x14ac:dyDescent="0.2"/>
    <row r="17884" s="2043" customFormat="1" x14ac:dyDescent="0.2"/>
    <row r="17885" s="2043" customFormat="1" x14ac:dyDescent="0.2"/>
    <row r="17886" s="2043" customFormat="1" x14ac:dyDescent="0.2"/>
    <row r="17887" s="2043" customFormat="1" x14ac:dyDescent="0.2"/>
    <row r="17888" s="2043" customFormat="1" x14ac:dyDescent="0.2"/>
    <row r="17889" s="2043" customFormat="1" x14ac:dyDescent="0.2"/>
    <row r="17890" s="2043" customFormat="1" x14ac:dyDescent="0.2"/>
    <row r="17891" s="2043" customFormat="1" x14ac:dyDescent="0.2"/>
    <row r="17892" s="2043" customFormat="1" x14ac:dyDescent="0.2"/>
    <row r="17893" s="2043" customFormat="1" x14ac:dyDescent="0.2"/>
    <row r="17894" s="2043" customFormat="1" x14ac:dyDescent="0.2"/>
    <row r="17895" s="2043" customFormat="1" x14ac:dyDescent="0.2"/>
    <row r="17896" s="2043" customFormat="1" x14ac:dyDescent="0.2"/>
    <row r="17897" s="2043" customFormat="1" x14ac:dyDescent="0.2"/>
    <row r="17898" s="2043" customFormat="1" x14ac:dyDescent="0.2"/>
    <row r="17899" s="2043" customFormat="1" x14ac:dyDescent="0.2"/>
    <row r="17900" s="2043" customFormat="1" x14ac:dyDescent="0.2"/>
    <row r="17901" s="2043" customFormat="1" x14ac:dyDescent="0.2"/>
    <row r="17902" s="2043" customFormat="1" x14ac:dyDescent="0.2"/>
    <row r="17903" s="2043" customFormat="1" x14ac:dyDescent="0.2"/>
    <row r="17904" s="2043" customFormat="1" x14ac:dyDescent="0.2"/>
    <row r="17905" s="2043" customFormat="1" x14ac:dyDescent="0.2"/>
    <row r="17906" s="2043" customFormat="1" x14ac:dyDescent="0.2"/>
    <row r="17907" s="2043" customFormat="1" x14ac:dyDescent="0.2"/>
    <row r="17908" s="2043" customFormat="1" x14ac:dyDescent="0.2"/>
    <row r="17909" s="2043" customFormat="1" x14ac:dyDescent="0.2"/>
    <row r="17910" s="2043" customFormat="1" x14ac:dyDescent="0.2"/>
    <row r="17911" s="2043" customFormat="1" x14ac:dyDescent="0.2"/>
    <row r="17912" s="2043" customFormat="1" x14ac:dyDescent="0.2"/>
    <row r="17913" s="2043" customFormat="1" x14ac:dyDescent="0.2"/>
    <row r="17914" s="2043" customFormat="1" x14ac:dyDescent="0.2"/>
    <row r="17915" s="2043" customFormat="1" x14ac:dyDescent="0.2"/>
    <row r="17916" s="2043" customFormat="1" x14ac:dyDescent="0.2"/>
    <row r="17917" s="2043" customFormat="1" x14ac:dyDescent="0.2"/>
    <row r="17918" s="2043" customFormat="1" x14ac:dyDescent="0.2"/>
    <row r="17919" s="2043" customFormat="1" x14ac:dyDescent="0.2"/>
    <row r="17920" s="2043" customFormat="1" x14ac:dyDescent="0.2"/>
    <row r="17921" s="2043" customFormat="1" x14ac:dyDescent="0.2"/>
    <row r="17922" s="2043" customFormat="1" x14ac:dyDescent="0.2"/>
    <row r="17923" s="2043" customFormat="1" x14ac:dyDescent="0.2"/>
    <row r="17924" s="2043" customFormat="1" x14ac:dyDescent="0.2"/>
    <row r="17925" s="2043" customFormat="1" x14ac:dyDescent="0.2"/>
    <row r="17926" s="2043" customFormat="1" x14ac:dyDescent="0.2"/>
    <row r="17927" s="2043" customFormat="1" x14ac:dyDescent="0.2"/>
    <row r="17928" s="2043" customFormat="1" x14ac:dyDescent="0.2"/>
    <row r="17929" s="2043" customFormat="1" x14ac:dyDescent="0.2"/>
    <row r="17930" s="2043" customFormat="1" x14ac:dyDescent="0.2"/>
    <row r="17931" s="2043" customFormat="1" x14ac:dyDescent="0.2"/>
    <row r="17932" s="2043" customFormat="1" x14ac:dyDescent="0.2"/>
    <row r="17933" s="2043" customFormat="1" x14ac:dyDescent="0.2"/>
    <row r="17934" s="2043" customFormat="1" x14ac:dyDescent="0.2"/>
    <row r="17935" s="2043" customFormat="1" x14ac:dyDescent="0.2"/>
    <row r="17936" s="2043" customFormat="1" x14ac:dyDescent="0.2"/>
    <row r="17937" s="2043" customFormat="1" x14ac:dyDescent="0.2"/>
    <row r="17938" s="2043" customFormat="1" x14ac:dyDescent="0.2"/>
    <row r="17939" s="2043" customFormat="1" x14ac:dyDescent="0.2"/>
    <row r="17940" s="2043" customFormat="1" x14ac:dyDescent="0.2"/>
    <row r="17941" s="2043" customFormat="1" x14ac:dyDescent="0.2"/>
    <row r="17942" s="2043" customFormat="1" x14ac:dyDescent="0.2"/>
    <row r="17943" s="2043" customFormat="1" x14ac:dyDescent="0.2"/>
    <row r="17944" s="2043" customFormat="1" x14ac:dyDescent="0.2"/>
    <row r="17945" s="2043" customFormat="1" x14ac:dyDescent="0.2"/>
    <row r="17946" s="2043" customFormat="1" x14ac:dyDescent="0.2"/>
    <row r="17947" s="2043" customFormat="1" x14ac:dyDescent="0.2"/>
    <row r="17948" s="2043" customFormat="1" x14ac:dyDescent="0.2"/>
    <row r="17949" s="2043" customFormat="1" x14ac:dyDescent="0.2"/>
    <row r="17950" s="2043" customFormat="1" x14ac:dyDescent="0.2"/>
    <row r="17951" s="2043" customFormat="1" x14ac:dyDescent="0.2"/>
    <row r="17952" s="2043" customFormat="1" x14ac:dyDescent="0.2"/>
    <row r="17953" s="2043" customFormat="1" x14ac:dyDescent="0.2"/>
    <row r="17954" s="2043" customFormat="1" x14ac:dyDescent="0.2"/>
    <row r="17955" s="2043" customFormat="1" x14ac:dyDescent="0.2"/>
    <row r="17956" s="2043" customFormat="1" x14ac:dyDescent="0.2"/>
    <row r="17957" s="2043" customFormat="1" x14ac:dyDescent="0.2"/>
    <row r="17958" s="2043" customFormat="1" x14ac:dyDescent="0.2"/>
    <row r="17959" s="2043" customFormat="1" x14ac:dyDescent="0.2"/>
    <row r="17960" s="2043" customFormat="1" x14ac:dyDescent="0.2"/>
    <row r="17961" s="2043" customFormat="1" x14ac:dyDescent="0.2"/>
    <row r="17962" s="2043" customFormat="1" x14ac:dyDescent="0.2"/>
    <row r="17963" s="2043" customFormat="1" x14ac:dyDescent="0.2"/>
    <row r="17964" s="2043" customFormat="1" x14ac:dyDescent="0.2"/>
    <row r="17965" s="2043" customFormat="1" x14ac:dyDescent="0.2"/>
    <row r="17966" s="2043" customFormat="1" x14ac:dyDescent="0.2"/>
    <row r="17967" s="2043" customFormat="1" x14ac:dyDescent="0.2"/>
    <row r="17968" s="2043" customFormat="1" x14ac:dyDescent="0.2"/>
    <row r="17969" s="2043" customFormat="1" x14ac:dyDescent="0.2"/>
    <row r="17970" s="2043" customFormat="1" x14ac:dyDescent="0.2"/>
    <row r="17971" s="2043" customFormat="1" x14ac:dyDescent="0.2"/>
    <row r="17972" s="2043" customFormat="1" x14ac:dyDescent="0.2"/>
    <row r="17973" s="2043" customFormat="1" x14ac:dyDescent="0.2"/>
    <row r="17974" s="2043" customFormat="1" x14ac:dyDescent="0.2"/>
    <row r="17975" s="2043" customFormat="1" x14ac:dyDescent="0.2"/>
    <row r="17976" s="2043" customFormat="1" x14ac:dyDescent="0.2"/>
    <row r="17977" s="2043" customFormat="1" x14ac:dyDescent="0.2"/>
    <row r="17978" s="2043" customFormat="1" x14ac:dyDescent="0.2"/>
    <row r="17979" s="2043" customFormat="1" x14ac:dyDescent="0.2"/>
    <row r="17980" s="2043" customFormat="1" x14ac:dyDescent="0.2"/>
    <row r="17981" s="2043" customFormat="1" x14ac:dyDescent="0.2"/>
    <row r="17982" s="2043" customFormat="1" x14ac:dyDescent="0.2"/>
    <row r="17983" s="2043" customFormat="1" x14ac:dyDescent="0.2"/>
    <row r="17984" s="2043" customFormat="1" x14ac:dyDescent="0.2"/>
    <row r="17985" s="2043" customFormat="1" x14ac:dyDescent="0.2"/>
    <row r="17986" s="2043" customFormat="1" x14ac:dyDescent="0.2"/>
    <row r="17987" s="2043" customFormat="1" x14ac:dyDescent="0.2"/>
    <row r="17988" s="2043" customFormat="1" x14ac:dyDescent="0.2"/>
    <row r="17989" s="2043" customFormat="1" x14ac:dyDescent="0.2"/>
    <row r="17990" s="2043" customFormat="1" x14ac:dyDescent="0.2"/>
    <row r="17991" s="2043" customFormat="1" x14ac:dyDescent="0.2"/>
    <row r="17992" s="2043" customFormat="1" x14ac:dyDescent="0.2"/>
    <row r="17993" s="2043" customFormat="1" x14ac:dyDescent="0.2"/>
    <row r="17994" s="2043" customFormat="1" x14ac:dyDescent="0.2"/>
    <row r="17995" s="2043" customFormat="1" x14ac:dyDescent="0.2"/>
    <row r="17996" s="2043" customFormat="1" x14ac:dyDescent="0.2"/>
    <row r="17997" s="2043" customFormat="1" x14ac:dyDescent="0.2"/>
    <row r="17998" s="2043" customFormat="1" x14ac:dyDescent="0.2"/>
    <row r="17999" s="2043" customFormat="1" x14ac:dyDescent="0.2"/>
    <row r="18000" s="2043" customFormat="1" x14ac:dyDescent="0.2"/>
    <row r="18001" s="2043" customFormat="1" x14ac:dyDescent="0.2"/>
    <row r="18002" s="2043" customFormat="1" x14ac:dyDescent="0.2"/>
    <row r="18003" s="2043" customFormat="1" x14ac:dyDescent="0.2"/>
    <row r="18004" s="2043" customFormat="1" x14ac:dyDescent="0.2"/>
    <row r="18005" s="2043" customFormat="1" x14ac:dyDescent="0.2"/>
    <row r="18006" s="2043" customFormat="1" x14ac:dyDescent="0.2"/>
    <row r="18007" s="2043" customFormat="1" x14ac:dyDescent="0.2"/>
    <row r="18008" s="2043" customFormat="1" x14ac:dyDescent="0.2"/>
    <row r="18009" s="2043" customFormat="1" x14ac:dyDescent="0.2"/>
    <row r="18010" s="2043" customFormat="1" x14ac:dyDescent="0.2"/>
    <row r="18011" s="2043" customFormat="1" x14ac:dyDescent="0.2"/>
    <row r="18012" s="2043" customFormat="1" x14ac:dyDescent="0.2"/>
    <row r="18013" s="2043" customFormat="1" x14ac:dyDescent="0.2"/>
    <row r="18014" s="2043" customFormat="1" x14ac:dyDescent="0.2"/>
    <row r="18015" s="2043" customFormat="1" x14ac:dyDescent="0.2"/>
    <row r="18016" s="2043" customFormat="1" x14ac:dyDescent="0.2"/>
    <row r="18017" s="2043" customFormat="1" x14ac:dyDescent="0.2"/>
    <row r="18018" s="2043" customFormat="1" x14ac:dyDescent="0.2"/>
    <row r="18019" s="2043" customFormat="1" x14ac:dyDescent="0.2"/>
    <row r="18020" s="2043" customFormat="1" x14ac:dyDescent="0.2"/>
    <row r="18021" s="2043" customFormat="1" x14ac:dyDescent="0.2"/>
    <row r="18022" s="2043" customFormat="1" x14ac:dyDescent="0.2"/>
    <row r="18023" s="2043" customFormat="1" x14ac:dyDescent="0.2"/>
    <row r="18024" s="2043" customFormat="1" x14ac:dyDescent="0.2"/>
    <row r="18025" s="2043" customFormat="1" x14ac:dyDescent="0.2"/>
    <row r="18026" s="2043" customFormat="1" x14ac:dyDescent="0.2"/>
    <row r="18027" s="2043" customFormat="1" x14ac:dyDescent="0.2"/>
    <row r="18028" s="2043" customFormat="1" x14ac:dyDescent="0.2"/>
    <row r="18029" s="2043" customFormat="1" x14ac:dyDescent="0.2"/>
    <row r="18030" s="2043" customFormat="1" x14ac:dyDescent="0.2"/>
    <row r="18031" s="2043" customFormat="1" x14ac:dyDescent="0.2"/>
    <row r="18032" s="2043" customFormat="1" x14ac:dyDescent="0.2"/>
    <row r="18033" s="2043" customFormat="1" x14ac:dyDescent="0.2"/>
    <row r="18034" s="2043" customFormat="1" x14ac:dyDescent="0.2"/>
    <row r="18035" s="2043" customFormat="1" x14ac:dyDescent="0.2"/>
    <row r="18036" s="2043" customFormat="1" x14ac:dyDescent="0.2"/>
    <row r="18037" s="2043" customFormat="1" x14ac:dyDescent="0.2"/>
    <row r="18038" s="2043" customFormat="1" x14ac:dyDescent="0.2"/>
    <row r="18039" s="2043" customFormat="1" x14ac:dyDescent="0.2"/>
    <row r="18040" s="2043" customFormat="1" x14ac:dyDescent="0.2"/>
    <row r="18041" s="2043" customFormat="1" x14ac:dyDescent="0.2"/>
    <row r="18042" s="2043" customFormat="1" x14ac:dyDescent="0.2"/>
    <row r="18043" s="2043" customFormat="1" x14ac:dyDescent="0.2"/>
    <row r="18044" s="2043" customFormat="1" x14ac:dyDescent="0.2"/>
    <row r="18045" s="2043" customFormat="1" x14ac:dyDescent="0.2"/>
    <row r="18046" s="2043" customFormat="1" x14ac:dyDescent="0.2"/>
    <row r="18047" s="2043" customFormat="1" x14ac:dyDescent="0.2"/>
    <row r="18048" s="2043" customFormat="1" x14ac:dyDescent="0.2"/>
    <row r="18049" s="2043" customFormat="1" x14ac:dyDescent="0.2"/>
    <row r="18050" s="2043" customFormat="1" x14ac:dyDescent="0.2"/>
    <row r="18051" s="2043" customFormat="1" x14ac:dyDescent="0.2"/>
    <row r="18052" s="2043" customFormat="1" x14ac:dyDescent="0.2"/>
    <row r="18053" s="2043" customFormat="1" x14ac:dyDescent="0.2"/>
    <row r="18054" s="2043" customFormat="1" x14ac:dyDescent="0.2"/>
    <row r="18055" s="2043" customFormat="1" x14ac:dyDescent="0.2"/>
    <row r="18056" s="2043" customFormat="1" x14ac:dyDescent="0.2"/>
    <row r="18057" s="2043" customFormat="1" x14ac:dyDescent="0.2"/>
    <row r="18058" s="2043" customFormat="1" x14ac:dyDescent="0.2"/>
    <row r="18059" s="2043" customFormat="1" x14ac:dyDescent="0.2"/>
    <row r="18060" s="2043" customFormat="1" x14ac:dyDescent="0.2"/>
    <row r="18061" s="2043" customFormat="1" x14ac:dyDescent="0.2"/>
    <row r="18062" s="2043" customFormat="1" x14ac:dyDescent="0.2"/>
    <row r="18063" s="2043" customFormat="1" x14ac:dyDescent="0.2"/>
    <row r="18064" s="2043" customFormat="1" x14ac:dyDescent="0.2"/>
    <row r="18065" s="2043" customFormat="1" x14ac:dyDescent="0.2"/>
    <row r="18066" s="2043" customFormat="1" x14ac:dyDescent="0.2"/>
    <row r="18067" s="2043" customFormat="1" x14ac:dyDescent="0.2"/>
    <row r="18068" s="2043" customFormat="1" x14ac:dyDescent="0.2"/>
    <row r="18069" s="2043" customFormat="1" x14ac:dyDescent="0.2"/>
    <row r="18070" s="2043" customFormat="1" x14ac:dyDescent="0.2"/>
    <row r="18071" s="2043" customFormat="1" x14ac:dyDescent="0.2"/>
    <row r="18072" s="2043" customFormat="1" x14ac:dyDescent="0.2"/>
    <row r="18073" s="2043" customFormat="1" x14ac:dyDescent="0.2"/>
    <row r="18074" s="2043" customFormat="1" x14ac:dyDescent="0.2"/>
    <row r="18075" s="2043" customFormat="1" x14ac:dyDescent="0.2"/>
    <row r="18076" s="2043" customFormat="1" x14ac:dyDescent="0.2"/>
    <row r="18077" s="2043" customFormat="1" x14ac:dyDescent="0.2"/>
    <row r="18078" s="2043" customFormat="1" x14ac:dyDescent="0.2"/>
    <row r="18079" s="2043" customFormat="1" x14ac:dyDescent="0.2"/>
    <row r="18080" s="2043" customFormat="1" x14ac:dyDescent="0.2"/>
    <row r="18081" s="2043" customFormat="1" x14ac:dyDescent="0.2"/>
    <row r="18082" s="2043" customFormat="1" x14ac:dyDescent="0.2"/>
    <row r="18083" s="2043" customFormat="1" x14ac:dyDescent="0.2"/>
    <row r="18084" s="2043" customFormat="1" x14ac:dyDescent="0.2"/>
    <row r="18085" s="2043" customFormat="1" x14ac:dyDescent="0.2"/>
    <row r="18086" s="2043" customFormat="1" x14ac:dyDescent="0.2"/>
    <row r="18087" s="2043" customFormat="1" x14ac:dyDescent="0.2"/>
    <row r="18088" s="2043" customFormat="1" x14ac:dyDescent="0.2"/>
    <row r="18089" s="2043" customFormat="1" x14ac:dyDescent="0.2"/>
    <row r="18090" s="2043" customFormat="1" x14ac:dyDescent="0.2"/>
    <row r="18091" s="2043" customFormat="1" x14ac:dyDescent="0.2"/>
    <row r="18092" s="2043" customFormat="1" x14ac:dyDescent="0.2"/>
    <row r="18093" s="2043" customFormat="1" x14ac:dyDescent="0.2"/>
    <row r="18094" s="2043" customFormat="1" x14ac:dyDescent="0.2"/>
    <row r="18095" s="2043" customFormat="1" x14ac:dyDescent="0.2"/>
    <row r="18096" s="2043" customFormat="1" x14ac:dyDescent="0.2"/>
    <row r="18097" s="2043" customFormat="1" x14ac:dyDescent="0.2"/>
    <row r="18098" s="2043" customFormat="1" x14ac:dyDescent="0.2"/>
    <row r="18099" s="2043" customFormat="1" x14ac:dyDescent="0.2"/>
    <row r="18100" s="2043" customFormat="1" x14ac:dyDescent="0.2"/>
    <row r="18101" s="2043" customFormat="1" x14ac:dyDescent="0.2"/>
    <row r="18102" s="2043" customFormat="1" x14ac:dyDescent="0.2"/>
    <row r="18103" s="2043" customFormat="1" x14ac:dyDescent="0.2"/>
    <row r="18104" s="2043" customFormat="1" x14ac:dyDescent="0.2"/>
    <row r="18105" s="2043" customFormat="1" x14ac:dyDescent="0.2"/>
    <row r="18106" s="2043" customFormat="1" x14ac:dyDescent="0.2"/>
    <row r="18107" s="2043" customFormat="1" x14ac:dyDescent="0.2"/>
    <row r="18108" s="2043" customFormat="1" x14ac:dyDescent="0.2"/>
    <row r="18109" s="2043" customFormat="1" x14ac:dyDescent="0.2"/>
    <row r="18110" s="2043" customFormat="1" x14ac:dyDescent="0.2"/>
    <row r="18111" s="2043" customFormat="1" x14ac:dyDescent="0.2"/>
    <row r="18112" s="2043" customFormat="1" x14ac:dyDescent="0.2"/>
    <row r="18113" s="2043" customFormat="1" x14ac:dyDescent="0.2"/>
    <row r="18114" s="2043" customFormat="1" x14ac:dyDescent="0.2"/>
    <row r="18115" s="2043" customFormat="1" x14ac:dyDescent="0.2"/>
    <row r="18116" s="2043" customFormat="1" x14ac:dyDescent="0.2"/>
    <row r="18117" s="2043" customFormat="1" x14ac:dyDescent="0.2"/>
    <row r="18118" s="2043" customFormat="1" x14ac:dyDescent="0.2"/>
    <row r="18119" s="2043" customFormat="1" x14ac:dyDescent="0.2"/>
    <row r="18120" s="2043" customFormat="1" x14ac:dyDescent="0.2"/>
    <row r="18121" s="2043" customFormat="1" x14ac:dyDescent="0.2"/>
    <row r="18122" s="2043" customFormat="1" x14ac:dyDescent="0.2"/>
    <row r="18123" s="2043" customFormat="1" x14ac:dyDescent="0.2"/>
    <row r="18124" s="2043" customFormat="1" x14ac:dyDescent="0.2"/>
    <row r="18125" s="2043" customFormat="1" x14ac:dyDescent="0.2"/>
    <row r="18126" s="2043" customFormat="1" x14ac:dyDescent="0.2"/>
    <row r="18127" s="2043" customFormat="1" x14ac:dyDescent="0.2"/>
    <row r="18128" s="2043" customFormat="1" x14ac:dyDescent="0.2"/>
    <row r="18129" s="2043" customFormat="1" x14ac:dyDescent="0.2"/>
    <row r="18130" s="2043" customFormat="1" x14ac:dyDescent="0.2"/>
    <row r="18131" s="2043" customFormat="1" x14ac:dyDescent="0.2"/>
    <row r="18132" s="2043" customFormat="1" x14ac:dyDescent="0.2"/>
    <row r="18133" s="2043" customFormat="1" x14ac:dyDescent="0.2"/>
    <row r="18134" s="2043" customFormat="1" x14ac:dyDescent="0.2"/>
    <row r="18135" s="2043" customFormat="1" x14ac:dyDescent="0.2"/>
    <row r="18136" s="2043" customFormat="1" x14ac:dyDescent="0.2"/>
    <row r="18137" s="2043" customFormat="1" x14ac:dyDescent="0.2"/>
    <row r="18138" s="2043" customFormat="1" x14ac:dyDescent="0.2"/>
    <row r="18139" s="2043" customFormat="1" x14ac:dyDescent="0.2"/>
    <row r="18140" s="2043" customFormat="1" x14ac:dyDescent="0.2"/>
    <row r="18141" s="2043" customFormat="1" x14ac:dyDescent="0.2"/>
    <row r="18142" s="2043" customFormat="1" x14ac:dyDescent="0.2"/>
    <row r="18143" s="2043" customFormat="1" x14ac:dyDescent="0.2"/>
    <row r="18144" s="2043" customFormat="1" x14ac:dyDescent="0.2"/>
    <row r="18145" s="2043" customFormat="1" x14ac:dyDescent="0.2"/>
    <row r="18146" s="2043" customFormat="1" x14ac:dyDescent="0.2"/>
    <row r="18147" s="2043" customFormat="1" x14ac:dyDescent="0.2"/>
    <row r="18148" s="2043" customFormat="1" x14ac:dyDescent="0.2"/>
    <row r="18149" s="2043" customFormat="1" x14ac:dyDescent="0.2"/>
    <row r="18150" s="2043" customFormat="1" x14ac:dyDescent="0.2"/>
    <row r="18151" s="2043" customFormat="1" x14ac:dyDescent="0.2"/>
    <row r="18152" s="2043" customFormat="1" x14ac:dyDescent="0.2"/>
    <row r="18153" s="2043" customFormat="1" x14ac:dyDescent="0.2"/>
    <row r="18154" s="2043" customFormat="1" x14ac:dyDescent="0.2"/>
    <row r="18155" s="2043" customFormat="1" x14ac:dyDescent="0.2"/>
    <row r="18156" s="2043" customFormat="1" x14ac:dyDescent="0.2"/>
    <row r="18157" s="2043" customFormat="1" x14ac:dyDescent="0.2"/>
    <row r="18158" s="2043" customFormat="1" x14ac:dyDescent="0.2"/>
    <row r="18159" s="2043" customFormat="1" x14ac:dyDescent="0.2"/>
    <row r="18160" s="2043" customFormat="1" x14ac:dyDescent="0.2"/>
    <row r="18161" s="2043" customFormat="1" x14ac:dyDescent="0.2"/>
    <row r="18162" s="2043" customFormat="1" x14ac:dyDescent="0.2"/>
    <row r="18163" s="2043" customFormat="1" x14ac:dyDescent="0.2"/>
    <row r="18164" s="2043" customFormat="1" x14ac:dyDescent="0.2"/>
    <row r="18165" s="2043" customFormat="1" x14ac:dyDescent="0.2"/>
    <row r="18166" s="2043" customFormat="1" x14ac:dyDescent="0.2"/>
    <row r="18167" s="2043" customFormat="1" x14ac:dyDescent="0.2"/>
    <row r="18168" s="2043" customFormat="1" x14ac:dyDescent="0.2"/>
    <row r="18169" s="2043" customFormat="1" x14ac:dyDescent="0.2"/>
    <row r="18170" s="2043" customFormat="1" x14ac:dyDescent="0.2"/>
    <row r="18171" s="2043" customFormat="1" x14ac:dyDescent="0.2"/>
    <row r="18172" s="2043" customFormat="1" x14ac:dyDescent="0.2"/>
    <row r="18173" s="2043" customFormat="1" x14ac:dyDescent="0.2"/>
    <row r="18174" s="2043" customFormat="1" x14ac:dyDescent="0.2"/>
    <row r="18175" s="2043" customFormat="1" x14ac:dyDescent="0.2"/>
    <row r="18176" s="2043" customFormat="1" x14ac:dyDescent="0.2"/>
    <row r="18177" s="2043" customFormat="1" x14ac:dyDescent="0.2"/>
    <row r="18178" s="2043" customFormat="1" x14ac:dyDescent="0.2"/>
    <row r="18179" s="2043" customFormat="1" x14ac:dyDescent="0.2"/>
    <row r="18180" s="2043" customFormat="1" x14ac:dyDescent="0.2"/>
    <row r="18181" s="2043" customFormat="1" x14ac:dyDescent="0.2"/>
    <row r="18182" s="2043" customFormat="1" x14ac:dyDescent="0.2"/>
    <row r="18183" s="2043" customFormat="1" x14ac:dyDescent="0.2"/>
    <row r="18184" s="2043" customFormat="1" x14ac:dyDescent="0.2"/>
    <row r="18185" s="2043" customFormat="1" x14ac:dyDescent="0.2"/>
    <row r="18186" s="2043" customFormat="1" x14ac:dyDescent="0.2"/>
    <row r="18187" s="2043" customFormat="1" x14ac:dyDescent="0.2"/>
    <row r="18188" s="2043" customFormat="1" x14ac:dyDescent="0.2"/>
    <row r="18189" s="2043" customFormat="1" x14ac:dyDescent="0.2"/>
    <row r="18190" s="2043" customFormat="1" x14ac:dyDescent="0.2"/>
    <row r="18191" s="2043" customFormat="1" x14ac:dyDescent="0.2"/>
    <row r="18192" s="2043" customFormat="1" x14ac:dyDescent="0.2"/>
    <row r="18193" s="2043" customFormat="1" x14ac:dyDescent="0.2"/>
    <row r="18194" s="2043" customFormat="1" x14ac:dyDescent="0.2"/>
    <row r="18195" s="2043" customFormat="1" x14ac:dyDescent="0.2"/>
    <row r="18196" s="2043" customFormat="1" x14ac:dyDescent="0.2"/>
    <row r="18197" s="2043" customFormat="1" x14ac:dyDescent="0.2"/>
    <row r="18198" s="2043" customFormat="1" x14ac:dyDescent="0.2"/>
    <row r="18199" s="2043" customFormat="1" x14ac:dyDescent="0.2"/>
    <row r="18200" s="2043" customFormat="1" x14ac:dyDescent="0.2"/>
    <row r="18201" s="2043" customFormat="1" x14ac:dyDescent="0.2"/>
    <row r="18202" s="2043" customFormat="1" x14ac:dyDescent="0.2"/>
    <row r="18203" s="2043" customFormat="1" x14ac:dyDescent="0.2"/>
    <row r="18204" s="2043" customFormat="1" x14ac:dyDescent="0.2"/>
    <row r="18205" s="2043" customFormat="1" x14ac:dyDescent="0.2"/>
    <row r="18206" s="2043" customFormat="1" x14ac:dyDescent="0.2"/>
    <row r="18207" s="2043" customFormat="1" x14ac:dyDescent="0.2"/>
    <row r="18208" s="2043" customFormat="1" x14ac:dyDescent="0.2"/>
    <row r="18209" s="2043" customFormat="1" x14ac:dyDescent="0.2"/>
    <row r="18210" s="2043" customFormat="1" x14ac:dyDescent="0.2"/>
    <row r="18211" s="2043" customFormat="1" x14ac:dyDescent="0.2"/>
    <row r="18212" s="2043" customFormat="1" x14ac:dyDescent="0.2"/>
    <row r="18213" s="2043" customFormat="1" x14ac:dyDescent="0.2"/>
    <row r="18214" s="2043" customFormat="1" x14ac:dyDescent="0.2"/>
    <row r="18215" s="2043" customFormat="1" x14ac:dyDescent="0.2"/>
    <row r="18216" s="2043" customFormat="1" x14ac:dyDescent="0.2"/>
    <row r="18217" s="2043" customFormat="1" x14ac:dyDescent="0.2"/>
    <row r="18218" s="2043" customFormat="1" x14ac:dyDescent="0.2"/>
    <row r="18219" s="2043" customFormat="1" x14ac:dyDescent="0.2"/>
    <row r="18220" s="2043" customFormat="1" x14ac:dyDescent="0.2"/>
    <row r="18221" s="2043" customFormat="1" x14ac:dyDescent="0.2"/>
    <row r="18222" s="2043" customFormat="1" x14ac:dyDescent="0.2"/>
    <row r="18223" s="2043" customFormat="1" x14ac:dyDescent="0.2"/>
    <row r="18224" s="2043" customFormat="1" x14ac:dyDescent="0.2"/>
    <row r="18225" s="2043" customFormat="1" x14ac:dyDescent="0.2"/>
    <row r="18226" s="2043" customFormat="1" x14ac:dyDescent="0.2"/>
    <row r="18227" s="2043" customFormat="1" x14ac:dyDescent="0.2"/>
    <row r="18228" s="2043" customFormat="1" x14ac:dyDescent="0.2"/>
    <row r="18229" s="2043" customFormat="1" x14ac:dyDescent="0.2"/>
    <row r="18230" s="2043" customFormat="1" x14ac:dyDescent="0.2"/>
    <row r="18231" s="2043" customFormat="1" x14ac:dyDescent="0.2"/>
    <row r="18232" s="2043" customFormat="1" x14ac:dyDescent="0.2"/>
    <row r="18233" s="2043" customFormat="1" x14ac:dyDescent="0.2"/>
    <row r="18234" s="2043" customFormat="1" x14ac:dyDescent="0.2"/>
    <row r="18235" s="2043" customFormat="1" x14ac:dyDescent="0.2"/>
    <row r="18236" s="2043" customFormat="1" x14ac:dyDescent="0.2"/>
    <row r="18237" s="2043" customFormat="1" x14ac:dyDescent="0.2"/>
    <row r="18238" s="2043" customFormat="1" x14ac:dyDescent="0.2"/>
    <row r="18239" s="2043" customFormat="1" x14ac:dyDescent="0.2"/>
    <row r="18240" s="2043" customFormat="1" x14ac:dyDescent="0.2"/>
    <row r="18241" s="2043" customFormat="1" x14ac:dyDescent="0.2"/>
    <row r="18242" s="2043" customFormat="1" x14ac:dyDescent="0.2"/>
    <row r="18243" s="2043" customFormat="1" x14ac:dyDescent="0.2"/>
    <row r="18244" s="2043" customFormat="1" x14ac:dyDescent="0.2"/>
    <row r="18245" s="2043" customFormat="1" x14ac:dyDescent="0.2"/>
    <row r="18246" s="2043" customFormat="1" x14ac:dyDescent="0.2"/>
    <row r="18247" s="2043" customFormat="1" x14ac:dyDescent="0.2"/>
    <row r="18248" s="2043" customFormat="1" x14ac:dyDescent="0.2"/>
    <row r="18249" s="2043" customFormat="1" x14ac:dyDescent="0.2"/>
    <row r="18250" s="2043" customFormat="1" x14ac:dyDescent="0.2"/>
    <row r="18251" s="2043" customFormat="1" x14ac:dyDescent="0.2"/>
    <row r="18252" s="2043" customFormat="1" x14ac:dyDescent="0.2"/>
    <row r="18253" s="2043" customFormat="1" x14ac:dyDescent="0.2"/>
    <row r="18254" s="2043" customFormat="1" x14ac:dyDescent="0.2"/>
    <row r="18255" s="2043" customFormat="1" x14ac:dyDescent="0.2"/>
    <row r="18256" s="2043" customFormat="1" x14ac:dyDescent="0.2"/>
    <row r="18257" s="2043" customFormat="1" x14ac:dyDescent="0.2"/>
    <row r="18258" s="2043" customFormat="1" x14ac:dyDescent="0.2"/>
    <row r="18259" s="2043" customFormat="1" x14ac:dyDescent="0.2"/>
    <row r="18260" s="2043" customFormat="1" x14ac:dyDescent="0.2"/>
    <row r="18261" s="2043" customFormat="1" x14ac:dyDescent="0.2"/>
    <row r="18262" s="2043" customFormat="1" x14ac:dyDescent="0.2"/>
    <row r="18263" s="2043" customFormat="1" x14ac:dyDescent="0.2"/>
    <row r="18264" s="2043" customFormat="1" x14ac:dyDescent="0.2"/>
    <row r="18265" s="2043" customFormat="1" x14ac:dyDescent="0.2"/>
    <row r="18266" s="2043" customFormat="1" x14ac:dyDescent="0.2"/>
    <row r="18267" s="2043" customFormat="1" x14ac:dyDescent="0.2"/>
    <row r="18268" s="2043" customFormat="1" x14ac:dyDescent="0.2"/>
    <row r="18269" s="2043" customFormat="1" x14ac:dyDescent="0.2"/>
    <row r="18270" s="2043" customFormat="1" x14ac:dyDescent="0.2"/>
    <row r="18271" s="2043" customFormat="1" x14ac:dyDescent="0.2"/>
    <row r="18272" s="2043" customFormat="1" x14ac:dyDescent="0.2"/>
    <row r="18273" s="2043" customFormat="1" x14ac:dyDescent="0.2"/>
    <row r="18274" s="2043" customFormat="1" x14ac:dyDescent="0.2"/>
    <row r="18275" s="2043" customFormat="1" x14ac:dyDescent="0.2"/>
    <row r="18276" s="2043" customFormat="1" x14ac:dyDescent="0.2"/>
    <row r="18277" s="2043" customFormat="1" x14ac:dyDescent="0.2"/>
    <row r="18278" s="2043" customFormat="1" x14ac:dyDescent="0.2"/>
    <row r="18279" s="2043" customFormat="1" x14ac:dyDescent="0.2"/>
    <row r="18280" s="2043" customFormat="1" x14ac:dyDescent="0.2"/>
    <row r="18281" s="2043" customFormat="1" x14ac:dyDescent="0.2"/>
    <row r="18282" s="2043" customFormat="1" x14ac:dyDescent="0.2"/>
    <row r="18283" s="2043" customFormat="1" x14ac:dyDescent="0.2"/>
    <row r="18284" s="2043" customFormat="1" x14ac:dyDescent="0.2"/>
    <row r="18285" s="2043" customFormat="1" x14ac:dyDescent="0.2"/>
    <row r="18286" s="2043" customFormat="1" x14ac:dyDescent="0.2"/>
    <row r="18287" s="2043" customFormat="1" x14ac:dyDescent="0.2"/>
    <row r="18288" s="2043" customFormat="1" x14ac:dyDescent="0.2"/>
    <row r="18289" s="2043" customFormat="1" x14ac:dyDescent="0.2"/>
    <row r="18290" s="2043" customFormat="1" x14ac:dyDescent="0.2"/>
    <row r="18291" s="2043" customFormat="1" x14ac:dyDescent="0.2"/>
    <row r="18292" s="2043" customFormat="1" x14ac:dyDescent="0.2"/>
    <row r="18293" s="2043" customFormat="1" x14ac:dyDescent="0.2"/>
    <row r="18294" s="2043" customFormat="1" x14ac:dyDescent="0.2"/>
    <row r="18295" s="2043" customFormat="1" x14ac:dyDescent="0.2"/>
    <row r="18296" s="2043" customFormat="1" x14ac:dyDescent="0.2"/>
    <row r="18297" s="2043" customFormat="1" x14ac:dyDescent="0.2"/>
    <row r="18298" s="2043" customFormat="1" x14ac:dyDescent="0.2"/>
    <row r="18299" s="2043" customFormat="1" x14ac:dyDescent="0.2"/>
    <row r="18300" s="2043" customFormat="1" x14ac:dyDescent="0.2"/>
    <row r="18301" s="2043" customFormat="1" x14ac:dyDescent="0.2"/>
    <row r="18302" s="2043" customFormat="1" x14ac:dyDescent="0.2"/>
    <row r="18303" s="2043" customFormat="1" x14ac:dyDescent="0.2"/>
    <row r="18304" s="2043" customFormat="1" x14ac:dyDescent="0.2"/>
    <row r="18305" s="2043" customFormat="1" x14ac:dyDescent="0.2"/>
    <row r="18306" s="2043" customFormat="1" x14ac:dyDescent="0.2"/>
    <row r="18307" s="2043" customFormat="1" x14ac:dyDescent="0.2"/>
    <row r="18308" s="2043" customFormat="1" x14ac:dyDescent="0.2"/>
    <row r="18309" s="2043" customFormat="1" x14ac:dyDescent="0.2"/>
    <row r="18310" s="2043" customFormat="1" x14ac:dyDescent="0.2"/>
    <row r="18311" s="2043" customFormat="1" x14ac:dyDescent="0.2"/>
    <row r="18312" s="2043" customFormat="1" x14ac:dyDescent="0.2"/>
    <row r="18313" s="2043" customFormat="1" x14ac:dyDescent="0.2"/>
    <row r="18314" s="2043" customFormat="1" x14ac:dyDescent="0.2"/>
    <row r="18315" s="2043" customFormat="1" x14ac:dyDescent="0.2"/>
    <row r="18316" s="2043" customFormat="1" x14ac:dyDescent="0.2"/>
    <row r="18317" s="2043" customFormat="1" x14ac:dyDescent="0.2"/>
    <row r="18318" s="2043" customFormat="1" x14ac:dyDescent="0.2"/>
    <row r="18319" s="2043" customFormat="1" x14ac:dyDescent="0.2"/>
    <row r="18320" s="2043" customFormat="1" x14ac:dyDescent="0.2"/>
    <row r="18321" s="2043" customFormat="1" x14ac:dyDescent="0.2"/>
    <row r="18322" s="2043" customFormat="1" x14ac:dyDescent="0.2"/>
    <row r="18323" s="2043" customFormat="1" x14ac:dyDescent="0.2"/>
    <row r="18324" s="2043" customFormat="1" x14ac:dyDescent="0.2"/>
    <row r="18325" s="2043" customFormat="1" x14ac:dyDescent="0.2"/>
    <row r="18326" s="2043" customFormat="1" x14ac:dyDescent="0.2"/>
    <row r="18327" s="2043" customFormat="1" x14ac:dyDescent="0.2"/>
    <row r="18328" s="2043" customFormat="1" x14ac:dyDescent="0.2"/>
    <row r="18329" s="2043" customFormat="1" x14ac:dyDescent="0.2"/>
    <row r="18330" s="2043" customFormat="1" x14ac:dyDescent="0.2"/>
    <row r="18331" s="2043" customFormat="1" x14ac:dyDescent="0.2"/>
    <row r="18332" s="2043" customFormat="1" x14ac:dyDescent="0.2"/>
    <row r="18333" s="2043" customFormat="1" x14ac:dyDescent="0.2"/>
    <row r="18334" s="2043" customFormat="1" x14ac:dyDescent="0.2"/>
    <row r="18335" s="2043" customFormat="1" x14ac:dyDescent="0.2"/>
    <row r="18336" s="2043" customFormat="1" x14ac:dyDescent="0.2"/>
    <row r="18337" s="2043" customFormat="1" x14ac:dyDescent="0.2"/>
    <row r="18338" s="2043" customFormat="1" x14ac:dyDescent="0.2"/>
    <row r="18339" s="2043" customFormat="1" x14ac:dyDescent="0.2"/>
    <row r="18340" s="2043" customFormat="1" x14ac:dyDescent="0.2"/>
    <row r="18341" s="2043" customFormat="1" x14ac:dyDescent="0.2"/>
    <row r="18342" s="2043" customFormat="1" x14ac:dyDescent="0.2"/>
    <row r="18343" s="2043" customFormat="1" x14ac:dyDescent="0.2"/>
    <row r="18344" s="2043" customFormat="1" x14ac:dyDescent="0.2"/>
    <row r="18345" s="2043" customFormat="1" x14ac:dyDescent="0.2"/>
    <row r="18346" s="2043" customFormat="1" x14ac:dyDescent="0.2"/>
    <row r="18347" s="2043" customFormat="1" x14ac:dyDescent="0.2"/>
    <row r="18348" s="2043" customFormat="1" x14ac:dyDescent="0.2"/>
    <row r="18349" s="2043" customFormat="1" x14ac:dyDescent="0.2"/>
    <row r="18350" s="2043" customFormat="1" x14ac:dyDescent="0.2"/>
    <row r="18351" s="2043" customFormat="1" x14ac:dyDescent="0.2"/>
    <row r="18352" s="2043" customFormat="1" x14ac:dyDescent="0.2"/>
    <row r="18353" s="2043" customFormat="1" x14ac:dyDescent="0.2"/>
    <row r="18354" s="2043" customFormat="1" x14ac:dyDescent="0.2"/>
    <row r="18355" s="2043" customFormat="1" x14ac:dyDescent="0.2"/>
    <row r="18356" s="2043" customFormat="1" x14ac:dyDescent="0.2"/>
    <row r="18357" s="2043" customFormat="1" x14ac:dyDescent="0.2"/>
    <row r="18358" s="2043" customFormat="1" x14ac:dyDescent="0.2"/>
    <row r="18359" s="2043" customFormat="1" x14ac:dyDescent="0.2"/>
    <row r="18360" s="2043" customFormat="1" x14ac:dyDescent="0.2"/>
    <row r="18361" s="2043" customFormat="1" x14ac:dyDescent="0.2"/>
    <row r="18362" s="2043" customFormat="1" x14ac:dyDescent="0.2"/>
    <row r="18363" s="2043" customFormat="1" x14ac:dyDescent="0.2"/>
    <row r="18364" s="2043" customFormat="1" x14ac:dyDescent="0.2"/>
    <row r="18365" s="2043" customFormat="1" x14ac:dyDescent="0.2"/>
    <row r="18366" s="2043" customFormat="1" x14ac:dyDescent="0.2"/>
    <row r="18367" s="2043" customFormat="1" x14ac:dyDescent="0.2"/>
    <row r="18368" s="2043" customFormat="1" x14ac:dyDescent="0.2"/>
    <row r="18369" s="2043" customFormat="1" x14ac:dyDescent="0.2"/>
    <row r="18370" s="2043" customFormat="1" x14ac:dyDescent="0.2"/>
    <row r="18371" s="2043" customFormat="1" x14ac:dyDescent="0.2"/>
    <row r="18372" s="2043" customFormat="1" x14ac:dyDescent="0.2"/>
    <row r="18373" s="2043" customFormat="1" x14ac:dyDescent="0.2"/>
    <row r="18374" s="2043" customFormat="1" x14ac:dyDescent="0.2"/>
    <row r="18375" s="2043" customFormat="1" x14ac:dyDescent="0.2"/>
    <row r="18376" s="2043" customFormat="1" x14ac:dyDescent="0.2"/>
    <row r="18377" s="2043" customFormat="1" x14ac:dyDescent="0.2"/>
    <row r="18378" s="2043" customFormat="1" x14ac:dyDescent="0.2"/>
    <row r="18379" s="2043" customFormat="1" x14ac:dyDescent="0.2"/>
    <row r="18380" s="2043" customFormat="1" x14ac:dyDescent="0.2"/>
    <row r="18381" s="2043" customFormat="1" x14ac:dyDescent="0.2"/>
    <row r="18382" s="2043" customFormat="1" x14ac:dyDescent="0.2"/>
    <row r="18383" s="2043" customFormat="1" x14ac:dyDescent="0.2"/>
    <row r="18384" s="2043" customFormat="1" x14ac:dyDescent="0.2"/>
    <row r="18385" s="2043" customFormat="1" x14ac:dyDescent="0.2"/>
    <row r="18386" s="2043" customFormat="1" x14ac:dyDescent="0.2"/>
    <row r="18387" s="2043" customFormat="1" x14ac:dyDescent="0.2"/>
    <row r="18388" s="2043" customFormat="1" x14ac:dyDescent="0.2"/>
    <row r="18389" s="2043" customFormat="1" x14ac:dyDescent="0.2"/>
    <row r="18390" s="2043" customFormat="1" x14ac:dyDescent="0.2"/>
    <row r="18391" s="2043" customFormat="1" x14ac:dyDescent="0.2"/>
    <row r="18392" s="2043" customFormat="1" x14ac:dyDescent="0.2"/>
    <row r="18393" s="2043" customFormat="1" x14ac:dyDescent="0.2"/>
    <row r="18394" s="2043" customFormat="1" x14ac:dyDescent="0.2"/>
    <row r="18395" s="2043" customFormat="1" x14ac:dyDescent="0.2"/>
    <row r="18396" s="2043" customFormat="1" x14ac:dyDescent="0.2"/>
    <row r="18397" s="2043" customFormat="1" x14ac:dyDescent="0.2"/>
    <row r="18398" s="2043" customFormat="1" x14ac:dyDescent="0.2"/>
    <row r="18399" s="2043" customFormat="1" x14ac:dyDescent="0.2"/>
    <row r="18400" s="2043" customFormat="1" x14ac:dyDescent="0.2"/>
    <row r="18401" s="2043" customFormat="1" x14ac:dyDescent="0.2"/>
    <row r="18402" s="2043" customFormat="1" x14ac:dyDescent="0.2"/>
    <row r="18403" s="2043" customFormat="1" x14ac:dyDescent="0.2"/>
    <row r="18404" s="2043" customFormat="1" x14ac:dyDescent="0.2"/>
    <row r="18405" s="2043" customFormat="1" x14ac:dyDescent="0.2"/>
    <row r="18406" s="2043" customFormat="1" x14ac:dyDescent="0.2"/>
    <row r="18407" s="2043" customFormat="1" x14ac:dyDescent="0.2"/>
    <row r="18408" s="2043" customFormat="1" x14ac:dyDescent="0.2"/>
    <row r="18409" s="2043" customFormat="1" x14ac:dyDescent="0.2"/>
    <row r="18410" s="2043" customFormat="1" x14ac:dyDescent="0.2"/>
    <row r="18411" s="2043" customFormat="1" x14ac:dyDescent="0.2"/>
    <row r="18412" s="2043" customFormat="1" x14ac:dyDescent="0.2"/>
    <row r="18413" s="2043" customFormat="1" x14ac:dyDescent="0.2"/>
    <row r="18414" s="2043" customFormat="1" x14ac:dyDescent="0.2"/>
    <row r="18415" s="2043" customFormat="1" x14ac:dyDescent="0.2"/>
    <row r="18416" s="2043" customFormat="1" x14ac:dyDescent="0.2"/>
    <row r="18417" s="2043" customFormat="1" x14ac:dyDescent="0.2"/>
    <row r="18418" s="2043" customFormat="1" x14ac:dyDescent="0.2"/>
    <row r="18419" s="2043" customFormat="1" x14ac:dyDescent="0.2"/>
    <row r="18420" s="2043" customFormat="1" x14ac:dyDescent="0.2"/>
    <row r="18421" s="2043" customFormat="1" x14ac:dyDescent="0.2"/>
    <row r="18422" s="2043" customFormat="1" x14ac:dyDescent="0.2"/>
    <row r="18423" s="2043" customFormat="1" x14ac:dyDescent="0.2"/>
    <row r="18424" s="2043" customFormat="1" x14ac:dyDescent="0.2"/>
    <row r="18425" s="2043" customFormat="1" x14ac:dyDescent="0.2"/>
    <row r="18426" s="2043" customFormat="1" x14ac:dyDescent="0.2"/>
    <row r="18427" s="2043" customFormat="1" x14ac:dyDescent="0.2"/>
    <row r="18428" s="2043" customFormat="1" x14ac:dyDescent="0.2"/>
    <row r="18429" s="2043" customFormat="1" x14ac:dyDescent="0.2"/>
    <row r="18430" s="2043" customFormat="1" x14ac:dyDescent="0.2"/>
    <row r="18431" s="2043" customFormat="1" x14ac:dyDescent="0.2"/>
    <row r="18432" s="2043" customFormat="1" x14ac:dyDescent="0.2"/>
    <row r="18433" s="2043" customFormat="1" x14ac:dyDescent="0.2"/>
    <row r="18434" s="2043" customFormat="1" x14ac:dyDescent="0.2"/>
    <row r="18435" s="2043" customFormat="1" x14ac:dyDescent="0.2"/>
    <row r="18436" s="2043" customFormat="1" x14ac:dyDescent="0.2"/>
    <row r="18437" s="2043" customFormat="1" x14ac:dyDescent="0.2"/>
    <row r="18438" s="2043" customFormat="1" x14ac:dyDescent="0.2"/>
    <row r="18439" s="2043" customFormat="1" x14ac:dyDescent="0.2"/>
    <row r="18440" s="2043" customFormat="1" x14ac:dyDescent="0.2"/>
    <row r="18441" s="2043" customFormat="1" x14ac:dyDescent="0.2"/>
    <row r="18442" s="2043" customFormat="1" x14ac:dyDescent="0.2"/>
    <row r="18443" s="2043" customFormat="1" x14ac:dyDescent="0.2"/>
    <row r="18444" s="2043" customFormat="1" x14ac:dyDescent="0.2"/>
    <row r="18445" s="2043" customFormat="1" x14ac:dyDescent="0.2"/>
    <row r="18446" s="2043" customFormat="1" x14ac:dyDescent="0.2"/>
    <row r="18447" s="2043" customFormat="1" x14ac:dyDescent="0.2"/>
    <row r="18448" s="2043" customFormat="1" x14ac:dyDescent="0.2"/>
    <row r="18449" s="2043" customFormat="1" x14ac:dyDescent="0.2"/>
    <row r="18450" s="2043" customFormat="1" x14ac:dyDescent="0.2"/>
    <row r="18451" s="2043" customFormat="1" x14ac:dyDescent="0.2"/>
    <row r="18452" s="2043" customFormat="1" x14ac:dyDescent="0.2"/>
    <row r="18453" s="2043" customFormat="1" x14ac:dyDescent="0.2"/>
    <row r="18454" s="2043" customFormat="1" x14ac:dyDescent="0.2"/>
    <row r="18455" s="2043" customFormat="1" x14ac:dyDescent="0.2"/>
    <row r="18456" s="2043" customFormat="1" x14ac:dyDescent="0.2"/>
    <row r="18457" s="2043" customFormat="1" x14ac:dyDescent="0.2"/>
    <row r="18458" s="2043" customFormat="1" x14ac:dyDescent="0.2"/>
    <row r="18459" s="2043" customFormat="1" x14ac:dyDescent="0.2"/>
    <row r="18460" s="2043" customFormat="1" x14ac:dyDescent="0.2"/>
    <row r="18461" s="2043" customFormat="1" x14ac:dyDescent="0.2"/>
    <row r="18462" s="2043" customFormat="1" x14ac:dyDescent="0.2"/>
    <row r="18463" s="2043" customFormat="1" x14ac:dyDescent="0.2"/>
    <row r="18464" s="2043" customFormat="1" x14ac:dyDescent="0.2"/>
    <row r="18465" s="2043" customFormat="1" x14ac:dyDescent="0.2"/>
    <row r="18466" s="2043" customFormat="1" x14ac:dyDescent="0.2"/>
    <row r="18467" s="2043" customFormat="1" x14ac:dyDescent="0.2"/>
    <row r="18468" s="2043" customFormat="1" x14ac:dyDescent="0.2"/>
    <row r="18469" s="2043" customFormat="1" x14ac:dyDescent="0.2"/>
    <row r="18470" s="2043" customFormat="1" x14ac:dyDescent="0.2"/>
    <row r="18471" s="2043" customFormat="1" x14ac:dyDescent="0.2"/>
    <row r="18472" s="2043" customFormat="1" x14ac:dyDescent="0.2"/>
    <row r="18473" s="2043" customFormat="1" x14ac:dyDescent="0.2"/>
    <row r="18474" s="2043" customFormat="1" x14ac:dyDescent="0.2"/>
    <row r="18475" s="2043" customFormat="1" x14ac:dyDescent="0.2"/>
    <row r="18476" s="2043" customFormat="1" x14ac:dyDescent="0.2"/>
    <row r="18477" s="2043" customFormat="1" x14ac:dyDescent="0.2"/>
    <row r="18478" s="2043" customFormat="1" x14ac:dyDescent="0.2"/>
    <row r="18479" s="2043" customFormat="1" x14ac:dyDescent="0.2"/>
    <row r="18480" s="2043" customFormat="1" x14ac:dyDescent="0.2"/>
    <row r="18481" s="2043" customFormat="1" x14ac:dyDescent="0.2"/>
    <row r="18482" s="2043" customFormat="1" x14ac:dyDescent="0.2"/>
    <row r="18483" s="2043" customFormat="1" x14ac:dyDescent="0.2"/>
    <row r="18484" s="2043" customFormat="1" x14ac:dyDescent="0.2"/>
    <row r="18485" s="2043" customFormat="1" x14ac:dyDescent="0.2"/>
    <row r="18486" s="2043" customFormat="1" x14ac:dyDescent="0.2"/>
    <row r="18487" s="2043" customFormat="1" x14ac:dyDescent="0.2"/>
    <row r="18488" s="2043" customFormat="1" x14ac:dyDescent="0.2"/>
    <row r="18489" s="2043" customFormat="1" x14ac:dyDescent="0.2"/>
    <row r="18490" s="2043" customFormat="1" x14ac:dyDescent="0.2"/>
    <row r="18491" s="2043" customFormat="1" x14ac:dyDescent="0.2"/>
    <row r="18492" s="2043" customFormat="1" x14ac:dyDescent="0.2"/>
    <row r="18493" s="2043" customFormat="1" x14ac:dyDescent="0.2"/>
    <row r="18494" s="2043" customFormat="1" x14ac:dyDescent="0.2"/>
    <row r="18495" s="2043" customFormat="1" x14ac:dyDescent="0.2"/>
    <row r="18496" s="2043" customFormat="1" x14ac:dyDescent="0.2"/>
    <row r="18497" s="2043" customFormat="1" x14ac:dyDescent="0.2"/>
    <row r="18498" s="2043" customFormat="1" x14ac:dyDescent="0.2"/>
    <row r="18499" s="2043" customFormat="1" x14ac:dyDescent="0.2"/>
    <row r="18500" s="2043" customFormat="1" x14ac:dyDescent="0.2"/>
    <row r="18501" s="2043" customFormat="1" x14ac:dyDescent="0.2"/>
    <row r="18502" s="2043" customFormat="1" x14ac:dyDescent="0.2"/>
    <row r="18503" s="2043" customFormat="1" x14ac:dyDescent="0.2"/>
    <row r="18504" s="2043" customFormat="1" x14ac:dyDescent="0.2"/>
    <row r="18505" s="2043" customFormat="1" x14ac:dyDescent="0.2"/>
    <row r="18506" s="2043" customFormat="1" x14ac:dyDescent="0.2"/>
    <row r="18507" s="2043" customFormat="1" x14ac:dyDescent="0.2"/>
    <row r="18508" s="2043" customFormat="1" x14ac:dyDescent="0.2"/>
    <row r="18509" s="2043" customFormat="1" x14ac:dyDescent="0.2"/>
    <row r="18510" s="2043" customFormat="1" x14ac:dyDescent="0.2"/>
    <row r="18511" s="2043" customFormat="1" x14ac:dyDescent="0.2"/>
    <row r="18512" s="2043" customFormat="1" x14ac:dyDescent="0.2"/>
    <row r="18513" s="2043" customFormat="1" x14ac:dyDescent="0.2"/>
    <row r="18514" s="2043" customFormat="1" x14ac:dyDescent="0.2"/>
    <row r="18515" s="2043" customFormat="1" x14ac:dyDescent="0.2"/>
    <row r="18516" s="2043" customFormat="1" x14ac:dyDescent="0.2"/>
    <row r="18517" s="2043" customFormat="1" x14ac:dyDescent="0.2"/>
    <row r="18518" s="2043" customFormat="1" x14ac:dyDescent="0.2"/>
    <row r="18519" s="2043" customFormat="1" x14ac:dyDescent="0.2"/>
    <row r="18520" s="2043" customFormat="1" x14ac:dyDescent="0.2"/>
    <row r="18521" s="2043" customFormat="1" x14ac:dyDescent="0.2"/>
    <row r="18522" s="2043" customFormat="1" x14ac:dyDescent="0.2"/>
    <row r="18523" s="2043" customFormat="1" x14ac:dyDescent="0.2"/>
    <row r="18524" s="2043" customFormat="1" x14ac:dyDescent="0.2"/>
    <row r="18525" s="2043" customFormat="1" x14ac:dyDescent="0.2"/>
    <row r="18526" s="2043" customFormat="1" x14ac:dyDescent="0.2"/>
    <row r="18527" s="2043" customFormat="1" x14ac:dyDescent="0.2"/>
    <row r="18528" s="2043" customFormat="1" x14ac:dyDescent="0.2"/>
    <row r="18529" s="2043" customFormat="1" x14ac:dyDescent="0.2"/>
    <row r="18530" s="2043" customFormat="1" x14ac:dyDescent="0.2"/>
    <row r="18531" s="2043" customFormat="1" x14ac:dyDescent="0.2"/>
    <row r="18532" s="2043" customFormat="1" x14ac:dyDescent="0.2"/>
    <row r="18533" s="2043" customFormat="1" x14ac:dyDescent="0.2"/>
    <row r="18534" s="2043" customFormat="1" x14ac:dyDescent="0.2"/>
    <row r="18535" s="2043" customFormat="1" x14ac:dyDescent="0.2"/>
    <row r="18536" s="2043" customFormat="1" x14ac:dyDescent="0.2"/>
    <row r="18537" s="2043" customFormat="1" x14ac:dyDescent="0.2"/>
    <row r="18538" s="2043" customFormat="1" x14ac:dyDescent="0.2"/>
    <row r="18539" s="2043" customFormat="1" x14ac:dyDescent="0.2"/>
    <row r="18540" s="2043" customFormat="1" x14ac:dyDescent="0.2"/>
    <row r="18541" s="2043" customFormat="1" x14ac:dyDescent="0.2"/>
    <row r="18542" s="2043" customFormat="1" x14ac:dyDescent="0.2"/>
    <row r="18543" s="2043" customFormat="1" x14ac:dyDescent="0.2"/>
    <row r="18544" s="2043" customFormat="1" x14ac:dyDescent="0.2"/>
    <row r="18545" s="2043" customFormat="1" x14ac:dyDescent="0.2"/>
    <row r="18546" s="2043" customFormat="1" x14ac:dyDescent="0.2"/>
    <row r="18547" s="2043" customFormat="1" x14ac:dyDescent="0.2"/>
    <row r="18548" s="2043" customFormat="1" x14ac:dyDescent="0.2"/>
    <row r="18549" s="2043" customFormat="1" x14ac:dyDescent="0.2"/>
    <row r="18550" s="2043" customFormat="1" x14ac:dyDescent="0.2"/>
    <row r="18551" s="2043" customFormat="1" x14ac:dyDescent="0.2"/>
    <row r="18552" s="2043" customFormat="1" x14ac:dyDescent="0.2"/>
    <row r="18553" s="2043" customFormat="1" x14ac:dyDescent="0.2"/>
    <row r="18554" s="2043" customFormat="1" x14ac:dyDescent="0.2"/>
    <row r="18555" s="2043" customFormat="1" x14ac:dyDescent="0.2"/>
    <row r="18556" s="2043" customFormat="1" x14ac:dyDescent="0.2"/>
    <row r="18557" s="2043" customFormat="1" x14ac:dyDescent="0.2"/>
    <row r="18558" s="2043" customFormat="1" x14ac:dyDescent="0.2"/>
    <row r="18559" s="2043" customFormat="1" x14ac:dyDescent="0.2"/>
    <row r="18560" s="2043" customFormat="1" x14ac:dyDescent="0.2"/>
    <row r="18561" s="2043" customFormat="1" x14ac:dyDescent="0.2"/>
    <row r="18562" s="2043" customFormat="1" x14ac:dyDescent="0.2"/>
    <row r="18563" s="2043" customFormat="1" x14ac:dyDescent="0.2"/>
    <row r="18564" s="2043" customFormat="1" x14ac:dyDescent="0.2"/>
    <row r="18565" s="2043" customFormat="1" x14ac:dyDescent="0.2"/>
    <row r="18566" s="2043" customFormat="1" x14ac:dyDescent="0.2"/>
    <row r="18567" s="2043" customFormat="1" x14ac:dyDescent="0.2"/>
    <row r="18568" s="2043" customFormat="1" x14ac:dyDescent="0.2"/>
    <row r="18569" s="2043" customFormat="1" x14ac:dyDescent="0.2"/>
    <row r="18570" s="2043" customFormat="1" x14ac:dyDescent="0.2"/>
    <row r="18571" s="2043" customFormat="1" x14ac:dyDescent="0.2"/>
    <row r="18572" s="2043" customFormat="1" x14ac:dyDescent="0.2"/>
    <row r="18573" s="2043" customFormat="1" x14ac:dyDescent="0.2"/>
    <row r="18574" s="2043" customFormat="1" x14ac:dyDescent="0.2"/>
    <row r="18575" s="2043" customFormat="1" x14ac:dyDescent="0.2"/>
    <row r="18576" s="2043" customFormat="1" x14ac:dyDescent="0.2"/>
    <row r="18577" s="2043" customFormat="1" x14ac:dyDescent="0.2"/>
    <row r="18578" s="2043" customFormat="1" x14ac:dyDescent="0.2"/>
    <row r="18579" s="2043" customFormat="1" x14ac:dyDescent="0.2"/>
    <row r="18580" s="2043" customFormat="1" x14ac:dyDescent="0.2"/>
    <row r="18581" s="2043" customFormat="1" x14ac:dyDescent="0.2"/>
    <row r="18582" s="2043" customFormat="1" x14ac:dyDescent="0.2"/>
    <row r="18583" s="2043" customFormat="1" x14ac:dyDescent="0.2"/>
    <row r="18584" s="2043" customFormat="1" x14ac:dyDescent="0.2"/>
    <row r="18585" s="2043" customFormat="1" x14ac:dyDescent="0.2"/>
    <row r="18586" s="2043" customFormat="1" x14ac:dyDescent="0.2"/>
    <row r="18587" s="2043" customFormat="1" x14ac:dyDescent="0.2"/>
    <row r="18588" s="2043" customFormat="1" x14ac:dyDescent="0.2"/>
    <row r="18589" s="2043" customFormat="1" x14ac:dyDescent="0.2"/>
    <row r="18590" s="2043" customFormat="1" x14ac:dyDescent="0.2"/>
    <row r="18591" s="2043" customFormat="1" x14ac:dyDescent="0.2"/>
    <row r="18592" s="2043" customFormat="1" x14ac:dyDescent="0.2"/>
    <row r="18593" s="2043" customFormat="1" x14ac:dyDescent="0.2"/>
    <row r="18594" s="2043" customFormat="1" x14ac:dyDescent="0.2"/>
    <row r="18595" s="2043" customFormat="1" x14ac:dyDescent="0.2"/>
    <row r="18596" s="2043" customFormat="1" x14ac:dyDescent="0.2"/>
    <row r="18597" s="2043" customFormat="1" x14ac:dyDescent="0.2"/>
    <row r="18598" s="2043" customFormat="1" x14ac:dyDescent="0.2"/>
    <row r="18599" s="2043" customFormat="1" x14ac:dyDescent="0.2"/>
    <row r="18600" s="2043" customFormat="1" x14ac:dyDescent="0.2"/>
    <row r="18601" s="2043" customFormat="1" x14ac:dyDescent="0.2"/>
    <row r="18602" s="2043" customFormat="1" x14ac:dyDescent="0.2"/>
    <row r="18603" s="2043" customFormat="1" x14ac:dyDescent="0.2"/>
    <row r="18604" s="2043" customFormat="1" x14ac:dyDescent="0.2"/>
    <row r="18605" s="2043" customFormat="1" x14ac:dyDescent="0.2"/>
    <row r="18606" s="2043" customFormat="1" x14ac:dyDescent="0.2"/>
    <row r="18607" s="2043" customFormat="1" x14ac:dyDescent="0.2"/>
    <row r="18608" s="2043" customFormat="1" x14ac:dyDescent="0.2"/>
    <row r="18609" s="2043" customFormat="1" x14ac:dyDescent="0.2"/>
    <row r="18610" s="2043" customFormat="1" x14ac:dyDescent="0.2"/>
    <row r="18611" s="2043" customFormat="1" x14ac:dyDescent="0.2"/>
    <row r="18612" s="2043" customFormat="1" x14ac:dyDescent="0.2"/>
    <row r="18613" s="2043" customFormat="1" x14ac:dyDescent="0.2"/>
    <row r="18614" s="2043" customFormat="1" x14ac:dyDescent="0.2"/>
    <row r="18615" s="2043" customFormat="1" x14ac:dyDescent="0.2"/>
    <row r="18616" s="2043" customFormat="1" x14ac:dyDescent="0.2"/>
    <row r="18617" s="2043" customFormat="1" x14ac:dyDescent="0.2"/>
    <row r="18618" s="2043" customFormat="1" x14ac:dyDescent="0.2"/>
    <row r="18619" s="2043" customFormat="1" x14ac:dyDescent="0.2"/>
    <row r="18620" s="2043" customFormat="1" x14ac:dyDescent="0.2"/>
    <row r="18621" s="2043" customFormat="1" x14ac:dyDescent="0.2"/>
    <row r="18622" s="2043" customFormat="1" x14ac:dyDescent="0.2"/>
    <row r="18623" s="2043" customFormat="1" x14ac:dyDescent="0.2"/>
    <row r="18624" s="2043" customFormat="1" x14ac:dyDescent="0.2"/>
    <row r="18625" s="2043" customFormat="1" x14ac:dyDescent="0.2"/>
    <row r="18626" s="2043" customFormat="1" x14ac:dyDescent="0.2"/>
    <row r="18627" s="2043" customFormat="1" x14ac:dyDescent="0.2"/>
    <row r="18628" s="2043" customFormat="1" x14ac:dyDescent="0.2"/>
    <row r="18629" s="2043" customFormat="1" x14ac:dyDescent="0.2"/>
    <row r="18630" s="2043" customFormat="1" x14ac:dyDescent="0.2"/>
    <row r="18631" s="2043" customFormat="1" x14ac:dyDescent="0.2"/>
    <row r="18632" s="2043" customFormat="1" x14ac:dyDescent="0.2"/>
    <row r="18633" s="2043" customFormat="1" x14ac:dyDescent="0.2"/>
    <row r="18634" s="2043" customFormat="1" x14ac:dyDescent="0.2"/>
    <row r="18635" s="2043" customFormat="1" x14ac:dyDescent="0.2"/>
    <row r="18636" s="2043" customFormat="1" x14ac:dyDescent="0.2"/>
    <row r="18637" s="2043" customFormat="1" x14ac:dyDescent="0.2"/>
    <row r="18638" s="2043" customFormat="1" x14ac:dyDescent="0.2"/>
    <row r="18639" s="2043" customFormat="1" x14ac:dyDescent="0.2"/>
    <row r="18640" s="2043" customFormat="1" x14ac:dyDescent="0.2"/>
    <row r="18641" s="2043" customFormat="1" x14ac:dyDescent="0.2"/>
    <row r="18642" s="2043" customFormat="1" x14ac:dyDescent="0.2"/>
    <row r="18643" s="2043" customFormat="1" x14ac:dyDescent="0.2"/>
    <row r="18644" s="2043" customFormat="1" x14ac:dyDescent="0.2"/>
    <row r="18645" s="2043" customFormat="1" x14ac:dyDescent="0.2"/>
    <row r="18646" s="2043" customFormat="1" x14ac:dyDescent="0.2"/>
    <row r="18647" s="2043" customFormat="1" x14ac:dyDescent="0.2"/>
    <row r="18648" s="2043" customFormat="1" x14ac:dyDescent="0.2"/>
    <row r="18649" s="2043" customFormat="1" x14ac:dyDescent="0.2"/>
    <row r="18650" s="2043" customFormat="1" x14ac:dyDescent="0.2"/>
    <row r="18651" s="2043" customFormat="1" x14ac:dyDescent="0.2"/>
    <row r="18652" s="2043" customFormat="1" x14ac:dyDescent="0.2"/>
    <row r="18653" s="2043" customFormat="1" x14ac:dyDescent="0.2"/>
    <row r="18654" s="2043" customFormat="1" x14ac:dyDescent="0.2"/>
    <row r="18655" s="2043" customFormat="1" x14ac:dyDescent="0.2"/>
    <row r="18656" s="2043" customFormat="1" x14ac:dyDescent="0.2"/>
    <row r="18657" s="2043" customFormat="1" x14ac:dyDescent="0.2"/>
    <row r="18658" s="2043" customFormat="1" x14ac:dyDescent="0.2"/>
    <row r="18659" s="2043" customFormat="1" x14ac:dyDescent="0.2"/>
    <row r="18660" s="2043" customFormat="1" x14ac:dyDescent="0.2"/>
    <row r="18661" s="2043" customFormat="1" x14ac:dyDescent="0.2"/>
    <row r="18662" s="2043" customFormat="1" x14ac:dyDescent="0.2"/>
    <row r="18663" s="2043" customFormat="1" x14ac:dyDescent="0.2"/>
    <row r="18664" s="2043" customFormat="1" x14ac:dyDescent="0.2"/>
    <row r="18665" s="2043" customFormat="1" x14ac:dyDescent="0.2"/>
    <row r="18666" s="2043" customFormat="1" x14ac:dyDescent="0.2"/>
    <row r="18667" s="2043" customFormat="1" x14ac:dyDescent="0.2"/>
    <row r="18668" s="2043" customFormat="1" x14ac:dyDescent="0.2"/>
    <row r="18669" s="2043" customFormat="1" x14ac:dyDescent="0.2"/>
    <row r="18670" s="2043" customFormat="1" x14ac:dyDescent="0.2"/>
    <row r="18671" s="2043" customFormat="1" x14ac:dyDescent="0.2"/>
    <row r="18672" s="2043" customFormat="1" x14ac:dyDescent="0.2"/>
    <row r="18673" s="2043" customFormat="1" x14ac:dyDescent="0.2"/>
    <row r="18674" s="2043" customFormat="1" x14ac:dyDescent="0.2"/>
    <row r="18675" s="2043" customFormat="1" x14ac:dyDescent="0.2"/>
    <row r="18676" s="2043" customFormat="1" x14ac:dyDescent="0.2"/>
    <row r="18677" s="2043" customFormat="1" x14ac:dyDescent="0.2"/>
    <row r="18678" s="2043" customFormat="1" x14ac:dyDescent="0.2"/>
    <row r="18679" s="2043" customFormat="1" x14ac:dyDescent="0.2"/>
    <row r="18680" s="2043" customFormat="1" x14ac:dyDescent="0.2"/>
    <row r="18681" s="2043" customFormat="1" x14ac:dyDescent="0.2"/>
    <row r="18682" s="2043" customFormat="1" x14ac:dyDescent="0.2"/>
    <row r="18683" s="2043" customFormat="1" x14ac:dyDescent="0.2"/>
    <row r="18684" s="2043" customFormat="1" x14ac:dyDescent="0.2"/>
    <row r="18685" s="2043" customFormat="1" x14ac:dyDescent="0.2"/>
    <row r="18686" s="2043" customFormat="1" x14ac:dyDescent="0.2"/>
    <row r="18687" s="2043" customFormat="1" x14ac:dyDescent="0.2"/>
    <row r="18688" s="2043" customFormat="1" x14ac:dyDescent="0.2"/>
    <row r="18689" s="2043" customFormat="1" x14ac:dyDescent="0.2"/>
    <row r="18690" s="2043" customFormat="1" x14ac:dyDescent="0.2"/>
    <row r="18691" s="2043" customFormat="1" x14ac:dyDescent="0.2"/>
    <row r="18692" s="2043" customFormat="1" x14ac:dyDescent="0.2"/>
    <row r="18693" s="2043" customFormat="1" x14ac:dyDescent="0.2"/>
    <row r="18694" s="2043" customFormat="1" x14ac:dyDescent="0.2"/>
    <row r="18695" s="2043" customFormat="1" x14ac:dyDescent="0.2"/>
    <row r="18696" s="2043" customFormat="1" x14ac:dyDescent="0.2"/>
    <row r="18697" s="2043" customFormat="1" x14ac:dyDescent="0.2"/>
    <row r="18698" s="2043" customFormat="1" x14ac:dyDescent="0.2"/>
    <row r="18699" s="2043" customFormat="1" x14ac:dyDescent="0.2"/>
    <row r="18700" s="2043" customFormat="1" x14ac:dyDescent="0.2"/>
    <row r="18701" s="2043" customFormat="1" x14ac:dyDescent="0.2"/>
    <row r="18702" s="2043" customFormat="1" x14ac:dyDescent="0.2"/>
    <row r="18703" s="2043" customFormat="1" x14ac:dyDescent="0.2"/>
    <row r="18704" s="2043" customFormat="1" x14ac:dyDescent="0.2"/>
    <row r="18705" s="2043" customFormat="1" x14ac:dyDescent="0.2"/>
    <row r="18706" s="2043" customFormat="1" x14ac:dyDescent="0.2"/>
    <row r="18707" s="2043" customFormat="1" x14ac:dyDescent="0.2"/>
    <row r="18708" s="2043" customFormat="1" x14ac:dyDescent="0.2"/>
    <row r="18709" s="2043" customFormat="1" x14ac:dyDescent="0.2"/>
    <row r="18710" s="2043" customFormat="1" x14ac:dyDescent="0.2"/>
    <row r="18711" s="2043" customFormat="1" x14ac:dyDescent="0.2"/>
    <row r="18712" s="2043" customFormat="1" x14ac:dyDescent="0.2"/>
    <row r="18713" s="2043" customFormat="1" x14ac:dyDescent="0.2"/>
    <row r="18714" s="2043" customFormat="1" x14ac:dyDescent="0.2"/>
    <row r="18715" s="2043" customFormat="1" x14ac:dyDescent="0.2"/>
    <row r="18716" s="2043" customFormat="1" x14ac:dyDescent="0.2"/>
    <row r="18717" s="2043" customFormat="1" x14ac:dyDescent="0.2"/>
    <row r="18718" s="2043" customFormat="1" x14ac:dyDescent="0.2"/>
    <row r="18719" s="2043" customFormat="1" x14ac:dyDescent="0.2"/>
    <row r="18720" s="2043" customFormat="1" x14ac:dyDescent="0.2"/>
    <row r="18721" s="2043" customFormat="1" x14ac:dyDescent="0.2"/>
    <row r="18722" s="2043" customFormat="1" x14ac:dyDescent="0.2"/>
    <row r="18723" s="2043" customFormat="1" x14ac:dyDescent="0.2"/>
    <row r="18724" s="2043" customFormat="1" x14ac:dyDescent="0.2"/>
    <row r="18725" s="2043" customFormat="1" x14ac:dyDescent="0.2"/>
    <row r="18726" s="2043" customFormat="1" x14ac:dyDescent="0.2"/>
    <row r="18727" s="2043" customFormat="1" x14ac:dyDescent="0.2"/>
    <row r="18728" s="2043" customFormat="1" x14ac:dyDescent="0.2"/>
    <row r="18729" s="2043" customFormat="1" x14ac:dyDescent="0.2"/>
    <row r="18730" s="2043" customFormat="1" x14ac:dyDescent="0.2"/>
    <row r="18731" s="2043" customFormat="1" x14ac:dyDescent="0.2"/>
    <row r="18732" s="2043" customFormat="1" x14ac:dyDescent="0.2"/>
    <row r="18733" s="2043" customFormat="1" x14ac:dyDescent="0.2"/>
    <row r="18734" s="2043" customFormat="1" x14ac:dyDescent="0.2"/>
    <row r="18735" s="2043" customFormat="1" x14ac:dyDescent="0.2"/>
    <row r="18736" s="2043" customFormat="1" x14ac:dyDescent="0.2"/>
    <row r="18737" s="2043" customFormat="1" x14ac:dyDescent="0.2"/>
    <row r="18738" s="2043" customFormat="1" x14ac:dyDescent="0.2"/>
    <row r="18739" s="2043" customFormat="1" x14ac:dyDescent="0.2"/>
    <row r="18740" s="2043" customFormat="1" x14ac:dyDescent="0.2"/>
    <row r="18741" s="2043" customFormat="1" x14ac:dyDescent="0.2"/>
    <row r="18742" s="2043" customFormat="1" x14ac:dyDescent="0.2"/>
    <row r="18743" s="2043" customFormat="1" x14ac:dyDescent="0.2"/>
    <row r="18744" s="2043" customFormat="1" x14ac:dyDescent="0.2"/>
    <row r="18745" s="2043" customFormat="1" x14ac:dyDescent="0.2"/>
    <row r="18746" s="2043" customFormat="1" x14ac:dyDescent="0.2"/>
    <row r="18747" s="2043" customFormat="1" x14ac:dyDescent="0.2"/>
    <row r="18748" s="2043" customFormat="1" x14ac:dyDescent="0.2"/>
    <row r="18749" s="2043" customFormat="1" x14ac:dyDescent="0.2"/>
    <row r="18750" s="2043" customFormat="1" x14ac:dyDescent="0.2"/>
    <row r="18751" s="2043" customFormat="1" x14ac:dyDescent="0.2"/>
    <row r="18752" s="2043" customFormat="1" x14ac:dyDescent="0.2"/>
    <row r="18753" s="2043" customFormat="1" x14ac:dyDescent="0.2"/>
    <row r="18754" s="2043" customFormat="1" x14ac:dyDescent="0.2"/>
    <row r="18755" s="2043" customFormat="1" x14ac:dyDescent="0.2"/>
    <row r="18756" s="2043" customFormat="1" x14ac:dyDescent="0.2"/>
    <row r="18757" s="2043" customFormat="1" x14ac:dyDescent="0.2"/>
    <row r="18758" s="2043" customFormat="1" x14ac:dyDescent="0.2"/>
    <row r="18759" s="2043" customFormat="1" x14ac:dyDescent="0.2"/>
    <row r="18760" s="2043" customFormat="1" x14ac:dyDescent="0.2"/>
    <row r="18761" s="2043" customFormat="1" x14ac:dyDescent="0.2"/>
    <row r="18762" s="2043" customFormat="1" x14ac:dyDescent="0.2"/>
    <row r="18763" s="2043" customFormat="1" x14ac:dyDescent="0.2"/>
    <row r="18764" s="2043" customFormat="1" x14ac:dyDescent="0.2"/>
    <row r="18765" s="2043" customFormat="1" x14ac:dyDescent="0.2"/>
    <row r="18766" s="2043" customFormat="1" x14ac:dyDescent="0.2"/>
    <row r="18767" s="2043" customFormat="1" x14ac:dyDescent="0.2"/>
    <row r="18768" s="2043" customFormat="1" x14ac:dyDescent="0.2"/>
    <row r="18769" s="2043" customFormat="1" x14ac:dyDescent="0.2"/>
    <row r="18770" s="2043" customFormat="1" x14ac:dyDescent="0.2"/>
    <row r="18771" s="2043" customFormat="1" x14ac:dyDescent="0.2"/>
    <row r="18772" s="2043" customFormat="1" x14ac:dyDescent="0.2"/>
    <row r="18773" s="2043" customFormat="1" x14ac:dyDescent="0.2"/>
    <row r="18774" s="2043" customFormat="1" x14ac:dyDescent="0.2"/>
    <row r="18775" s="2043" customFormat="1" x14ac:dyDescent="0.2"/>
    <row r="18776" s="2043" customFormat="1" x14ac:dyDescent="0.2"/>
    <row r="18777" s="2043" customFormat="1" x14ac:dyDescent="0.2"/>
    <row r="18778" s="2043" customFormat="1" x14ac:dyDescent="0.2"/>
    <row r="18779" s="2043" customFormat="1" x14ac:dyDescent="0.2"/>
    <row r="18780" s="2043" customFormat="1" x14ac:dyDescent="0.2"/>
    <row r="18781" s="2043" customFormat="1" x14ac:dyDescent="0.2"/>
    <row r="18782" s="2043" customFormat="1" x14ac:dyDescent="0.2"/>
    <row r="18783" s="2043" customFormat="1" x14ac:dyDescent="0.2"/>
    <row r="18784" s="2043" customFormat="1" x14ac:dyDescent="0.2"/>
    <row r="18785" s="2043" customFormat="1" x14ac:dyDescent="0.2"/>
    <row r="18786" s="2043" customFormat="1" x14ac:dyDescent="0.2"/>
    <row r="18787" s="2043" customFormat="1" x14ac:dyDescent="0.2"/>
    <row r="18788" s="2043" customFormat="1" x14ac:dyDescent="0.2"/>
    <row r="18789" s="2043" customFormat="1" x14ac:dyDescent="0.2"/>
    <row r="18790" s="2043" customFormat="1" x14ac:dyDescent="0.2"/>
    <row r="18791" s="2043" customFormat="1" x14ac:dyDescent="0.2"/>
    <row r="18792" s="2043" customFormat="1" x14ac:dyDescent="0.2"/>
    <row r="18793" s="2043" customFormat="1" x14ac:dyDescent="0.2"/>
    <row r="18794" s="2043" customFormat="1" x14ac:dyDescent="0.2"/>
    <row r="18795" s="2043" customFormat="1" x14ac:dyDescent="0.2"/>
    <row r="18796" s="2043" customFormat="1" x14ac:dyDescent="0.2"/>
    <row r="18797" s="2043" customFormat="1" x14ac:dyDescent="0.2"/>
    <row r="18798" s="2043" customFormat="1" x14ac:dyDescent="0.2"/>
    <row r="18799" s="2043" customFormat="1" x14ac:dyDescent="0.2"/>
    <row r="18800" s="2043" customFormat="1" x14ac:dyDescent="0.2"/>
    <row r="18801" s="2043" customFormat="1" x14ac:dyDescent="0.2"/>
    <row r="18802" s="2043" customFormat="1" x14ac:dyDescent="0.2"/>
    <row r="18803" s="2043" customFormat="1" x14ac:dyDescent="0.2"/>
    <row r="18804" s="2043" customFormat="1" x14ac:dyDescent="0.2"/>
    <row r="18805" s="2043" customFormat="1" x14ac:dyDescent="0.2"/>
    <row r="18806" s="2043" customFormat="1" x14ac:dyDescent="0.2"/>
    <row r="18807" s="2043" customFormat="1" x14ac:dyDescent="0.2"/>
    <row r="18808" s="2043" customFormat="1" x14ac:dyDescent="0.2"/>
    <row r="18809" s="2043" customFormat="1" x14ac:dyDescent="0.2"/>
    <row r="18810" s="2043" customFormat="1" x14ac:dyDescent="0.2"/>
    <row r="18811" s="2043" customFormat="1" x14ac:dyDescent="0.2"/>
    <row r="18812" s="2043" customFormat="1" x14ac:dyDescent="0.2"/>
    <row r="18813" s="2043" customFormat="1" x14ac:dyDescent="0.2"/>
    <row r="18814" s="2043" customFormat="1" x14ac:dyDescent="0.2"/>
    <row r="18815" s="2043" customFormat="1" x14ac:dyDescent="0.2"/>
    <row r="18816" s="2043" customFormat="1" x14ac:dyDescent="0.2"/>
    <row r="18817" s="2043" customFormat="1" x14ac:dyDescent="0.2"/>
    <row r="18818" s="2043" customFormat="1" x14ac:dyDescent="0.2"/>
    <row r="18819" s="2043" customFormat="1" x14ac:dyDescent="0.2"/>
    <row r="18820" s="2043" customFormat="1" x14ac:dyDescent="0.2"/>
    <row r="18821" s="2043" customFormat="1" x14ac:dyDescent="0.2"/>
    <row r="18822" s="2043" customFormat="1" x14ac:dyDescent="0.2"/>
    <row r="18823" s="2043" customFormat="1" x14ac:dyDescent="0.2"/>
    <row r="18824" s="2043" customFormat="1" x14ac:dyDescent="0.2"/>
    <row r="18825" s="2043" customFormat="1" x14ac:dyDescent="0.2"/>
    <row r="18826" s="2043" customFormat="1" x14ac:dyDescent="0.2"/>
    <row r="18827" s="2043" customFormat="1" x14ac:dyDescent="0.2"/>
    <row r="18828" s="2043" customFormat="1" x14ac:dyDescent="0.2"/>
    <row r="18829" s="2043" customFormat="1" x14ac:dyDescent="0.2"/>
    <row r="18830" s="2043" customFormat="1" x14ac:dyDescent="0.2"/>
    <row r="18831" s="2043" customFormat="1" x14ac:dyDescent="0.2"/>
    <row r="18832" s="2043" customFormat="1" x14ac:dyDescent="0.2"/>
    <row r="18833" s="2043" customFormat="1" x14ac:dyDescent="0.2"/>
    <row r="18834" s="2043" customFormat="1" x14ac:dyDescent="0.2"/>
    <row r="18835" s="2043" customFormat="1" x14ac:dyDescent="0.2"/>
    <row r="18836" s="2043" customFormat="1" x14ac:dyDescent="0.2"/>
    <row r="18837" s="2043" customFormat="1" x14ac:dyDescent="0.2"/>
    <row r="18838" s="2043" customFormat="1" x14ac:dyDescent="0.2"/>
    <row r="18839" s="2043" customFormat="1" x14ac:dyDescent="0.2"/>
    <row r="18840" s="2043" customFormat="1" x14ac:dyDescent="0.2"/>
    <row r="18841" s="2043" customFormat="1" x14ac:dyDescent="0.2"/>
    <row r="18842" s="2043" customFormat="1" x14ac:dyDescent="0.2"/>
    <row r="18843" s="2043" customFormat="1" x14ac:dyDescent="0.2"/>
    <row r="18844" s="2043" customFormat="1" x14ac:dyDescent="0.2"/>
    <row r="18845" s="2043" customFormat="1" x14ac:dyDescent="0.2"/>
    <row r="18846" s="2043" customFormat="1" x14ac:dyDescent="0.2"/>
    <row r="18847" s="2043" customFormat="1" x14ac:dyDescent="0.2"/>
    <row r="18848" s="2043" customFormat="1" x14ac:dyDescent="0.2"/>
    <row r="18849" s="2043" customFormat="1" x14ac:dyDescent="0.2"/>
    <row r="18850" s="2043" customFormat="1" x14ac:dyDescent="0.2"/>
    <row r="18851" s="2043" customFormat="1" x14ac:dyDescent="0.2"/>
    <row r="18852" s="2043" customFormat="1" x14ac:dyDescent="0.2"/>
    <row r="18853" s="2043" customFormat="1" x14ac:dyDescent="0.2"/>
    <row r="18854" s="2043" customFormat="1" x14ac:dyDescent="0.2"/>
    <row r="18855" s="2043" customFormat="1" x14ac:dyDescent="0.2"/>
    <row r="18856" s="2043" customFormat="1" x14ac:dyDescent="0.2"/>
    <row r="18857" s="2043" customFormat="1" x14ac:dyDescent="0.2"/>
    <row r="18858" s="2043" customFormat="1" x14ac:dyDescent="0.2"/>
    <row r="18859" s="2043" customFormat="1" x14ac:dyDescent="0.2"/>
    <row r="18860" s="2043" customFormat="1" x14ac:dyDescent="0.2"/>
    <row r="18861" s="2043" customFormat="1" x14ac:dyDescent="0.2"/>
    <row r="18862" s="2043" customFormat="1" x14ac:dyDescent="0.2"/>
    <row r="18863" s="2043" customFormat="1" x14ac:dyDescent="0.2"/>
    <row r="18864" s="2043" customFormat="1" x14ac:dyDescent="0.2"/>
    <row r="18865" s="2043" customFormat="1" x14ac:dyDescent="0.2"/>
    <row r="18866" s="2043" customFormat="1" x14ac:dyDescent="0.2"/>
    <row r="18867" s="2043" customFormat="1" x14ac:dyDescent="0.2"/>
    <row r="18868" s="2043" customFormat="1" x14ac:dyDescent="0.2"/>
    <row r="18869" s="2043" customFormat="1" x14ac:dyDescent="0.2"/>
    <row r="18870" s="2043" customFormat="1" x14ac:dyDescent="0.2"/>
    <row r="18871" s="2043" customFormat="1" x14ac:dyDescent="0.2"/>
    <row r="18872" s="2043" customFormat="1" x14ac:dyDescent="0.2"/>
    <row r="18873" s="2043" customFormat="1" x14ac:dyDescent="0.2"/>
    <row r="18874" s="2043" customFormat="1" x14ac:dyDescent="0.2"/>
    <row r="18875" s="2043" customFormat="1" x14ac:dyDescent="0.2"/>
    <row r="18876" s="2043" customFormat="1" x14ac:dyDescent="0.2"/>
    <row r="18877" s="2043" customFormat="1" x14ac:dyDescent="0.2"/>
    <row r="18878" s="2043" customFormat="1" x14ac:dyDescent="0.2"/>
    <row r="18879" s="2043" customFormat="1" x14ac:dyDescent="0.2"/>
    <row r="18880" s="2043" customFormat="1" x14ac:dyDescent="0.2"/>
    <row r="18881" s="2043" customFormat="1" x14ac:dyDescent="0.2"/>
    <row r="18882" s="2043" customFormat="1" x14ac:dyDescent="0.2"/>
    <row r="18883" s="2043" customFormat="1" x14ac:dyDescent="0.2"/>
    <row r="18884" s="2043" customFormat="1" x14ac:dyDescent="0.2"/>
    <row r="18885" s="2043" customFormat="1" x14ac:dyDescent="0.2"/>
    <row r="18886" s="2043" customFormat="1" x14ac:dyDescent="0.2"/>
    <row r="18887" s="2043" customFormat="1" x14ac:dyDescent="0.2"/>
    <row r="18888" s="2043" customFormat="1" x14ac:dyDescent="0.2"/>
    <row r="18889" s="2043" customFormat="1" x14ac:dyDescent="0.2"/>
    <row r="18890" s="2043" customFormat="1" x14ac:dyDescent="0.2"/>
    <row r="18891" s="2043" customFormat="1" x14ac:dyDescent="0.2"/>
    <row r="18892" s="2043" customFormat="1" x14ac:dyDescent="0.2"/>
    <row r="18893" s="2043" customFormat="1" x14ac:dyDescent="0.2"/>
    <row r="18894" s="2043" customFormat="1" x14ac:dyDescent="0.2"/>
    <row r="18895" s="2043" customFormat="1" x14ac:dyDescent="0.2"/>
    <row r="18896" s="2043" customFormat="1" x14ac:dyDescent="0.2"/>
    <row r="18897" s="2043" customFormat="1" x14ac:dyDescent="0.2"/>
    <row r="18898" s="2043" customFormat="1" x14ac:dyDescent="0.2"/>
    <row r="18899" s="2043" customFormat="1" x14ac:dyDescent="0.2"/>
    <row r="18900" s="2043" customFormat="1" x14ac:dyDescent="0.2"/>
    <row r="18901" s="2043" customFormat="1" x14ac:dyDescent="0.2"/>
    <row r="18902" s="2043" customFormat="1" x14ac:dyDescent="0.2"/>
    <row r="18903" s="2043" customFormat="1" x14ac:dyDescent="0.2"/>
    <row r="18904" s="2043" customFormat="1" x14ac:dyDescent="0.2"/>
    <row r="18905" s="2043" customFormat="1" x14ac:dyDescent="0.2"/>
    <row r="18906" s="2043" customFormat="1" x14ac:dyDescent="0.2"/>
    <row r="18907" s="2043" customFormat="1" x14ac:dyDescent="0.2"/>
    <row r="18908" s="2043" customFormat="1" x14ac:dyDescent="0.2"/>
    <row r="18909" s="2043" customFormat="1" x14ac:dyDescent="0.2"/>
    <row r="18910" s="2043" customFormat="1" x14ac:dyDescent="0.2"/>
    <row r="18911" s="2043" customFormat="1" x14ac:dyDescent="0.2"/>
    <row r="18912" s="2043" customFormat="1" x14ac:dyDescent="0.2"/>
    <row r="18913" s="2043" customFormat="1" x14ac:dyDescent="0.2"/>
    <row r="18914" s="2043" customFormat="1" x14ac:dyDescent="0.2"/>
    <row r="18915" s="2043" customFormat="1" x14ac:dyDescent="0.2"/>
    <row r="18916" s="2043" customFormat="1" x14ac:dyDescent="0.2"/>
    <row r="18917" s="2043" customFormat="1" x14ac:dyDescent="0.2"/>
    <row r="18918" s="2043" customFormat="1" x14ac:dyDescent="0.2"/>
    <row r="18919" s="2043" customFormat="1" x14ac:dyDescent="0.2"/>
    <row r="18920" s="2043" customFormat="1" x14ac:dyDescent="0.2"/>
    <row r="18921" s="2043" customFormat="1" x14ac:dyDescent="0.2"/>
    <row r="18922" s="2043" customFormat="1" x14ac:dyDescent="0.2"/>
    <row r="18923" s="2043" customFormat="1" x14ac:dyDescent="0.2"/>
    <row r="18924" s="2043" customFormat="1" x14ac:dyDescent="0.2"/>
    <row r="18925" s="2043" customFormat="1" x14ac:dyDescent="0.2"/>
    <row r="18926" s="2043" customFormat="1" x14ac:dyDescent="0.2"/>
    <row r="18927" s="2043" customFormat="1" x14ac:dyDescent="0.2"/>
    <row r="18928" s="2043" customFormat="1" x14ac:dyDescent="0.2"/>
    <row r="18929" s="2043" customFormat="1" x14ac:dyDescent="0.2"/>
    <row r="18930" s="2043" customFormat="1" x14ac:dyDescent="0.2"/>
    <row r="18931" s="2043" customFormat="1" x14ac:dyDescent="0.2"/>
    <row r="18932" s="2043" customFormat="1" x14ac:dyDescent="0.2"/>
    <row r="18933" s="2043" customFormat="1" x14ac:dyDescent="0.2"/>
    <row r="18934" s="2043" customFormat="1" x14ac:dyDescent="0.2"/>
    <row r="18935" s="2043" customFormat="1" x14ac:dyDescent="0.2"/>
    <row r="18936" s="2043" customFormat="1" x14ac:dyDescent="0.2"/>
    <row r="18937" s="2043" customFormat="1" x14ac:dyDescent="0.2"/>
    <row r="18938" s="2043" customFormat="1" x14ac:dyDescent="0.2"/>
    <row r="18939" s="2043" customFormat="1" x14ac:dyDescent="0.2"/>
    <row r="18940" s="2043" customFormat="1" x14ac:dyDescent="0.2"/>
    <row r="18941" s="2043" customFormat="1" x14ac:dyDescent="0.2"/>
    <row r="18942" s="2043" customFormat="1" x14ac:dyDescent="0.2"/>
    <row r="18943" s="2043" customFormat="1" x14ac:dyDescent="0.2"/>
    <row r="18944" s="2043" customFormat="1" x14ac:dyDescent="0.2"/>
    <row r="18945" s="2043" customFormat="1" x14ac:dyDescent="0.2"/>
    <row r="18946" s="2043" customFormat="1" x14ac:dyDescent="0.2"/>
    <row r="18947" s="2043" customFormat="1" x14ac:dyDescent="0.2"/>
    <row r="18948" s="2043" customFormat="1" x14ac:dyDescent="0.2"/>
    <row r="18949" s="2043" customFormat="1" x14ac:dyDescent="0.2"/>
    <row r="18950" s="2043" customFormat="1" x14ac:dyDescent="0.2"/>
    <row r="18951" s="2043" customFormat="1" x14ac:dyDescent="0.2"/>
    <row r="18952" s="2043" customFormat="1" x14ac:dyDescent="0.2"/>
    <row r="18953" s="2043" customFormat="1" x14ac:dyDescent="0.2"/>
    <row r="18954" s="2043" customFormat="1" x14ac:dyDescent="0.2"/>
    <row r="18955" s="2043" customFormat="1" x14ac:dyDescent="0.2"/>
    <row r="18956" s="2043" customFormat="1" x14ac:dyDescent="0.2"/>
    <row r="18957" s="2043" customFormat="1" x14ac:dyDescent="0.2"/>
    <row r="18958" s="2043" customFormat="1" x14ac:dyDescent="0.2"/>
    <row r="18959" s="2043" customFormat="1" x14ac:dyDescent="0.2"/>
    <row r="18960" s="2043" customFormat="1" x14ac:dyDescent="0.2"/>
    <row r="18961" s="2043" customFormat="1" x14ac:dyDescent="0.2"/>
    <row r="18962" s="2043" customFormat="1" x14ac:dyDescent="0.2"/>
    <row r="18963" s="2043" customFormat="1" x14ac:dyDescent="0.2"/>
    <row r="18964" s="2043" customFormat="1" x14ac:dyDescent="0.2"/>
    <row r="18965" s="2043" customFormat="1" x14ac:dyDescent="0.2"/>
    <row r="18966" s="2043" customFormat="1" x14ac:dyDescent="0.2"/>
    <row r="18967" s="2043" customFormat="1" x14ac:dyDescent="0.2"/>
    <row r="18968" s="2043" customFormat="1" x14ac:dyDescent="0.2"/>
    <row r="18969" s="2043" customFormat="1" x14ac:dyDescent="0.2"/>
    <row r="18970" s="2043" customFormat="1" x14ac:dyDescent="0.2"/>
    <row r="18971" s="2043" customFormat="1" x14ac:dyDescent="0.2"/>
    <row r="18972" s="2043" customFormat="1" x14ac:dyDescent="0.2"/>
    <row r="18973" s="2043" customFormat="1" x14ac:dyDescent="0.2"/>
    <row r="18974" s="2043" customFormat="1" x14ac:dyDescent="0.2"/>
    <row r="18975" s="2043" customFormat="1" x14ac:dyDescent="0.2"/>
    <row r="18976" s="2043" customFormat="1" x14ac:dyDescent="0.2"/>
    <row r="18977" s="2043" customFormat="1" x14ac:dyDescent="0.2"/>
    <row r="18978" s="2043" customFormat="1" x14ac:dyDescent="0.2"/>
    <row r="18979" s="2043" customFormat="1" x14ac:dyDescent="0.2"/>
    <row r="18980" s="2043" customFormat="1" x14ac:dyDescent="0.2"/>
    <row r="18981" s="2043" customFormat="1" x14ac:dyDescent="0.2"/>
    <row r="18982" s="2043" customFormat="1" x14ac:dyDescent="0.2"/>
    <row r="18983" s="2043" customFormat="1" x14ac:dyDescent="0.2"/>
    <row r="18984" s="2043" customFormat="1" x14ac:dyDescent="0.2"/>
    <row r="18985" s="2043" customFormat="1" x14ac:dyDescent="0.2"/>
    <row r="18986" s="2043" customFormat="1" x14ac:dyDescent="0.2"/>
    <row r="18987" s="2043" customFormat="1" x14ac:dyDescent="0.2"/>
    <row r="18988" s="2043" customFormat="1" x14ac:dyDescent="0.2"/>
    <row r="18989" s="2043" customFormat="1" x14ac:dyDescent="0.2"/>
    <row r="18990" s="2043" customFormat="1" x14ac:dyDescent="0.2"/>
    <row r="18991" s="2043" customFormat="1" x14ac:dyDescent="0.2"/>
    <row r="18992" s="2043" customFormat="1" x14ac:dyDescent="0.2"/>
    <row r="18993" s="2043" customFormat="1" x14ac:dyDescent="0.2"/>
    <row r="18994" s="2043" customFormat="1" x14ac:dyDescent="0.2"/>
    <row r="18995" s="2043" customFormat="1" x14ac:dyDescent="0.2"/>
    <row r="18996" s="2043" customFormat="1" x14ac:dyDescent="0.2"/>
    <row r="18997" s="2043" customFormat="1" x14ac:dyDescent="0.2"/>
    <row r="18998" s="2043" customFormat="1" x14ac:dyDescent="0.2"/>
    <row r="18999" s="2043" customFormat="1" x14ac:dyDescent="0.2"/>
    <row r="19000" s="2043" customFormat="1" x14ac:dyDescent="0.2"/>
    <row r="19001" s="2043" customFormat="1" x14ac:dyDescent="0.2"/>
    <row r="19002" s="2043" customFormat="1" x14ac:dyDescent="0.2"/>
    <row r="19003" s="2043" customFormat="1" x14ac:dyDescent="0.2"/>
    <row r="19004" s="2043" customFormat="1" x14ac:dyDescent="0.2"/>
    <row r="19005" s="2043" customFormat="1" x14ac:dyDescent="0.2"/>
    <row r="19006" s="2043" customFormat="1" x14ac:dyDescent="0.2"/>
    <row r="19007" s="2043" customFormat="1" x14ac:dyDescent="0.2"/>
    <row r="19008" s="2043" customFormat="1" x14ac:dyDescent="0.2"/>
    <row r="19009" s="2043" customFormat="1" x14ac:dyDescent="0.2"/>
    <row r="19010" s="2043" customFormat="1" x14ac:dyDescent="0.2"/>
    <row r="19011" s="2043" customFormat="1" x14ac:dyDescent="0.2"/>
    <row r="19012" s="2043" customFormat="1" x14ac:dyDescent="0.2"/>
    <row r="19013" s="2043" customFormat="1" x14ac:dyDescent="0.2"/>
    <row r="19014" s="2043" customFormat="1" x14ac:dyDescent="0.2"/>
    <row r="19015" s="2043" customFormat="1" x14ac:dyDescent="0.2"/>
    <row r="19016" s="2043" customFormat="1" x14ac:dyDescent="0.2"/>
    <row r="19017" s="2043" customFormat="1" x14ac:dyDescent="0.2"/>
    <row r="19018" s="2043" customFormat="1" x14ac:dyDescent="0.2"/>
    <row r="19019" s="2043" customFormat="1" x14ac:dyDescent="0.2"/>
    <row r="19020" s="2043" customFormat="1" x14ac:dyDescent="0.2"/>
    <row r="19021" s="2043" customFormat="1" x14ac:dyDescent="0.2"/>
    <row r="19022" s="2043" customFormat="1" x14ac:dyDescent="0.2"/>
    <row r="19023" s="2043" customFormat="1" x14ac:dyDescent="0.2"/>
    <row r="19024" s="2043" customFormat="1" x14ac:dyDescent="0.2"/>
    <row r="19025" s="2043" customFormat="1" x14ac:dyDescent="0.2"/>
    <row r="19026" s="2043" customFormat="1" x14ac:dyDescent="0.2"/>
    <row r="19027" s="2043" customFormat="1" x14ac:dyDescent="0.2"/>
    <row r="19028" s="2043" customFormat="1" x14ac:dyDescent="0.2"/>
    <row r="19029" s="2043" customFormat="1" x14ac:dyDescent="0.2"/>
    <row r="19030" s="2043" customFormat="1" x14ac:dyDescent="0.2"/>
    <row r="19031" s="2043" customFormat="1" x14ac:dyDescent="0.2"/>
    <row r="19032" s="2043" customFormat="1" x14ac:dyDescent="0.2"/>
    <row r="19033" s="2043" customFormat="1" x14ac:dyDescent="0.2"/>
    <row r="19034" s="2043" customFormat="1" x14ac:dyDescent="0.2"/>
    <row r="19035" s="2043" customFormat="1" x14ac:dyDescent="0.2"/>
    <row r="19036" s="2043" customFormat="1" x14ac:dyDescent="0.2"/>
    <row r="19037" s="2043" customFormat="1" x14ac:dyDescent="0.2"/>
    <row r="19038" s="2043" customFormat="1" x14ac:dyDescent="0.2"/>
    <row r="19039" s="2043" customFormat="1" x14ac:dyDescent="0.2"/>
    <row r="19040" s="2043" customFormat="1" x14ac:dyDescent="0.2"/>
    <row r="19041" s="2043" customFormat="1" x14ac:dyDescent="0.2"/>
    <row r="19042" s="2043" customFormat="1" x14ac:dyDescent="0.2"/>
    <row r="19043" s="2043" customFormat="1" x14ac:dyDescent="0.2"/>
    <row r="19044" s="2043" customFormat="1" x14ac:dyDescent="0.2"/>
    <row r="19045" s="2043" customFormat="1" x14ac:dyDescent="0.2"/>
    <row r="19046" s="2043" customFormat="1" x14ac:dyDescent="0.2"/>
    <row r="19047" s="2043" customFormat="1" x14ac:dyDescent="0.2"/>
    <row r="19048" s="2043" customFormat="1" x14ac:dyDescent="0.2"/>
    <row r="19049" s="2043" customFormat="1" x14ac:dyDescent="0.2"/>
    <row r="19050" s="2043" customFormat="1" x14ac:dyDescent="0.2"/>
    <row r="19051" s="2043" customFormat="1" x14ac:dyDescent="0.2"/>
    <row r="19052" s="2043" customFormat="1" x14ac:dyDescent="0.2"/>
    <row r="19053" s="2043" customFormat="1" x14ac:dyDescent="0.2"/>
    <row r="19054" s="2043" customFormat="1" x14ac:dyDescent="0.2"/>
    <row r="19055" s="2043" customFormat="1" x14ac:dyDescent="0.2"/>
    <row r="19056" s="2043" customFormat="1" x14ac:dyDescent="0.2"/>
    <row r="19057" s="2043" customFormat="1" x14ac:dyDescent="0.2"/>
    <row r="19058" s="2043" customFormat="1" x14ac:dyDescent="0.2"/>
    <row r="19059" s="2043" customFormat="1" x14ac:dyDescent="0.2"/>
    <row r="19060" s="2043" customFormat="1" x14ac:dyDescent="0.2"/>
    <row r="19061" s="2043" customFormat="1" x14ac:dyDescent="0.2"/>
    <row r="19062" s="2043" customFormat="1" x14ac:dyDescent="0.2"/>
    <row r="19063" s="2043" customFormat="1" x14ac:dyDescent="0.2"/>
    <row r="19064" s="2043" customFormat="1" x14ac:dyDescent="0.2"/>
    <row r="19065" s="2043" customFormat="1" x14ac:dyDescent="0.2"/>
    <row r="19066" s="2043" customFormat="1" x14ac:dyDescent="0.2"/>
    <row r="19067" s="2043" customFormat="1" x14ac:dyDescent="0.2"/>
    <row r="19068" s="2043" customFormat="1" x14ac:dyDescent="0.2"/>
    <row r="19069" s="2043" customFormat="1" x14ac:dyDescent="0.2"/>
    <row r="19070" s="2043" customFormat="1" x14ac:dyDescent="0.2"/>
    <row r="19071" s="2043" customFormat="1" x14ac:dyDescent="0.2"/>
    <row r="19072" s="2043" customFormat="1" x14ac:dyDescent="0.2"/>
    <row r="19073" s="2043" customFormat="1" x14ac:dyDescent="0.2"/>
    <row r="19074" s="2043" customFormat="1" x14ac:dyDescent="0.2"/>
    <row r="19075" s="2043" customFormat="1" x14ac:dyDescent="0.2"/>
    <row r="19076" s="2043" customFormat="1" x14ac:dyDescent="0.2"/>
    <row r="19077" s="2043" customFormat="1" x14ac:dyDescent="0.2"/>
    <row r="19078" s="2043" customFormat="1" x14ac:dyDescent="0.2"/>
    <row r="19079" s="2043" customFormat="1" x14ac:dyDescent="0.2"/>
    <row r="19080" s="2043" customFormat="1" x14ac:dyDescent="0.2"/>
    <row r="19081" s="2043" customFormat="1" x14ac:dyDescent="0.2"/>
    <row r="19082" s="2043" customFormat="1" x14ac:dyDescent="0.2"/>
    <row r="19083" s="2043" customFormat="1" x14ac:dyDescent="0.2"/>
    <row r="19084" s="2043" customFormat="1" x14ac:dyDescent="0.2"/>
    <row r="19085" s="2043" customFormat="1" x14ac:dyDescent="0.2"/>
    <row r="19086" s="2043" customFormat="1" x14ac:dyDescent="0.2"/>
    <row r="19087" s="2043" customFormat="1" x14ac:dyDescent="0.2"/>
    <row r="19088" s="2043" customFormat="1" x14ac:dyDescent="0.2"/>
    <row r="19089" s="2043" customFormat="1" x14ac:dyDescent="0.2"/>
    <row r="19090" s="2043" customFormat="1" x14ac:dyDescent="0.2"/>
    <row r="19091" s="2043" customFormat="1" x14ac:dyDescent="0.2"/>
    <row r="19092" s="2043" customFormat="1" x14ac:dyDescent="0.2"/>
    <row r="19093" s="2043" customFormat="1" x14ac:dyDescent="0.2"/>
    <row r="19094" s="2043" customFormat="1" x14ac:dyDescent="0.2"/>
    <row r="19095" s="2043" customFormat="1" x14ac:dyDescent="0.2"/>
    <row r="19096" s="2043" customFormat="1" x14ac:dyDescent="0.2"/>
    <row r="19097" s="2043" customFormat="1" x14ac:dyDescent="0.2"/>
    <row r="19098" s="2043" customFormat="1" x14ac:dyDescent="0.2"/>
    <row r="19099" s="2043" customFormat="1" x14ac:dyDescent="0.2"/>
    <row r="19100" s="2043" customFormat="1" x14ac:dyDescent="0.2"/>
    <row r="19101" s="2043" customFormat="1" x14ac:dyDescent="0.2"/>
    <row r="19102" s="2043" customFormat="1" x14ac:dyDescent="0.2"/>
    <row r="19103" s="2043" customFormat="1" x14ac:dyDescent="0.2"/>
    <row r="19104" s="2043" customFormat="1" x14ac:dyDescent="0.2"/>
    <row r="19105" s="2043" customFormat="1" x14ac:dyDescent="0.2"/>
    <row r="19106" s="2043" customFormat="1" x14ac:dyDescent="0.2"/>
    <row r="19107" s="2043" customFormat="1" x14ac:dyDescent="0.2"/>
    <row r="19108" s="2043" customFormat="1" x14ac:dyDescent="0.2"/>
    <row r="19109" s="2043" customFormat="1" x14ac:dyDescent="0.2"/>
    <row r="19110" s="2043" customFormat="1" x14ac:dyDescent="0.2"/>
    <row r="19111" s="2043" customFormat="1" x14ac:dyDescent="0.2"/>
    <row r="19112" s="2043" customFormat="1" x14ac:dyDescent="0.2"/>
    <row r="19113" s="2043" customFormat="1" x14ac:dyDescent="0.2"/>
    <row r="19114" s="2043" customFormat="1" x14ac:dyDescent="0.2"/>
    <row r="19115" s="2043" customFormat="1" x14ac:dyDescent="0.2"/>
    <row r="19116" s="2043" customFormat="1" x14ac:dyDescent="0.2"/>
    <row r="19117" s="2043" customFormat="1" x14ac:dyDescent="0.2"/>
    <row r="19118" s="2043" customFormat="1" x14ac:dyDescent="0.2"/>
    <row r="19119" s="2043" customFormat="1" x14ac:dyDescent="0.2"/>
    <row r="19120" s="2043" customFormat="1" x14ac:dyDescent="0.2"/>
    <row r="19121" s="2043" customFormat="1" x14ac:dyDescent="0.2"/>
    <row r="19122" s="2043" customFormat="1" x14ac:dyDescent="0.2"/>
    <row r="19123" s="2043" customFormat="1" x14ac:dyDescent="0.2"/>
    <row r="19124" s="2043" customFormat="1" x14ac:dyDescent="0.2"/>
    <row r="19125" s="2043" customFormat="1" x14ac:dyDescent="0.2"/>
    <row r="19126" s="2043" customFormat="1" x14ac:dyDescent="0.2"/>
    <row r="19127" s="2043" customFormat="1" x14ac:dyDescent="0.2"/>
    <row r="19128" s="2043" customFormat="1" x14ac:dyDescent="0.2"/>
    <row r="19129" s="2043" customFormat="1" x14ac:dyDescent="0.2"/>
    <row r="19130" s="2043" customFormat="1" x14ac:dyDescent="0.2"/>
    <row r="19131" s="2043" customFormat="1" x14ac:dyDescent="0.2"/>
    <row r="19132" s="2043" customFormat="1" x14ac:dyDescent="0.2"/>
    <row r="19133" s="2043" customFormat="1" x14ac:dyDescent="0.2"/>
    <row r="19134" s="2043" customFormat="1" x14ac:dyDescent="0.2"/>
    <row r="19135" s="2043" customFormat="1" x14ac:dyDescent="0.2"/>
    <row r="19136" s="2043" customFormat="1" x14ac:dyDescent="0.2"/>
    <row r="19137" s="2043" customFormat="1" x14ac:dyDescent="0.2"/>
    <row r="19138" s="2043" customFormat="1" x14ac:dyDescent="0.2"/>
    <row r="19139" s="2043" customFormat="1" x14ac:dyDescent="0.2"/>
    <row r="19140" s="2043" customFormat="1" x14ac:dyDescent="0.2"/>
    <row r="19141" s="2043" customFormat="1" x14ac:dyDescent="0.2"/>
    <row r="19142" s="2043" customFormat="1" x14ac:dyDescent="0.2"/>
    <row r="19143" s="2043" customFormat="1" x14ac:dyDescent="0.2"/>
    <row r="19144" s="2043" customFormat="1" x14ac:dyDescent="0.2"/>
    <row r="19145" s="2043" customFormat="1" x14ac:dyDescent="0.2"/>
    <row r="19146" s="2043" customFormat="1" x14ac:dyDescent="0.2"/>
    <row r="19147" s="2043" customFormat="1" x14ac:dyDescent="0.2"/>
    <row r="19148" s="2043" customFormat="1" x14ac:dyDescent="0.2"/>
    <row r="19149" s="2043" customFormat="1" x14ac:dyDescent="0.2"/>
    <row r="19150" s="2043" customFormat="1" x14ac:dyDescent="0.2"/>
    <row r="19151" s="2043" customFormat="1" x14ac:dyDescent="0.2"/>
    <row r="19152" s="2043" customFormat="1" x14ac:dyDescent="0.2"/>
    <row r="19153" s="2043" customFormat="1" x14ac:dyDescent="0.2"/>
    <row r="19154" s="2043" customFormat="1" x14ac:dyDescent="0.2"/>
    <row r="19155" s="2043" customFormat="1" x14ac:dyDescent="0.2"/>
    <row r="19156" s="2043" customFormat="1" x14ac:dyDescent="0.2"/>
    <row r="19157" s="2043" customFormat="1" x14ac:dyDescent="0.2"/>
    <row r="19158" s="2043" customFormat="1" x14ac:dyDescent="0.2"/>
    <row r="19159" s="2043" customFormat="1" x14ac:dyDescent="0.2"/>
    <row r="19160" s="2043" customFormat="1" x14ac:dyDescent="0.2"/>
    <row r="19161" s="2043" customFormat="1" x14ac:dyDescent="0.2"/>
    <row r="19162" s="2043" customFormat="1" x14ac:dyDescent="0.2"/>
    <row r="19163" s="2043" customFormat="1" x14ac:dyDescent="0.2"/>
    <row r="19164" s="2043" customFormat="1" x14ac:dyDescent="0.2"/>
    <row r="19165" s="2043" customFormat="1" x14ac:dyDescent="0.2"/>
    <row r="19166" s="2043" customFormat="1" x14ac:dyDescent="0.2"/>
    <row r="19167" s="2043" customFormat="1" x14ac:dyDescent="0.2"/>
    <row r="19168" s="2043" customFormat="1" x14ac:dyDescent="0.2"/>
    <row r="19169" s="2043" customFormat="1" x14ac:dyDescent="0.2"/>
    <row r="19170" s="2043" customFormat="1" x14ac:dyDescent="0.2"/>
    <row r="19171" s="2043" customFormat="1" x14ac:dyDescent="0.2"/>
    <row r="19172" s="2043" customFormat="1" x14ac:dyDescent="0.2"/>
    <row r="19173" s="2043" customFormat="1" x14ac:dyDescent="0.2"/>
    <row r="19174" s="2043" customFormat="1" x14ac:dyDescent="0.2"/>
    <row r="19175" s="2043" customFormat="1" x14ac:dyDescent="0.2"/>
    <row r="19176" s="2043" customFormat="1" x14ac:dyDescent="0.2"/>
    <row r="19177" s="2043" customFormat="1" x14ac:dyDescent="0.2"/>
    <row r="19178" s="2043" customFormat="1" x14ac:dyDescent="0.2"/>
    <row r="19179" s="2043" customFormat="1" x14ac:dyDescent="0.2"/>
    <row r="19180" s="2043" customFormat="1" x14ac:dyDescent="0.2"/>
    <row r="19181" s="2043" customFormat="1" x14ac:dyDescent="0.2"/>
    <row r="19182" s="2043" customFormat="1" x14ac:dyDescent="0.2"/>
    <row r="19183" s="2043" customFormat="1" x14ac:dyDescent="0.2"/>
    <row r="19184" s="2043" customFormat="1" x14ac:dyDescent="0.2"/>
    <row r="19185" s="2043" customFormat="1" x14ac:dyDescent="0.2"/>
    <row r="19186" s="2043" customFormat="1" x14ac:dyDescent="0.2"/>
    <row r="19187" s="2043" customFormat="1" x14ac:dyDescent="0.2"/>
    <row r="19188" s="2043" customFormat="1" x14ac:dyDescent="0.2"/>
    <row r="19189" s="2043" customFormat="1" x14ac:dyDescent="0.2"/>
    <row r="19190" s="2043" customFormat="1" x14ac:dyDescent="0.2"/>
    <row r="19191" s="2043" customFormat="1" x14ac:dyDescent="0.2"/>
    <row r="19192" s="2043" customFormat="1" x14ac:dyDescent="0.2"/>
    <row r="19193" s="2043" customFormat="1" x14ac:dyDescent="0.2"/>
    <row r="19194" s="2043" customFormat="1" x14ac:dyDescent="0.2"/>
    <row r="19195" s="2043" customFormat="1" x14ac:dyDescent="0.2"/>
    <row r="19196" s="2043" customFormat="1" x14ac:dyDescent="0.2"/>
    <row r="19197" s="2043" customFormat="1" x14ac:dyDescent="0.2"/>
    <row r="19198" s="2043" customFormat="1" x14ac:dyDescent="0.2"/>
    <row r="19199" s="2043" customFormat="1" x14ac:dyDescent="0.2"/>
    <row r="19200" s="2043" customFormat="1" x14ac:dyDescent="0.2"/>
    <row r="19201" s="2043" customFormat="1" x14ac:dyDescent="0.2"/>
    <row r="19202" s="2043" customFormat="1" x14ac:dyDescent="0.2"/>
    <row r="19203" s="2043" customFormat="1" x14ac:dyDescent="0.2"/>
    <row r="19204" s="2043" customFormat="1" x14ac:dyDescent="0.2"/>
    <row r="19205" s="2043" customFormat="1" x14ac:dyDescent="0.2"/>
    <row r="19206" s="2043" customFormat="1" x14ac:dyDescent="0.2"/>
    <row r="19207" s="2043" customFormat="1" x14ac:dyDescent="0.2"/>
    <row r="19208" s="2043" customFormat="1" x14ac:dyDescent="0.2"/>
    <row r="19209" s="2043" customFormat="1" x14ac:dyDescent="0.2"/>
    <row r="19210" s="2043" customFormat="1" x14ac:dyDescent="0.2"/>
    <row r="19211" s="2043" customFormat="1" x14ac:dyDescent="0.2"/>
    <row r="19212" s="2043" customFormat="1" x14ac:dyDescent="0.2"/>
    <row r="19213" s="2043" customFormat="1" x14ac:dyDescent="0.2"/>
    <row r="19214" s="2043" customFormat="1" x14ac:dyDescent="0.2"/>
    <row r="19215" s="2043" customFormat="1" x14ac:dyDescent="0.2"/>
    <row r="19216" s="2043" customFormat="1" x14ac:dyDescent="0.2"/>
    <row r="19217" s="2043" customFormat="1" x14ac:dyDescent="0.2"/>
    <row r="19218" s="2043" customFormat="1" x14ac:dyDescent="0.2"/>
    <row r="19219" s="2043" customFormat="1" x14ac:dyDescent="0.2"/>
    <row r="19220" s="2043" customFormat="1" x14ac:dyDescent="0.2"/>
    <row r="19221" s="2043" customFormat="1" x14ac:dyDescent="0.2"/>
    <row r="19222" s="2043" customFormat="1" x14ac:dyDescent="0.2"/>
    <row r="19223" s="2043" customFormat="1" x14ac:dyDescent="0.2"/>
    <row r="19224" s="2043" customFormat="1" x14ac:dyDescent="0.2"/>
    <row r="19225" s="2043" customFormat="1" x14ac:dyDescent="0.2"/>
    <row r="19226" s="2043" customFormat="1" x14ac:dyDescent="0.2"/>
    <row r="19227" s="2043" customFormat="1" x14ac:dyDescent="0.2"/>
    <row r="19228" s="2043" customFormat="1" x14ac:dyDescent="0.2"/>
    <row r="19229" s="2043" customFormat="1" x14ac:dyDescent="0.2"/>
    <row r="19230" s="2043" customFormat="1" x14ac:dyDescent="0.2"/>
    <row r="19231" s="2043" customFormat="1" x14ac:dyDescent="0.2"/>
    <row r="19232" s="2043" customFormat="1" x14ac:dyDescent="0.2"/>
    <row r="19233" s="2043" customFormat="1" x14ac:dyDescent="0.2"/>
    <row r="19234" s="2043" customFormat="1" x14ac:dyDescent="0.2"/>
    <row r="19235" s="2043" customFormat="1" x14ac:dyDescent="0.2"/>
    <row r="19236" s="2043" customFormat="1" x14ac:dyDescent="0.2"/>
    <row r="19237" s="2043" customFormat="1" x14ac:dyDescent="0.2"/>
    <row r="19238" s="2043" customFormat="1" x14ac:dyDescent="0.2"/>
    <row r="19239" s="2043" customFormat="1" x14ac:dyDescent="0.2"/>
    <row r="19240" s="2043" customFormat="1" x14ac:dyDescent="0.2"/>
    <row r="19241" s="2043" customFormat="1" x14ac:dyDescent="0.2"/>
    <row r="19242" s="2043" customFormat="1" x14ac:dyDescent="0.2"/>
    <row r="19243" s="2043" customFormat="1" x14ac:dyDescent="0.2"/>
    <row r="19244" s="2043" customFormat="1" x14ac:dyDescent="0.2"/>
    <row r="19245" s="2043" customFormat="1" x14ac:dyDescent="0.2"/>
    <row r="19246" s="2043" customFormat="1" x14ac:dyDescent="0.2"/>
    <row r="19247" s="2043" customFormat="1" x14ac:dyDescent="0.2"/>
    <row r="19248" s="2043" customFormat="1" x14ac:dyDescent="0.2"/>
    <row r="19249" s="2043" customFormat="1" x14ac:dyDescent="0.2"/>
    <row r="19250" s="2043" customFormat="1" x14ac:dyDescent="0.2"/>
    <row r="19251" s="2043" customFormat="1" x14ac:dyDescent="0.2"/>
    <row r="19252" s="2043" customFormat="1" x14ac:dyDescent="0.2"/>
    <row r="19253" s="2043" customFormat="1" x14ac:dyDescent="0.2"/>
    <row r="19254" s="2043" customFormat="1" x14ac:dyDescent="0.2"/>
    <row r="19255" s="2043" customFormat="1" x14ac:dyDescent="0.2"/>
    <row r="19256" s="2043" customFormat="1" x14ac:dyDescent="0.2"/>
    <row r="19257" s="2043" customFormat="1" x14ac:dyDescent="0.2"/>
    <row r="19258" s="2043" customFormat="1" x14ac:dyDescent="0.2"/>
    <row r="19259" s="2043" customFormat="1" x14ac:dyDescent="0.2"/>
    <row r="19260" s="2043" customFormat="1" x14ac:dyDescent="0.2"/>
    <row r="19261" s="2043" customFormat="1" x14ac:dyDescent="0.2"/>
    <row r="19262" s="2043" customFormat="1" x14ac:dyDescent="0.2"/>
    <row r="19263" s="2043" customFormat="1" x14ac:dyDescent="0.2"/>
    <row r="19264" s="2043" customFormat="1" x14ac:dyDescent="0.2"/>
    <row r="19265" s="2043" customFormat="1" x14ac:dyDescent="0.2"/>
    <row r="19266" s="2043" customFormat="1" x14ac:dyDescent="0.2"/>
    <row r="19267" s="2043" customFormat="1" x14ac:dyDescent="0.2"/>
    <row r="19268" s="2043" customFormat="1" x14ac:dyDescent="0.2"/>
    <row r="19269" s="2043" customFormat="1" x14ac:dyDescent="0.2"/>
    <row r="19270" s="2043" customFormat="1" x14ac:dyDescent="0.2"/>
    <row r="19271" s="2043" customFormat="1" x14ac:dyDescent="0.2"/>
    <row r="19272" s="2043" customFormat="1" x14ac:dyDescent="0.2"/>
    <row r="19273" s="2043" customFormat="1" x14ac:dyDescent="0.2"/>
    <row r="19274" s="2043" customFormat="1" x14ac:dyDescent="0.2"/>
    <row r="19275" s="2043" customFormat="1" x14ac:dyDescent="0.2"/>
    <row r="19276" s="2043" customFormat="1" x14ac:dyDescent="0.2"/>
    <row r="19277" s="2043" customFormat="1" x14ac:dyDescent="0.2"/>
    <row r="19278" s="2043" customFormat="1" x14ac:dyDescent="0.2"/>
    <row r="19279" s="2043" customFormat="1" x14ac:dyDescent="0.2"/>
    <row r="19280" s="2043" customFormat="1" x14ac:dyDescent="0.2"/>
    <row r="19281" spans="1:65" s="2043" customFormat="1" x14ac:dyDescent="0.2">
      <c r="Y19281" s="2277"/>
    </row>
    <row r="19282" spans="1:65" s="2043" customFormat="1" x14ac:dyDescent="0.2">
      <c r="Y19282" s="2277"/>
    </row>
    <row r="19283" spans="1:65" s="2043" customFormat="1" x14ac:dyDescent="0.2">
      <c r="Y19283" s="2277"/>
    </row>
    <row r="19284" spans="1:65" s="2043" customFormat="1" x14ac:dyDescent="0.2">
      <c r="N19284" s="2277"/>
      <c r="Y19284" s="2277"/>
    </row>
    <row r="19285" spans="1:65" s="2043" customFormat="1" x14ac:dyDescent="0.2">
      <c r="N19285" s="2277"/>
      <c r="Y19285" s="2277"/>
      <c r="AV19285" s="2277"/>
      <c r="AW19285" s="2277"/>
      <c r="AX19285" s="2277"/>
      <c r="AY19285" s="2277"/>
    </row>
    <row r="19286" spans="1:65" s="2043" customFormat="1" x14ac:dyDescent="0.2">
      <c r="B19286" s="2277"/>
      <c r="C19286" s="2277"/>
      <c r="D19286" s="2277"/>
      <c r="E19286" s="2277"/>
      <c r="F19286" s="2277"/>
      <c r="G19286" s="2277"/>
      <c r="H19286" s="2277"/>
      <c r="I19286" s="2277"/>
      <c r="J19286" s="2277"/>
      <c r="K19286" s="2277"/>
      <c r="L19286" s="2277"/>
      <c r="M19286" s="2277"/>
      <c r="N19286" s="2277"/>
      <c r="Y19286" s="2277"/>
      <c r="Z19286" s="2277"/>
      <c r="AD19286" s="2277"/>
      <c r="AV19286" s="2277"/>
      <c r="AW19286" s="2277"/>
      <c r="AX19286" s="2277"/>
      <c r="AY19286" s="2277"/>
      <c r="AZ19286" s="2277"/>
      <c r="BA19286" s="2277"/>
      <c r="BB19286" s="2277"/>
      <c r="BC19286" s="2277"/>
      <c r="BD19286" s="2277"/>
      <c r="BE19286" s="2277"/>
      <c r="BF19286" s="2277"/>
      <c r="BG19286" s="2277"/>
      <c r="BH19286" s="2277"/>
      <c r="BI19286" s="2277"/>
      <c r="BJ19286" s="2277"/>
      <c r="BK19286" s="2277"/>
      <c r="BL19286" s="2277"/>
      <c r="BM19286" s="2277"/>
    </row>
    <row r="19287" spans="1:65" s="2043" customFormat="1" x14ac:dyDescent="0.2">
      <c r="B19287" s="2277"/>
      <c r="C19287" s="2277"/>
      <c r="D19287" s="2277"/>
      <c r="E19287" s="2277"/>
      <c r="F19287" s="2277"/>
      <c r="G19287" s="2277"/>
      <c r="H19287" s="2277"/>
      <c r="I19287" s="2277"/>
      <c r="J19287" s="2277"/>
      <c r="K19287" s="2277"/>
      <c r="L19287" s="2277"/>
      <c r="M19287" s="2277"/>
      <c r="N19287" s="2277"/>
      <c r="O19287" s="2277"/>
      <c r="R19287" s="2277"/>
      <c r="S19287" s="2277"/>
      <c r="T19287" s="2277"/>
      <c r="U19287" s="2277"/>
      <c r="V19287" s="2277"/>
      <c r="W19287" s="2277"/>
      <c r="X19287" s="2277"/>
      <c r="Y19287" s="2277"/>
      <c r="Z19287" s="2277"/>
      <c r="AD19287" s="2277"/>
      <c r="AS19287" s="2277"/>
      <c r="AT19287" s="2277"/>
      <c r="AV19287" s="2277"/>
      <c r="AW19287" s="2277"/>
      <c r="AX19287" s="2277"/>
      <c r="AY19287" s="2277"/>
      <c r="AZ19287" s="2277"/>
      <c r="BA19287" s="2277"/>
      <c r="BB19287" s="2277"/>
      <c r="BC19287" s="2277"/>
      <c r="BD19287" s="2277"/>
      <c r="BE19287" s="2277"/>
      <c r="BF19287" s="2277"/>
      <c r="BG19287" s="2277"/>
      <c r="BH19287" s="2277"/>
      <c r="BI19287" s="2277"/>
      <c r="BJ19287" s="2277"/>
      <c r="BK19287" s="2277"/>
      <c r="BL19287" s="2277"/>
      <c r="BM19287" s="2277"/>
    </row>
    <row r="19288" spans="1:65" s="2043" customFormat="1" x14ac:dyDescent="0.2">
      <c r="A19288" s="2277"/>
      <c r="B19288" s="2277"/>
      <c r="C19288" s="2277"/>
      <c r="D19288" s="2277"/>
      <c r="E19288" s="2277"/>
      <c r="F19288" s="2277"/>
      <c r="G19288" s="2277"/>
      <c r="H19288" s="2277"/>
      <c r="I19288" s="2277"/>
      <c r="J19288" s="2277"/>
      <c r="K19288" s="2277"/>
      <c r="L19288" s="2277"/>
      <c r="M19288" s="2277"/>
      <c r="N19288" s="2277"/>
      <c r="O19288" s="2277"/>
      <c r="P19288" s="2277"/>
      <c r="Q19288" s="2277"/>
      <c r="R19288" s="2277"/>
      <c r="S19288" s="2277"/>
      <c r="T19288" s="2277"/>
      <c r="U19288" s="2277"/>
      <c r="V19288" s="2277"/>
      <c r="W19288" s="2277"/>
      <c r="X19288" s="2277"/>
      <c r="Y19288" s="2277"/>
      <c r="Z19288" s="2277"/>
      <c r="AA19288" s="2277"/>
      <c r="AB19288" s="2277"/>
      <c r="AC19288" s="2277"/>
      <c r="AD19288" s="2277"/>
      <c r="AE19288" s="2277"/>
      <c r="AF19288" s="2277"/>
      <c r="AG19288" s="2277"/>
      <c r="AH19288" s="2277"/>
      <c r="AI19288" s="2277"/>
      <c r="AJ19288" s="2277"/>
      <c r="AK19288" s="2277"/>
      <c r="AL19288" s="2277"/>
      <c r="AM19288" s="2277"/>
      <c r="AQ19288" s="2277"/>
      <c r="AR19288" s="2277"/>
      <c r="AS19288" s="2277"/>
      <c r="AT19288" s="2277"/>
      <c r="AU19288" s="2277"/>
      <c r="AV19288" s="2277"/>
      <c r="AW19288" s="2277"/>
      <c r="AX19288" s="2277"/>
      <c r="AY19288" s="2277"/>
      <c r="AZ19288" s="2277"/>
      <c r="BA19288" s="2277"/>
      <c r="BB19288" s="2277"/>
      <c r="BC19288" s="2277"/>
      <c r="BD19288" s="2277"/>
      <c r="BE19288" s="2277"/>
      <c r="BF19288" s="2277"/>
      <c r="BG19288" s="2277"/>
      <c r="BH19288" s="2277"/>
      <c r="BI19288" s="2277"/>
      <c r="BJ19288" s="2277"/>
      <c r="BK19288" s="2277"/>
      <c r="BL19288" s="2277"/>
      <c r="BM19288" s="2277"/>
    </row>
  </sheetData>
  <mergeCells count="94">
    <mergeCell ref="BD76:BE76"/>
    <mergeCell ref="BF76:BG76"/>
    <mergeCell ref="BD75:BG75"/>
    <mergeCell ref="S121:T121"/>
    <mergeCell ref="AA78:AA89"/>
    <mergeCell ref="AA107:AA117"/>
    <mergeCell ref="AJ45:AM46"/>
    <mergeCell ref="J76:K76"/>
    <mergeCell ref="K53:L53"/>
    <mergeCell ref="C54:D54"/>
    <mergeCell ref="I46:I47"/>
    <mergeCell ref="H46:H47"/>
    <mergeCell ref="C59:D59"/>
    <mergeCell ref="C71:D71"/>
    <mergeCell ref="C70:D70"/>
    <mergeCell ref="E46:E47"/>
    <mergeCell ref="AJ69:AM69"/>
    <mergeCell ref="I76:I77"/>
    <mergeCell ref="H76:H77"/>
    <mergeCell ref="C62:D62"/>
    <mergeCell ref="C69:D69"/>
    <mergeCell ref="C58:D58"/>
    <mergeCell ref="C60:D60"/>
    <mergeCell ref="C57:D57"/>
    <mergeCell ref="C66:D66"/>
    <mergeCell ref="C64:D64"/>
    <mergeCell ref="C65:D65"/>
    <mergeCell ref="E76:E77"/>
    <mergeCell ref="C76:C77"/>
    <mergeCell ref="D76:D77"/>
    <mergeCell ref="C63:D63"/>
    <mergeCell ref="C61:D61"/>
    <mergeCell ref="C42:D42"/>
    <mergeCell ref="C50:D50"/>
    <mergeCell ref="C49:D49"/>
    <mergeCell ref="C46:D47"/>
    <mergeCell ref="C55:D55"/>
    <mergeCell ref="C20:D20"/>
    <mergeCell ref="C25:D25"/>
    <mergeCell ref="C27:D27"/>
    <mergeCell ref="C41:D41"/>
    <mergeCell ref="C40:D40"/>
    <mergeCell ref="C39:D39"/>
    <mergeCell ref="C38:D38"/>
    <mergeCell ref="C28:D28"/>
    <mergeCell ref="C29:D29"/>
    <mergeCell ref="C31:D31"/>
    <mergeCell ref="C35:D35"/>
    <mergeCell ref="C36:D36"/>
    <mergeCell ref="C37:D37"/>
    <mergeCell ref="C33:D33"/>
    <mergeCell ref="C34:D34"/>
    <mergeCell ref="C32:D32"/>
    <mergeCell ref="D2:E2"/>
    <mergeCell ref="C14:D14"/>
    <mergeCell ref="C18:D18"/>
    <mergeCell ref="C13:D13"/>
    <mergeCell ref="C8:D8"/>
    <mergeCell ref="C17:D17"/>
    <mergeCell ref="C10:D10"/>
    <mergeCell ref="C16:D16"/>
    <mergeCell ref="C15:D15"/>
    <mergeCell ref="C12:D12"/>
    <mergeCell ref="C30:D30"/>
    <mergeCell ref="C22:D22"/>
    <mergeCell ref="W132:X132"/>
    <mergeCell ref="S92:T92"/>
    <mergeCell ref="F46:F47"/>
    <mergeCell ref="J123:K123"/>
    <mergeCell ref="F76:F77"/>
    <mergeCell ref="S131:AA131"/>
    <mergeCell ref="V132:V133"/>
    <mergeCell ref="C23:D23"/>
    <mergeCell ref="C26:D26"/>
    <mergeCell ref="C56:D56"/>
    <mergeCell ref="C52:D52"/>
    <mergeCell ref="C53:D53"/>
    <mergeCell ref="C51:D51"/>
    <mergeCell ref="H107:I107"/>
    <mergeCell ref="H93:I93"/>
    <mergeCell ref="G46:G47"/>
    <mergeCell ref="J122:K122"/>
    <mergeCell ref="J46:J47"/>
    <mergeCell ref="G76:G77"/>
    <mergeCell ref="J15:L15"/>
    <mergeCell ref="C7:D7"/>
    <mergeCell ref="C19:D19"/>
    <mergeCell ref="AE5:AF5"/>
    <mergeCell ref="Z5:AA5"/>
    <mergeCell ref="Z9:AA9"/>
    <mergeCell ref="Z12:AA12"/>
    <mergeCell ref="C9:D9"/>
    <mergeCell ref="C11:D11"/>
    <mergeCell ref="Q18:R18"/>
  </mergeCells>
  <phoneticPr fontId="0" type="noConversion"/>
  <conditionalFormatting sqref="D123:D126">
    <cfRule type="expression" dxfId="616" priority="1640" stopIfTrue="1">
      <formula>$C123&gt;1</formula>
    </cfRule>
  </conditionalFormatting>
  <conditionalFormatting sqref="U117:U118 U78:U89 V118:V120 W117 V89:W89 X78:X89">
    <cfRule type="expression" dxfId="615" priority="330" stopIfTrue="1">
      <formula>$C79=1</formula>
    </cfRule>
    <cfRule type="expression" dxfId="614" priority="331" stopIfTrue="1">
      <formula>$C79=15</formula>
    </cfRule>
    <cfRule type="expression" dxfId="613" priority="332" stopIfTrue="1">
      <formula>$C79=16</formula>
    </cfRule>
    <cfRule type="expression" dxfId="612" priority="333" stopIfTrue="1">
      <formula>$C79=17</formula>
    </cfRule>
    <cfRule type="expression" dxfId="611" priority="334" stopIfTrue="1">
      <formula>$C79=18</formula>
    </cfRule>
    <cfRule type="expression" dxfId="610" priority="335" stopIfTrue="1">
      <formula>$C79=19</formula>
    </cfRule>
  </conditionalFormatting>
  <conditionalFormatting sqref="U107">
    <cfRule type="expression" dxfId="609" priority="324" stopIfTrue="1">
      <formula>$C108=1</formula>
    </cfRule>
    <cfRule type="expression" dxfId="608" priority="325" stopIfTrue="1">
      <formula>$C108=15</formula>
    </cfRule>
    <cfRule type="expression" dxfId="607" priority="326" stopIfTrue="1">
      <formula>$C108=16</formula>
    </cfRule>
    <cfRule type="expression" dxfId="606" priority="327" stopIfTrue="1">
      <formula>$C108=17</formula>
    </cfRule>
    <cfRule type="expression" dxfId="605" priority="328" stopIfTrue="1">
      <formula>$C108=18</formula>
    </cfRule>
    <cfRule type="expression" dxfId="604" priority="329" stopIfTrue="1">
      <formula>$C108=19</formula>
    </cfRule>
  </conditionalFormatting>
  <conditionalFormatting sqref="D95">
    <cfRule type="expression" dxfId="603" priority="245" stopIfTrue="1">
      <formula>$C95&gt;1</formula>
    </cfRule>
  </conditionalFormatting>
  <conditionalFormatting sqref="E95:E103">
    <cfRule type="expression" dxfId="602" priority="243" stopIfTrue="1">
      <formula>$C95&gt;1</formula>
    </cfRule>
  </conditionalFormatting>
  <conditionalFormatting sqref="D80:D82 D84:D87">
    <cfRule type="expression" dxfId="601" priority="242" stopIfTrue="1">
      <formula>$C80&gt;1</formula>
    </cfRule>
  </conditionalFormatting>
  <conditionalFormatting sqref="E88:E89">
    <cfRule type="expression" dxfId="600" priority="240" stopIfTrue="1">
      <formula>$C88&gt;1</formula>
    </cfRule>
  </conditionalFormatting>
  <conditionalFormatting sqref="F79">
    <cfRule type="expression" dxfId="599" priority="239" stopIfTrue="1">
      <formula>$C79&gt;1</formula>
    </cfRule>
  </conditionalFormatting>
  <conditionalFormatting sqref="F80:F89">
    <cfRule type="expression" dxfId="598" priority="238" stopIfTrue="1">
      <formula>$C80&gt;1</formula>
    </cfRule>
  </conditionalFormatting>
  <conditionalFormatting sqref="G79:G89">
    <cfRule type="expression" dxfId="597" priority="237" stopIfTrue="1">
      <formula>OR($C79=19,$C79=20,$C79=21,$C79=22,$C79=23)</formula>
    </cfRule>
  </conditionalFormatting>
  <conditionalFormatting sqref="H79:H89">
    <cfRule type="expression" dxfId="596" priority="236" stopIfTrue="1">
      <formula>OR($C79=5,$C79=6,$C79=7,$C79=13,$C79=14,$C79=17,$C79=18)</formula>
    </cfRule>
  </conditionalFormatting>
  <conditionalFormatting sqref="D96:D103">
    <cfRule type="expression" dxfId="595" priority="233" stopIfTrue="1">
      <formula>$C96&gt;1</formula>
    </cfRule>
  </conditionalFormatting>
  <conditionalFormatting sqref="I79:I89">
    <cfRule type="expression" dxfId="594" priority="232" stopIfTrue="1">
      <formula>$C79&gt;1</formula>
    </cfRule>
  </conditionalFormatting>
  <conditionalFormatting sqref="K55:K57">
    <cfRule type="expression" dxfId="593" priority="225" stopIfTrue="1">
      <formula>$K32=2</formula>
    </cfRule>
  </conditionalFormatting>
  <conditionalFormatting sqref="D109:D117">
    <cfRule type="expression" dxfId="592" priority="218" stopIfTrue="1">
      <formula>$C109&gt;1</formula>
    </cfRule>
  </conditionalFormatting>
  <conditionalFormatting sqref="F109:F117">
    <cfRule type="expression" dxfId="591" priority="217" stopIfTrue="1">
      <formula>$C109&gt;1</formula>
    </cfRule>
  </conditionalFormatting>
  <conditionalFormatting sqref="V78">
    <cfRule type="expression" dxfId="590" priority="215" stopIfTrue="1">
      <formula>$C79&gt;18</formula>
    </cfRule>
  </conditionalFormatting>
  <conditionalFormatting sqref="V79:V88">
    <cfRule type="expression" dxfId="589" priority="214" stopIfTrue="1">
      <formula>$C80&gt;18</formula>
    </cfRule>
  </conditionalFormatting>
  <conditionalFormatting sqref="W78:W88">
    <cfRule type="expression" dxfId="588" priority="208" stopIfTrue="1">
      <formula>$C79=1</formula>
    </cfRule>
    <cfRule type="expression" dxfId="587" priority="209" stopIfTrue="1">
      <formula>$C79=15</formula>
    </cfRule>
    <cfRule type="expression" dxfId="586" priority="210" stopIfTrue="1">
      <formula>$C79=16</formula>
    </cfRule>
    <cfRule type="expression" dxfId="585" priority="211" stopIfTrue="1">
      <formula>$C79=17</formula>
    </cfRule>
    <cfRule type="expression" dxfId="584" priority="212" stopIfTrue="1">
      <formula>$C79=18</formula>
    </cfRule>
    <cfRule type="expression" dxfId="583" priority="213" stopIfTrue="1">
      <formula>$C79=19</formula>
    </cfRule>
  </conditionalFormatting>
  <conditionalFormatting sqref="V117">
    <cfRule type="expression" dxfId="582" priority="202" stopIfTrue="1">
      <formula>$C118=1</formula>
    </cfRule>
    <cfRule type="expression" dxfId="581" priority="203" stopIfTrue="1">
      <formula>$C118=15</formula>
    </cfRule>
    <cfRule type="expression" dxfId="580" priority="204" stopIfTrue="1">
      <formula>$C118=16</formula>
    </cfRule>
    <cfRule type="expression" dxfId="579" priority="205" stopIfTrue="1">
      <formula>$C118=17</formula>
    </cfRule>
    <cfRule type="expression" dxfId="578" priority="206" stopIfTrue="1">
      <formula>$C118=18</formula>
    </cfRule>
    <cfRule type="expression" dxfId="577" priority="207" stopIfTrue="1">
      <formula>$C118=19</formula>
    </cfRule>
  </conditionalFormatting>
  <conditionalFormatting sqref="K61">
    <cfRule type="expression" dxfId="576" priority="192" stopIfTrue="1">
      <formula>$K38=2</formula>
    </cfRule>
  </conditionalFormatting>
  <conditionalFormatting sqref="K55:L55">
    <cfRule type="expression" dxfId="575" priority="191" stopIfTrue="1">
      <formula>$K32=2</formula>
    </cfRule>
  </conditionalFormatting>
  <conditionalFormatting sqref="L56:L57">
    <cfRule type="expression" dxfId="574" priority="190" stopIfTrue="1">
      <formula>$K33=2</formula>
    </cfRule>
  </conditionalFormatting>
  <conditionalFormatting sqref="L61">
    <cfRule type="expression" dxfId="573" priority="189" stopIfTrue="1">
      <formula>$K38=2</formula>
    </cfRule>
  </conditionalFormatting>
  <conditionalFormatting sqref="D79:D87">
    <cfRule type="expression" dxfId="572" priority="161" stopIfTrue="1">
      <formula>$C79=1</formula>
    </cfRule>
    <cfRule type="expression" dxfId="571" priority="162" stopIfTrue="1">
      <formula>C79=19</formula>
    </cfRule>
    <cfRule type="expression" dxfId="570" priority="163" stopIfTrue="1">
      <formula>C79=20</formula>
    </cfRule>
    <cfRule type="expression" dxfId="569" priority="164" stopIfTrue="1">
      <formula>C79=21</formula>
    </cfRule>
    <cfRule type="expression" dxfId="568" priority="165" stopIfTrue="1">
      <formula>C79=22</formula>
    </cfRule>
    <cfRule type="expression" dxfId="567" priority="166" stopIfTrue="1">
      <formula>C79=23</formula>
    </cfRule>
  </conditionalFormatting>
  <conditionalFormatting sqref="E79:E87">
    <cfRule type="expression" dxfId="566" priority="124" stopIfTrue="1">
      <formula>$C79=1</formula>
    </cfRule>
    <cfRule type="expression" dxfId="565" priority="125" stopIfTrue="1">
      <formula>C79=19</formula>
    </cfRule>
    <cfRule type="expression" dxfId="564" priority="126" stopIfTrue="1">
      <formula>C79=20</formula>
    </cfRule>
    <cfRule type="expression" dxfId="563" priority="127" stopIfTrue="1">
      <formula>C79=21</formula>
    </cfRule>
    <cfRule type="expression" dxfId="562" priority="128" stopIfTrue="1">
      <formula>C79=22</formula>
    </cfRule>
    <cfRule type="expression" dxfId="561" priority="129" stopIfTrue="1">
      <formula>C79=23</formula>
    </cfRule>
  </conditionalFormatting>
  <conditionalFormatting sqref="E109:E117">
    <cfRule type="expression" dxfId="560" priority="123" stopIfTrue="1">
      <formula>$C109=1</formula>
    </cfRule>
  </conditionalFormatting>
  <conditionalFormatting sqref="J5:J7 J9:J11">
    <cfRule type="expression" dxfId="559" priority="95" stopIfTrue="1">
      <formula>$AA$6=9</formula>
    </cfRule>
    <cfRule type="expression" dxfId="558" priority="98" stopIfTrue="1">
      <formula>$AA$6=7</formula>
    </cfRule>
    <cfRule type="expression" dxfId="557" priority="101" stopIfTrue="1">
      <formula>$AA$6=6</formula>
    </cfRule>
    <cfRule type="expression" dxfId="556" priority="120" stopIfTrue="1">
      <formula>$AA$6=5</formula>
    </cfRule>
  </conditionalFormatting>
  <conditionalFormatting sqref="K5:K7 K9:K11">
    <cfRule type="expression" dxfId="555" priority="97" stopIfTrue="1">
      <formula>$AA$6=9</formula>
    </cfRule>
    <cfRule type="expression" dxfId="554" priority="99" stopIfTrue="1">
      <formula>$AA$6=7</formula>
    </cfRule>
    <cfRule type="expression" dxfId="553" priority="100" stopIfTrue="1">
      <formula>$AA$6=6</formula>
    </cfRule>
    <cfRule type="expression" dxfId="552" priority="119" stopIfTrue="1">
      <formula>$AA$6=5</formula>
    </cfRule>
  </conditionalFormatting>
  <conditionalFormatting sqref="C5:E5 C7 E7 C18 E18 C8:E17">
    <cfRule type="expression" dxfId="551" priority="96" stopIfTrue="1">
      <formula>$AA$6=9</formula>
    </cfRule>
    <cfRule type="expression" dxfId="550" priority="181" stopIfTrue="1">
      <formula>$AA$6=7</formula>
    </cfRule>
    <cfRule type="expression" dxfId="549" priority="183" stopIfTrue="1">
      <formula>$AA$6=5</formula>
    </cfRule>
    <cfRule type="expression" dxfId="548" priority="184" stopIfTrue="1">
      <formula>$AA$6=6</formula>
    </cfRule>
  </conditionalFormatting>
  <conditionalFormatting sqref="V89">
    <cfRule type="expression" dxfId="547" priority="89" stopIfTrue="1">
      <formula>$C90=1</formula>
    </cfRule>
    <cfRule type="expression" dxfId="546" priority="90" stopIfTrue="1">
      <formula>$C90=15</formula>
    </cfRule>
    <cfRule type="expression" dxfId="545" priority="91" stopIfTrue="1">
      <formula>$C90=16</formula>
    </cfRule>
    <cfRule type="expression" dxfId="544" priority="92" stopIfTrue="1">
      <formula>$C90=17</formula>
    </cfRule>
    <cfRule type="expression" dxfId="543" priority="93" stopIfTrue="1">
      <formula>$C90=18</formula>
    </cfRule>
    <cfRule type="expression" dxfId="542" priority="94" stopIfTrue="1">
      <formula>$C90=19</formula>
    </cfRule>
  </conditionalFormatting>
  <conditionalFormatting sqref="K54:L54">
    <cfRule type="expression" dxfId="541" priority="85" stopIfTrue="1">
      <formula>$K$38=2</formula>
    </cfRule>
    <cfRule type="expression" dxfId="540" priority="194" stopIfTrue="1">
      <formula>$K34=2</formula>
    </cfRule>
    <cfRule type="expression" dxfId="539" priority="195" stopIfTrue="1">
      <formula>$K33=2</formula>
    </cfRule>
  </conditionalFormatting>
  <conditionalFormatting sqref="K53">
    <cfRule type="expression" dxfId="538" priority="82" stopIfTrue="1">
      <formula>$K$38=2</formula>
    </cfRule>
    <cfRule type="expression" dxfId="537" priority="83" stopIfTrue="1">
      <formula>$K33=2</formula>
    </cfRule>
    <cfRule type="expression" dxfId="536" priority="84" stopIfTrue="1">
      <formula>$K32=2</formula>
    </cfRule>
  </conditionalFormatting>
  <conditionalFormatting sqref="H79:H89">
    <cfRule type="expression" dxfId="535" priority="81" stopIfTrue="1">
      <formula>OR($C79=5,$C79=6,$C79=7,$C79=13,$C79=14,$C79=17,$C79=18)</formula>
    </cfRule>
  </conditionalFormatting>
  <conditionalFormatting sqref="D123:D126">
    <cfRule type="expression" dxfId="534" priority="51" stopIfTrue="1">
      <formula>$C123&gt;1</formula>
    </cfRule>
  </conditionalFormatting>
  <conditionalFormatting sqref="E123:E126">
    <cfRule type="expression" dxfId="533" priority="50" stopIfTrue="1">
      <formula>$C123&gt;1</formula>
    </cfRule>
  </conditionalFormatting>
  <conditionalFormatting sqref="D124:D126">
    <cfRule type="expression" dxfId="532" priority="49" stopIfTrue="1">
      <formula>$C124&gt;1</formula>
    </cfRule>
  </conditionalFormatting>
  <conditionalFormatting sqref="G5:G7 G11:G19">
    <cfRule type="expression" dxfId="531" priority="13" stopIfTrue="1">
      <formula>$AA$6=9</formula>
    </cfRule>
    <cfRule type="expression" dxfId="530" priority="15" stopIfTrue="1">
      <formula>$AA$6=7</formula>
    </cfRule>
    <cfRule type="expression" dxfId="529" priority="18" stopIfTrue="1">
      <formula>$AA$6=6</formula>
    </cfRule>
    <cfRule type="expression" dxfId="528" priority="20" stopIfTrue="1">
      <formula>$AA$6=5</formula>
    </cfRule>
  </conditionalFormatting>
  <conditionalFormatting sqref="H19 H5:H7 H11:H17">
    <cfRule type="expression" dxfId="527" priority="14" stopIfTrue="1">
      <formula>$AA$6=9</formula>
    </cfRule>
    <cfRule type="expression" dxfId="526" priority="16" stopIfTrue="1">
      <formula>$AA$6=7</formula>
    </cfRule>
    <cfRule type="expression" dxfId="525" priority="17" stopIfTrue="1">
      <formula>$AA$6=6</formula>
    </cfRule>
    <cfRule type="expression" dxfId="524" priority="19" stopIfTrue="1">
      <formula>$AA$6=5</formula>
    </cfRule>
  </conditionalFormatting>
  <conditionalFormatting sqref="H18">
    <cfRule type="expression" dxfId="523" priority="9" stopIfTrue="1">
      <formula>$AA$6=9</formula>
    </cfRule>
    <cfRule type="expression" dxfId="522" priority="10" stopIfTrue="1">
      <formula>$AA$6=7</formula>
    </cfRule>
    <cfRule type="expression" dxfId="521" priority="11" stopIfTrue="1">
      <formula>$AA$6=6</formula>
    </cfRule>
    <cfRule type="expression" dxfId="520" priority="12" stopIfTrue="1">
      <formula>$AA$6=5</formula>
    </cfRule>
  </conditionalFormatting>
  <conditionalFormatting sqref="G8:G10">
    <cfRule type="expression" dxfId="519" priority="5" stopIfTrue="1">
      <formula>$AA$6=9</formula>
    </cfRule>
    <cfRule type="expression" dxfId="518" priority="6" stopIfTrue="1">
      <formula>$AA$6=7</formula>
    </cfRule>
    <cfRule type="expression" dxfId="517" priority="7" stopIfTrue="1">
      <formula>$AA$6=6</formula>
    </cfRule>
    <cfRule type="expression" dxfId="516" priority="8" stopIfTrue="1">
      <formula>$AA$6=5</formula>
    </cfRule>
  </conditionalFormatting>
  <conditionalFormatting sqref="H8:H10">
    <cfRule type="expression" dxfId="515" priority="1" stopIfTrue="1">
      <formula>$AA$6=9</formula>
    </cfRule>
    <cfRule type="expression" dxfId="514" priority="2" stopIfTrue="1">
      <formula>$AA$6=7</formula>
    </cfRule>
    <cfRule type="expression" dxfId="513" priority="3" stopIfTrue="1">
      <formula>$AA$6=6</formula>
    </cfRule>
    <cfRule type="expression" dxfId="512" priority="4" stopIfTrue="1">
      <formula>$AA$6=5</formula>
    </cfRule>
  </conditionalFormatting>
  <pageMargins left="0.78740157499999996" right="0.78740157499999996" top="0.984251969" bottom="0.984251969" header="0.5" footer="0.5"/>
  <pageSetup scale="70" orientation="landscape" r:id="rId1"/>
  <headerFooter alignWithMargins="0"/>
  <ignoredErrors>
    <ignoredError sqref="H66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42" r:id="rId4" name="Drop Down 22">
              <controlPr defaultSize="0" autoLine="0" autoPict="0">
                <anchor moveWithCells="1">
                  <from>
                    <xdr:col>2</xdr:col>
                    <xdr:colOff>0</xdr:colOff>
                    <xdr:row>79</xdr:row>
                    <xdr:rowOff>9525</xdr:rowOff>
                  </from>
                  <to>
                    <xdr:col>3</xdr:col>
                    <xdr:colOff>0</xdr:colOff>
                    <xdr:row>80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3" r:id="rId5" name="Drop Down 23">
              <controlPr defaultSize="0" autoLine="0" autoPict="0">
                <anchor moveWithCells="1">
                  <from>
                    <xdr:col>2</xdr:col>
                    <xdr:colOff>0</xdr:colOff>
                    <xdr:row>80</xdr:row>
                    <xdr:rowOff>0</xdr:rowOff>
                  </from>
                  <to>
                    <xdr:col>3</xdr:col>
                    <xdr:colOff>19050</xdr:colOff>
                    <xdr:row>81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4" r:id="rId6" name="Drop Down 24">
              <controlPr defaultSize="0" autoLine="0" autoPict="0">
                <anchor moveWithCells="1">
                  <from>
                    <xdr:col>2</xdr:col>
                    <xdr:colOff>0</xdr:colOff>
                    <xdr:row>81</xdr:row>
                    <xdr:rowOff>0</xdr:rowOff>
                  </from>
                  <to>
                    <xdr:col>3</xdr:col>
                    <xdr:colOff>19050</xdr:colOff>
                    <xdr:row>82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5" r:id="rId7" name="Drop Down 25">
              <controlPr defaultSize="0" autoLine="0" autoPict="0">
                <anchor moveWithCells="1">
                  <from>
                    <xdr:col>2</xdr:col>
                    <xdr:colOff>0</xdr:colOff>
                    <xdr:row>82</xdr:row>
                    <xdr:rowOff>0</xdr:rowOff>
                  </from>
                  <to>
                    <xdr:col>3</xdr:col>
                    <xdr:colOff>19050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6" r:id="rId8" name="Drop Down 26">
              <controlPr defaultSize="0" autoLine="0" autoPict="0">
                <anchor moveWithCells="1">
                  <from>
                    <xdr:col>2</xdr:col>
                    <xdr:colOff>0</xdr:colOff>
                    <xdr:row>83</xdr:row>
                    <xdr:rowOff>0</xdr:rowOff>
                  </from>
                  <to>
                    <xdr:col>3</xdr:col>
                    <xdr:colOff>19050</xdr:colOff>
                    <xdr:row>84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7" r:id="rId9" name="Drop Down 27">
              <controlPr defaultSize="0" autoLine="0" autoPict="0">
                <anchor moveWithCells="1">
                  <from>
                    <xdr:col>2</xdr:col>
                    <xdr:colOff>0</xdr:colOff>
                    <xdr:row>84</xdr:row>
                    <xdr:rowOff>0</xdr:rowOff>
                  </from>
                  <to>
                    <xdr:col>3</xdr:col>
                    <xdr:colOff>19050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8" r:id="rId10" name="Drop Down 28">
              <controlPr defaultSize="0" autoLine="0" autoPict="0">
                <anchor moveWithCells="1">
                  <from>
                    <xdr:col>2</xdr:col>
                    <xdr:colOff>0</xdr:colOff>
                    <xdr:row>85</xdr:row>
                    <xdr:rowOff>0</xdr:rowOff>
                  </from>
                  <to>
                    <xdr:col>3</xdr:col>
                    <xdr:colOff>19050</xdr:colOff>
                    <xdr:row>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9" r:id="rId11" name="Drop Down 29">
              <controlPr defaultSize="0" autoLine="0" autoPict="0">
                <anchor moveWithCells="1">
                  <from>
                    <xdr:col>2</xdr:col>
                    <xdr:colOff>0</xdr:colOff>
                    <xdr:row>86</xdr:row>
                    <xdr:rowOff>0</xdr:rowOff>
                  </from>
                  <to>
                    <xdr:col>3</xdr:col>
                    <xdr:colOff>19050</xdr:colOff>
                    <xdr:row>87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0" r:id="rId12" name="Drop Down 30">
              <controlPr defaultSize="0" autoLine="0" autoPict="0">
                <anchor moveWithCells="1">
                  <from>
                    <xdr:col>2</xdr:col>
                    <xdr:colOff>0</xdr:colOff>
                    <xdr:row>87</xdr:row>
                    <xdr:rowOff>0</xdr:rowOff>
                  </from>
                  <to>
                    <xdr:col>3</xdr:col>
                    <xdr:colOff>19050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1" r:id="rId13" name="Drop Down 31">
              <controlPr defaultSize="0" autoLine="0" autoPict="0">
                <anchor moveWithCells="1">
                  <from>
                    <xdr:col>2</xdr:col>
                    <xdr:colOff>0</xdr:colOff>
                    <xdr:row>88</xdr:row>
                    <xdr:rowOff>0</xdr:rowOff>
                  </from>
                  <to>
                    <xdr:col>3</xdr:col>
                    <xdr:colOff>19050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2" r:id="rId14" name="Drop Down 32">
              <controlPr defaultSize="0" autoLine="0" autoPict="0">
                <anchor moveWithCells="1">
                  <from>
                    <xdr:col>9</xdr:col>
                    <xdr:colOff>0</xdr:colOff>
                    <xdr:row>78</xdr:row>
                    <xdr:rowOff>9525</xdr:rowOff>
                  </from>
                  <to>
                    <xdr:col>9</xdr:col>
                    <xdr:colOff>1066800</xdr:colOff>
                    <xdr:row>79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3" r:id="rId15" name="Drop Down 43">
              <controlPr defaultSize="0" autoLine="0" autoPict="0">
                <anchor moveWithCells="1">
                  <from>
                    <xdr:col>2</xdr:col>
                    <xdr:colOff>0</xdr:colOff>
                    <xdr:row>108</xdr:row>
                    <xdr:rowOff>0</xdr:rowOff>
                  </from>
                  <to>
                    <xdr:col>3</xdr:col>
                    <xdr:colOff>9525</xdr:colOff>
                    <xdr:row>108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4" r:id="rId16" name="Drop Down 44">
              <controlPr defaultSize="0" autoLine="0" autoPict="0">
                <anchor moveWithCells="1">
                  <from>
                    <xdr:col>1</xdr:col>
                    <xdr:colOff>466725</xdr:colOff>
                    <xdr:row>109</xdr:row>
                    <xdr:rowOff>0</xdr:rowOff>
                  </from>
                  <to>
                    <xdr:col>3</xdr:col>
                    <xdr:colOff>9525</xdr:colOff>
                    <xdr:row>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5" r:id="rId17" name="Drop Down 45">
              <controlPr defaultSize="0" autoLine="0" autoPict="0">
                <anchor moveWithCells="1">
                  <from>
                    <xdr:col>2</xdr:col>
                    <xdr:colOff>0</xdr:colOff>
                    <xdr:row>110</xdr:row>
                    <xdr:rowOff>0</xdr:rowOff>
                  </from>
                  <to>
                    <xdr:col>3</xdr:col>
                    <xdr:colOff>9525</xdr:colOff>
                    <xdr:row>111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6" r:id="rId18" name="Drop Down 46">
              <controlPr defaultSize="0" autoLine="0" autoPict="0">
                <anchor moveWithCells="1">
                  <from>
                    <xdr:col>2</xdr:col>
                    <xdr:colOff>0</xdr:colOff>
                    <xdr:row>111</xdr:row>
                    <xdr:rowOff>0</xdr:rowOff>
                  </from>
                  <to>
                    <xdr:col>3</xdr:col>
                    <xdr:colOff>9525</xdr:colOff>
                    <xdr:row>112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7" r:id="rId19" name="Drop Down 47">
              <controlPr defaultSize="0" autoLine="0" autoPict="0">
                <anchor moveWithCells="1">
                  <from>
                    <xdr:col>2</xdr:col>
                    <xdr:colOff>0</xdr:colOff>
                    <xdr:row>112</xdr:row>
                    <xdr:rowOff>0</xdr:rowOff>
                  </from>
                  <to>
                    <xdr:col>3</xdr:col>
                    <xdr:colOff>9525</xdr:colOff>
                    <xdr:row>113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8" r:id="rId20" name="Drop Down 48">
              <controlPr defaultSize="0" autoLine="0" autoPict="0">
                <anchor moveWithCells="1">
                  <from>
                    <xdr:col>2</xdr:col>
                    <xdr:colOff>0</xdr:colOff>
                    <xdr:row>113</xdr:row>
                    <xdr:rowOff>0</xdr:rowOff>
                  </from>
                  <to>
                    <xdr:col>3</xdr:col>
                    <xdr:colOff>9525</xdr:colOff>
                    <xdr:row>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9" r:id="rId21" name="Drop Down 49">
              <controlPr defaultSize="0" autoLine="0" autoPict="0">
                <anchor moveWithCells="1">
                  <from>
                    <xdr:col>2</xdr:col>
                    <xdr:colOff>0</xdr:colOff>
                    <xdr:row>114</xdr:row>
                    <xdr:rowOff>0</xdr:rowOff>
                  </from>
                  <to>
                    <xdr:col>3</xdr:col>
                    <xdr:colOff>9525</xdr:colOff>
                    <xdr:row>115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0" r:id="rId22" name="Drop Down 50">
              <controlPr defaultSize="0" autoLine="0" autoPict="0">
                <anchor moveWithCells="1">
                  <from>
                    <xdr:col>2</xdr:col>
                    <xdr:colOff>0</xdr:colOff>
                    <xdr:row>115</xdr:row>
                    <xdr:rowOff>0</xdr:rowOff>
                  </from>
                  <to>
                    <xdr:col>3</xdr:col>
                    <xdr:colOff>9525</xdr:colOff>
                    <xdr:row>116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1" r:id="rId23" name="Drop Down 51">
              <controlPr defaultSize="0" autoLine="0" autoPict="0">
                <anchor moveWithCells="1">
                  <from>
                    <xdr:col>2</xdr:col>
                    <xdr:colOff>0</xdr:colOff>
                    <xdr:row>116</xdr:row>
                    <xdr:rowOff>0</xdr:rowOff>
                  </from>
                  <to>
                    <xdr:col>3</xdr:col>
                    <xdr:colOff>9525</xdr:colOff>
                    <xdr:row>116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5" r:id="rId24" name="Drop Down 175">
              <controlPr defaultSize="0" autoLine="0" autoPict="0">
                <anchor moveWithCells="1">
                  <from>
                    <xdr:col>7</xdr:col>
                    <xdr:colOff>0</xdr:colOff>
                    <xdr:row>108</xdr:row>
                    <xdr:rowOff>0</xdr:rowOff>
                  </from>
                  <to>
                    <xdr:col>8</xdr:col>
                    <xdr:colOff>0</xdr:colOff>
                    <xdr:row>108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3" r:id="rId25" name="Drop Down 193">
              <controlPr defaultSize="0" autoLine="0" autoPict="0">
                <anchor moveWithCells="1">
                  <from>
                    <xdr:col>2</xdr:col>
                    <xdr:colOff>0</xdr:colOff>
                    <xdr:row>94</xdr:row>
                    <xdr:rowOff>0</xdr:rowOff>
                  </from>
                  <to>
                    <xdr:col>3</xdr:col>
                    <xdr:colOff>9525</xdr:colOff>
                    <xdr:row>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5" r:id="rId26" name="Drop Down 195">
              <controlPr defaultSize="0" autoLine="0" autoPict="0">
                <anchor moveWithCells="1">
                  <from>
                    <xdr:col>5</xdr:col>
                    <xdr:colOff>0</xdr:colOff>
                    <xdr:row>94</xdr:row>
                    <xdr:rowOff>0</xdr:rowOff>
                  </from>
                  <to>
                    <xdr:col>6</xdr:col>
                    <xdr:colOff>0</xdr:colOff>
                    <xdr:row>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6" r:id="rId27" name="Drop Down 196">
              <controlPr defaultSize="0" autoLine="0" autoPict="0">
                <anchor moveWithCells="1">
                  <from>
                    <xdr:col>2</xdr:col>
                    <xdr:colOff>0</xdr:colOff>
                    <xdr:row>95</xdr:row>
                    <xdr:rowOff>0</xdr:rowOff>
                  </from>
                  <to>
                    <xdr:col>3</xdr:col>
                    <xdr:colOff>9525</xdr:colOff>
                    <xdr:row>96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7" r:id="rId28" name="Drop Down 197">
              <controlPr defaultSize="0" autoLine="0" autoPict="0">
                <anchor moveWithCells="1">
                  <from>
                    <xdr:col>2</xdr:col>
                    <xdr:colOff>0</xdr:colOff>
                    <xdr:row>96</xdr:row>
                    <xdr:rowOff>0</xdr:rowOff>
                  </from>
                  <to>
                    <xdr:col>3</xdr:col>
                    <xdr:colOff>9525</xdr:colOff>
                    <xdr:row>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8" r:id="rId29" name="Drop Down 198">
              <controlPr defaultSize="0" autoLine="0" autoPict="0">
                <anchor moveWithCells="1">
                  <from>
                    <xdr:col>2</xdr:col>
                    <xdr:colOff>0</xdr:colOff>
                    <xdr:row>97</xdr:row>
                    <xdr:rowOff>0</xdr:rowOff>
                  </from>
                  <to>
                    <xdr:col>3</xdr:col>
                    <xdr:colOff>9525</xdr:colOff>
                    <xdr:row>98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9" r:id="rId30" name="Drop Down 199">
              <controlPr defaultSize="0" autoLine="0" autoPict="0">
                <anchor moveWithCells="1">
                  <from>
                    <xdr:col>2</xdr:col>
                    <xdr:colOff>0</xdr:colOff>
                    <xdr:row>98</xdr:row>
                    <xdr:rowOff>0</xdr:rowOff>
                  </from>
                  <to>
                    <xdr:col>3</xdr:col>
                    <xdr:colOff>9525</xdr:colOff>
                    <xdr:row>99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0" r:id="rId31" name="Drop Down 200">
              <controlPr defaultSize="0" autoLine="0" autoPict="0">
                <anchor moveWithCells="1">
                  <from>
                    <xdr:col>2</xdr:col>
                    <xdr:colOff>0</xdr:colOff>
                    <xdr:row>99</xdr:row>
                    <xdr:rowOff>0</xdr:rowOff>
                  </from>
                  <to>
                    <xdr:col>3</xdr:col>
                    <xdr:colOff>9525</xdr:colOff>
                    <xdr:row>100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1" r:id="rId32" name="Drop Down 201">
              <controlPr defaultSize="0" autoLine="0" autoPict="0">
                <anchor moveWithCells="1">
                  <from>
                    <xdr:col>2</xdr:col>
                    <xdr:colOff>0</xdr:colOff>
                    <xdr:row>100</xdr:row>
                    <xdr:rowOff>0</xdr:rowOff>
                  </from>
                  <to>
                    <xdr:col>3</xdr:col>
                    <xdr:colOff>9525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2" r:id="rId33" name="Drop Down 202">
              <controlPr defaultSize="0" autoLine="0" autoPict="0">
                <anchor moveWithCells="1">
                  <from>
                    <xdr:col>2</xdr:col>
                    <xdr:colOff>0</xdr:colOff>
                    <xdr:row>101</xdr:row>
                    <xdr:rowOff>0</xdr:rowOff>
                  </from>
                  <to>
                    <xdr:col>3</xdr:col>
                    <xdr:colOff>9525</xdr:colOff>
                    <xdr:row>102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2" r:id="rId34" name="Drop Down 222">
              <controlPr defaultSize="0" autoLine="0" autoPict="0">
                <anchor moveWithCells="1">
                  <from>
                    <xdr:col>5</xdr:col>
                    <xdr:colOff>0</xdr:colOff>
                    <xdr:row>95</xdr:row>
                    <xdr:rowOff>0</xdr:rowOff>
                  </from>
                  <to>
                    <xdr:col>6</xdr:col>
                    <xdr:colOff>0</xdr:colOff>
                    <xdr:row>96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3" r:id="rId35" name="Drop Down 223">
              <controlPr defaultSize="0" autoLine="0" autoPict="0">
                <anchor moveWithCells="1">
                  <from>
                    <xdr:col>5</xdr:col>
                    <xdr:colOff>0</xdr:colOff>
                    <xdr:row>96</xdr:row>
                    <xdr:rowOff>0</xdr:rowOff>
                  </from>
                  <to>
                    <xdr:col>6</xdr:col>
                    <xdr:colOff>0</xdr:colOff>
                    <xdr:row>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4" r:id="rId36" name="Drop Down 224">
              <controlPr defaultSize="0" autoLine="0" autoPict="0">
                <anchor moveWithCells="1">
                  <from>
                    <xdr:col>5</xdr:col>
                    <xdr:colOff>0</xdr:colOff>
                    <xdr:row>97</xdr:row>
                    <xdr:rowOff>0</xdr:rowOff>
                  </from>
                  <to>
                    <xdr:col>6</xdr:col>
                    <xdr:colOff>0</xdr:colOff>
                    <xdr:row>98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5" r:id="rId37" name="Drop Down 225">
              <controlPr defaultSize="0" autoLine="0" autoPict="0">
                <anchor moveWithCells="1">
                  <from>
                    <xdr:col>5</xdr:col>
                    <xdr:colOff>0</xdr:colOff>
                    <xdr:row>98</xdr:row>
                    <xdr:rowOff>0</xdr:rowOff>
                  </from>
                  <to>
                    <xdr:col>6</xdr:col>
                    <xdr:colOff>0</xdr:colOff>
                    <xdr:row>99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6" r:id="rId38" name="Drop Down 226">
              <controlPr defaultSize="0" autoLine="0" autoPict="0">
                <anchor moveWithCells="1">
                  <from>
                    <xdr:col>5</xdr:col>
                    <xdr:colOff>0</xdr:colOff>
                    <xdr:row>99</xdr:row>
                    <xdr:rowOff>0</xdr:rowOff>
                  </from>
                  <to>
                    <xdr:col>6</xdr:col>
                    <xdr:colOff>0</xdr:colOff>
                    <xdr:row>100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7" r:id="rId39" name="Drop Down 227">
              <controlPr defaultSize="0" autoLine="0" autoPict="0">
                <anchor moveWithCells="1">
                  <from>
                    <xdr:col>5</xdr:col>
                    <xdr:colOff>0</xdr:colOff>
                    <xdr:row>100</xdr:row>
                    <xdr:rowOff>0</xdr:rowOff>
                  </from>
                  <to>
                    <xdr:col>6</xdr:col>
                    <xdr:colOff>0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8" r:id="rId40" name="Drop Down 228">
              <controlPr defaultSize="0" autoLine="0" autoPict="0">
                <anchor moveWithCells="1">
                  <from>
                    <xdr:col>5</xdr:col>
                    <xdr:colOff>0</xdr:colOff>
                    <xdr:row>101</xdr:row>
                    <xdr:rowOff>0</xdr:rowOff>
                  </from>
                  <to>
                    <xdr:col>6</xdr:col>
                    <xdr:colOff>0</xdr:colOff>
                    <xdr:row>102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9" r:id="rId41" name="Drop Down 229">
              <controlPr defaultSize="0" autoLine="0" autoPict="0">
                <anchor moveWithCells="1">
                  <from>
                    <xdr:col>2</xdr:col>
                    <xdr:colOff>0</xdr:colOff>
                    <xdr:row>102</xdr:row>
                    <xdr:rowOff>0</xdr:rowOff>
                  </from>
                  <to>
                    <xdr:col>3</xdr:col>
                    <xdr:colOff>9525</xdr:colOff>
                    <xdr:row>103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2" r:id="rId42" name="Drop Down 232">
              <controlPr defaultSize="0" autoLine="0" autoPict="0">
                <anchor moveWithCells="1">
                  <from>
                    <xdr:col>5</xdr:col>
                    <xdr:colOff>0</xdr:colOff>
                    <xdr:row>102</xdr:row>
                    <xdr:rowOff>0</xdr:rowOff>
                  </from>
                  <to>
                    <xdr:col>6</xdr:col>
                    <xdr:colOff>0</xdr:colOff>
                    <xdr:row>103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5" r:id="rId43" name="Drop Down 275">
              <controlPr defaultSize="0" autoLine="0" autoPict="0">
                <anchor moveWithCells="1">
                  <from>
                    <xdr:col>10</xdr:col>
                    <xdr:colOff>0</xdr:colOff>
                    <xdr:row>78</xdr:row>
                    <xdr:rowOff>9525</xdr:rowOff>
                  </from>
                  <to>
                    <xdr:col>11</xdr:col>
                    <xdr:colOff>19050</xdr:colOff>
                    <xdr:row>79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6" r:id="rId44" name="Drop Down 276">
              <controlPr defaultSize="0" autoLine="0" autoPict="0">
                <anchor moveWithCells="1">
                  <from>
                    <xdr:col>9</xdr:col>
                    <xdr:colOff>0</xdr:colOff>
                    <xdr:row>79</xdr:row>
                    <xdr:rowOff>0</xdr:rowOff>
                  </from>
                  <to>
                    <xdr:col>9</xdr:col>
                    <xdr:colOff>1066800</xdr:colOff>
                    <xdr:row>80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7" r:id="rId45" name="Drop Down 277">
              <controlPr defaultSize="0" autoLine="0" autoPict="0">
                <anchor moveWithCells="1">
                  <from>
                    <xdr:col>9</xdr:col>
                    <xdr:colOff>0</xdr:colOff>
                    <xdr:row>80</xdr:row>
                    <xdr:rowOff>0</xdr:rowOff>
                  </from>
                  <to>
                    <xdr:col>9</xdr:col>
                    <xdr:colOff>1066800</xdr:colOff>
                    <xdr:row>81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8" r:id="rId46" name="Drop Down 278">
              <controlPr defaultSize="0" autoLine="0" autoPict="0">
                <anchor moveWithCells="1">
                  <from>
                    <xdr:col>9</xdr:col>
                    <xdr:colOff>0</xdr:colOff>
                    <xdr:row>81</xdr:row>
                    <xdr:rowOff>0</xdr:rowOff>
                  </from>
                  <to>
                    <xdr:col>9</xdr:col>
                    <xdr:colOff>1066800</xdr:colOff>
                    <xdr:row>82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9" r:id="rId47" name="Drop Down 279">
              <controlPr defaultSize="0" autoLine="0" autoPict="0">
                <anchor moveWithCells="1">
                  <from>
                    <xdr:col>9</xdr:col>
                    <xdr:colOff>0</xdr:colOff>
                    <xdr:row>82</xdr:row>
                    <xdr:rowOff>0</xdr:rowOff>
                  </from>
                  <to>
                    <xdr:col>9</xdr:col>
                    <xdr:colOff>1066800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0" r:id="rId48" name="Drop Down 280">
              <controlPr defaultSize="0" autoLine="0" autoPict="0">
                <anchor moveWithCells="1">
                  <from>
                    <xdr:col>9</xdr:col>
                    <xdr:colOff>0</xdr:colOff>
                    <xdr:row>83</xdr:row>
                    <xdr:rowOff>0</xdr:rowOff>
                  </from>
                  <to>
                    <xdr:col>9</xdr:col>
                    <xdr:colOff>1066800</xdr:colOff>
                    <xdr:row>84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1" r:id="rId49" name="Drop Down 281">
              <controlPr defaultSize="0" autoLine="0" autoPict="0">
                <anchor moveWithCells="1">
                  <from>
                    <xdr:col>9</xdr:col>
                    <xdr:colOff>0</xdr:colOff>
                    <xdr:row>84</xdr:row>
                    <xdr:rowOff>0</xdr:rowOff>
                  </from>
                  <to>
                    <xdr:col>9</xdr:col>
                    <xdr:colOff>1066800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2" r:id="rId50" name="Drop Down 282">
              <controlPr defaultSize="0" autoLine="0" autoPict="0">
                <anchor moveWithCells="1">
                  <from>
                    <xdr:col>9</xdr:col>
                    <xdr:colOff>0</xdr:colOff>
                    <xdr:row>85</xdr:row>
                    <xdr:rowOff>0</xdr:rowOff>
                  </from>
                  <to>
                    <xdr:col>9</xdr:col>
                    <xdr:colOff>1066800</xdr:colOff>
                    <xdr:row>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3" r:id="rId51" name="Drop Down 283">
              <controlPr defaultSize="0" autoLine="0" autoPict="0">
                <anchor moveWithCells="1">
                  <from>
                    <xdr:col>9</xdr:col>
                    <xdr:colOff>0</xdr:colOff>
                    <xdr:row>86</xdr:row>
                    <xdr:rowOff>0</xdr:rowOff>
                  </from>
                  <to>
                    <xdr:col>9</xdr:col>
                    <xdr:colOff>1066800</xdr:colOff>
                    <xdr:row>87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4" r:id="rId52" name="Drop Down 284">
              <controlPr defaultSize="0" autoLine="0" autoPict="0">
                <anchor moveWithCells="1">
                  <from>
                    <xdr:col>9</xdr:col>
                    <xdr:colOff>0</xdr:colOff>
                    <xdr:row>87</xdr:row>
                    <xdr:rowOff>0</xdr:rowOff>
                  </from>
                  <to>
                    <xdr:col>9</xdr:col>
                    <xdr:colOff>1066800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5" r:id="rId53" name="Drop Down 285">
              <controlPr defaultSize="0" autoLine="0" autoPict="0">
                <anchor moveWithCells="1">
                  <from>
                    <xdr:col>9</xdr:col>
                    <xdr:colOff>0</xdr:colOff>
                    <xdr:row>88</xdr:row>
                    <xdr:rowOff>0</xdr:rowOff>
                  </from>
                  <to>
                    <xdr:col>9</xdr:col>
                    <xdr:colOff>1066800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6" r:id="rId54" name="Drop Down 296">
              <controlPr defaultSize="0" autoLine="0" autoPict="0">
                <anchor moveWithCells="1">
                  <from>
                    <xdr:col>10</xdr:col>
                    <xdr:colOff>0</xdr:colOff>
                    <xdr:row>79</xdr:row>
                    <xdr:rowOff>0</xdr:rowOff>
                  </from>
                  <to>
                    <xdr:col>11</xdr:col>
                    <xdr:colOff>19050</xdr:colOff>
                    <xdr:row>80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7" r:id="rId55" name="Drop Down 297">
              <controlPr defaultSize="0" autoLine="0" autoPict="0">
                <anchor moveWithCells="1">
                  <from>
                    <xdr:col>10</xdr:col>
                    <xdr:colOff>0</xdr:colOff>
                    <xdr:row>80</xdr:row>
                    <xdr:rowOff>0</xdr:rowOff>
                  </from>
                  <to>
                    <xdr:col>11</xdr:col>
                    <xdr:colOff>19050</xdr:colOff>
                    <xdr:row>81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8" r:id="rId56" name="Drop Down 298">
              <controlPr defaultSize="0" autoLine="0" autoPict="0">
                <anchor moveWithCells="1">
                  <from>
                    <xdr:col>10</xdr:col>
                    <xdr:colOff>0</xdr:colOff>
                    <xdr:row>81</xdr:row>
                    <xdr:rowOff>0</xdr:rowOff>
                  </from>
                  <to>
                    <xdr:col>11</xdr:col>
                    <xdr:colOff>19050</xdr:colOff>
                    <xdr:row>82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9" r:id="rId57" name="Drop Down 299">
              <controlPr defaultSize="0" autoLine="0" autoPict="0">
                <anchor moveWithCells="1">
                  <from>
                    <xdr:col>10</xdr:col>
                    <xdr:colOff>0</xdr:colOff>
                    <xdr:row>82</xdr:row>
                    <xdr:rowOff>0</xdr:rowOff>
                  </from>
                  <to>
                    <xdr:col>11</xdr:col>
                    <xdr:colOff>19050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0" r:id="rId58" name="Drop Down 300">
              <controlPr defaultSize="0" autoLine="0" autoPict="0">
                <anchor moveWithCells="1">
                  <from>
                    <xdr:col>10</xdr:col>
                    <xdr:colOff>0</xdr:colOff>
                    <xdr:row>83</xdr:row>
                    <xdr:rowOff>0</xdr:rowOff>
                  </from>
                  <to>
                    <xdr:col>11</xdr:col>
                    <xdr:colOff>19050</xdr:colOff>
                    <xdr:row>84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1" r:id="rId59" name="Drop Down 301">
              <controlPr defaultSize="0" autoLine="0" autoPict="0">
                <anchor moveWithCells="1">
                  <from>
                    <xdr:col>10</xdr:col>
                    <xdr:colOff>0</xdr:colOff>
                    <xdr:row>84</xdr:row>
                    <xdr:rowOff>0</xdr:rowOff>
                  </from>
                  <to>
                    <xdr:col>11</xdr:col>
                    <xdr:colOff>19050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2" r:id="rId60" name="Drop Down 302">
              <controlPr defaultSize="0" autoLine="0" autoPict="0">
                <anchor moveWithCells="1">
                  <from>
                    <xdr:col>10</xdr:col>
                    <xdr:colOff>0</xdr:colOff>
                    <xdr:row>85</xdr:row>
                    <xdr:rowOff>0</xdr:rowOff>
                  </from>
                  <to>
                    <xdr:col>11</xdr:col>
                    <xdr:colOff>19050</xdr:colOff>
                    <xdr:row>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3" r:id="rId61" name="Drop Down 303">
              <controlPr defaultSize="0" autoLine="0" autoPict="0">
                <anchor moveWithCells="1">
                  <from>
                    <xdr:col>10</xdr:col>
                    <xdr:colOff>0</xdr:colOff>
                    <xdr:row>86</xdr:row>
                    <xdr:rowOff>0</xdr:rowOff>
                  </from>
                  <to>
                    <xdr:col>11</xdr:col>
                    <xdr:colOff>19050</xdr:colOff>
                    <xdr:row>87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4" r:id="rId62" name="Drop Down 304">
              <controlPr defaultSize="0" autoLine="0" autoPict="0">
                <anchor moveWithCells="1">
                  <from>
                    <xdr:col>10</xdr:col>
                    <xdr:colOff>0</xdr:colOff>
                    <xdr:row>87</xdr:row>
                    <xdr:rowOff>0</xdr:rowOff>
                  </from>
                  <to>
                    <xdr:col>11</xdr:col>
                    <xdr:colOff>19050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5" r:id="rId63" name="Drop Down 305">
              <controlPr defaultSize="0" autoLine="0" autoPict="0">
                <anchor moveWithCells="1">
                  <from>
                    <xdr:col>10</xdr:col>
                    <xdr:colOff>0</xdr:colOff>
                    <xdr:row>88</xdr:row>
                    <xdr:rowOff>0</xdr:rowOff>
                  </from>
                  <to>
                    <xdr:col>11</xdr:col>
                    <xdr:colOff>19050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6" r:id="rId64" name="Drop Down 306">
              <controlPr defaultSize="0" autoLine="0" autoPict="0">
                <anchor moveWithCells="1">
                  <from>
                    <xdr:col>8</xdr:col>
                    <xdr:colOff>0</xdr:colOff>
                    <xdr:row>108</xdr:row>
                    <xdr:rowOff>0</xdr:rowOff>
                  </from>
                  <to>
                    <xdr:col>8</xdr:col>
                    <xdr:colOff>1076325</xdr:colOff>
                    <xdr:row>108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7" r:id="rId65" name="Drop Down 307">
              <controlPr defaultSize="0" autoLine="0" autoPict="0">
                <anchor moveWithCells="1">
                  <from>
                    <xdr:col>7</xdr:col>
                    <xdr:colOff>0</xdr:colOff>
                    <xdr:row>109</xdr:row>
                    <xdr:rowOff>0</xdr:rowOff>
                  </from>
                  <to>
                    <xdr:col>8</xdr:col>
                    <xdr:colOff>0</xdr:colOff>
                    <xdr:row>110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8" r:id="rId66" name="Drop Down 308">
              <controlPr defaultSize="0" autoLine="0" autoPict="0">
                <anchor moveWithCells="1">
                  <from>
                    <xdr:col>7</xdr:col>
                    <xdr:colOff>0</xdr:colOff>
                    <xdr:row>110</xdr:row>
                    <xdr:rowOff>0</xdr:rowOff>
                  </from>
                  <to>
                    <xdr:col>8</xdr:col>
                    <xdr:colOff>0</xdr:colOff>
                    <xdr:row>111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9" r:id="rId67" name="Drop Down 309">
              <controlPr defaultSize="0" autoLine="0" autoPict="0">
                <anchor moveWithCells="1">
                  <from>
                    <xdr:col>7</xdr:col>
                    <xdr:colOff>0</xdr:colOff>
                    <xdr:row>111</xdr:row>
                    <xdr:rowOff>0</xdr:rowOff>
                  </from>
                  <to>
                    <xdr:col>8</xdr:col>
                    <xdr:colOff>0</xdr:colOff>
                    <xdr:row>112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30" r:id="rId68" name="Drop Down 310">
              <controlPr defaultSize="0" autoLine="0" autoPict="0">
                <anchor moveWithCells="1">
                  <from>
                    <xdr:col>7</xdr:col>
                    <xdr:colOff>0</xdr:colOff>
                    <xdr:row>112</xdr:row>
                    <xdr:rowOff>0</xdr:rowOff>
                  </from>
                  <to>
                    <xdr:col>8</xdr:col>
                    <xdr:colOff>0</xdr:colOff>
                    <xdr:row>113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31" r:id="rId69" name="Drop Down 311">
              <controlPr defaultSize="0" autoLine="0" autoPict="0">
                <anchor moveWithCells="1">
                  <from>
                    <xdr:col>7</xdr:col>
                    <xdr:colOff>0</xdr:colOff>
                    <xdr:row>113</xdr:row>
                    <xdr:rowOff>0</xdr:rowOff>
                  </from>
                  <to>
                    <xdr:col>8</xdr:col>
                    <xdr:colOff>0</xdr:colOff>
                    <xdr:row>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32" r:id="rId70" name="Drop Down 312">
              <controlPr defaultSize="0" autoLine="0" autoPict="0">
                <anchor moveWithCells="1">
                  <from>
                    <xdr:col>7</xdr:col>
                    <xdr:colOff>0</xdr:colOff>
                    <xdr:row>114</xdr:row>
                    <xdr:rowOff>0</xdr:rowOff>
                  </from>
                  <to>
                    <xdr:col>8</xdr:col>
                    <xdr:colOff>0</xdr:colOff>
                    <xdr:row>115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33" r:id="rId71" name="Drop Down 313">
              <controlPr defaultSize="0" autoLine="0" autoPict="0">
                <anchor moveWithCells="1">
                  <from>
                    <xdr:col>7</xdr:col>
                    <xdr:colOff>0</xdr:colOff>
                    <xdr:row>115</xdr:row>
                    <xdr:rowOff>0</xdr:rowOff>
                  </from>
                  <to>
                    <xdr:col>8</xdr:col>
                    <xdr:colOff>0</xdr:colOff>
                    <xdr:row>116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34" r:id="rId72" name="Drop Down 314">
              <controlPr defaultSize="0" autoLine="0" autoPict="0">
                <anchor moveWithCells="1">
                  <from>
                    <xdr:col>7</xdr:col>
                    <xdr:colOff>0</xdr:colOff>
                    <xdr:row>116</xdr:row>
                    <xdr:rowOff>0</xdr:rowOff>
                  </from>
                  <to>
                    <xdr:col>8</xdr:col>
                    <xdr:colOff>0</xdr:colOff>
                    <xdr:row>116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35" r:id="rId73" name="Drop Down 315">
              <controlPr defaultSize="0" autoLine="0" autoPict="0">
                <anchor moveWithCells="1">
                  <from>
                    <xdr:col>8</xdr:col>
                    <xdr:colOff>0</xdr:colOff>
                    <xdr:row>109</xdr:row>
                    <xdr:rowOff>0</xdr:rowOff>
                  </from>
                  <to>
                    <xdr:col>8</xdr:col>
                    <xdr:colOff>1076325</xdr:colOff>
                    <xdr:row>110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36" r:id="rId74" name="Drop Down 316">
              <controlPr defaultSize="0" autoLine="0" autoPict="0">
                <anchor moveWithCells="1">
                  <from>
                    <xdr:col>8</xdr:col>
                    <xdr:colOff>0</xdr:colOff>
                    <xdr:row>110</xdr:row>
                    <xdr:rowOff>0</xdr:rowOff>
                  </from>
                  <to>
                    <xdr:col>8</xdr:col>
                    <xdr:colOff>1076325</xdr:colOff>
                    <xdr:row>111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37" r:id="rId75" name="Drop Down 317">
              <controlPr defaultSize="0" autoLine="0" autoPict="0">
                <anchor moveWithCells="1">
                  <from>
                    <xdr:col>8</xdr:col>
                    <xdr:colOff>0</xdr:colOff>
                    <xdr:row>111</xdr:row>
                    <xdr:rowOff>0</xdr:rowOff>
                  </from>
                  <to>
                    <xdr:col>8</xdr:col>
                    <xdr:colOff>1076325</xdr:colOff>
                    <xdr:row>112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38" r:id="rId76" name="Drop Down 318">
              <controlPr defaultSize="0" autoLine="0" autoPict="0">
                <anchor moveWithCells="1">
                  <from>
                    <xdr:col>8</xdr:col>
                    <xdr:colOff>0</xdr:colOff>
                    <xdr:row>112</xdr:row>
                    <xdr:rowOff>0</xdr:rowOff>
                  </from>
                  <to>
                    <xdr:col>8</xdr:col>
                    <xdr:colOff>1076325</xdr:colOff>
                    <xdr:row>113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39" r:id="rId77" name="Drop Down 319">
              <controlPr defaultSize="0" autoLine="0" autoPict="0">
                <anchor moveWithCells="1">
                  <from>
                    <xdr:col>8</xdr:col>
                    <xdr:colOff>0</xdr:colOff>
                    <xdr:row>113</xdr:row>
                    <xdr:rowOff>0</xdr:rowOff>
                  </from>
                  <to>
                    <xdr:col>8</xdr:col>
                    <xdr:colOff>1076325</xdr:colOff>
                    <xdr:row>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0" r:id="rId78" name="Drop Down 320">
              <controlPr defaultSize="0" autoLine="0" autoPict="0">
                <anchor moveWithCells="1">
                  <from>
                    <xdr:col>8</xdr:col>
                    <xdr:colOff>0</xdr:colOff>
                    <xdr:row>114</xdr:row>
                    <xdr:rowOff>0</xdr:rowOff>
                  </from>
                  <to>
                    <xdr:col>8</xdr:col>
                    <xdr:colOff>1076325</xdr:colOff>
                    <xdr:row>115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1" r:id="rId79" name="Drop Down 321">
              <controlPr defaultSize="0" autoLine="0" autoPict="0">
                <anchor moveWithCells="1">
                  <from>
                    <xdr:col>8</xdr:col>
                    <xdr:colOff>0</xdr:colOff>
                    <xdr:row>115</xdr:row>
                    <xdr:rowOff>0</xdr:rowOff>
                  </from>
                  <to>
                    <xdr:col>8</xdr:col>
                    <xdr:colOff>1076325</xdr:colOff>
                    <xdr:row>116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2" r:id="rId80" name="Drop Down 322">
              <controlPr defaultSize="0" autoLine="0" autoPict="0">
                <anchor moveWithCells="1">
                  <from>
                    <xdr:col>8</xdr:col>
                    <xdr:colOff>0</xdr:colOff>
                    <xdr:row>116</xdr:row>
                    <xdr:rowOff>0</xdr:rowOff>
                  </from>
                  <to>
                    <xdr:col>8</xdr:col>
                    <xdr:colOff>1076325</xdr:colOff>
                    <xdr:row>116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3" r:id="rId81" name="Drop Down 323">
              <controlPr defaultSize="0" autoLine="0" autoPict="0">
                <anchor moveWithCells="1">
                  <from>
                    <xdr:col>7</xdr:col>
                    <xdr:colOff>0</xdr:colOff>
                    <xdr:row>94</xdr:row>
                    <xdr:rowOff>0</xdr:rowOff>
                  </from>
                  <to>
                    <xdr:col>8</xdr:col>
                    <xdr:colOff>0</xdr:colOff>
                    <xdr:row>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4" r:id="rId82" name="Drop Down 324">
              <controlPr defaultSize="0" autoLine="0" autoPict="0">
                <anchor moveWithCells="1">
                  <from>
                    <xdr:col>8</xdr:col>
                    <xdr:colOff>0</xdr:colOff>
                    <xdr:row>94</xdr:row>
                    <xdr:rowOff>0</xdr:rowOff>
                  </from>
                  <to>
                    <xdr:col>8</xdr:col>
                    <xdr:colOff>1076325</xdr:colOff>
                    <xdr:row>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5" r:id="rId83" name="Drop Down 325">
              <controlPr defaultSize="0" autoLine="0" autoPict="0">
                <anchor moveWithCells="1">
                  <from>
                    <xdr:col>7</xdr:col>
                    <xdr:colOff>0</xdr:colOff>
                    <xdr:row>95</xdr:row>
                    <xdr:rowOff>0</xdr:rowOff>
                  </from>
                  <to>
                    <xdr:col>8</xdr:col>
                    <xdr:colOff>0</xdr:colOff>
                    <xdr:row>96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6" r:id="rId84" name="Drop Down 326">
              <controlPr defaultSize="0" autoLine="0" autoPict="0">
                <anchor moveWithCells="1">
                  <from>
                    <xdr:col>7</xdr:col>
                    <xdr:colOff>0</xdr:colOff>
                    <xdr:row>96</xdr:row>
                    <xdr:rowOff>0</xdr:rowOff>
                  </from>
                  <to>
                    <xdr:col>8</xdr:col>
                    <xdr:colOff>0</xdr:colOff>
                    <xdr:row>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7" r:id="rId85" name="Drop Down 327">
              <controlPr defaultSize="0" autoLine="0" autoPict="0">
                <anchor moveWithCells="1">
                  <from>
                    <xdr:col>7</xdr:col>
                    <xdr:colOff>0</xdr:colOff>
                    <xdr:row>97</xdr:row>
                    <xdr:rowOff>0</xdr:rowOff>
                  </from>
                  <to>
                    <xdr:col>7</xdr:col>
                    <xdr:colOff>1247775</xdr:colOff>
                    <xdr:row>98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8" r:id="rId86" name="Drop Down 328">
              <controlPr defaultSize="0" autoLine="0" autoPict="0">
                <anchor moveWithCells="1">
                  <from>
                    <xdr:col>7</xdr:col>
                    <xdr:colOff>0</xdr:colOff>
                    <xdr:row>98</xdr:row>
                    <xdr:rowOff>0</xdr:rowOff>
                  </from>
                  <to>
                    <xdr:col>7</xdr:col>
                    <xdr:colOff>1247775</xdr:colOff>
                    <xdr:row>99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9" r:id="rId87" name="Drop Down 329">
              <controlPr defaultSize="0" autoLine="0" autoPict="0">
                <anchor moveWithCells="1">
                  <from>
                    <xdr:col>7</xdr:col>
                    <xdr:colOff>0</xdr:colOff>
                    <xdr:row>99</xdr:row>
                    <xdr:rowOff>0</xdr:rowOff>
                  </from>
                  <to>
                    <xdr:col>7</xdr:col>
                    <xdr:colOff>1247775</xdr:colOff>
                    <xdr:row>100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0" r:id="rId88" name="Drop Down 330">
              <controlPr defaultSize="0" autoLine="0" autoPict="0">
                <anchor moveWithCells="1">
                  <from>
                    <xdr:col>7</xdr:col>
                    <xdr:colOff>0</xdr:colOff>
                    <xdr:row>100</xdr:row>
                    <xdr:rowOff>0</xdr:rowOff>
                  </from>
                  <to>
                    <xdr:col>8</xdr:col>
                    <xdr:colOff>0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1" r:id="rId89" name="Drop Down 331">
              <controlPr defaultSize="0" autoLine="0" autoPict="0">
                <anchor moveWithCells="1">
                  <from>
                    <xdr:col>7</xdr:col>
                    <xdr:colOff>0</xdr:colOff>
                    <xdr:row>101</xdr:row>
                    <xdr:rowOff>0</xdr:rowOff>
                  </from>
                  <to>
                    <xdr:col>7</xdr:col>
                    <xdr:colOff>1247775</xdr:colOff>
                    <xdr:row>102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2" r:id="rId90" name="Drop Down 332">
              <controlPr defaultSize="0" autoLine="0" autoPict="0">
                <anchor moveWithCells="1">
                  <from>
                    <xdr:col>7</xdr:col>
                    <xdr:colOff>0</xdr:colOff>
                    <xdr:row>102</xdr:row>
                    <xdr:rowOff>0</xdr:rowOff>
                  </from>
                  <to>
                    <xdr:col>7</xdr:col>
                    <xdr:colOff>1247775</xdr:colOff>
                    <xdr:row>103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3" r:id="rId91" name="Drop Down 333">
              <controlPr defaultSize="0" autoLine="0" autoPict="0">
                <anchor moveWithCells="1">
                  <from>
                    <xdr:col>8</xdr:col>
                    <xdr:colOff>0</xdr:colOff>
                    <xdr:row>95</xdr:row>
                    <xdr:rowOff>0</xdr:rowOff>
                  </from>
                  <to>
                    <xdr:col>8</xdr:col>
                    <xdr:colOff>1076325</xdr:colOff>
                    <xdr:row>96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4" r:id="rId92" name="Drop Down 334">
              <controlPr defaultSize="0" autoLine="0" autoPict="0">
                <anchor moveWithCells="1">
                  <from>
                    <xdr:col>8</xdr:col>
                    <xdr:colOff>0</xdr:colOff>
                    <xdr:row>96</xdr:row>
                    <xdr:rowOff>0</xdr:rowOff>
                  </from>
                  <to>
                    <xdr:col>8</xdr:col>
                    <xdr:colOff>1076325</xdr:colOff>
                    <xdr:row>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5" r:id="rId93" name="Drop Down 335">
              <controlPr defaultSize="0" autoLine="0" autoPict="0">
                <anchor moveWithCells="1">
                  <from>
                    <xdr:col>8</xdr:col>
                    <xdr:colOff>0</xdr:colOff>
                    <xdr:row>97</xdr:row>
                    <xdr:rowOff>0</xdr:rowOff>
                  </from>
                  <to>
                    <xdr:col>8</xdr:col>
                    <xdr:colOff>1076325</xdr:colOff>
                    <xdr:row>98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6" r:id="rId94" name="Drop Down 336">
              <controlPr defaultSize="0" autoLine="0" autoPict="0">
                <anchor moveWithCells="1">
                  <from>
                    <xdr:col>8</xdr:col>
                    <xdr:colOff>0</xdr:colOff>
                    <xdr:row>98</xdr:row>
                    <xdr:rowOff>0</xdr:rowOff>
                  </from>
                  <to>
                    <xdr:col>8</xdr:col>
                    <xdr:colOff>1076325</xdr:colOff>
                    <xdr:row>99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7" r:id="rId95" name="Drop Down 337">
              <controlPr defaultSize="0" autoLine="0" autoPict="0">
                <anchor moveWithCells="1">
                  <from>
                    <xdr:col>8</xdr:col>
                    <xdr:colOff>0</xdr:colOff>
                    <xdr:row>99</xdr:row>
                    <xdr:rowOff>0</xdr:rowOff>
                  </from>
                  <to>
                    <xdr:col>8</xdr:col>
                    <xdr:colOff>1076325</xdr:colOff>
                    <xdr:row>100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8" r:id="rId96" name="Drop Down 338">
              <controlPr defaultSize="0" autoLine="0" autoPict="0">
                <anchor moveWithCells="1">
                  <from>
                    <xdr:col>8</xdr:col>
                    <xdr:colOff>0</xdr:colOff>
                    <xdr:row>100</xdr:row>
                    <xdr:rowOff>0</xdr:rowOff>
                  </from>
                  <to>
                    <xdr:col>8</xdr:col>
                    <xdr:colOff>1076325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9" r:id="rId97" name="Drop Down 339">
              <controlPr defaultSize="0" autoLine="0" autoPict="0">
                <anchor moveWithCells="1">
                  <from>
                    <xdr:col>8</xdr:col>
                    <xdr:colOff>0</xdr:colOff>
                    <xdr:row>101</xdr:row>
                    <xdr:rowOff>0</xdr:rowOff>
                  </from>
                  <to>
                    <xdr:col>8</xdr:col>
                    <xdr:colOff>1076325</xdr:colOff>
                    <xdr:row>102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0" r:id="rId98" name="Drop Down 340">
              <controlPr defaultSize="0" autoLine="0" autoPict="0">
                <anchor moveWithCells="1">
                  <from>
                    <xdr:col>8</xdr:col>
                    <xdr:colOff>0</xdr:colOff>
                    <xdr:row>102</xdr:row>
                    <xdr:rowOff>0</xdr:rowOff>
                  </from>
                  <to>
                    <xdr:col>8</xdr:col>
                    <xdr:colOff>1076325</xdr:colOff>
                    <xdr:row>103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6" r:id="rId99" name="Drop Down 436">
              <controlPr defaultSize="0" autoLine="0" autoPict="0">
                <anchor moveWithCells="1">
                  <from>
                    <xdr:col>2</xdr:col>
                    <xdr:colOff>0</xdr:colOff>
                    <xdr:row>122</xdr:row>
                    <xdr:rowOff>0</xdr:rowOff>
                  </from>
                  <to>
                    <xdr:col>3</xdr:col>
                    <xdr:colOff>9525</xdr:colOff>
                    <xdr:row>123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60" r:id="rId100" name="Drop Down 440">
              <controlPr defaultSize="0" autoLine="0" autoPict="0">
                <anchor moveWithCells="1">
                  <from>
                    <xdr:col>2</xdr:col>
                    <xdr:colOff>0</xdr:colOff>
                    <xdr:row>123</xdr:row>
                    <xdr:rowOff>0</xdr:rowOff>
                  </from>
                  <to>
                    <xdr:col>3</xdr:col>
                    <xdr:colOff>9525</xdr:colOff>
                    <xdr:row>124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61" r:id="rId101" name="Drop Down 441">
              <controlPr defaultSize="0" autoLine="0" autoPict="0">
                <anchor moveWithCells="1">
                  <from>
                    <xdr:col>2</xdr:col>
                    <xdr:colOff>0</xdr:colOff>
                    <xdr:row>124</xdr:row>
                    <xdr:rowOff>0</xdr:rowOff>
                  </from>
                  <to>
                    <xdr:col>3</xdr:col>
                    <xdr:colOff>9525</xdr:colOff>
                    <xdr:row>125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62" r:id="rId102" name="Drop Down 442">
              <controlPr defaultSize="0" autoLine="0" autoPict="0">
                <anchor moveWithCells="1">
                  <from>
                    <xdr:col>2</xdr:col>
                    <xdr:colOff>0</xdr:colOff>
                    <xdr:row>125</xdr:row>
                    <xdr:rowOff>0</xdr:rowOff>
                  </from>
                  <to>
                    <xdr:col>3</xdr:col>
                    <xdr:colOff>9525</xdr:colOff>
                    <xdr:row>126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2" r:id="rId103" name="Drop Down 1266">
              <controlPr defaultSize="0" autoLine="0" autoPict="0">
                <anchor moveWithCells="1">
                  <from>
                    <xdr:col>2</xdr:col>
                    <xdr:colOff>0</xdr:colOff>
                    <xdr:row>78</xdr:row>
                    <xdr:rowOff>0</xdr:rowOff>
                  </from>
                  <to>
                    <xdr:col>3</xdr:col>
                    <xdr:colOff>19050</xdr:colOff>
                    <xdr:row>79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9" r:id="rId104" name="Drop Down 1673">
              <controlPr defaultSize="0" autoLine="0" autoPict="0">
                <anchor moveWithCells="1">
                  <from>
                    <xdr:col>6</xdr:col>
                    <xdr:colOff>0</xdr:colOff>
                    <xdr:row>1</xdr:row>
                    <xdr:rowOff>0</xdr:rowOff>
                  </from>
                  <to>
                    <xdr:col>7</xdr:col>
                    <xdr:colOff>0</xdr:colOff>
                    <xdr:row>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10" r:id="rId105" name="Drop Down 1674">
              <controlPr defaultSize="0" autoLine="0" autoPict="0">
                <anchor moveWithCells="1">
                  <from>
                    <xdr:col>7</xdr:col>
                    <xdr:colOff>0</xdr:colOff>
                    <xdr:row>1</xdr:row>
                    <xdr:rowOff>0</xdr:rowOff>
                  </from>
                  <to>
                    <xdr:col>8</xdr:col>
                    <xdr:colOff>85725</xdr:colOff>
                    <xdr:row>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46" r:id="rId106" name="Drop Down 1710">
              <controlPr defaultSize="0" autoLine="0" autoPict="0">
                <anchor moveWithCells="1">
                  <from>
                    <xdr:col>10</xdr:col>
                    <xdr:colOff>9525</xdr:colOff>
                    <xdr:row>33</xdr:row>
                    <xdr:rowOff>9525</xdr:rowOff>
                  </from>
                  <to>
                    <xdr:col>11</xdr:col>
                    <xdr:colOff>19050</xdr:colOff>
                    <xdr:row>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83" r:id="rId107" name="Drop Down 1847">
              <controlPr defaultSize="0" autoLine="0" autoPict="0">
                <anchor moveWithCells="1">
                  <from>
                    <xdr:col>10</xdr:col>
                    <xdr:colOff>9525</xdr:colOff>
                    <xdr:row>32</xdr:row>
                    <xdr:rowOff>0</xdr:rowOff>
                  </from>
                  <to>
                    <xdr:col>11</xdr:col>
                    <xdr:colOff>19050</xdr:colOff>
                    <xdr:row>33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84" r:id="rId108" name="Drop Down 1848">
              <controlPr defaultSize="0" autoLine="0" autoPict="0">
                <anchor moveWithCells="1">
                  <from>
                    <xdr:col>10</xdr:col>
                    <xdr:colOff>9525</xdr:colOff>
                    <xdr:row>36</xdr:row>
                    <xdr:rowOff>180975</xdr:rowOff>
                  </from>
                  <to>
                    <xdr:col>11</xdr:col>
                    <xdr:colOff>19050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002" r:id="rId109" name="Drop Down 2418">
              <controlPr defaultSize="0" autoLine="0" autoPict="0">
                <anchor moveWithCells="1">
                  <from>
                    <xdr:col>2</xdr:col>
                    <xdr:colOff>0</xdr:colOff>
                    <xdr:row>122</xdr:row>
                    <xdr:rowOff>0</xdr:rowOff>
                  </from>
                  <to>
                    <xdr:col>3</xdr:col>
                    <xdr:colOff>9525</xdr:colOff>
                    <xdr:row>123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003" r:id="rId110" name="Drop Down 2419">
              <controlPr defaultSize="0" autoLine="0" autoPict="0">
                <anchor moveWithCells="1">
                  <from>
                    <xdr:col>2</xdr:col>
                    <xdr:colOff>0</xdr:colOff>
                    <xdr:row>123</xdr:row>
                    <xdr:rowOff>0</xdr:rowOff>
                  </from>
                  <to>
                    <xdr:col>3</xdr:col>
                    <xdr:colOff>9525</xdr:colOff>
                    <xdr:row>124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004" r:id="rId111" name="Drop Down 2420">
              <controlPr defaultSize="0" autoLine="0" autoPict="0">
                <anchor moveWithCells="1">
                  <from>
                    <xdr:col>2</xdr:col>
                    <xdr:colOff>0</xdr:colOff>
                    <xdr:row>123</xdr:row>
                    <xdr:rowOff>0</xdr:rowOff>
                  </from>
                  <to>
                    <xdr:col>3</xdr:col>
                    <xdr:colOff>9525</xdr:colOff>
                    <xdr:row>124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005" r:id="rId112" name="Drop Down 2421">
              <controlPr defaultSize="0" autoLine="0" autoPict="0">
                <anchor moveWithCells="1">
                  <from>
                    <xdr:col>2</xdr:col>
                    <xdr:colOff>0</xdr:colOff>
                    <xdr:row>124</xdr:row>
                    <xdr:rowOff>0</xdr:rowOff>
                  </from>
                  <to>
                    <xdr:col>3</xdr:col>
                    <xdr:colOff>9525</xdr:colOff>
                    <xdr:row>125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006" r:id="rId113" name="Drop Down 2422">
              <controlPr defaultSize="0" autoLine="0" autoPict="0">
                <anchor moveWithCells="1">
                  <from>
                    <xdr:col>2</xdr:col>
                    <xdr:colOff>0</xdr:colOff>
                    <xdr:row>123</xdr:row>
                    <xdr:rowOff>0</xdr:rowOff>
                  </from>
                  <to>
                    <xdr:col>3</xdr:col>
                    <xdr:colOff>9525</xdr:colOff>
                    <xdr:row>124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007" r:id="rId114" name="Drop Down 2423">
              <controlPr defaultSize="0" autoLine="0" autoPict="0">
                <anchor moveWithCells="1">
                  <from>
                    <xdr:col>2</xdr:col>
                    <xdr:colOff>0</xdr:colOff>
                    <xdr:row>124</xdr:row>
                    <xdr:rowOff>0</xdr:rowOff>
                  </from>
                  <to>
                    <xdr:col>3</xdr:col>
                    <xdr:colOff>9525</xdr:colOff>
                    <xdr:row>125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008" r:id="rId115" name="Drop Down 2424">
              <controlPr defaultSize="0" autoLine="0" autoPict="0">
                <anchor moveWithCells="1">
                  <from>
                    <xdr:col>2</xdr:col>
                    <xdr:colOff>0</xdr:colOff>
                    <xdr:row>124</xdr:row>
                    <xdr:rowOff>0</xdr:rowOff>
                  </from>
                  <to>
                    <xdr:col>3</xdr:col>
                    <xdr:colOff>9525</xdr:colOff>
                    <xdr:row>125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009" r:id="rId116" name="Drop Down 2425">
              <controlPr defaultSize="0" autoLine="0" autoPict="0">
                <anchor moveWithCells="1">
                  <from>
                    <xdr:col>2</xdr:col>
                    <xdr:colOff>0</xdr:colOff>
                    <xdr:row>125</xdr:row>
                    <xdr:rowOff>0</xdr:rowOff>
                  </from>
                  <to>
                    <xdr:col>3</xdr:col>
                    <xdr:colOff>9525</xdr:colOff>
                    <xdr:row>126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010" r:id="rId117" name="Drop Down 2426">
              <controlPr defaultSize="0" autoLine="0" autoPict="0">
                <anchor moveWithCells="1">
                  <from>
                    <xdr:col>2</xdr:col>
                    <xdr:colOff>0</xdr:colOff>
                    <xdr:row>124</xdr:row>
                    <xdr:rowOff>0</xdr:rowOff>
                  </from>
                  <to>
                    <xdr:col>3</xdr:col>
                    <xdr:colOff>9525</xdr:colOff>
                    <xdr:row>125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011" r:id="rId118" name="Drop Down 2427">
              <controlPr defaultSize="0" autoLine="0" autoPict="0">
                <anchor moveWithCells="1">
                  <from>
                    <xdr:col>2</xdr:col>
                    <xdr:colOff>0</xdr:colOff>
                    <xdr:row>125</xdr:row>
                    <xdr:rowOff>0</xdr:rowOff>
                  </from>
                  <to>
                    <xdr:col>3</xdr:col>
                    <xdr:colOff>9525</xdr:colOff>
                    <xdr:row>126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018" r:id="rId119" name="Drop Down 2434">
              <controlPr defaultSize="0" autoLine="0" autoPict="0">
                <anchor moveWithCells="1">
                  <from>
                    <xdr:col>5</xdr:col>
                    <xdr:colOff>0</xdr:colOff>
                    <xdr:row>122</xdr:row>
                    <xdr:rowOff>0</xdr:rowOff>
                  </from>
                  <to>
                    <xdr:col>6</xdr:col>
                    <xdr:colOff>0</xdr:colOff>
                    <xdr:row>123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019" r:id="rId120" name="Drop Down 2435">
              <controlPr defaultSize="0" autoLine="0" autoPict="0">
                <anchor moveWithCells="1">
                  <from>
                    <xdr:col>5</xdr:col>
                    <xdr:colOff>0</xdr:colOff>
                    <xdr:row>123</xdr:row>
                    <xdr:rowOff>0</xdr:rowOff>
                  </from>
                  <to>
                    <xdr:col>6</xdr:col>
                    <xdr:colOff>0</xdr:colOff>
                    <xdr:row>124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020" r:id="rId121" name="Drop Down 2436">
              <controlPr defaultSize="0" autoLine="0" autoPict="0">
                <anchor moveWithCells="1">
                  <from>
                    <xdr:col>5</xdr:col>
                    <xdr:colOff>0</xdr:colOff>
                    <xdr:row>124</xdr:row>
                    <xdr:rowOff>0</xdr:rowOff>
                  </from>
                  <to>
                    <xdr:col>6</xdr:col>
                    <xdr:colOff>0</xdr:colOff>
                    <xdr:row>125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021" r:id="rId122" name="Drop Down 2437">
              <controlPr defaultSize="0" autoLine="0" autoPict="0">
                <anchor moveWithCells="1">
                  <from>
                    <xdr:col>5</xdr:col>
                    <xdr:colOff>0</xdr:colOff>
                    <xdr:row>125</xdr:row>
                    <xdr:rowOff>0</xdr:rowOff>
                  </from>
                  <to>
                    <xdr:col>6</xdr:col>
                    <xdr:colOff>0</xdr:colOff>
                    <xdr:row>126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037" r:id="rId123" name="Drop Down 2453">
              <controlPr defaultSize="0" autoLine="0" autoPict="0">
                <anchor moveWithCells="1">
                  <from>
                    <xdr:col>8</xdr:col>
                    <xdr:colOff>0</xdr:colOff>
                    <xdr:row>109</xdr:row>
                    <xdr:rowOff>0</xdr:rowOff>
                  </from>
                  <to>
                    <xdr:col>8</xdr:col>
                    <xdr:colOff>1076325</xdr:colOff>
                    <xdr:row>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038" r:id="rId124" name="Drop Down 2454">
              <controlPr defaultSize="0" autoLine="0" autoPict="0">
                <anchor moveWithCells="1">
                  <from>
                    <xdr:col>8</xdr:col>
                    <xdr:colOff>0</xdr:colOff>
                    <xdr:row>110</xdr:row>
                    <xdr:rowOff>0</xdr:rowOff>
                  </from>
                  <to>
                    <xdr:col>8</xdr:col>
                    <xdr:colOff>1076325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039" r:id="rId125" name="Drop Down 2455">
              <controlPr defaultSize="0" autoLine="0" autoPict="0">
                <anchor moveWithCells="1">
                  <from>
                    <xdr:col>8</xdr:col>
                    <xdr:colOff>0</xdr:colOff>
                    <xdr:row>111</xdr:row>
                    <xdr:rowOff>0</xdr:rowOff>
                  </from>
                  <to>
                    <xdr:col>8</xdr:col>
                    <xdr:colOff>1076325</xdr:colOff>
                    <xdr:row>112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040" r:id="rId126" name="Drop Down 2456">
              <controlPr defaultSize="0" autoLine="0" autoPict="0">
                <anchor moveWithCells="1">
                  <from>
                    <xdr:col>8</xdr:col>
                    <xdr:colOff>0</xdr:colOff>
                    <xdr:row>112</xdr:row>
                    <xdr:rowOff>0</xdr:rowOff>
                  </from>
                  <to>
                    <xdr:col>8</xdr:col>
                    <xdr:colOff>1076325</xdr:colOff>
                    <xdr:row>113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041" r:id="rId127" name="Drop Down 2457">
              <controlPr defaultSize="0" autoLine="0" autoPict="0">
                <anchor moveWithCells="1">
                  <from>
                    <xdr:col>8</xdr:col>
                    <xdr:colOff>0</xdr:colOff>
                    <xdr:row>113</xdr:row>
                    <xdr:rowOff>0</xdr:rowOff>
                  </from>
                  <to>
                    <xdr:col>8</xdr:col>
                    <xdr:colOff>1076325</xdr:colOff>
                    <xdr:row>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042" r:id="rId128" name="Drop Down 2458">
              <controlPr defaultSize="0" autoLine="0" autoPict="0">
                <anchor moveWithCells="1">
                  <from>
                    <xdr:col>8</xdr:col>
                    <xdr:colOff>0</xdr:colOff>
                    <xdr:row>114</xdr:row>
                    <xdr:rowOff>0</xdr:rowOff>
                  </from>
                  <to>
                    <xdr:col>8</xdr:col>
                    <xdr:colOff>1076325</xdr:colOff>
                    <xdr:row>115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>
    <tabColor rgb="FF00B050"/>
  </sheetPr>
  <dimension ref="A1:CH8055"/>
  <sheetViews>
    <sheetView topLeftCell="A6" zoomScale="80" zoomScaleNormal="80" workbookViewId="0">
      <selection activeCell="B56" sqref="B56"/>
    </sheetView>
  </sheetViews>
  <sheetFormatPr defaultColWidth="9.140625" defaultRowHeight="12.75" x14ac:dyDescent="0.2"/>
  <cols>
    <col min="1" max="1" width="14.5703125" style="93" customWidth="1"/>
    <col min="2" max="2" width="27.42578125" style="93" customWidth="1"/>
    <col min="3" max="3" width="20.5703125" style="93" customWidth="1"/>
    <col min="4" max="4" width="19.85546875" style="93" customWidth="1"/>
    <col min="5" max="5" width="19.7109375" style="93" customWidth="1"/>
    <col min="6" max="6" width="20.85546875" style="93" customWidth="1"/>
    <col min="7" max="7" width="20.85546875" style="93" hidden="1" customWidth="1"/>
    <col min="8" max="8" width="21.7109375" style="93" customWidth="1"/>
    <col min="9" max="9" width="17.28515625" style="93" hidden="1" customWidth="1"/>
    <col min="10" max="10" width="13.28515625" style="93" customWidth="1"/>
    <col min="11" max="11" width="13.28515625" style="93" hidden="1" customWidth="1"/>
    <col min="12" max="12" width="13.140625" style="93" bestFit="1" customWidth="1"/>
    <col min="13" max="14" width="12.42578125" style="93" customWidth="1"/>
    <col min="15" max="15" width="12.140625" style="93" hidden="1" customWidth="1"/>
    <col min="16" max="16" width="8.5703125" style="93" customWidth="1"/>
    <col min="17" max="17" width="8.7109375" style="93" customWidth="1"/>
    <col min="18" max="18" width="0.85546875" style="93" customWidth="1"/>
    <col min="19" max="22" width="9.140625" style="93"/>
    <col min="23" max="23" width="20.28515625" style="93" customWidth="1"/>
    <col min="24" max="24" width="10.7109375" style="93" customWidth="1"/>
    <col min="25" max="25" width="22.7109375" style="93" bestFit="1" customWidth="1"/>
    <col min="26" max="26" width="14.28515625" style="93" bestFit="1" customWidth="1"/>
    <col min="27" max="27" width="15.140625" style="93" customWidth="1"/>
    <col min="28" max="29" width="14.28515625" style="93" bestFit="1" customWidth="1"/>
    <col min="30" max="30" width="6.42578125" style="93" customWidth="1"/>
    <col min="31" max="31" width="7.5703125" style="93" bestFit="1" customWidth="1"/>
    <col min="32" max="83" width="9.140625" style="93"/>
    <col min="84" max="84" width="0" style="93" hidden="1" customWidth="1"/>
    <col min="85" max="85" width="11" style="93" bestFit="1" customWidth="1"/>
    <col min="86" max="88" width="9.140625" style="93"/>
    <col min="89" max="89" width="9.7109375" style="93" customWidth="1"/>
    <col min="90" max="90" width="3" style="93" customWidth="1"/>
    <col min="91" max="16384" width="9.140625" style="93"/>
  </cols>
  <sheetData>
    <row r="1" spans="1:85" ht="10.5" customHeight="1" x14ac:dyDescent="0.2">
      <c r="AD1" s="636"/>
    </row>
    <row r="2" spans="1:85" ht="18" customHeight="1" x14ac:dyDescent="0.2">
      <c r="B2" s="2636"/>
      <c r="C2" s="2636"/>
      <c r="AD2" s="636"/>
    </row>
    <row r="3" spans="1:85" s="6" customFormat="1" ht="25.5" customHeight="1" thickBot="1" x14ac:dyDescent="0.3">
      <c r="B3" s="683" t="s">
        <v>984</v>
      </c>
      <c r="C3" s="665"/>
      <c r="E3" s="34"/>
      <c r="H3" s="7"/>
      <c r="I3" s="7"/>
      <c r="J3" s="92"/>
      <c r="K3" s="34"/>
      <c r="AD3" s="638"/>
    </row>
    <row r="4" spans="1:85" s="6" customFormat="1" x14ac:dyDescent="0.2">
      <c r="A4" s="655"/>
      <c r="B4" s="657" t="s">
        <v>945</v>
      </c>
      <c r="C4" s="658">
        <f>Descrição!J16</f>
        <v>774</v>
      </c>
      <c r="D4" s="659" t="s">
        <v>745</v>
      </c>
      <c r="E4" s="2286" t="s">
        <v>1419</v>
      </c>
      <c r="F4" s="2287" t="s">
        <v>1420</v>
      </c>
      <c r="G4" s="924"/>
      <c r="H4" s="2288"/>
      <c r="I4" s="1341"/>
      <c r="J4" s="1341"/>
      <c r="K4" s="1044"/>
      <c r="L4" s="660"/>
      <c r="M4" s="661"/>
      <c r="N4" s="660"/>
      <c r="O4" s="656"/>
      <c r="P4" s="656"/>
      <c r="Q4" s="656"/>
      <c r="R4" s="656"/>
      <c r="S4" s="656"/>
      <c r="T4" s="656"/>
      <c r="U4" s="656"/>
      <c r="V4" s="656"/>
      <c r="W4" s="656"/>
      <c r="X4" s="656"/>
      <c r="Y4" s="656"/>
      <c r="Z4" s="656"/>
      <c r="AA4" s="656"/>
      <c r="AB4" s="656"/>
      <c r="AC4" s="656"/>
      <c r="AD4" s="664"/>
      <c r="AE4" s="262"/>
    </row>
    <row r="5" spans="1:85" s="6" customFormat="1" ht="15" customHeight="1" x14ac:dyDescent="0.2">
      <c r="A5" s="635"/>
      <c r="B5" s="281" t="s">
        <v>733</v>
      </c>
      <c r="C5" s="564"/>
      <c r="D5" s="654" t="s">
        <v>552</v>
      </c>
      <c r="E5" s="1117">
        <v>0.8</v>
      </c>
      <c r="F5" s="1342">
        <v>0.2</v>
      </c>
      <c r="G5" s="1343"/>
      <c r="H5" s="1343"/>
      <c r="I5" s="925"/>
      <c r="J5" s="925"/>
      <c r="K5" s="1045"/>
      <c r="L5" s="144"/>
      <c r="AD5" s="636"/>
      <c r="AE5" s="262"/>
    </row>
    <row r="6" spans="1:85" s="6" customFormat="1" ht="15" customHeight="1" x14ac:dyDescent="0.2">
      <c r="A6" s="635"/>
      <c r="B6" s="281" t="s">
        <v>401</v>
      </c>
      <c r="C6" s="294">
        <f>C27+M27+L46</f>
        <v>991.72199999999998</v>
      </c>
      <c r="D6" s="330"/>
      <c r="F6" s="2632" t="s">
        <v>1193</v>
      </c>
      <c r="G6" s="2633"/>
      <c r="H6" s="2633"/>
      <c r="I6" s="345"/>
      <c r="J6" s="345"/>
      <c r="K6" s="345"/>
      <c r="L6" s="144"/>
      <c r="AD6" s="636"/>
    </row>
    <row r="7" spans="1:85" s="6" customFormat="1" ht="15" customHeight="1" x14ac:dyDescent="0.2">
      <c r="A7" s="635"/>
      <c r="B7" s="281" t="s">
        <v>1196</v>
      </c>
      <c r="C7" s="105">
        <f>IF(C6=0,0,(C6+C58)*C4)</f>
        <v>954782.14799999993</v>
      </c>
      <c r="D7" s="4" t="s">
        <v>1059</v>
      </c>
      <c r="F7" s="4" t="s">
        <v>1194</v>
      </c>
      <c r="G7" s="340"/>
      <c r="H7" s="340" t="s">
        <v>1195</v>
      </c>
      <c r="L7" s="144"/>
      <c r="AD7" s="636"/>
    </row>
    <row r="8" spans="1:85" s="6" customFormat="1" ht="15" customHeight="1" x14ac:dyDescent="0.2">
      <c r="A8" s="635"/>
      <c r="B8" s="281" t="s">
        <v>928</v>
      </c>
      <c r="C8" s="773">
        <v>15</v>
      </c>
      <c r="D8" s="865">
        <f>C4/C8</f>
        <v>51.6</v>
      </c>
      <c r="F8" s="1344">
        <v>0.15</v>
      </c>
      <c r="G8" s="1345"/>
      <c r="H8" s="1345">
        <f>F8*C4</f>
        <v>116.1</v>
      </c>
      <c r="I8" s="345"/>
      <c r="J8" s="345"/>
      <c r="K8" s="345"/>
      <c r="L8" s="113"/>
      <c r="M8" s="113"/>
      <c r="AD8" s="636"/>
    </row>
    <row r="9" spans="1:85" ht="15" customHeight="1" x14ac:dyDescent="0.2">
      <c r="A9" s="635"/>
      <c r="B9" s="281" t="s">
        <v>797</v>
      </c>
      <c r="C9" s="229">
        <v>2</v>
      </c>
      <c r="D9" s="2310">
        <f>D8/Descrição!O16</f>
        <v>2.6666666666666665</v>
      </c>
      <c r="E9" s="6"/>
      <c r="F9" s="346"/>
      <c r="G9" s="346"/>
      <c r="H9" s="345"/>
      <c r="I9" s="345"/>
      <c r="J9" s="345"/>
      <c r="K9" s="345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63"/>
      <c r="X9" s="662">
        <v>1</v>
      </c>
      <c r="Y9" s="662" t="s">
        <v>52</v>
      </c>
      <c r="Z9" s="538"/>
      <c r="AA9" s="538"/>
      <c r="AB9" s="663"/>
      <c r="AC9" s="6"/>
      <c r="AD9" s="636"/>
    </row>
    <row r="10" spans="1:85" ht="13.5" thickBot="1" x14ac:dyDescent="0.25">
      <c r="A10" s="635"/>
      <c r="B10" s="6"/>
      <c r="C10" s="6"/>
      <c r="D10" s="6"/>
      <c r="E10" s="6"/>
      <c r="F10" s="346"/>
      <c r="G10" s="346"/>
      <c r="H10" s="345"/>
      <c r="I10" s="345"/>
      <c r="J10" s="345"/>
      <c r="K10" s="345"/>
      <c r="L10" s="6"/>
      <c r="M10" s="6"/>
      <c r="N10" s="6"/>
      <c r="O10" s="6"/>
      <c r="P10" s="2625" t="s">
        <v>413</v>
      </c>
      <c r="Q10" s="2625"/>
      <c r="R10" s="6"/>
      <c r="S10" s="6"/>
      <c r="T10" s="6"/>
      <c r="U10" s="6"/>
      <c r="V10" s="6"/>
      <c r="W10" s="663"/>
      <c r="X10" s="662">
        <v>2</v>
      </c>
      <c r="Y10" s="662" t="s">
        <v>915</v>
      </c>
      <c r="Z10" s="662"/>
      <c r="AA10" s="662"/>
      <c r="AB10" s="663"/>
      <c r="AC10" s="6"/>
      <c r="AD10" s="636"/>
    </row>
    <row r="11" spans="1:85" x14ac:dyDescent="0.2">
      <c r="A11" s="635"/>
      <c r="B11" s="98" t="s">
        <v>39</v>
      </c>
      <c r="C11" s="99" t="s">
        <v>396</v>
      </c>
      <c r="D11" s="99" t="s">
        <v>40</v>
      </c>
      <c r="E11" s="99" t="s">
        <v>41</v>
      </c>
      <c r="F11" s="99" t="s">
        <v>404</v>
      </c>
      <c r="G11" s="1046" t="s">
        <v>1192</v>
      </c>
      <c r="H11" s="99" t="s">
        <v>908</v>
      </c>
      <c r="I11" s="1046" t="s">
        <v>1192</v>
      </c>
      <c r="J11" s="99" t="s">
        <v>909</v>
      </c>
      <c r="K11" s="1046" t="s">
        <v>1192</v>
      </c>
      <c r="L11" s="99" t="s">
        <v>395</v>
      </c>
      <c r="M11" s="2630" t="s">
        <v>453</v>
      </c>
      <c r="N11" s="2631"/>
      <c r="O11" s="117"/>
      <c r="P11" s="99" t="s">
        <v>292</v>
      </c>
      <c r="Q11" s="99" t="s">
        <v>80</v>
      </c>
      <c r="R11" s="6"/>
      <c r="S11" s="6"/>
      <c r="T11" s="6"/>
      <c r="U11" s="6"/>
      <c r="V11" s="6"/>
      <c r="W11" s="663"/>
      <c r="X11" s="662"/>
      <c r="Y11" s="662"/>
      <c r="Z11" s="662"/>
      <c r="AA11" s="662"/>
      <c r="AB11" s="663"/>
      <c r="AC11" s="6"/>
      <c r="AD11" s="636"/>
      <c r="CG11" s="175"/>
    </row>
    <row r="12" spans="1:85" ht="15.75" customHeight="1" x14ac:dyDescent="0.2">
      <c r="A12" s="635"/>
      <c r="B12" s="2281" t="s">
        <v>1422</v>
      </c>
      <c r="C12" s="904"/>
      <c r="D12" s="3">
        <v>2</v>
      </c>
      <c r="E12" s="3">
        <v>4</v>
      </c>
      <c r="F12" s="72">
        <f>VLOOKUP(D12,Inventário!$AA$32:$AD$42,3)</f>
        <v>25</v>
      </c>
      <c r="G12" s="1047">
        <f>F12*L12</f>
        <v>50</v>
      </c>
      <c r="H12" s="72">
        <f>VLOOKUP(E12,Inventário!$AA$51:$AC$71,3)</f>
        <v>2</v>
      </c>
      <c r="I12" s="1047">
        <f>L12*H12</f>
        <v>4</v>
      </c>
      <c r="J12" s="72">
        <f>VLOOKUP(D12,Inventário!$AA$32:$AD$42,4)</f>
        <v>38.43</v>
      </c>
      <c r="K12" s="1047">
        <f>J12*L12</f>
        <v>76.86</v>
      </c>
      <c r="L12" s="834">
        <v>2</v>
      </c>
      <c r="M12" s="2623">
        <f>SUM(F12,H12,J12)*L12</f>
        <v>130.86000000000001</v>
      </c>
      <c r="N12" s="2624"/>
      <c r="O12" s="278"/>
      <c r="P12" s="112">
        <v>1</v>
      </c>
      <c r="Q12" s="6">
        <v>1</v>
      </c>
      <c r="R12" s="6"/>
      <c r="S12" s="6"/>
      <c r="T12" s="6"/>
      <c r="U12" s="6"/>
      <c r="V12" s="6"/>
      <c r="W12" s="6"/>
      <c r="X12" s="6"/>
      <c r="Y12" s="6"/>
      <c r="Z12" s="113"/>
      <c r="AA12" s="113"/>
      <c r="AB12" s="6"/>
      <c r="AC12" s="6"/>
      <c r="AD12" s="636"/>
      <c r="CG12" s="176" t="s">
        <v>319</v>
      </c>
    </row>
    <row r="13" spans="1:85" ht="15.75" customHeight="1" thickBot="1" x14ac:dyDescent="0.25">
      <c r="A13" s="635"/>
      <c r="B13" s="2281" t="s">
        <v>1421</v>
      </c>
      <c r="C13" s="904"/>
      <c r="D13" s="3">
        <v>2</v>
      </c>
      <c r="E13" s="3">
        <v>2</v>
      </c>
      <c r="F13" s="72">
        <f>VLOOKUP(D13,Inventário!$AA$32:$AD$42,3)</f>
        <v>25</v>
      </c>
      <c r="G13" s="1047">
        <f t="shared" ref="G13:G26" si="0">F13*L13</f>
        <v>25</v>
      </c>
      <c r="H13" s="72">
        <f>VLOOKUP(E13,Inventário!$AA$51:$AC$71,3)</f>
        <v>6.25</v>
      </c>
      <c r="I13" s="1047">
        <f t="shared" ref="I13:I26" si="1">L13*H13</f>
        <v>6.25</v>
      </c>
      <c r="J13" s="72">
        <f>VLOOKUP(D13,Inventário!$AA$32:$AD$42,4)</f>
        <v>38.43</v>
      </c>
      <c r="K13" s="1047">
        <f t="shared" ref="K13:K26" si="2">J13*L13</f>
        <v>38.43</v>
      </c>
      <c r="L13" s="834">
        <v>1</v>
      </c>
      <c r="M13" s="2623">
        <f t="shared" ref="M13:M26" si="3">SUM(F13,H13,J13)*L13</f>
        <v>69.680000000000007</v>
      </c>
      <c r="N13" s="2624"/>
      <c r="O13" s="277"/>
      <c r="P13" s="100">
        <v>1</v>
      </c>
      <c r="Q13" s="6">
        <v>1</v>
      </c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36"/>
      <c r="CG13" s="176" t="s">
        <v>320</v>
      </c>
    </row>
    <row r="14" spans="1:85" ht="15.75" customHeight="1" thickBot="1" x14ac:dyDescent="0.25">
      <c r="A14" s="635"/>
      <c r="B14" s="2281" t="s">
        <v>1421</v>
      </c>
      <c r="C14" s="904"/>
      <c r="D14" s="3">
        <v>2</v>
      </c>
      <c r="E14" s="3">
        <v>2</v>
      </c>
      <c r="F14" s="72">
        <f>VLOOKUP(D14,Inventário!$AA$32:$AD$42,3)</f>
        <v>25</v>
      </c>
      <c r="G14" s="1047">
        <f t="shared" si="0"/>
        <v>25</v>
      </c>
      <c r="H14" s="72">
        <f>VLOOKUP(E14,Inventário!$AA$51:$AC$71,3)</f>
        <v>6.25</v>
      </c>
      <c r="I14" s="1047">
        <f t="shared" si="1"/>
        <v>6.25</v>
      </c>
      <c r="J14" s="72">
        <f>VLOOKUP(D14,Inventário!$AA$32:$AD$42,4)</f>
        <v>38.43</v>
      </c>
      <c r="K14" s="1047">
        <f t="shared" si="2"/>
        <v>38.43</v>
      </c>
      <c r="L14" s="834">
        <v>1</v>
      </c>
      <c r="M14" s="2623">
        <f>SUM(F14,H14,J14)*L14</f>
        <v>69.680000000000007</v>
      </c>
      <c r="N14" s="2624"/>
      <c r="O14" s="277"/>
      <c r="P14" s="100">
        <v>1</v>
      </c>
      <c r="Q14" s="6">
        <v>1</v>
      </c>
      <c r="R14" s="6"/>
      <c r="S14" s="6"/>
      <c r="T14" s="6"/>
      <c r="U14" s="6"/>
      <c r="V14" s="6"/>
      <c r="W14" s="6"/>
      <c r="X14" s="2634"/>
      <c r="Y14" s="2635"/>
      <c r="Z14" s="547" t="s">
        <v>910</v>
      </c>
      <c r="AA14" s="548" t="s">
        <v>611</v>
      </c>
      <c r="AB14" s="349" t="s">
        <v>813</v>
      </c>
      <c r="AC14" s="350" t="s">
        <v>814</v>
      </c>
      <c r="AD14" s="636"/>
      <c r="CG14" s="176" t="s">
        <v>321</v>
      </c>
    </row>
    <row r="15" spans="1:85" ht="15.75" customHeight="1" x14ac:dyDescent="0.2">
      <c r="A15" s="635"/>
      <c r="B15" s="2281" t="s">
        <v>1423</v>
      </c>
      <c r="C15" s="904"/>
      <c r="D15" s="3">
        <v>2</v>
      </c>
      <c r="E15" s="3">
        <v>3</v>
      </c>
      <c r="F15" s="72">
        <f>VLOOKUP(D15,Inventário!$AA$32:$AD$42,3)</f>
        <v>25</v>
      </c>
      <c r="G15" s="1047">
        <f t="shared" si="0"/>
        <v>12.5</v>
      </c>
      <c r="H15" s="72">
        <f>VLOOKUP(E15,Inventário!$AA$51:$AC$71,3)</f>
        <v>5</v>
      </c>
      <c r="I15" s="1047">
        <f t="shared" si="1"/>
        <v>2.5</v>
      </c>
      <c r="J15" s="72">
        <f>VLOOKUP(D15,Inventário!$AA$32:$AD$42,4)</f>
        <v>38.43</v>
      </c>
      <c r="K15" s="1047">
        <f t="shared" si="2"/>
        <v>19.215</v>
      </c>
      <c r="L15" s="834">
        <v>0.5</v>
      </c>
      <c r="M15" s="2623">
        <f t="shared" si="3"/>
        <v>34.215000000000003</v>
      </c>
      <c r="N15" s="2624"/>
      <c r="O15" s="277"/>
      <c r="P15" s="100">
        <v>1</v>
      </c>
      <c r="Q15" s="6">
        <v>1</v>
      </c>
      <c r="R15" s="6"/>
      <c r="S15" s="6"/>
      <c r="T15" s="6"/>
      <c r="U15" s="6"/>
      <c r="V15" s="6"/>
      <c r="W15" s="6"/>
      <c r="X15" s="347"/>
      <c r="Y15" s="549" t="s">
        <v>911</v>
      </c>
      <c r="Z15" s="628">
        <f>IF(C8=0,0,(G27*C4)/C8)</f>
        <v>6966</v>
      </c>
      <c r="AA15" s="554">
        <f>C57*G73</f>
        <v>2902.5</v>
      </c>
      <c r="AB15" s="115">
        <f>IF(C9=0,0,IF(C9=1,Z15+AA15,IF(C9=2,AA15)))</f>
        <v>2902.5</v>
      </c>
      <c r="AC15" s="555">
        <f>IF(C9=0,0,IF(C9=1,0,IF(C9=2,Z15)))</f>
        <v>6966</v>
      </c>
      <c r="AD15" s="636"/>
      <c r="CG15" s="176" t="s">
        <v>322</v>
      </c>
    </row>
    <row r="16" spans="1:85" ht="15.75" customHeight="1" x14ac:dyDescent="0.2">
      <c r="A16" s="635"/>
      <c r="B16" s="2281" t="s">
        <v>1437</v>
      </c>
      <c r="C16" s="275"/>
      <c r="D16" s="3">
        <v>2</v>
      </c>
      <c r="E16" s="3">
        <v>5</v>
      </c>
      <c r="F16" s="72">
        <f>VLOOKUP(D16,Inventário!$AA$32:$AD$42,3)</f>
        <v>25</v>
      </c>
      <c r="G16" s="1047">
        <f t="shared" si="0"/>
        <v>5</v>
      </c>
      <c r="H16" s="72">
        <f>VLOOKUP(E16,Inventário!$AA$51:$AC$71,3)</f>
        <v>1.6666666666666667</v>
      </c>
      <c r="I16" s="1047">
        <f t="shared" si="1"/>
        <v>0.33333333333333337</v>
      </c>
      <c r="J16" s="72">
        <f>VLOOKUP(D16,Inventário!$AA$32:$AD$42,4)</f>
        <v>38.43</v>
      </c>
      <c r="K16" s="1047">
        <f t="shared" si="2"/>
        <v>7.6859999999999999</v>
      </c>
      <c r="L16" s="834">
        <v>0.2</v>
      </c>
      <c r="M16" s="2623">
        <f t="shared" si="3"/>
        <v>13.019333333333334</v>
      </c>
      <c r="N16" s="2624"/>
      <c r="O16" s="277"/>
      <c r="P16" s="100">
        <v>1</v>
      </c>
      <c r="Q16" s="6">
        <v>1</v>
      </c>
      <c r="R16" s="6"/>
      <c r="S16" s="6"/>
      <c r="T16" s="6"/>
      <c r="U16" s="6"/>
      <c r="V16" s="6"/>
      <c r="W16" s="6"/>
      <c r="X16" s="347"/>
      <c r="Y16" s="550" t="s">
        <v>912</v>
      </c>
      <c r="Z16" s="628">
        <f>IF(C8=0,0,(I27*C4)/C8)</f>
        <v>1042.32</v>
      </c>
      <c r="AA16" s="554">
        <f>C57*I73</f>
        <v>396.67499999999995</v>
      </c>
      <c r="AB16" s="115">
        <f>IF(C9=0,0,IF(C9=1,Z16+AA16,IF(C9=2,AA16)))</f>
        <v>396.67499999999995</v>
      </c>
      <c r="AC16" s="555">
        <f>IF(C9=0,0,IF(C9=1,0,IF(C9=2,Z16)))</f>
        <v>1042.32</v>
      </c>
      <c r="AD16" s="636"/>
      <c r="CG16" s="176" t="s">
        <v>323</v>
      </c>
    </row>
    <row r="17" spans="1:85" ht="15.75" customHeight="1" x14ac:dyDescent="0.2">
      <c r="A17" s="635"/>
      <c r="B17" s="2281" t="s">
        <v>1424</v>
      </c>
      <c r="C17" s="275"/>
      <c r="D17" s="3">
        <v>2</v>
      </c>
      <c r="E17" s="3">
        <v>7</v>
      </c>
      <c r="F17" s="72">
        <f>VLOOKUP(D17,Inventário!$AA$32:$AD$42,3)</f>
        <v>25</v>
      </c>
      <c r="G17" s="1047">
        <f t="shared" si="0"/>
        <v>5</v>
      </c>
      <c r="H17" s="72">
        <f>VLOOKUP(E17,Inventário!$AA$51:$AC$71,3)</f>
        <v>4.333333333333333</v>
      </c>
      <c r="I17" s="1047">
        <f t="shared" si="1"/>
        <v>0.8666666666666667</v>
      </c>
      <c r="J17" s="72">
        <f>VLOOKUP(D17,Inventário!$AA$32:$AD$42,4)</f>
        <v>38.43</v>
      </c>
      <c r="K17" s="1047">
        <f t="shared" si="2"/>
        <v>7.6859999999999999</v>
      </c>
      <c r="L17" s="834">
        <v>0.2</v>
      </c>
      <c r="M17" s="2623">
        <f t="shared" si="3"/>
        <v>13.552666666666667</v>
      </c>
      <c r="N17" s="2624"/>
      <c r="O17" s="277"/>
      <c r="P17" s="100">
        <v>1</v>
      </c>
      <c r="Q17" s="6">
        <v>1</v>
      </c>
      <c r="R17" s="6"/>
      <c r="S17" s="6"/>
      <c r="T17" s="6"/>
      <c r="U17" s="6"/>
      <c r="V17" s="6"/>
      <c r="W17" s="6"/>
      <c r="X17" s="347"/>
      <c r="Y17" s="550" t="s">
        <v>350</v>
      </c>
      <c r="Z17" s="628">
        <f>IF(C8=0,0,(K27*C4)/C8)</f>
        <v>10708.135200000001</v>
      </c>
      <c r="AA17" s="554">
        <f>C57*K73</f>
        <v>4461.723</v>
      </c>
      <c r="AB17" s="115">
        <f>IF(C9=0,0,IF(C9=1,Z17+AA17,IF(C9=2,AA17)))</f>
        <v>4461.723</v>
      </c>
      <c r="AC17" s="555">
        <f>IF(C9=0,0,IF(C9=1,0,IF(C9=2,Z17)))</f>
        <v>10708.135200000001</v>
      </c>
      <c r="AD17" s="636"/>
      <c r="CG17" s="176" t="s">
        <v>324</v>
      </c>
    </row>
    <row r="18" spans="1:85" ht="15.75" customHeight="1" x14ac:dyDescent="0.2">
      <c r="A18" s="635"/>
      <c r="B18" s="2281" t="s">
        <v>1429</v>
      </c>
      <c r="C18" s="275">
        <v>20</v>
      </c>
      <c r="D18" s="3">
        <v>2</v>
      </c>
      <c r="E18" s="3">
        <v>1</v>
      </c>
      <c r="F18" s="72">
        <f>VLOOKUP(D18,Inventário!$AA$32:$AD$42,3)</f>
        <v>25</v>
      </c>
      <c r="G18" s="1047">
        <f t="shared" si="0"/>
        <v>12.5</v>
      </c>
      <c r="H18" s="72">
        <f>VLOOKUP(E18,Inventário!$AA$51:$AC$71,3)</f>
        <v>0</v>
      </c>
      <c r="I18" s="1047">
        <f t="shared" si="1"/>
        <v>0</v>
      </c>
      <c r="J18" s="72">
        <f>VLOOKUP(D18,Inventário!$AA$32:$AD$42,4)</f>
        <v>38.43</v>
      </c>
      <c r="K18" s="1047">
        <f t="shared" si="2"/>
        <v>19.215</v>
      </c>
      <c r="L18" s="834">
        <v>0.5</v>
      </c>
      <c r="M18" s="2623">
        <f>SUM(F18,H18,J18)*L18</f>
        <v>31.715</v>
      </c>
      <c r="N18" s="2624"/>
      <c r="O18" s="277"/>
      <c r="P18" s="100">
        <v>1</v>
      </c>
      <c r="Q18" s="6">
        <v>1</v>
      </c>
      <c r="R18" s="6"/>
      <c r="S18" s="6"/>
      <c r="T18" s="6"/>
      <c r="U18" s="6"/>
      <c r="V18" s="6"/>
      <c r="W18" s="6"/>
      <c r="X18" s="347"/>
      <c r="Y18" s="551" t="s">
        <v>397</v>
      </c>
      <c r="Z18" s="628">
        <f>IF(C8=0,0,(L46*C4)/C8)</f>
        <v>31424.400000000001</v>
      </c>
      <c r="AA18" s="554">
        <f>C57*L87</f>
        <v>20317.5</v>
      </c>
      <c r="AB18" s="115">
        <f>IF(C9=0,0,IF(C9=1,Z18+AA18,IF(C9=2,AA18)))</f>
        <v>20317.5</v>
      </c>
      <c r="AC18" s="555">
        <f>IF(C9=0,0,IF(C9=1,0,IF(C9=2,Z18)))</f>
        <v>31424.400000000001</v>
      </c>
      <c r="AD18" s="636"/>
      <c r="CG18" s="176" t="s">
        <v>325</v>
      </c>
    </row>
    <row r="19" spans="1:85" ht="15.75" customHeight="1" thickBot="1" x14ac:dyDescent="0.25">
      <c r="A19" s="635"/>
      <c r="B19" s="2281"/>
      <c r="C19" s="275"/>
      <c r="D19" s="3">
        <v>1</v>
      </c>
      <c r="E19" s="3">
        <v>1</v>
      </c>
      <c r="F19" s="72">
        <f>VLOOKUP(D19,Inventário!$AA$32:$AD$42,3)</f>
        <v>0</v>
      </c>
      <c r="G19" s="1047">
        <f t="shared" si="0"/>
        <v>0</v>
      </c>
      <c r="H19" s="72">
        <f>VLOOKUP(E19,Inventário!$AA$51:$AC$71,3)</f>
        <v>0</v>
      </c>
      <c r="I19" s="1047">
        <f t="shared" si="1"/>
        <v>0</v>
      </c>
      <c r="J19" s="72">
        <f>VLOOKUP(D19,Inventário!$AA$32:$AD$42,4)</f>
        <v>0</v>
      </c>
      <c r="K19" s="1047">
        <f t="shared" si="2"/>
        <v>0</v>
      </c>
      <c r="L19" s="834"/>
      <c r="M19" s="2623">
        <f>SUM(F19,H19,J19)*L19</f>
        <v>0</v>
      </c>
      <c r="N19" s="2624"/>
      <c r="O19" s="277"/>
      <c r="P19" s="100">
        <v>1</v>
      </c>
      <c r="Q19" s="6">
        <v>1</v>
      </c>
      <c r="R19" s="6"/>
      <c r="S19" s="6"/>
      <c r="T19" s="6"/>
      <c r="U19" s="6"/>
      <c r="V19" s="6"/>
      <c r="W19" s="6"/>
      <c r="X19" s="348"/>
      <c r="Y19" s="552" t="s">
        <v>812</v>
      </c>
      <c r="Z19" s="628">
        <f>IF(C8=0,0,(C27*C4)/C8)</f>
        <v>1032</v>
      </c>
      <c r="AA19" s="554">
        <f>C57*C73</f>
        <v>0</v>
      </c>
      <c r="AB19" s="115">
        <f>IF(C9=0,0,IF(C9=1,Z19+AA19,IF(C9=2,AA19)))</f>
        <v>0</v>
      </c>
      <c r="AC19" s="555">
        <f>IF(C9=0,0,IF(C9=1,0,IF(C9=2,Z19)))</f>
        <v>1032</v>
      </c>
      <c r="AD19" s="636"/>
      <c r="CG19" s="176" t="s">
        <v>326</v>
      </c>
    </row>
    <row r="20" spans="1:85" ht="15.75" customHeight="1" thickBot="1" x14ac:dyDescent="0.25">
      <c r="A20" s="635"/>
      <c r="B20" s="90"/>
      <c r="C20" s="275"/>
      <c r="D20" s="3">
        <v>1</v>
      </c>
      <c r="E20" s="3">
        <v>1</v>
      </c>
      <c r="F20" s="72">
        <f>VLOOKUP(D20,Inventário!$AA$32:$AD$42,3)</f>
        <v>0</v>
      </c>
      <c r="G20" s="1047">
        <f t="shared" si="0"/>
        <v>0</v>
      </c>
      <c r="H20" s="72">
        <f>VLOOKUP(E20,Inventário!$AA$51:$AC$71,3)</f>
        <v>0</v>
      </c>
      <c r="I20" s="1047">
        <f t="shared" si="1"/>
        <v>0</v>
      </c>
      <c r="J20" s="72">
        <f>VLOOKUP(D20,Inventário!$AA$32:$AD$42,4)</f>
        <v>0</v>
      </c>
      <c r="K20" s="1047">
        <f t="shared" si="2"/>
        <v>0</v>
      </c>
      <c r="L20" s="834"/>
      <c r="M20" s="2623">
        <f>SUM(F20,H20,J20)*L20</f>
        <v>0</v>
      </c>
      <c r="N20" s="2624"/>
      <c r="O20" s="277"/>
      <c r="P20" s="100">
        <v>1</v>
      </c>
      <c r="Q20" s="6">
        <v>1</v>
      </c>
      <c r="R20" s="6"/>
      <c r="S20" s="6"/>
      <c r="T20" s="6"/>
      <c r="U20" s="6"/>
      <c r="V20" s="6"/>
      <c r="W20" s="6"/>
      <c r="X20" s="351"/>
      <c r="Y20" s="553" t="s">
        <v>2</v>
      </c>
      <c r="Z20" s="556">
        <f>SUM(Z15:Z19)</f>
        <v>51172.855200000005</v>
      </c>
      <c r="AA20" s="557">
        <f>SUM(AA15:AA19)</f>
        <v>28078.398000000001</v>
      </c>
      <c r="AB20" s="558">
        <f>SUM(AB15:AB19)</f>
        <v>28078.398000000001</v>
      </c>
      <c r="AC20" s="559">
        <f>SUM(AC15:AC19)</f>
        <v>51172.855200000005</v>
      </c>
      <c r="AD20" s="636"/>
      <c r="CG20" s="176" t="s">
        <v>327</v>
      </c>
    </row>
    <row r="21" spans="1:85" ht="15.75" customHeight="1" x14ac:dyDescent="0.2">
      <c r="A21" s="635"/>
      <c r="B21" s="90"/>
      <c r="C21" s="275"/>
      <c r="D21" s="3">
        <v>1</v>
      </c>
      <c r="E21" s="3">
        <v>1</v>
      </c>
      <c r="F21" s="72">
        <f>VLOOKUP(D21,Inventário!$AA$32:$AD$42,3)</f>
        <v>0</v>
      </c>
      <c r="G21" s="1047">
        <f t="shared" si="0"/>
        <v>0</v>
      </c>
      <c r="H21" s="72">
        <f>VLOOKUP(E21,Inventário!$AA$51:$AC$71,3)</f>
        <v>0</v>
      </c>
      <c r="I21" s="1047">
        <f t="shared" si="1"/>
        <v>0</v>
      </c>
      <c r="J21" s="72">
        <f>VLOOKUP(D21,Inventário!$AA$32:$AD$42,4)</f>
        <v>0</v>
      </c>
      <c r="K21" s="1047">
        <f t="shared" si="2"/>
        <v>0</v>
      </c>
      <c r="L21" s="834"/>
      <c r="M21" s="2623">
        <f t="shared" si="3"/>
        <v>0</v>
      </c>
      <c r="N21" s="2624"/>
      <c r="O21" s="277"/>
      <c r="P21" s="100">
        <v>1</v>
      </c>
      <c r="Q21" s="6">
        <v>1</v>
      </c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36"/>
      <c r="CG21" s="176" t="s">
        <v>328</v>
      </c>
    </row>
    <row r="22" spans="1:85" ht="15.75" customHeight="1" x14ac:dyDescent="0.2">
      <c r="A22" s="635"/>
      <c r="B22" s="90"/>
      <c r="C22" s="275"/>
      <c r="D22" s="3">
        <v>1</v>
      </c>
      <c r="E22" s="3">
        <v>1</v>
      </c>
      <c r="F22" s="72">
        <f>VLOOKUP(D22,Inventário!$AA$32:$AD$42,3)</f>
        <v>0</v>
      </c>
      <c r="G22" s="1047">
        <f t="shared" si="0"/>
        <v>0</v>
      </c>
      <c r="H22" s="72">
        <f>VLOOKUP(E22,Inventário!$AA$51:$AC$71,3)</f>
        <v>0</v>
      </c>
      <c r="I22" s="1047">
        <f t="shared" si="1"/>
        <v>0</v>
      </c>
      <c r="J22" s="72">
        <f>VLOOKUP(D22,Inventário!$AA$32:$AD$42,4)</f>
        <v>0</v>
      </c>
      <c r="K22" s="1047">
        <f t="shared" si="2"/>
        <v>0</v>
      </c>
      <c r="L22" s="834"/>
      <c r="M22" s="2623">
        <f t="shared" si="3"/>
        <v>0</v>
      </c>
      <c r="N22" s="2624"/>
      <c r="O22" s="277"/>
      <c r="P22" s="100">
        <v>1</v>
      </c>
      <c r="Q22" s="6">
        <v>1</v>
      </c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36"/>
      <c r="CG22" s="176" t="s">
        <v>329</v>
      </c>
    </row>
    <row r="23" spans="1:85" ht="15.75" customHeight="1" thickBot="1" x14ac:dyDescent="0.25">
      <c r="A23" s="635"/>
      <c r="B23" s="90"/>
      <c r="C23" s="275"/>
      <c r="D23" s="3">
        <v>1</v>
      </c>
      <c r="E23" s="3">
        <v>1</v>
      </c>
      <c r="F23" s="72">
        <f>VLOOKUP(D23,Inventário!$AA$32:$AD$42,3)</f>
        <v>0</v>
      </c>
      <c r="G23" s="1047">
        <f t="shared" si="0"/>
        <v>0</v>
      </c>
      <c r="H23" s="72">
        <f>VLOOKUP(E23,Inventário!$AA$51:$AC$71,3)</f>
        <v>0</v>
      </c>
      <c r="I23" s="1047">
        <f t="shared" si="1"/>
        <v>0</v>
      </c>
      <c r="J23" s="72">
        <f>VLOOKUP(D23,Inventário!$AA$32:$AD$42,4)</f>
        <v>0</v>
      </c>
      <c r="K23" s="1047">
        <f t="shared" si="2"/>
        <v>0</v>
      </c>
      <c r="L23" s="834"/>
      <c r="M23" s="2623">
        <f t="shared" si="3"/>
        <v>0</v>
      </c>
      <c r="N23" s="2624"/>
      <c r="O23" s="277"/>
      <c r="P23" s="100">
        <v>1</v>
      </c>
      <c r="Q23" s="6">
        <v>1</v>
      </c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36"/>
      <c r="CG23" s="177" t="s">
        <v>330</v>
      </c>
    </row>
    <row r="24" spans="1:85" ht="15.75" customHeight="1" x14ac:dyDescent="0.2">
      <c r="A24" s="635"/>
      <c r="B24" s="90"/>
      <c r="C24" s="275"/>
      <c r="D24" s="3">
        <v>1</v>
      </c>
      <c r="E24" s="3">
        <v>1</v>
      </c>
      <c r="F24" s="72">
        <f>VLOOKUP(D24,Inventário!$AA$32:$AD$42,3)</f>
        <v>0</v>
      </c>
      <c r="G24" s="1047">
        <f t="shared" si="0"/>
        <v>0</v>
      </c>
      <c r="H24" s="72">
        <f>VLOOKUP(E24,Inventário!$AA$51:$AC$71,3)</f>
        <v>0</v>
      </c>
      <c r="I24" s="1047">
        <f t="shared" si="1"/>
        <v>0</v>
      </c>
      <c r="J24" s="72">
        <f>VLOOKUP(D24,Inventário!$AA$32:$AD$42,4)</f>
        <v>0</v>
      </c>
      <c r="K24" s="1047">
        <f t="shared" si="2"/>
        <v>0</v>
      </c>
      <c r="L24" s="834"/>
      <c r="M24" s="2623">
        <f t="shared" si="3"/>
        <v>0</v>
      </c>
      <c r="N24" s="2624"/>
      <c r="O24" s="277"/>
      <c r="P24" s="100">
        <v>1</v>
      </c>
      <c r="Q24" s="6">
        <v>1</v>
      </c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36"/>
      <c r="CG24" s="176"/>
    </row>
    <row r="25" spans="1:85" ht="15.75" customHeight="1" x14ac:dyDescent="0.25">
      <c r="A25" s="635"/>
      <c r="B25" s="90"/>
      <c r="C25" s="275"/>
      <c r="D25" s="3">
        <v>1</v>
      </c>
      <c r="E25" s="3">
        <v>1</v>
      </c>
      <c r="F25" s="72">
        <f>VLOOKUP(D25,Inventário!$AA$32:$AD$42,3)</f>
        <v>0</v>
      </c>
      <c r="G25" s="1047">
        <f t="shared" si="0"/>
        <v>0</v>
      </c>
      <c r="H25" s="72">
        <f>VLOOKUP(E25,Inventário!$AA$51:$AC$71,3)</f>
        <v>0</v>
      </c>
      <c r="I25" s="1047">
        <f t="shared" si="1"/>
        <v>0</v>
      </c>
      <c r="J25" s="72">
        <f>VLOOKUP(D25,Inventário!$AA$32:$AD$42,4)</f>
        <v>0</v>
      </c>
      <c r="K25" s="1047">
        <f t="shared" si="2"/>
        <v>0</v>
      </c>
      <c r="L25" s="834"/>
      <c r="M25" s="2623">
        <f t="shared" si="3"/>
        <v>0</v>
      </c>
      <c r="N25" s="2624"/>
      <c r="O25" s="277"/>
      <c r="P25" s="100">
        <v>1</v>
      </c>
      <c r="Q25" s="6">
        <v>1</v>
      </c>
      <c r="R25" s="6"/>
      <c r="S25" s="6"/>
      <c r="T25" s="6"/>
      <c r="U25" s="6"/>
      <c r="V25" s="704"/>
      <c r="W25" s="1135"/>
      <c r="X25" s="1135"/>
      <c r="Y25" s="1135"/>
      <c r="Z25" s="1135"/>
      <c r="AA25" s="1135"/>
      <c r="AB25" s="6"/>
      <c r="AC25" s="6"/>
      <c r="AD25" s="636"/>
      <c r="CG25" s="176"/>
    </row>
    <row r="26" spans="1:85" ht="15.75" customHeight="1" x14ac:dyDescent="0.2">
      <c r="A26" s="635"/>
      <c r="B26" s="90"/>
      <c r="C26" s="275"/>
      <c r="D26" s="3">
        <v>1</v>
      </c>
      <c r="E26" s="3">
        <v>1</v>
      </c>
      <c r="F26" s="72">
        <f>VLOOKUP(D26,Inventário!$AA$32:$AD$42,3)</f>
        <v>0</v>
      </c>
      <c r="G26" s="1047">
        <f t="shared" si="0"/>
        <v>0</v>
      </c>
      <c r="H26" s="72">
        <f>VLOOKUP(E26,Inventário!$AA$51:$AC$71,3)</f>
        <v>0</v>
      </c>
      <c r="I26" s="1047">
        <f t="shared" si="1"/>
        <v>0</v>
      </c>
      <c r="J26" s="72">
        <f>VLOOKUP(D26,Inventário!$AA$32:$AD$42,4)</f>
        <v>0</v>
      </c>
      <c r="K26" s="1047">
        <f t="shared" si="2"/>
        <v>0</v>
      </c>
      <c r="L26" s="834"/>
      <c r="M26" s="2623">
        <f t="shared" si="3"/>
        <v>0</v>
      </c>
      <c r="N26" s="2624"/>
      <c r="O26" s="277"/>
      <c r="P26" s="100">
        <v>1</v>
      </c>
      <c r="Q26" s="6">
        <v>1</v>
      </c>
      <c r="R26" s="6"/>
      <c r="S26" s="6"/>
      <c r="T26" s="6"/>
      <c r="U26" s="6"/>
      <c r="V26" s="704"/>
      <c r="W26" s="6"/>
      <c r="X26" s="6"/>
      <c r="Y26" s="1132"/>
      <c r="Z26" s="1132"/>
      <c r="AA26" s="91"/>
      <c r="AB26" s="6"/>
      <c r="AC26" s="6"/>
      <c r="AD26" s="636"/>
    </row>
    <row r="27" spans="1:85" ht="15.75" customHeight="1" x14ac:dyDescent="0.2">
      <c r="A27" s="635"/>
      <c r="B27" s="95" t="s">
        <v>77</v>
      </c>
      <c r="C27" s="276">
        <f>SUM(C12:C26)</f>
        <v>20</v>
      </c>
      <c r="D27" s="3"/>
      <c r="E27" s="3"/>
      <c r="F27" s="96">
        <f t="shared" ref="F27:K27" si="4">SUM(F12:F26)</f>
        <v>175</v>
      </c>
      <c r="G27" s="1048">
        <f t="shared" si="4"/>
        <v>135</v>
      </c>
      <c r="H27" s="96">
        <f t="shared" si="4"/>
        <v>25.5</v>
      </c>
      <c r="I27" s="1048">
        <f t="shared" si="4"/>
        <v>20.2</v>
      </c>
      <c r="J27" s="96">
        <f t="shared" si="4"/>
        <v>269.01</v>
      </c>
      <c r="K27" s="1048">
        <f t="shared" si="4"/>
        <v>207.52200000000002</v>
      </c>
      <c r="L27" s="95"/>
      <c r="M27" s="2628">
        <f>SUM(M12:N26)</f>
        <v>362.72200000000004</v>
      </c>
      <c r="N27" s="2629"/>
      <c r="O27" s="279"/>
      <c r="P27" s="6"/>
      <c r="Q27" s="6"/>
      <c r="R27" s="6"/>
      <c r="S27" s="6"/>
      <c r="T27" s="6"/>
      <c r="U27" s="6"/>
      <c r="V27" s="704"/>
      <c r="W27" s="91"/>
      <c r="X27" s="1136"/>
      <c r="Y27" s="1136"/>
      <c r="Z27" s="89"/>
      <c r="AA27" s="89"/>
      <c r="AB27" s="6"/>
      <c r="AC27" s="6"/>
      <c r="AD27" s="636"/>
    </row>
    <row r="28" spans="1:85" x14ac:dyDescent="0.2">
      <c r="A28" s="635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704"/>
      <c r="W28" s="1137"/>
      <c r="X28" s="1138"/>
      <c r="Y28" s="114"/>
      <c r="Z28" s="1138"/>
      <c r="AA28" s="522"/>
      <c r="AB28" s="6"/>
      <c r="AC28" s="6"/>
      <c r="AD28" s="636"/>
    </row>
    <row r="29" spans="1:85" x14ac:dyDescent="0.2">
      <c r="A29" s="635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2625" t="s">
        <v>414</v>
      </c>
      <c r="N29" s="2625"/>
      <c r="O29" s="59"/>
      <c r="P29" s="6"/>
      <c r="Q29" s="6"/>
      <c r="R29" s="6"/>
      <c r="S29" s="6"/>
      <c r="T29" s="6"/>
      <c r="U29" s="6"/>
      <c r="V29" s="704"/>
      <c r="W29" s="1137"/>
      <c r="X29" s="1138"/>
      <c r="Y29" s="114"/>
      <c r="Z29" s="1138"/>
      <c r="AA29" s="522"/>
      <c r="AB29" s="6"/>
      <c r="AC29" s="6"/>
      <c r="AD29" s="636"/>
    </row>
    <row r="30" spans="1:85" x14ac:dyDescent="0.2">
      <c r="A30" s="635"/>
      <c r="B30" s="98" t="s">
        <v>397</v>
      </c>
      <c r="C30" s="99" t="s">
        <v>42</v>
      </c>
      <c r="D30" s="99" t="s">
        <v>398</v>
      </c>
      <c r="E30" s="99" t="s">
        <v>399</v>
      </c>
      <c r="F30" s="3"/>
      <c r="G30" s="3"/>
      <c r="H30" s="3"/>
      <c r="I30" s="3"/>
      <c r="J30" s="3"/>
      <c r="K30" s="3"/>
      <c r="L30" s="99" t="s">
        <v>298</v>
      </c>
      <c r="M30" s="99" t="s">
        <v>292</v>
      </c>
      <c r="N30" s="99" t="s">
        <v>80</v>
      </c>
      <c r="O30" s="59"/>
      <c r="P30" s="6"/>
      <c r="Q30" s="6"/>
      <c r="R30" s="6"/>
      <c r="S30" s="6"/>
      <c r="T30" s="6"/>
      <c r="U30" s="6"/>
      <c r="V30" s="704"/>
      <c r="W30" s="1137"/>
      <c r="X30" s="1138"/>
      <c r="Y30" s="114"/>
      <c r="Z30" s="1138"/>
      <c r="AA30" s="522"/>
      <c r="AB30" s="6"/>
      <c r="AC30" s="6"/>
      <c r="AD30" s="636"/>
    </row>
    <row r="31" spans="1:85" ht="15.75" customHeight="1" x14ac:dyDescent="0.2">
      <c r="A31" s="635"/>
      <c r="B31" s="2281" t="s">
        <v>1425</v>
      </c>
      <c r="C31" s="283" t="s">
        <v>242</v>
      </c>
      <c r="D31" s="1118">
        <v>10</v>
      </c>
      <c r="E31" s="20">
        <f>20*E5</f>
        <v>16</v>
      </c>
      <c r="F31" s="3"/>
      <c r="G31" s="3"/>
      <c r="H31" s="94"/>
      <c r="I31" s="94"/>
      <c r="J31" s="94"/>
      <c r="K31" s="94"/>
      <c r="L31" s="72">
        <f>E31*D31</f>
        <v>160</v>
      </c>
      <c r="M31" s="112">
        <v>1</v>
      </c>
      <c r="N31" s="3">
        <v>1</v>
      </c>
      <c r="O31" s="6"/>
      <c r="P31" s="6"/>
      <c r="Q31" s="6"/>
      <c r="R31" s="6"/>
      <c r="S31" s="6"/>
      <c r="T31" s="6"/>
      <c r="U31" s="6"/>
      <c r="V31" s="704"/>
      <c r="W31" s="1137"/>
      <c r="X31" s="1138"/>
      <c r="Y31" s="114"/>
      <c r="Z31" s="1138"/>
      <c r="AA31" s="522"/>
      <c r="AB31" s="6"/>
      <c r="AC31" s="6"/>
      <c r="AD31" s="636"/>
    </row>
    <row r="32" spans="1:85" ht="15.75" customHeight="1" x14ac:dyDescent="0.2">
      <c r="A32" s="635"/>
      <c r="B32" s="2281" t="s">
        <v>1420</v>
      </c>
      <c r="C32" s="283" t="s">
        <v>242</v>
      </c>
      <c r="D32" s="1118">
        <v>15</v>
      </c>
      <c r="E32" s="20">
        <f>7*F5</f>
        <v>1.4000000000000001</v>
      </c>
      <c r="F32" s="3"/>
      <c r="G32" s="3"/>
      <c r="H32" s="94"/>
      <c r="I32" s="94"/>
      <c r="J32" s="94"/>
      <c r="K32" s="94"/>
      <c r="L32" s="72">
        <f t="shared" ref="L32:L45" si="5">E32*D32</f>
        <v>21.000000000000004</v>
      </c>
      <c r="M32" s="100">
        <v>1</v>
      </c>
      <c r="N32" s="3">
        <v>1</v>
      </c>
      <c r="O32" s="6"/>
      <c r="P32" s="6"/>
      <c r="Q32" s="6"/>
      <c r="R32" s="6"/>
      <c r="S32" s="6"/>
      <c r="T32" s="6"/>
      <c r="U32" s="6"/>
      <c r="V32" s="704"/>
      <c r="W32" s="1137"/>
      <c r="X32" s="1138"/>
      <c r="Y32" s="114"/>
      <c r="Z32" s="1138"/>
      <c r="AA32" s="522"/>
      <c r="AB32" s="6"/>
      <c r="AC32" s="6"/>
      <c r="AD32" s="636"/>
    </row>
    <row r="33" spans="1:30" ht="15.75" customHeight="1" x14ac:dyDescent="0.2">
      <c r="A33" s="635"/>
      <c r="B33" s="2281" t="s">
        <v>1426</v>
      </c>
      <c r="C33" s="283" t="s">
        <v>316</v>
      </c>
      <c r="D33" s="909">
        <v>16</v>
      </c>
      <c r="E33" s="20">
        <v>3</v>
      </c>
      <c r="F33" s="3"/>
      <c r="G33" s="3"/>
      <c r="H33" s="94"/>
      <c r="I33" s="94"/>
      <c r="J33" s="94"/>
      <c r="K33" s="94"/>
      <c r="L33" s="72">
        <f t="shared" si="5"/>
        <v>48</v>
      </c>
      <c r="M33" s="100">
        <v>1</v>
      </c>
      <c r="N33" s="3">
        <v>1</v>
      </c>
      <c r="O33" s="6"/>
      <c r="P33" s="6"/>
      <c r="Q33" s="6"/>
      <c r="R33" s="6"/>
      <c r="S33" s="6"/>
      <c r="T33" s="6"/>
      <c r="U33" s="6"/>
      <c r="V33" s="704"/>
      <c r="W33" s="1137"/>
      <c r="X33" s="1138"/>
      <c r="Y33" s="114"/>
      <c r="Z33" s="1138"/>
      <c r="AA33" s="522"/>
      <c r="AB33" s="6"/>
      <c r="AC33" s="6"/>
      <c r="AD33" s="636"/>
    </row>
    <row r="34" spans="1:30" ht="15.75" customHeight="1" x14ac:dyDescent="0.2">
      <c r="A34" s="635"/>
      <c r="B34" s="1" t="s">
        <v>1427</v>
      </c>
      <c r="C34" s="20" t="s">
        <v>1428</v>
      </c>
      <c r="D34" s="1119">
        <v>140</v>
      </c>
      <c r="E34" s="20">
        <v>1</v>
      </c>
      <c r="F34" s="3"/>
      <c r="G34" s="3"/>
      <c r="H34" s="94"/>
      <c r="I34" s="94"/>
      <c r="J34" s="94"/>
      <c r="K34" s="94"/>
      <c r="L34" s="72">
        <f t="shared" si="5"/>
        <v>140</v>
      </c>
      <c r="M34" s="100">
        <v>1</v>
      </c>
      <c r="N34" s="3">
        <v>1</v>
      </c>
      <c r="O34" s="6"/>
      <c r="P34" s="6"/>
      <c r="Q34" s="6"/>
      <c r="R34" s="6"/>
      <c r="S34" s="6"/>
      <c r="T34" s="6"/>
      <c r="U34" s="6"/>
      <c r="V34" s="704"/>
      <c r="W34" s="1137"/>
      <c r="X34" s="1138"/>
      <c r="Y34" s="114"/>
      <c r="Z34" s="1138"/>
      <c r="AA34" s="522"/>
      <c r="AB34" s="6"/>
      <c r="AC34" s="6"/>
      <c r="AD34" s="636"/>
    </row>
    <row r="35" spans="1:30" ht="15.75" customHeight="1" x14ac:dyDescent="0.2">
      <c r="A35" s="635"/>
      <c r="B35" s="1" t="s">
        <v>1438</v>
      </c>
      <c r="C35" s="20" t="s">
        <v>1428</v>
      </c>
      <c r="D35" s="280">
        <v>1600</v>
      </c>
      <c r="E35" s="20">
        <v>0.15</v>
      </c>
      <c r="F35" s="3"/>
      <c r="G35" s="3"/>
      <c r="H35" s="94"/>
      <c r="I35" s="94"/>
      <c r="J35" s="94"/>
      <c r="K35" s="94"/>
      <c r="L35" s="72">
        <f>E35*D35</f>
        <v>240</v>
      </c>
      <c r="M35" s="100">
        <v>1</v>
      </c>
      <c r="N35" s="3">
        <v>1</v>
      </c>
      <c r="O35" s="6"/>
      <c r="P35" s="6"/>
      <c r="Q35" s="6"/>
      <c r="R35" s="6"/>
      <c r="S35" s="6"/>
      <c r="T35" s="6"/>
      <c r="U35" s="6"/>
      <c r="V35" s="704"/>
      <c r="W35" s="1137"/>
      <c r="X35" s="1138"/>
      <c r="Y35" s="114"/>
      <c r="Z35" s="1138"/>
      <c r="AA35" s="522"/>
      <c r="AB35" s="6"/>
      <c r="AC35" s="6"/>
      <c r="AD35" s="636"/>
    </row>
    <row r="36" spans="1:30" ht="15.75" customHeight="1" x14ac:dyDescent="0.2">
      <c r="A36" s="635"/>
      <c r="B36" s="1"/>
      <c r="C36" s="20"/>
      <c r="D36" s="280"/>
      <c r="E36" s="20"/>
      <c r="F36" s="3"/>
      <c r="G36" s="3"/>
      <c r="H36" s="94"/>
      <c r="I36" s="94"/>
      <c r="J36" s="94"/>
      <c r="K36" s="94"/>
      <c r="L36" s="72">
        <f>E36*D36</f>
        <v>0</v>
      </c>
      <c r="M36" s="100">
        <v>1</v>
      </c>
      <c r="N36" s="3">
        <v>1</v>
      </c>
      <c r="O36" s="6"/>
      <c r="P36" s="6"/>
      <c r="Q36" s="6"/>
      <c r="R36" s="6"/>
      <c r="S36" s="6"/>
      <c r="T36" s="6"/>
      <c r="U36" s="6"/>
      <c r="V36" s="704"/>
      <c r="W36" s="1137"/>
      <c r="X36" s="1138"/>
      <c r="Y36" s="114"/>
      <c r="Z36" s="1138"/>
      <c r="AA36" s="522"/>
      <c r="AB36" s="6"/>
      <c r="AC36" s="6"/>
      <c r="AD36" s="636"/>
    </row>
    <row r="37" spans="1:30" ht="15.75" customHeight="1" x14ac:dyDescent="0.2">
      <c r="A37" s="635"/>
      <c r="B37" s="1"/>
      <c r="C37" s="20"/>
      <c r="D37" s="280"/>
      <c r="E37" s="20"/>
      <c r="F37" s="3"/>
      <c r="G37" s="3"/>
      <c r="H37" s="94"/>
      <c r="I37" s="94"/>
      <c r="J37" s="94"/>
      <c r="K37" s="94"/>
      <c r="L37" s="72">
        <f t="shared" si="5"/>
        <v>0</v>
      </c>
      <c r="M37" s="100">
        <v>1</v>
      </c>
      <c r="N37" s="3">
        <v>1</v>
      </c>
      <c r="O37" s="6"/>
      <c r="P37" s="6"/>
      <c r="Q37" s="6"/>
      <c r="R37" s="6"/>
      <c r="S37" s="6"/>
      <c r="T37" s="6"/>
      <c r="U37" s="6"/>
      <c r="V37" s="704"/>
      <c r="W37" s="1137"/>
      <c r="X37" s="1138"/>
      <c r="Y37" s="114"/>
      <c r="Z37" s="1138"/>
      <c r="AA37" s="522"/>
      <c r="AB37" s="6"/>
      <c r="AC37" s="6"/>
      <c r="AD37" s="636"/>
    </row>
    <row r="38" spans="1:30" ht="15.75" customHeight="1" x14ac:dyDescent="0.2">
      <c r="A38" s="635"/>
      <c r="B38" s="1"/>
      <c r="C38" s="20"/>
      <c r="D38" s="280"/>
      <c r="E38" s="20"/>
      <c r="F38" s="3"/>
      <c r="G38" s="3"/>
      <c r="H38" s="94"/>
      <c r="I38" s="94"/>
      <c r="J38" s="94"/>
      <c r="K38" s="94"/>
      <c r="L38" s="72">
        <f t="shared" si="5"/>
        <v>0</v>
      </c>
      <c r="M38" s="100">
        <v>1</v>
      </c>
      <c r="N38" s="3">
        <v>1</v>
      </c>
      <c r="O38" s="6"/>
      <c r="P38" s="6"/>
      <c r="Q38" s="6"/>
      <c r="R38" s="6"/>
      <c r="S38" s="6"/>
      <c r="T38" s="6"/>
      <c r="U38" s="6"/>
      <c r="V38" s="704"/>
      <c r="W38" s="1137"/>
      <c r="X38" s="1138"/>
      <c r="Y38" s="114"/>
      <c r="Z38" s="1138"/>
      <c r="AA38" s="522"/>
      <c r="AB38" s="6"/>
      <c r="AC38" s="6"/>
      <c r="AD38" s="636"/>
    </row>
    <row r="39" spans="1:30" ht="15.75" customHeight="1" x14ac:dyDescent="0.2">
      <c r="A39" s="635"/>
      <c r="B39" s="1"/>
      <c r="C39" s="20"/>
      <c r="D39" s="280"/>
      <c r="E39" s="20"/>
      <c r="F39" s="3"/>
      <c r="G39" s="3"/>
      <c r="H39" s="94"/>
      <c r="I39" s="94"/>
      <c r="J39" s="94"/>
      <c r="K39" s="94"/>
      <c r="L39" s="72">
        <f t="shared" si="5"/>
        <v>0</v>
      </c>
      <c r="M39" s="100">
        <v>1</v>
      </c>
      <c r="N39" s="3">
        <v>1</v>
      </c>
      <c r="O39" s="6"/>
      <c r="P39" s="6"/>
      <c r="Q39" s="6"/>
      <c r="R39" s="6"/>
      <c r="S39" s="6"/>
      <c r="T39" s="6"/>
      <c r="U39" s="6"/>
      <c r="V39" s="704"/>
      <c r="W39" s="1137"/>
      <c r="X39" s="1138"/>
      <c r="Y39" s="114"/>
      <c r="Z39" s="1138"/>
      <c r="AA39" s="522"/>
      <c r="AB39" s="6"/>
      <c r="AC39" s="6"/>
      <c r="AD39" s="636"/>
    </row>
    <row r="40" spans="1:30" ht="15.75" customHeight="1" x14ac:dyDescent="0.2">
      <c r="A40" s="635"/>
      <c r="B40" s="1"/>
      <c r="C40" s="20"/>
      <c r="D40" s="280"/>
      <c r="E40" s="389"/>
      <c r="F40" s="3"/>
      <c r="G40" s="3"/>
      <c r="H40" s="94"/>
      <c r="I40" s="94"/>
      <c r="J40" s="94"/>
      <c r="K40" s="94"/>
      <c r="L40" s="72">
        <f t="shared" si="5"/>
        <v>0</v>
      </c>
      <c r="M40" s="100">
        <v>1</v>
      </c>
      <c r="N40" s="3">
        <v>1</v>
      </c>
      <c r="O40" s="6"/>
      <c r="P40" s="6"/>
      <c r="Q40" s="6"/>
      <c r="R40" s="6"/>
      <c r="S40" s="6"/>
      <c r="T40" s="6"/>
      <c r="U40" s="6"/>
      <c r="V40" s="704"/>
      <c r="W40" s="1137"/>
      <c r="X40" s="1138"/>
      <c r="Y40" s="114"/>
      <c r="Z40" s="1138"/>
      <c r="AA40" s="522"/>
      <c r="AB40" s="6"/>
      <c r="AC40" s="6"/>
      <c r="AD40" s="636"/>
    </row>
    <row r="41" spans="1:30" ht="15.75" customHeight="1" x14ac:dyDescent="0.2">
      <c r="A41" s="635"/>
      <c r="B41" s="1"/>
      <c r="C41" s="20"/>
      <c r="D41" s="280"/>
      <c r="E41" s="20"/>
      <c r="F41" s="3"/>
      <c r="G41" s="3"/>
      <c r="H41" s="94"/>
      <c r="I41" s="94"/>
      <c r="J41" s="94"/>
      <c r="K41" s="94"/>
      <c r="L41" s="72">
        <f t="shared" si="5"/>
        <v>0</v>
      </c>
      <c r="M41" s="100">
        <v>1</v>
      </c>
      <c r="N41" s="3">
        <v>1</v>
      </c>
      <c r="O41" s="6"/>
      <c r="P41" s="6"/>
      <c r="Q41" s="6"/>
      <c r="R41" s="6"/>
      <c r="S41" s="6"/>
      <c r="T41" s="6"/>
      <c r="U41" s="6"/>
      <c r="V41" s="704"/>
      <c r="W41" s="1137"/>
      <c r="X41" s="1138"/>
      <c r="Y41" s="114"/>
      <c r="Z41" s="1138"/>
      <c r="AA41" s="522"/>
      <c r="AB41" s="6"/>
      <c r="AC41" s="6"/>
      <c r="AD41" s="636"/>
    </row>
    <row r="42" spans="1:30" ht="15.75" customHeight="1" x14ac:dyDescent="0.2">
      <c r="A42" s="635"/>
      <c r="B42" s="1"/>
      <c r="C42" s="20"/>
      <c r="D42" s="280"/>
      <c r="E42" s="20"/>
      <c r="F42" s="3"/>
      <c r="G42" s="3"/>
      <c r="H42" s="94"/>
      <c r="I42" s="94"/>
      <c r="J42" s="94"/>
      <c r="K42" s="94"/>
      <c r="L42" s="72">
        <f t="shared" si="5"/>
        <v>0</v>
      </c>
      <c r="M42" s="100">
        <v>1</v>
      </c>
      <c r="N42" s="3">
        <v>1</v>
      </c>
      <c r="O42" s="6"/>
      <c r="P42" s="6"/>
      <c r="Q42" s="6"/>
      <c r="R42" s="6"/>
      <c r="S42" s="6"/>
      <c r="T42" s="6"/>
      <c r="U42" s="6"/>
      <c r="V42" s="704"/>
      <c r="W42" s="1137"/>
      <c r="X42" s="1138"/>
      <c r="Y42" s="114"/>
      <c r="Z42" s="1138"/>
      <c r="AA42" s="522"/>
      <c r="AB42" s="6"/>
      <c r="AC42" s="6"/>
      <c r="AD42" s="636"/>
    </row>
    <row r="43" spans="1:30" ht="15.75" customHeight="1" x14ac:dyDescent="0.2">
      <c r="A43" s="635"/>
      <c r="B43" s="1"/>
      <c r="C43" s="20"/>
      <c r="D43" s="280"/>
      <c r="E43" s="20"/>
      <c r="F43" s="3"/>
      <c r="G43" s="3"/>
      <c r="H43" s="94"/>
      <c r="I43" s="94"/>
      <c r="J43" s="94"/>
      <c r="K43" s="94"/>
      <c r="L43" s="72">
        <f t="shared" si="5"/>
        <v>0</v>
      </c>
      <c r="M43" s="100">
        <v>1</v>
      </c>
      <c r="N43" s="3">
        <v>1</v>
      </c>
      <c r="O43" s="6"/>
      <c r="P43" s="6"/>
      <c r="Q43" s="6"/>
      <c r="R43" s="6"/>
      <c r="S43" s="6"/>
      <c r="T43" s="6"/>
      <c r="U43" s="6"/>
      <c r="V43" s="704"/>
      <c r="W43" s="1137"/>
      <c r="X43" s="1138"/>
      <c r="Y43" s="114"/>
      <c r="Z43" s="1138"/>
      <c r="AA43" s="522"/>
      <c r="AB43" s="6"/>
      <c r="AC43" s="6"/>
      <c r="AD43" s="636"/>
    </row>
    <row r="44" spans="1:30" ht="15.75" customHeight="1" x14ac:dyDescent="0.2">
      <c r="A44" s="635"/>
      <c r="B44" s="1"/>
      <c r="C44" s="20"/>
      <c r="D44" s="280"/>
      <c r="E44" s="20"/>
      <c r="F44" s="3"/>
      <c r="G44" s="3"/>
      <c r="H44" s="94"/>
      <c r="I44" s="94"/>
      <c r="J44" s="94"/>
      <c r="K44" s="94"/>
      <c r="L44" s="72">
        <f t="shared" si="5"/>
        <v>0</v>
      </c>
      <c r="M44" s="100">
        <v>1</v>
      </c>
      <c r="N44" s="3">
        <v>1</v>
      </c>
      <c r="O44" s="6"/>
      <c r="P44" s="6"/>
      <c r="Q44" s="6"/>
      <c r="R44" s="6"/>
      <c r="S44" s="6"/>
      <c r="T44" s="6"/>
      <c r="U44" s="6"/>
      <c r="V44" s="704"/>
      <c r="W44" s="1137"/>
      <c r="X44" s="1138"/>
      <c r="Y44" s="114"/>
      <c r="Z44" s="1138"/>
      <c r="AA44" s="522"/>
      <c r="AB44" s="6"/>
      <c r="AC44" s="6"/>
      <c r="AD44" s="636"/>
    </row>
    <row r="45" spans="1:30" ht="15.75" customHeight="1" x14ac:dyDescent="0.2">
      <c r="A45" s="635"/>
      <c r="B45" s="1"/>
      <c r="C45" s="20"/>
      <c r="D45" s="280"/>
      <c r="E45" s="20"/>
      <c r="F45" s="3"/>
      <c r="G45" s="3"/>
      <c r="H45" s="94"/>
      <c r="I45" s="94"/>
      <c r="J45" s="94"/>
      <c r="K45" s="94"/>
      <c r="L45" s="72">
        <f t="shared" si="5"/>
        <v>0</v>
      </c>
      <c r="M45" s="100">
        <v>1</v>
      </c>
      <c r="N45" s="3">
        <v>1</v>
      </c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36"/>
    </row>
    <row r="46" spans="1:30" x14ac:dyDescent="0.2">
      <c r="A46" s="635"/>
      <c r="B46" s="95" t="s">
        <v>77</v>
      </c>
      <c r="C46" s="3"/>
      <c r="D46" s="3"/>
      <c r="E46" s="3"/>
      <c r="F46" s="3"/>
      <c r="G46" s="3"/>
      <c r="H46" s="96"/>
      <c r="I46" s="96"/>
      <c r="J46" s="96"/>
      <c r="K46" s="96"/>
      <c r="L46" s="106">
        <f>SUM(L31:L45)</f>
        <v>609</v>
      </c>
      <c r="M46" s="113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36"/>
    </row>
    <row r="47" spans="1:30" x14ac:dyDescent="0.2">
      <c r="A47" s="635"/>
      <c r="B47" s="91"/>
      <c r="C47" s="6"/>
      <c r="D47" s="6"/>
      <c r="E47" s="6"/>
      <c r="F47" s="6"/>
      <c r="G47" s="6"/>
      <c r="H47" s="6"/>
      <c r="I47" s="6"/>
      <c r="J47" s="6"/>
      <c r="K47" s="6"/>
      <c r="L47" s="113"/>
      <c r="M47" s="113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36"/>
    </row>
    <row r="48" spans="1:30" x14ac:dyDescent="0.2">
      <c r="A48" s="635"/>
      <c r="B48" s="6"/>
      <c r="C48" s="6"/>
      <c r="D48" s="6"/>
      <c r="E48" s="6"/>
      <c r="F48" s="6"/>
      <c r="G48" s="6"/>
      <c r="H48" s="6"/>
      <c r="I48" s="6"/>
      <c r="J48" s="6"/>
      <c r="K48" s="6"/>
      <c r="L48" s="2630" t="s">
        <v>413</v>
      </c>
      <c r="M48" s="2631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36"/>
    </row>
    <row r="49" spans="1:85" x14ac:dyDescent="0.2">
      <c r="A49" s="635"/>
      <c r="B49" s="98" t="s">
        <v>301</v>
      </c>
      <c r="C49" s="99" t="s">
        <v>410</v>
      </c>
      <c r="D49" s="98" t="s">
        <v>411</v>
      </c>
      <c r="E49" s="99" t="s">
        <v>412</v>
      </c>
      <c r="F49" s="6"/>
      <c r="G49" s="6"/>
      <c r="H49" s="6"/>
      <c r="I49" s="6"/>
      <c r="J49" s="6"/>
      <c r="K49" s="6"/>
      <c r="L49" s="99" t="s">
        <v>292</v>
      </c>
      <c r="M49" s="99" t="s">
        <v>80</v>
      </c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36"/>
    </row>
    <row r="50" spans="1:85" ht="15.75" customHeight="1" x14ac:dyDescent="0.2">
      <c r="A50" s="635"/>
      <c r="B50" s="3">
        <v>1</v>
      </c>
      <c r="C50" s="20"/>
      <c r="D50" s="276">
        <f>VLOOKUP(B50,'Mão-de-obra'!$CJ$10:$CL$29,3)</f>
        <v>0</v>
      </c>
      <c r="E50" s="106">
        <f>C50*D50</f>
        <v>0</v>
      </c>
      <c r="F50" s="6"/>
      <c r="G50" s="6"/>
      <c r="H50" s="6"/>
      <c r="I50" s="6"/>
      <c r="J50" s="6"/>
      <c r="K50" s="6"/>
      <c r="L50" s="6">
        <v>1</v>
      </c>
      <c r="M50" s="6">
        <v>1</v>
      </c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36"/>
    </row>
    <row r="51" spans="1:85" ht="15.75" customHeight="1" x14ac:dyDescent="0.2">
      <c r="A51" s="635"/>
      <c r="B51" s="3">
        <v>1</v>
      </c>
      <c r="C51" s="20"/>
      <c r="D51" s="276">
        <f>VLOOKUP(B51,'Mão-de-obra'!$CJ$10:$CL$29,3)</f>
        <v>0</v>
      </c>
      <c r="E51" s="106">
        <f>C51*D51</f>
        <v>0</v>
      </c>
      <c r="F51" s="6"/>
      <c r="G51" s="6"/>
      <c r="H51" s="6"/>
      <c r="I51" s="6"/>
      <c r="J51" s="6"/>
      <c r="K51" s="6"/>
      <c r="L51" s="6">
        <v>1</v>
      </c>
      <c r="M51" s="6">
        <v>1</v>
      </c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36"/>
    </row>
    <row r="52" spans="1:85" ht="15" customHeight="1" x14ac:dyDescent="0.2">
      <c r="A52" s="635"/>
      <c r="B52" s="3">
        <v>1</v>
      </c>
      <c r="C52" s="20"/>
      <c r="D52" s="276">
        <f>VLOOKUP(B52,'Mão-de-obra'!$CJ$10:$CL$29,3)</f>
        <v>0</v>
      </c>
      <c r="E52" s="106">
        <f>C52*D52</f>
        <v>0</v>
      </c>
      <c r="F52" s="6"/>
      <c r="G52" s="6"/>
      <c r="H52" s="6"/>
      <c r="I52" s="6"/>
      <c r="J52" s="6"/>
      <c r="K52" s="6"/>
      <c r="L52" s="6">
        <v>1</v>
      </c>
      <c r="M52" s="6">
        <v>1</v>
      </c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36"/>
    </row>
    <row r="53" spans="1:85" ht="15.75" customHeight="1" x14ac:dyDescent="0.2">
      <c r="A53" s="635"/>
      <c r="B53" s="3">
        <v>1</v>
      </c>
      <c r="C53" s="20"/>
      <c r="D53" s="276">
        <f>VLOOKUP(B53,'Mão-de-obra'!$CJ$10:$CL$29,3)</f>
        <v>0</v>
      </c>
      <c r="E53" s="106">
        <f>C53*D53</f>
        <v>0</v>
      </c>
      <c r="F53" s="6"/>
      <c r="G53" s="6"/>
      <c r="H53" s="6"/>
      <c r="I53" s="6"/>
      <c r="J53" s="6"/>
      <c r="K53" s="6"/>
      <c r="L53" s="6">
        <v>1</v>
      </c>
      <c r="M53" s="6">
        <v>1</v>
      </c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36"/>
    </row>
    <row r="54" spans="1:85" ht="15.75" customHeight="1" x14ac:dyDescent="0.2">
      <c r="A54" s="635"/>
      <c r="B54" s="3">
        <v>1</v>
      </c>
      <c r="C54" s="20"/>
      <c r="D54" s="276">
        <f>VLOOKUP(B54,'Mão-de-obra'!$CJ$10:$CL$29,3)</f>
        <v>0</v>
      </c>
      <c r="E54" s="106">
        <f>C54*D54</f>
        <v>0</v>
      </c>
      <c r="F54" s="6"/>
      <c r="G54" s="6"/>
      <c r="H54" s="6"/>
      <c r="I54" s="6"/>
      <c r="J54" s="6"/>
      <c r="K54" s="6"/>
      <c r="L54" s="6">
        <v>1</v>
      </c>
      <c r="M54" s="6">
        <v>1</v>
      </c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36"/>
    </row>
    <row r="55" spans="1:85" x14ac:dyDescent="0.2">
      <c r="A55" s="639"/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36"/>
    </row>
    <row r="56" spans="1:85" s="6" customFormat="1" ht="18" x14ac:dyDescent="0.25">
      <c r="A56" s="635"/>
      <c r="B56" s="121" t="s">
        <v>611</v>
      </c>
      <c r="C56" s="121"/>
      <c r="AD56" s="636"/>
    </row>
    <row r="57" spans="1:85" x14ac:dyDescent="0.2">
      <c r="A57" s="635"/>
      <c r="B57" s="91" t="s">
        <v>538</v>
      </c>
      <c r="C57" s="282">
        <f>H8</f>
        <v>116.1</v>
      </c>
      <c r="D57" s="1049">
        <f>C57/C4</f>
        <v>0.15</v>
      </c>
      <c r="E57" s="6"/>
      <c r="F57" s="144"/>
      <c r="G57" s="144"/>
      <c r="H57" s="319"/>
      <c r="I57" s="319"/>
      <c r="J57" s="319"/>
      <c r="K57" s="319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36"/>
    </row>
    <row r="58" spans="1:85" x14ac:dyDescent="0.2">
      <c r="A58" s="635"/>
      <c r="B58" s="91" t="s">
        <v>401</v>
      </c>
      <c r="C58" s="105">
        <f>C73+M73+L87</f>
        <v>241.84666666666666</v>
      </c>
      <c r="D58" s="6"/>
      <c r="E58" s="6"/>
      <c r="F58" s="346"/>
      <c r="G58" s="346"/>
      <c r="H58" s="115"/>
      <c r="I58" s="115"/>
      <c r="J58" s="115"/>
      <c r="K58" s="115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36"/>
    </row>
    <row r="59" spans="1:85" x14ac:dyDescent="0.2">
      <c r="A59" s="635"/>
      <c r="B59" s="91" t="s">
        <v>402</v>
      </c>
      <c r="C59" s="105">
        <f>C58*C57</f>
        <v>28078.397999999997</v>
      </c>
      <c r="D59" s="91"/>
      <c r="E59" s="6"/>
      <c r="F59" s="346"/>
      <c r="G59" s="346"/>
      <c r="H59" s="115"/>
      <c r="I59" s="115"/>
      <c r="J59" s="115"/>
      <c r="K59" s="115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36"/>
    </row>
    <row r="60" spans="1:85" x14ac:dyDescent="0.2">
      <c r="A60" s="635"/>
      <c r="B60" s="6"/>
      <c r="C60" s="6"/>
      <c r="D60" s="6"/>
      <c r="E60" s="6"/>
      <c r="F60" s="346"/>
      <c r="G60" s="346"/>
      <c r="H60" s="115"/>
      <c r="I60" s="115"/>
      <c r="J60" s="115"/>
      <c r="K60" s="115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36"/>
    </row>
    <row r="61" spans="1:85" x14ac:dyDescent="0.2">
      <c r="A61" s="635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2625" t="s">
        <v>413</v>
      </c>
      <c r="Q61" s="2625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36"/>
    </row>
    <row r="62" spans="1:85" x14ac:dyDescent="0.2">
      <c r="A62" s="635"/>
      <c r="B62" s="98" t="s">
        <v>39</v>
      </c>
      <c r="C62" s="99" t="s">
        <v>396</v>
      </c>
      <c r="D62" s="99" t="s">
        <v>40</v>
      </c>
      <c r="E62" s="99" t="s">
        <v>41</v>
      </c>
      <c r="F62" s="99" t="s">
        <v>404</v>
      </c>
      <c r="G62" s="1046" t="s">
        <v>1192</v>
      </c>
      <c r="H62" s="99" t="s">
        <v>908</v>
      </c>
      <c r="I62" s="1046" t="s">
        <v>1192</v>
      </c>
      <c r="J62" s="99" t="s">
        <v>909</v>
      </c>
      <c r="K62" s="1046" t="s">
        <v>1192</v>
      </c>
      <c r="L62" s="99" t="s">
        <v>395</v>
      </c>
      <c r="M62" s="2630" t="s">
        <v>415</v>
      </c>
      <c r="N62" s="2631"/>
      <c r="O62" s="117" t="s">
        <v>491</v>
      </c>
      <c r="P62" s="99" t="s">
        <v>292</v>
      </c>
      <c r="Q62" s="99" t="s">
        <v>80</v>
      </c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36"/>
      <c r="CG62" s="6"/>
    </row>
    <row r="63" spans="1:85" ht="15.75" customHeight="1" x14ac:dyDescent="0.2">
      <c r="A63" s="635"/>
      <c r="B63" s="1" t="s">
        <v>1424</v>
      </c>
      <c r="C63" s="906"/>
      <c r="D63" s="3">
        <v>2</v>
      </c>
      <c r="E63" s="3">
        <v>7</v>
      </c>
      <c r="F63" s="546">
        <f>VLOOKUP(D63,Inventário!$AA$32:$AD$42,3)</f>
        <v>25</v>
      </c>
      <c r="G63" s="1047">
        <f>F63*L63</f>
        <v>12.5</v>
      </c>
      <c r="H63" s="546">
        <f>VLOOKUP(E63,Inventário!$AA$51:$AC$71,3)</f>
        <v>4.333333333333333</v>
      </c>
      <c r="I63" s="1047">
        <f>H63*L63</f>
        <v>2.1666666666666665</v>
      </c>
      <c r="J63" s="546">
        <f>VLOOKUP(D63,Inventário!$AA$32:$AD$42,4)</f>
        <v>38.43</v>
      </c>
      <c r="K63" s="1047">
        <f>J63*L63</f>
        <v>19.215</v>
      </c>
      <c r="L63" s="20">
        <v>0.5</v>
      </c>
      <c r="M63" s="2623">
        <f>SUM(F63,H63,J63)*L63</f>
        <v>33.881666666666668</v>
      </c>
      <c r="N63" s="2624"/>
      <c r="O63" s="278">
        <f t="shared" ref="O63:O72" si="6">(C63+M63)*$C$57</f>
        <v>3933.6614999999997</v>
      </c>
      <c r="P63" s="112">
        <v>1</v>
      </c>
      <c r="Q63" s="3">
        <v>1</v>
      </c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36"/>
      <c r="CG63" s="6"/>
    </row>
    <row r="64" spans="1:85" ht="15.75" customHeight="1" x14ac:dyDescent="0.2">
      <c r="A64" s="635"/>
      <c r="B64" s="2281" t="s">
        <v>1430</v>
      </c>
      <c r="C64" s="905"/>
      <c r="D64" s="3">
        <v>2</v>
      </c>
      <c r="E64" s="3">
        <v>6</v>
      </c>
      <c r="F64" s="546">
        <f>VLOOKUP(D64,Inventário!$AA$32:$AD$42,3)</f>
        <v>25</v>
      </c>
      <c r="G64" s="1047">
        <f t="shared" ref="G64:G72" si="7">F64*L64</f>
        <v>12.5</v>
      </c>
      <c r="H64" s="546">
        <f>VLOOKUP(E64,Inventário!$AA$51:$AC$71,3)</f>
        <v>2.5</v>
      </c>
      <c r="I64" s="1047">
        <f t="shared" ref="I64:I72" si="8">H64*L64</f>
        <v>1.25</v>
      </c>
      <c r="J64" s="546">
        <f>VLOOKUP(D64,Inventário!$AA$32:$AD$42,4)</f>
        <v>38.43</v>
      </c>
      <c r="K64" s="1047">
        <f t="shared" ref="K64:K72" si="9">J64*L64</f>
        <v>19.215</v>
      </c>
      <c r="L64" s="389">
        <v>0.5</v>
      </c>
      <c r="M64" s="2623">
        <f>SUM(F64,H64,J64)*L64</f>
        <v>32.965000000000003</v>
      </c>
      <c r="N64" s="2624"/>
      <c r="O64" s="278">
        <f t="shared" si="6"/>
        <v>3827.2365000000004</v>
      </c>
      <c r="P64" s="100">
        <v>1</v>
      </c>
      <c r="Q64" s="3">
        <v>1</v>
      </c>
      <c r="R64" s="6">
        <v>20</v>
      </c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36"/>
      <c r="CG64" s="6"/>
    </row>
    <row r="65" spans="1:85" ht="15.75" customHeight="1" x14ac:dyDescent="0.2">
      <c r="A65" s="635"/>
      <c r="B65" s="1"/>
      <c r="C65" s="906"/>
      <c r="D65" s="3">
        <v>1</v>
      </c>
      <c r="E65" s="3">
        <v>1</v>
      </c>
      <c r="F65" s="546">
        <f>VLOOKUP(D65,Inventário!$AA$32:$AD$42,3)</f>
        <v>0</v>
      </c>
      <c r="G65" s="1047">
        <f t="shared" si="7"/>
        <v>0</v>
      </c>
      <c r="H65" s="546">
        <f>VLOOKUP(E65,Inventário!$AA$51:$AC$71,3)</f>
        <v>0</v>
      </c>
      <c r="I65" s="1047">
        <f t="shared" si="8"/>
        <v>0</v>
      </c>
      <c r="J65" s="546">
        <f>VLOOKUP(D65,Inventário!$AA$32:$AD$42,4)</f>
        <v>0</v>
      </c>
      <c r="K65" s="1047">
        <f t="shared" si="9"/>
        <v>0</v>
      </c>
      <c r="L65" s="20"/>
      <c r="M65" s="2623">
        <f>SUM(F65,H65,J65)*L65</f>
        <v>0</v>
      </c>
      <c r="N65" s="2624"/>
      <c r="O65" s="278">
        <f t="shared" si="6"/>
        <v>0</v>
      </c>
      <c r="P65" s="100">
        <v>1</v>
      </c>
      <c r="Q65" s="3">
        <v>1</v>
      </c>
      <c r="R65" s="6">
        <v>20</v>
      </c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36"/>
      <c r="CG65" s="6"/>
    </row>
    <row r="66" spans="1:85" ht="15.75" customHeight="1" x14ac:dyDescent="0.2">
      <c r="A66" s="635"/>
      <c r="B66" s="1"/>
      <c r="C66" s="643"/>
      <c r="D66" s="3">
        <v>1</v>
      </c>
      <c r="E66" s="3">
        <v>1</v>
      </c>
      <c r="F66" s="546">
        <f>VLOOKUP(D66,Inventário!$AA$32:$AD$42,3)</f>
        <v>0</v>
      </c>
      <c r="G66" s="1047">
        <f t="shared" si="7"/>
        <v>0</v>
      </c>
      <c r="H66" s="546">
        <f>VLOOKUP(E66,Inventário!$AA$51:$AC$71,3)</f>
        <v>0</v>
      </c>
      <c r="I66" s="1047">
        <f t="shared" si="8"/>
        <v>0</v>
      </c>
      <c r="J66" s="546">
        <f>VLOOKUP(D66,Inventário!$AA$32:$AD$42,4)</f>
        <v>0</v>
      </c>
      <c r="K66" s="1047">
        <f t="shared" si="9"/>
        <v>0</v>
      </c>
      <c r="L66" s="20"/>
      <c r="M66" s="2623">
        <f t="shared" ref="M66:M72" si="10">SUM(F66,H66,J66)*L66</f>
        <v>0</v>
      </c>
      <c r="N66" s="2624"/>
      <c r="O66" s="278">
        <f t="shared" si="6"/>
        <v>0</v>
      </c>
      <c r="P66" s="100">
        <v>1</v>
      </c>
      <c r="Q66" s="3">
        <v>1</v>
      </c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36"/>
      <c r="CG66" s="6"/>
    </row>
    <row r="67" spans="1:85" ht="15.75" customHeight="1" x14ac:dyDescent="0.2">
      <c r="A67" s="635"/>
      <c r="B67" s="1"/>
      <c r="C67" s="275"/>
      <c r="D67" s="3">
        <v>1</v>
      </c>
      <c r="E67" s="3">
        <v>1</v>
      </c>
      <c r="F67" s="546">
        <f>VLOOKUP(D67,Inventário!$AA$32:$AD$42,3)</f>
        <v>0</v>
      </c>
      <c r="G67" s="1047">
        <f t="shared" si="7"/>
        <v>0</v>
      </c>
      <c r="H67" s="546">
        <f>VLOOKUP(E67,Inventário!$AA$51:$AC$71,3)</f>
        <v>0</v>
      </c>
      <c r="I67" s="1047">
        <f t="shared" si="8"/>
        <v>0</v>
      </c>
      <c r="J67" s="546">
        <f>VLOOKUP(D67,Inventário!$AA$32:$AD$42,4)</f>
        <v>0</v>
      </c>
      <c r="K67" s="1047">
        <f t="shared" si="9"/>
        <v>0</v>
      </c>
      <c r="L67" s="20"/>
      <c r="M67" s="2623">
        <f t="shared" si="10"/>
        <v>0</v>
      </c>
      <c r="N67" s="2624"/>
      <c r="O67" s="278">
        <f t="shared" si="6"/>
        <v>0</v>
      </c>
      <c r="P67" s="100">
        <v>1</v>
      </c>
      <c r="Q67" s="3">
        <v>1</v>
      </c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36"/>
      <c r="CG67" s="6"/>
    </row>
    <row r="68" spans="1:85" ht="15.75" customHeight="1" x14ac:dyDescent="0.2">
      <c r="A68" s="635"/>
      <c r="B68" s="1"/>
      <c r="C68" s="275"/>
      <c r="D68" s="3">
        <v>1</v>
      </c>
      <c r="E68" s="3">
        <v>1</v>
      </c>
      <c r="F68" s="546">
        <f>VLOOKUP(D68,Inventário!$AA$32:$AD$42,3)</f>
        <v>0</v>
      </c>
      <c r="G68" s="1047">
        <f t="shared" si="7"/>
        <v>0</v>
      </c>
      <c r="H68" s="546">
        <f>VLOOKUP(E68,Inventário!$AA$51:$AC$71,3)</f>
        <v>0</v>
      </c>
      <c r="I68" s="1047">
        <f t="shared" si="8"/>
        <v>0</v>
      </c>
      <c r="J68" s="546">
        <f>VLOOKUP(D68,Inventário!$AA$32:$AD$42,4)</f>
        <v>0</v>
      </c>
      <c r="K68" s="1047">
        <f t="shared" si="9"/>
        <v>0</v>
      </c>
      <c r="L68" s="20"/>
      <c r="M68" s="2623">
        <f t="shared" si="10"/>
        <v>0</v>
      </c>
      <c r="N68" s="2624"/>
      <c r="O68" s="278">
        <f t="shared" si="6"/>
        <v>0</v>
      </c>
      <c r="P68" s="100">
        <v>1</v>
      </c>
      <c r="Q68" s="3">
        <v>1</v>
      </c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36"/>
      <c r="CG68" s="6"/>
    </row>
    <row r="69" spans="1:85" ht="15.75" customHeight="1" x14ac:dyDescent="0.2">
      <c r="A69" s="635"/>
      <c r="B69" s="1"/>
      <c r="C69" s="275"/>
      <c r="D69" s="3">
        <v>1</v>
      </c>
      <c r="E69" s="3">
        <v>1</v>
      </c>
      <c r="F69" s="546">
        <f>VLOOKUP(D69,Inventário!$AA$32:$AD$42,3)</f>
        <v>0</v>
      </c>
      <c r="G69" s="1047">
        <f t="shared" si="7"/>
        <v>0</v>
      </c>
      <c r="H69" s="546">
        <f>VLOOKUP(E69,Inventário!$AA$51:$AC$71,3)</f>
        <v>0</v>
      </c>
      <c r="I69" s="1047">
        <f t="shared" si="8"/>
        <v>0</v>
      </c>
      <c r="J69" s="546">
        <f>VLOOKUP(D69,Inventário!$AA$32:$AD$42,4)</f>
        <v>0</v>
      </c>
      <c r="K69" s="1047">
        <f t="shared" si="9"/>
        <v>0</v>
      </c>
      <c r="L69" s="20"/>
      <c r="M69" s="2623">
        <f t="shared" si="10"/>
        <v>0</v>
      </c>
      <c r="N69" s="2624"/>
      <c r="O69" s="278">
        <f t="shared" si="6"/>
        <v>0</v>
      </c>
      <c r="P69" s="100">
        <v>1</v>
      </c>
      <c r="Q69" s="3">
        <v>1</v>
      </c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36"/>
      <c r="CG69" s="6"/>
    </row>
    <row r="70" spans="1:85" ht="15.75" customHeight="1" x14ac:dyDescent="0.2">
      <c r="A70" s="635"/>
      <c r="B70" s="1"/>
      <c r="C70" s="275"/>
      <c r="D70" s="3">
        <v>1</v>
      </c>
      <c r="E70" s="3">
        <v>1</v>
      </c>
      <c r="F70" s="546">
        <f>VLOOKUP(D70,Inventário!$AA$32:$AD$42,3)</f>
        <v>0</v>
      </c>
      <c r="G70" s="1047">
        <f t="shared" si="7"/>
        <v>0</v>
      </c>
      <c r="H70" s="546">
        <f>VLOOKUP(E70,Inventário!$AA$51:$AC$71,3)</f>
        <v>0</v>
      </c>
      <c r="I70" s="1047">
        <f t="shared" si="8"/>
        <v>0</v>
      </c>
      <c r="J70" s="546">
        <f>VLOOKUP(D70,Inventário!$AA$32:$AD$42,4)</f>
        <v>0</v>
      </c>
      <c r="K70" s="1047">
        <f t="shared" si="9"/>
        <v>0</v>
      </c>
      <c r="L70" s="20"/>
      <c r="M70" s="2623">
        <f t="shared" si="10"/>
        <v>0</v>
      </c>
      <c r="N70" s="2624"/>
      <c r="O70" s="278">
        <f t="shared" si="6"/>
        <v>0</v>
      </c>
      <c r="P70" s="100">
        <v>1</v>
      </c>
      <c r="Q70" s="3">
        <v>1</v>
      </c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36"/>
      <c r="CG70" s="6"/>
    </row>
    <row r="71" spans="1:85" ht="15.75" customHeight="1" x14ac:dyDescent="0.2">
      <c r="A71" s="635"/>
      <c r="B71" s="1"/>
      <c r="C71" s="275"/>
      <c r="D71" s="3">
        <v>1</v>
      </c>
      <c r="E71" s="3">
        <v>1</v>
      </c>
      <c r="F71" s="546">
        <f>VLOOKUP(D71,Inventário!$AA$32:$AD$42,3)</f>
        <v>0</v>
      </c>
      <c r="G71" s="1047">
        <f t="shared" si="7"/>
        <v>0</v>
      </c>
      <c r="H71" s="546">
        <f>VLOOKUP(E71,Inventário!$AA$51:$AC$71,3)</f>
        <v>0</v>
      </c>
      <c r="I71" s="1047">
        <f t="shared" si="8"/>
        <v>0</v>
      </c>
      <c r="J71" s="546">
        <f>VLOOKUP(D71,Inventário!$AA$32:$AD$42,4)</f>
        <v>0</v>
      </c>
      <c r="K71" s="1047">
        <f t="shared" si="9"/>
        <v>0</v>
      </c>
      <c r="L71" s="20"/>
      <c r="M71" s="2623">
        <f t="shared" si="10"/>
        <v>0</v>
      </c>
      <c r="N71" s="2624"/>
      <c r="O71" s="278">
        <f t="shared" si="6"/>
        <v>0</v>
      </c>
      <c r="P71" s="100">
        <v>1</v>
      </c>
      <c r="Q71" s="3">
        <v>1</v>
      </c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36"/>
      <c r="CG71" s="6"/>
    </row>
    <row r="72" spans="1:85" ht="15.75" customHeight="1" x14ac:dyDescent="0.2">
      <c r="A72" s="635"/>
      <c r="B72" s="1"/>
      <c r="C72" s="275"/>
      <c r="D72" s="3">
        <v>1</v>
      </c>
      <c r="E72" s="3">
        <v>1</v>
      </c>
      <c r="F72" s="546">
        <f>VLOOKUP(D72,Inventário!$AA$32:$AD$42,3)</f>
        <v>0</v>
      </c>
      <c r="G72" s="1047">
        <f t="shared" si="7"/>
        <v>0</v>
      </c>
      <c r="H72" s="546">
        <f>VLOOKUP(E72,Inventário!$AA$51:$AC$71,3)</f>
        <v>0</v>
      </c>
      <c r="I72" s="1047">
        <f t="shared" si="8"/>
        <v>0</v>
      </c>
      <c r="J72" s="546">
        <f>VLOOKUP(D72,Inventário!$AA$32:$AD$42,4)</f>
        <v>0</v>
      </c>
      <c r="K72" s="1047">
        <f t="shared" si="9"/>
        <v>0</v>
      </c>
      <c r="L72" s="20"/>
      <c r="M72" s="2623">
        <f t="shared" si="10"/>
        <v>0</v>
      </c>
      <c r="N72" s="2624"/>
      <c r="O72" s="278">
        <f t="shared" si="6"/>
        <v>0</v>
      </c>
      <c r="P72" s="100">
        <v>1</v>
      </c>
      <c r="Q72" s="3">
        <v>1</v>
      </c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36"/>
      <c r="CG72" s="6"/>
    </row>
    <row r="73" spans="1:85" ht="15.75" customHeight="1" x14ac:dyDescent="0.2">
      <c r="A73" s="635"/>
      <c r="B73" s="95" t="s">
        <v>77</v>
      </c>
      <c r="C73" s="276">
        <f>SUM(C63:C72)</f>
        <v>0</v>
      </c>
      <c r="D73" s="3"/>
      <c r="E73" s="3"/>
      <c r="F73" s="96">
        <f t="shared" ref="F73:K73" si="11">SUM(F63:F72)</f>
        <v>50</v>
      </c>
      <c r="G73" s="1048">
        <f t="shared" si="11"/>
        <v>25</v>
      </c>
      <c r="H73" s="96">
        <f t="shared" si="11"/>
        <v>6.833333333333333</v>
      </c>
      <c r="I73" s="1048">
        <f t="shared" si="11"/>
        <v>3.4166666666666665</v>
      </c>
      <c r="J73" s="96">
        <f>SUM(J63:J72)</f>
        <v>76.86</v>
      </c>
      <c r="K73" s="1048">
        <f t="shared" si="11"/>
        <v>38.43</v>
      </c>
      <c r="L73" s="3"/>
      <c r="M73" s="2626">
        <f>SUM(M63:N72)</f>
        <v>66.846666666666664</v>
      </c>
      <c r="N73" s="2627"/>
      <c r="O73" s="279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36"/>
      <c r="CG73" s="6"/>
    </row>
    <row r="74" spans="1:85" x14ac:dyDescent="0.2">
      <c r="A74" s="635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36"/>
      <c r="CG74" s="6"/>
    </row>
    <row r="75" spans="1:85" x14ac:dyDescent="0.2">
      <c r="A75" s="635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2625" t="s">
        <v>414</v>
      </c>
      <c r="N75" s="2625"/>
      <c r="O75" s="89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36"/>
      <c r="CG75" s="6"/>
    </row>
    <row r="76" spans="1:85" x14ac:dyDescent="0.2">
      <c r="A76" s="635"/>
      <c r="B76" s="98" t="s">
        <v>397</v>
      </c>
      <c r="C76" s="99" t="s">
        <v>42</v>
      </c>
      <c r="D76" s="99" t="s">
        <v>398</v>
      </c>
      <c r="E76" s="99" t="s">
        <v>399</v>
      </c>
      <c r="F76" s="3"/>
      <c r="G76" s="3"/>
      <c r="H76" s="3"/>
      <c r="I76" s="3"/>
      <c r="J76" s="3"/>
      <c r="K76" s="3"/>
      <c r="L76" s="99" t="s">
        <v>298</v>
      </c>
      <c r="M76" s="99" t="s">
        <v>292</v>
      </c>
      <c r="N76" s="99" t="s">
        <v>80</v>
      </c>
      <c r="O76" s="117" t="s">
        <v>491</v>
      </c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36"/>
      <c r="CG76" s="6"/>
    </row>
    <row r="77" spans="1:85" ht="15.75" customHeight="1" x14ac:dyDescent="0.2">
      <c r="A77" s="635"/>
      <c r="B77" s="1"/>
      <c r="C77" s="283"/>
      <c r="D77" s="1120"/>
      <c r="E77" s="20"/>
      <c r="F77" s="3"/>
      <c r="G77" s="3"/>
      <c r="H77" s="94"/>
      <c r="I77" s="94"/>
      <c r="J77" s="94"/>
      <c r="K77" s="94"/>
      <c r="L77" s="276">
        <f>E77*D77</f>
        <v>0</v>
      </c>
      <c r="M77" s="112">
        <v>1</v>
      </c>
      <c r="N77" s="3">
        <v>1</v>
      </c>
      <c r="O77" s="113">
        <f t="shared" ref="O77:O86" si="12">L77*$C$57</f>
        <v>0</v>
      </c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36"/>
      <c r="CG77" s="6"/>
    </row>
    <row r="78" spans="1:85" ht="15.75" customHeight="1" x14ac:dyDescent="0.2">
      <c r="A78" s="635"/>
      <c r="B78" s="1" t="s">
        <v>1431</v>
      </c>
      <c r="C78" s="20" t="s">
        <v>316</v>
      </c>
      <c r="D78" s="926">
        <v>70</v>
      </c>
      <c r="E78" s="20">
        <v>2.5</v>
      </c>
      <c r="F78" s="3"/>
      <c r="G78" s="3"/>
      <c r="H78" s="94"/>
      <c r="I78" s="94"/>
      <c r="J78" s="94"/>
      <c r="K78" s="94"/>
      <c r="L78" s="276">
        <f t="shared" ref="L78:L86" si="13">E78*D78</f>
        <v>175</v>
      </c>
      <c r="M78" s="112">
        <v>1</v>
      </c>
      <c r="N78" s="3">
        <v>1</v>
      </c>
      <c r="O78" s="113">
        <f t="shared" si="12"/>
        <v>20317.5</v>
      </c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36"/>
      <c r="CG78" s="6"/>
    </row>
    <row r="79" spans="1:85" ht="15.75" customHeight="1" x14ac:dyDescent="0.2">
      <c r="A79" s="635"/>
      <c r="B79" s="1"/>
      <c r="C79" s="20"/>
      <c r="D79" s="275"/>
      <c r="E79" s="20"/>
      <c r="F79" s="3"/>
      <c r="G79" s="3"/>
      <c r="H79" s="94"/>
      <c r="I79" s="94"/>
      <c r="J79" s="94"/>
      <c r="K79" s="94"/>
      <c r="L79" s="276">
        <f t="shared" si="13"/>
        <v>0</v>
      </c>
      <c r="M79" s="112">
        <v>1</v>
      </c>
      <c r="N79" s="3">
        <v>1</v>
      </c>
      <c r="O79" s="113">
        <f t="shared" si="12"/>
        <v>0</v>
      </c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36"/>
      <c r="CG79" s="6"/>
    </row>
    <row r="80" spans="1:85" ht="15.75" customHeight="1" x14ac:dyDescent="0.2">
      <c r="A80" s="635"/>
      <c r="B80" s="1"/>
      <c r="C80" s="20"/>
      <c r="D80" s="275"/>
      <c r="E80" s="20"/>
      <c r="F80" s="3"/>
      <c r="G80" s="3"/>
      <c r="H80" s="94"/>
      <c r="I80" s="94"/>
      <c r="J80" s="94"/>
      <c r="K80" s="94"/>
      <c r="L80" s="276">
        <f t="shared" si="13"/>
        <v>0</v>
      </c>
      <c r="M80" s="112">
        <v>1</v>
      </c>
      <c r="N80" s="3">
        <v>1</v>
      </c>
      <c r="O80" s="113">
        <f t="shared" si="12"/>
        <v>0</v>
      </c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36"/>
      <c r="CG80" s="6"/>
    </row>
    <row r="81" spans="1:86" ht="15.75" customHeight="1" x14ac:dyDescent="0.2">
      <c r="A81" s="635"/>
      <c r="B81" s="1"/>
      <c r="C81" s="20"/>
      <c r="D81" s="275"/>
      <c r="E81" s="20"/>
      <c r="F81" s="3"/>
      <c r="G81" s="3"/>
      <c r="H81" s="94"/>
      <c r="I81" s="94"/>
      <c r="J81" s="94"/>
      <c r="K81" s="94"/>
      <c r="L81" s="276">
        <f>E81*D81</f>
        <v>0</v>
      </c>
      <c r="M81" s="112">
        <v>1</v>
      </c>
      <c r="N81" s="3">
        <v>1</v>
      </c>
      <c r="O81" s="113">
        <f t="shared" si="12"/>
        <v>0</v>
      </c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36"/>
      <c r="CG81" s="6"/>
    </row>
    <row r="82" spans="1:86" ht="15.75" customHeight="1" x14ac:dyDescent="0.2">
      <c r="A82" s="635"/>
      <c r="B82" s="1"/>
      <c r="C82" s="20"/>
      <c r="D82" s="275"/>
      <c r="E82" s="20"/>
      <c r="F82" s="3"/>
      <c r="G82" s="3"/>
      <c r="H82" s="94"/>
      <c r="I82" s="94"/>
      <c r="J82" s="94"/>
      <c r="K82" s="94"/>
      <c r="L82" s="276">
        <f t="shared" si="13"/>
        <v>0</v>
      </c>
      <c r="M82" s="112">
        <v>1</v>
      </c>
      <c r="N82" s="3">
        <v>1</v>
      </c>
      <c r="O82" s="113">
        <f t="shared" si="12"/>
        <v>0</v>
      </c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36"/>
      <c r="CG82" s="6"/>
    </row>
    <row r="83" spans="1:86" ht="15.75" customHeight="1" x14ac:dyDescent="0.2">
      <c r="A83" s="635"/>
      <c r="B83" s="1"/>
      <c r="C83" s="20"/>
      <c r="D83" s="275"/>
      <c r="E83" s="20"/>
      <c r="F83" s="3"/>
      <c r="G83" s="3"/>
      <c r="H83" s="94"/>
      <c r="I83" s="94"/>
      <c r="J83" s="94"/>
      <c r="K83" s="94"/>
      <c r="L83" s="276">
        <f t="shared" si="13"/>
        <v>0</v>
      </c>
      <c r="M83" s="100">
        <v>1</v>
      </c>
      <c r="N83" s="3">
        <v>1</v>
      </c>
      <c r="O83" s="113">
        <f t="shared" si="12"/>
        <v>0</v>
      </c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36"/>
      <c r="CG83" s="6"/>
    </row>
    <row r="84" spans="1:86" ht="15.75" customHeight="1" x14ac:dyDescent="0.2">
      <c r="A84" s="635"/>
      <c r="B84" s="1"/>
      <c r="C84" s="20"/>
      <c r="D84" s="275"/>
      <c r="E84" s="20"/>
      <c r="F84" s="3"/>
      <c r="G84" s="3"/>
      <c r="H84" s="94"/>
      <c r="I84" s="94"/>
      <c r="J84" s="94"/>
      <c r="K84" s="94"/>
      <c r="L84" s="276">
        <f t="shared" si="13"/>
        <v>0</v>
      </c>
      <c r="M84" s="100">
        <v>1</v>
      </c>
      <c r="N84" s="3">
        <v>1</v>
      </c>
      <c r="O84" s="113">
        <f t="shared" si="12"/>
        <v>0</v>
      </c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36"/>
      <c r="CG84" s="6"/>
    </row>
    <row r="85" spans="1:86" ht="15.75" customHeight="1" x14ac:dyDescent="0.2">
      <c r="A85" s="635"/>
      <c r="B85" s="1"/>
      <c r="C85" s="20"/>
      <c r="D85" s="275"/>
      <c r="E85" s="20"/>
      <c r="F85" s="3"/>
      <c r="G85" s="3"/>
      <c r="H85" s="94"/>
      <c r="I85" s="94"/>
      <c r="J85" s="94"/>
      <c r="K85" s="94"/>
      <c r="L85" s="276">
        <f t="shared" si="13"/>
        <v>0</v>
      </c>
      <c r="M85" s="100">
        <v>1</v>
      </c>
      <c r="N85" s="3">
        <v>1</v>
      </c>
      <c r="O85" s="113">
        <f t="shared" si="12"/>
        <v>0</v>
      </c>
      <c r="P85" s="6"/>
      <c r="Q85" s="6"/>
      <c r="R85" s="6">
        <v>20</v>
      </c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36"/>
      <c r="CG85" s="6"/>
    </row>
    <row r="86" spans="1:86" ht="15.75" customHeight="1" x14ac:dyDescent="0.2">
      <c r="A86" s="635"/>
      <c r="B86" s="1"/>
      <c r="C86" s="20"/>
      <c r="D86" s="275"/>
      <c r="E86" s="20"/>
      <c r="F86" s="3"/>
      <c r="G86" s="3"/>
      <c r="H86" s="94"/>
      <c r="I86" s="94"/>
      <c r="J86" s="94"/>
      <c r="K86" s="94"/>
      <c r="L86" s="276">
        <f t="shared" si="13"/>
        <v>0</v>
      </c>
      <c r="M86" s="100">
        <v>1</v>
      </c>
      <c r="N86" s="3">
        <v>1</v>
      </c>
      <c r="O86" s="113">
        <f t="shared" si="12"/>
        <v>0</v>
      </c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36"/>
    </row>
    <row r="87" spans="1:86" x14ac:dyDescent="0.2">
      <c r="A87" s="635"/>
      <c r="B87" s="95" t="s">
        <v>77</v>
      </c>
      <c r="C87" s="3"/>
      <c r="D87" s="3"/>
      <c r="E87" s="3"/>
      <c r="F87" s="3"/>
      <c r="G87" s="3"/>
      <c r="H87" s="96"/>
      <c r="I87" s="96"/>
      <c r="J87" s="96"/>
      <c r="K87" s="96"/>
      <c r="L87" s="106">
        <f>SUM(L77:L86)</f>
        <v>175</v>
      </c>
      <c r="M87" s="113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36"/>
    </row>
    <row r="88" spans="1:86" x14ac:dyDescent="0.2">
      <c r="A88" s="635"/>
      <c r="B88" s="91"/>
      <c r="C88" s="6"/>
      <c r="D88" s="6"/>
      <c r="E88" s="6"/>
      <c r="F88" s="6"/>
      <c r="G88" s="6"/>
      <c r="H88" s="6"/>
      <c r="I88" s="6"/>
      <c r="J88" s="6"/>
      <c r="K88" s="6"/>
      <c r="L88" s="113"/>
      <c r="M88" s="113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36"/>
    </row>
    <row r="89" spans="1:86" x14ac:dyDescent="0.2">
      <c r="A89" s="635"/>
      <c r="B89" s="6"/>
      <c r="C89" s="6"/>
      <c r="D89" s="6"/>
      <c r="E89" s="6"/>
      <c r="F89" s="6"/>
      <c r="G89" s="6"/>
      <c r="H89" s="6"/>
      <c r="I89" s="6"/>
      <c r="J89" s="6"/>
      <c r="K89" s="6"/>
      <c r="L89" s="2625" t="s">
        <v>413</v>
      </c>
      <c r="M89" s="2625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36"/>
    </row>
    <row r="90" spans="1:86" x14ac:dyDescent="0.2">
      <c r="A90" s="635"/>
      <c r="B90" s="98" t="s">
        <v>301</v>
      </c>
      <c r="C90" s="99" t="s">
        <v>410</v>
      </c>
      <c r="D90" s="98" t="s">
        <v>411</v>
      </c>
      <c r="E90" s="99" t="s">
        <v>492</v>
      </c>
      <c r="F90" s="6"/>
      <c r="G90" s="6"/>
      <c r="H90" s="6"/>
      <c r="I90" s="6"/>
      <c r="J90" s="6"/>
      <c r="K90" s="6"/>
      <c r="L90" s="99" t="s">
        <v>292</v>
      </c>
      <c r="M90" s="99" t="s">
        <v>80</v>
      </c>
      <c r="N90" s="6"/>
      <c r="O90" s="117" t="s">
        <v>491</v>
      </c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36"/>
      <c r="CG90" s="99" t="s">
        <v>484</v>
      </c>
      <c r="CH90" s="99" t="s">
        <v>485</v>
      </c>
    </row>
    <row r="91" spans="1:86" ht="15.75" customHeight="1" x14ac:dyDescent="0.2">
      <c r="A91" s="635"/>
      <c r="B91" s="3">
        <v>1</v>
      </c>
      <c r="C91" s="20"/>
      <c r="D91" s="276">
        <f>VLOOKUP(B91,'Mão-de-obra'!$CJ$10:$CL$29,3)</f>
        <v>0</v>
      </c>
      <c r="E91" s="106">
        <f>C91*D91</f>
        <v>0</v>
      </c>
      <c r="F91" s="6"/>
      <c r="G91" s="6"/>
      <c r="H91" s="6"/>
      <c r="I91" s="6"/>
      <c r="J91" s="6"/>
      <c r="K91" s="6"/>
      <c r="L91" s="6">
        <v>1</v>
      </c>
      <c r="M91" s="6">
        <v>1</v>
      </c>
      <c r="N91" s="6"/>
      <c r="O91" s="113">
        <f>E91*$C$57</f>
        <v>0</v>
      </c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36"/>
      <c r="CF91" s="93">
        <f>B91</f>
        <v>1</v>
      </c>
      <c r="CG91" s="3">
        <f>VLOOKUP(B91,'Mão-de-obra'!$CJ$10:$CK$29,2)</f>
        <v>0</v>
      </c>
      <c r="CH91" s="3">
        <f>C91*$C$57</f>
        <v>0</v>
      </c>
    </row>
    <row r="92" spans="1:86" ht="15.75" customHeight="1" x14ac:dyDescent="0.2">
      <c r="A92" s="635"/>
      <c r="B92" s="3">
        <v>1</v>
      </c>
      <c r="C92" s="20"/>
      <c r="D92" s="276">
        <f>VLOOKUP(B92,'Mão-de-obra'!$CJ$10:$CL$29,3)</f>
        <v>0</v>
      </c>
      <c r="E92" s="106">
        <f>C92*D92</f>
        <v>0</v>
      </c>
      <c r="F92" s="6"/>
      <c r="G92" s="6"/>
      <c r="H92" s="6"/>
      <c r="I92" s="6"/>
      <c r="J92" s="6"/>
      <c r="K92" s="6"/>
      <c r="L92" s="6">
        <v>1</v>
      </c>
      <c r="M92" s="6">
        <v>1</v>
      </c>
      <c r="N92" s="6"/>
      <c r="O92" s="113">
        <f>E92*$C$57</f>
        <v>0</v>
      </c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36"/>
      <c r="CF92" s="93">
        <f>B92</f>
        <v>1</v>
      </c>
      <c r="CG92" s="3">
        <f>VLOOKUP(B92,'Mão-de-obra'!$CJ$10:$CK$29,2)</f>
        <v>0</v>
      </c>
      <c r="CH92" s="3">
        <f>C92*$C$57</f>
        <v>0</v>
      </c>
    </row>
    <row r="93" spans="1:86" ht="15.75" customHeight="1" x14ac:dyDescent="0.2">
      <c r="A93" s="635"/>
      <c r="B93" s="3">
        <v>1</v>
      </c>
      <c r="C93" s="20"/>
      <c r="D93" s="276">
        <f>VLOOKUP(B93,'Mão-de-obra'!$CJ$10:$CL$29,3)</f>
        <v>0</v>
      </c>
      <c r="E93" s="106">
        <f>C93*D93</f>
        <v>0</v>
      </c>
      <c r="F93" s="6"/>
      <c r="G93" s="6"/>
      <c r="H93" s="6"/>
      <c r="I93" s="6"/>
      <c r="J93" s="6"/>
      <c r="K93" s="6"/>
      <c r="L93" s="6">
        <v>1</v>
      </c>
      <c r="M93" s="6">
        <v>1</v>
      </c>
      <c r="N93" s="6"/>
      <c r="O93" s="113">
        <f>E93*$C$57</f>
        <v>0</v>
      </c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36"/>
      <c r="CF93" s="93">
        <f>B93</f>
        <v>1</v>
      </c>
      <c r="CG93" s="3">
        <f>VLOOKUP(B93,'Mão-de-obra'!$CJ$10:$CK$29,2)</f>
        <v>0</v>
      </c>
      <c r="CH93" s="3">
        <f>C93*$C$57</f>
        <v>0</v>
      </c>
    </row>
    <row r="94" spans="1:86" ht="15.75" customHeight="1" x14ac:dyDescent="0.2">
      <c r="A94" s="635"/>
      <c r="B94" s="3">
        <v>1</v>
      </c>
      <c r="C94" s="20"/>
      <c r="D94" s="276">
        <f>VLOOKUP(B94,'Mão-de-obra'!$CJ$10:$CL$29,3)</f>
        <v>0</v>
      </c>
      <c r="E94" s="106">
        <f>C94*D94</f>
        <v>0</v>
      </c>
      <c r="F94" s="6"/>
      <c r="G94" s="6"/>
      <c r="H94" s="6"/>
      <c r="I94" s="6"/>
      <c r="J94" s="6"/>
      <c r="K94" s="6"/>
      <c r="L94" s="6">
        <v>1</v>
      </c>
      <c r="M94" s="6">
        <v>1</v>
      </c>
      <c r="N94" s="6"/>
      <c r="O94" s="113">
        <f>E94*$C$57</f>
        <v>0</v>
      </c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36"/>
      <c r="CF94" s="93">
        <f>B94</f>
        <v>1</v>
      </c>
      <c r="CG94" s="3">
        <f>VLOOKUP(B94,'Mão-de-obra'!$CJ$10:$CK$29,2)</f>
        <v>0</v>
      </c>
      <c r="CH94" s="3">
        <f>C94*$C$57</f>
        <v>0</v>
      </c>
    </row>
    <row r="95" spans="1:86" ht="15.75" customHeight="1" x14ac:dyDescent="0.2">
      <c r="A95" s="635"/>
      <c r="B95" s="3">
        <v>1</v>
      </c>
      <c r="C95" s="20"/>
      <c r="D95" s="276">
        <f>VLOOKUP(B95,'Mão-de-obra'!$CJ$10:$CL$29,3)</f>
        <v>0</v>
      </c>
      <c r="E95" s="106">
        <f>C95*D95</f>
        <v>0</v>
      </c>
      <c r="F95" s="6"/>
      <c r="G95" s="6"/>
      <c r="H95" s="6"/>
      <c r="I95" s="6"/>
      <c r="J95" s="6"/>
      <c r="K95" s="6"/>
      <c r="L95" s="6">
        <v>1</v>
      </c>
      <c r="M95" s="6">
        <v>1</v>
      </c>
      <c r="N95" s="6"/>
      <c r="O95" s="113">
        <f>E95*$C$57</f>
        <v>0</v>
      </c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36"/>
      <c r="CF95" s="93">
        <f>B95</f>
        <v>1</v>
      </c>
      <c r="CG95" s="3">
        <f>VLOOKUP(B95,'Mão-de-obra'!$CJ$10:$CK$29,2)</f>
        <v>0</v>
      </c>
      <c r="CH95" s="3">
        <f>C95*$C$57</f>
        <v>0</v>
      </c>
    </row>
    <row r="96" spans="1:86" ht="13.5" thickBot="1" x14ac:dyDescent="0.25">
      <c r="A96" s="63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638"/>
      <c r="CG96" s="3" t="s">
        <v>2</v>
      </c>
      <c r="CH96" s="3">
        <f>SUM(CH91:CH95)</f>
        <v>0</v>
      </c>
    </row>
    <row r="4024" spans="14:14" x14ac:dyDescent="0.2">
      <c r="N4024" s="93">
        <v>20</v>
      </c>
    </row>
    <row r="8055" spans="13:13" x14ac:dyDescent="0.2">
      <c r="M8055" s="93">
        <v>20</v>
      </c>
    </row>
  </sheetData>
  <mergeCells count="38">
    <mergeCell ref="B2:C2"/>
    <mergeCell ref="P10:Q10"/>
    <mergeCell ref="M11:N11"/>
    <mergeCell ref="M12:N12"/>
    <mergeCell ref="M13:N13"/>
    <mergeCell ref="M14:N14"/>
    <mergeCell ref="F6:H6"/>
    <mergeCell ref="X14:Y14"/>
    <mergeCell ref="M15:N15"/>
    <mergeCell ref="M16:N16"/>
    <mergeCell ref="M17:N17"/>
    <mergeCell ref="M18:N18"/>
    <mergeCell ref="M19:N19"/>
    <mergeCell ref="M20:N20"/>
    <mergeCell ref="M21:N21"/>
    <mergeCell ref="M22:N22"/>
    <mergeCell ref="M23:N23"/>
    <mergeCell ref="M24:N24"/>
    <mergeCell ref="M25:N25"/>
    <mergeCell ref="M26:N26"/>
    <mergeCell ref="M27:N27"/>
    <mergeCell ref="M29:N29"/>
    <mergeCell ref="L48:M48"/>
    <mergeCell ref="P61:Q61"/>
    <mergeCell ref="M62:N62"/>
    <mergeCell ref="M63:N63"/>
    <mergeCell ref="M64:N64"/>
    <mergeCell ref="M65:N65"/>
    <mergeCell ref="M66:N66"/>
    <mergeCell ref="M67:N67"/>
    <mergeCell ref="M68:N68"/>
    <mergeCell ref="L89:M89"/>
    <mergeCell ref="M69:N69"/>
    <mergeCell ref="M70:N70"/>
    <mergeCell ref="M71:N71"/>
    <mergeCell ref="M72:N72"/>
    <mergeCell ref="M73:N73"/>
    <mergeCell ref="M75:N75"/>
  </mergeCells>
  <conditionalFormatting sqref="C50:C54 C91:C95">
    <cfRule type="expression" dxfId="511" priority="1" stopIfTrue="1">
      <formula>$B50=1</formula>
    </cfRule>
  </conditionalFormatting>
  <pageMargins left="0.78740157499999996" right="0.78740157499999996" top="0.984251969" bottom="0.984251969" header="0.5" footer="0.5"/>
  <pageSetup scale="7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53729" r:id="rId4" name="Drop Down 1">
              <controlPr defaultSize="0" autoLine="0" autoPict="0">
                <anchor moveWithCells="1">
                  <from>
                    <xdr:col>3</xdr:col>
                    <xdr:colOff>0</xdr:colOff>
                    <xdr:row>11</xdr:row>
                    <xdr:rowOff>0</xdr:rowOff>
                  </from>
                  <to>
                    <xdr:col>4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30" r:id="rId5" name="Drop Down 2">
              <controlPr defaultSize="0" autoLine="0" autoPict="0">
                <anchor moveWithCells="1">
                  <from>
                    <xdr:col>4</xdr:col>
                    <xdr:colOff>0</xdr:colOff>
                    <xdr:row>11</xdr:row>
                    <xdr:rowOff>0</xdr:rowOff>
                  </from>
                  <to>
                    <xdr:col>5</xdr:col>
                    <xdr:colOff>9525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31" r:id="rId6" name="Drop Down 3">
              <controlPr defaultSize="0" autoLine="0" autoPict="0">
                <anchor moveWithCells="1">
                  <from>
                    <xdr:col>3</xdr:col>
                    <xdr:colOff>0</xdr:colOff>
                    <xdr:row>12</xdr:row>
                    <xdr:rowOff>0</xdr:rowOff>
                  </from>
                  <to>
                    <xdr:col>4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32" r:id="rId7" name="Drop Down 4">
              <controlPr defaultSize="0" autoLine="0" autoPict="0">
                <anchor moveWithCells="1">
                  <from>
                    <xdr:col>3</xdr:col>
                    <xdr:colOff>0</xdr:colOff>
                    <xdr:row>13</xdr:row>
                    <xdr:rowOff>0</xdr:rowOff>
                  </from>
                  <to>
                    <xdr:col>4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33" r:id="rId8" name="Drop Down 5">
              <controlPr defaultSize="0" autoLine="0" autoPict="0">
                <anchor moveWithCells="1">
                  <from>
                    <xdr:col>3</xdr:col>
                    <xdr:colOff>0</xdr:colOff>
                    <xdr:row>14</xdr:row>
                    <xdr:rowOff>0</xdr:rowOff>
                  </from>
                  <to>
                    <xdr:col>4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34" r:id="rId9" name="Drop Down 6">
              <controlPr defaultSize="0" autoLine="0" autoPict="0">
                <anchor moveWithCells="1">
                  <from>
                    <xdr:col>3</xdr:col>
                    <xdr:colOff>0</xdr:colOff>
                    <xdr:row>25</xdr:row>
                    <xdr:rowOff>0</xdr:rowOff>
                  </from>
                  <to>
                    <xdr:col>4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35" r:id="rId10" name="Drop Down 7">
              <controlPr defaultSize="0" autoLine="0" autoPict="0">
                <anchor moveWithCells="1">
                  <from>
                    <xdr:col>4</xdr:col>
                    <xdr:colOff>0</xdr:colOff>
                    <xdr:row>12</xdr:row>
                    <xdr:rowOff>0</xdr:rowOff>
                  </from>
                  <to>
                    <xdr:col>5</xdr:col>
                    <xdr:colOff>9525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36" r:id="rId11" name="Drop Down 8">
              <controlPr defaultSize="0" autoLine="0" autoPict="0">
                <anchor moveWithCells="1">
                  <from>
                    <xdr:col>4</xdr:col>
                    <xdr:colOff>0</xdr:colOff>
                    <xdr:row>13</xdr:row>
                    <xdr:rowOff>0</xdr:rowOff>
                  </from>
                  <to>
                    <xdr:col>5</xdr:col>
                    <xdr:colOff>9525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37" r:id="rId12" name="Drop Down 9">
              <controlPr defaultSize="0" autoLine="0" autoPict="0">
                <anchor moveWithCells="1">
                  <from>
                    <xdr:col>4</xdr:col>
                    <xdr:colOff>0</xdr:colOff>
                    <xdr:row>14</xdr:row>
                    <xdr:rowOff>0</xdr:rowOff>
                  </from>
                  <to>
                    <xdr:col>5</xdr:col>
                    <xdr:colOff>9525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38" r:id="rId13" name="Drop Down 10">
              <controlPr defaultSize="0" autoLine="0" autoPict="0">
                <anchor moveWithCells="1">
                  <from>
                    <xdr:col>4</xdr:col>
                    <xdr:colOff>0</xdr:colOff>
                    <xdr:row>25</xdr:row>
                    <xdr:rowOff>0</xdr:rowOff>
                  </from>
                  <to>
                    <xdr:col>5</xdr:col>
                    <xdr:colOff>9525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47" r:id="rId14" name="Drop Down 19">
              <controlPr defaultSize="0" autoLine="0" autoPict="0">
                <anchor moveWithCells="1">
                  <from>
                    <xdr:col>3</xdr:col>
                    <xdr:colOff>0</xdr:colOff>
                    <xdr:row>62</xdr:row>
                    <xdr:rowOff>0</xdr:rowOff>
                  </from>
                  <to>
                    <xdr:col>4</xdr:col>
                    <xdr:colOff>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48" r:id="rId15" name="Drop Down 20">
              <controlPr defaultSize="0" autoLine="0" autoPict="0">
                <anchor moveWithCells="1">
                  <from>
                    <xdr:col>4</xdr:col>
                    <xdr:colOff>0</xdr:colOff>
                    <xdr:row>62</xdr:row>
                    <xdr:rowOff>0</xdr:rowOff>
                  </from>
                  <to>
                    <xdr:col>5</xdr:col>
                    <xdr:colOff>9525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49" r:id="rId16" name="Drop Down 21">
              <controlPr defaultSize="0" autoLine="0" autoPict="0">
                <anchor moveWithCells="1">
                  <from>
                    <xdr:col>3</xdr:col>
                    <xdr:colOff>0</xdr:colOff>
                    <xdr:row>63</xdr:row>
                    <xdr:rowOff>0</xdr:rowOff>
                  </from>
                  <to>
                    <xdr:col>4</xdr:col>
                    <xdr:colOff>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50" r:id="rId17" name="Drop Down 22">
              <controlPr defaultSize="0" autoLine="0" autoPict="0">
                <anchor moveWithCells="1">
                  <from>
                    <xdr:col>3</xdr:col>
                    <xdr:colOff>0</xdr:colOff>
                    <xdr:row>64</xdr:row>
                    <xdr:rowOff>0</xdr:rowOff>
                  </from>
                  <to>
                    <xdr:col>4</xdr:col>
                    <xdr:colOff>0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51" r:id="rId18" name="Drop Down 23">
              <controlPr defaultSize="0" autoLine="0" autoPict="0">
                <anchor moveWithCells="1">
                  <from>
                    <xdr:col>3</xdr:col>
                    <xdr:colOff>0</xdr:colOff>
                    <xdr:row>70</xdr:row>
                    <xdr:rowOff>0</xdr:rowOff>
                  </from>
                  <to>
                    <xdr:col>4</xdr:col>
                    <xdr:colOff>0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52" r:id="rId19" name="Drop Down 24">
              <controlPr defaultSize="0" autoLine="0" autoPict="0">
                <anchor moveWithCells="1">
                  <from>
                    <xdr:col>3</xdr:col>
                    <xdr:colOff>0</xdr:colOff>
                    <xdr:row>71</xdr:row>
                    <xdr:rowOff>0</xdr:rowOff>
                  </from>
                  <to>
                    <xdr:col>4</xdr:col>
                    <xdr:colOff>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53" r:id="rId20" name="Drop Down 25">
              <controlPr defaultSize="0" autoLine="0" autoPict="0">
                <anchor moveWithCells="1">
                  <from>
                    <xdr:col>4</xdr:col>
                    <xdr:colOff>0</xdr:colOff>
                    <xdr:row>63</xdr:row>
                    <xdr:rowOff>0</xdr:rowOff>
                  </from>
                  <to>
                    <xdr:col>5</xdr:col>
                    <xdr:colOff>9525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55" r:id="rId21" name="Drop Down 27">
              <controlPr defaultSize="0" autoLine="0" autoPict="0">
                <anchor moveWithCells="1">
                  <from>
                    <xdr:col>4</xdr:col>
                    <xdr:colOff>0</xdr:colOff>
                    <xdr:row>70</xdr:row>
                    <xdr:rowOff>0</xdr:rowOff>
                  </from>
                  <to>
                    <xdr:col>5</xdr:col>
                    <xdr:colOff>9525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56" r:id="rId22" name="Drop Down 28">
              <controlPr defaultSize="0" autoLine="0" autoPict="0">
                <anchor moveWithCells="1">
                  <from>
                    <xdr:col>4</xdr:col>
                    <xdr:colOff>0</xdr:colOff>
                    <xdr:row>71</xdr:row>
                    <xdr:rowOff>0</xdr:rowOff>
                  </from>
                  <to>
                    <xdr:col>5</xdr:col>
                    <xdr:colOff>9525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67" r:id="rId23" name="Drop Down 39">
              <controlPr defaultSize="0" autoLine="0" autoPict="0">
                <anchor moveWithCells="1">
                  <from>
                    <xdr:col>1</xdr:col>
                    <xdr:colOff>0</xdr:colOff>
                    <xdr:row>90</xdr:row>
                    <xdr:rowOff>0</xdr:rowOff>
                  </from>
                  <to>
                    <xdr:col>1</xdr:col>
                    <xdr:colOff>1781175</xdr:colOff>
                    <xdr:row>91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68" r:id="rId24" name="Drop Down 40">
              <controlPr defaultSize="0" autoLine="0" autoPict="0">
                <anchor moveWithCells="1">
                  <from>
                    <xdr:col>1</xdr:col>
                    <xdr:colOff>0</xdr:colOff>
                    <xdr:row>91</xdr:row>
                    <xdr:rowOff>0</xdr:rowOff>
                  </from>
                  <to>
                    <xdr:col>1</xdr:col>
                    <xdr:colOff>1781175</xdr:colOff>
                    <xdr:row>92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69" r:id="rId25" name="Drop Down 41">
              <controlPr defaultSize="0" autoLine="0" autoPict="0">
                <anchor moveWithCells="1">
                  <from>
                    <xdr:col>1</xdr:col>
                    <xdr:colOff>0</xdr:colOff>
                    <xdr:row>92</xdr:row>
                    <xdr:rowOff>0</xdr:rowOff>
                  </from>
                  <to>
                    <xdr:col>1</xdr:col>
                    <xdr:colOff>1781175</xdr:colOff>
                    <xdr:row>93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70" r:id="rId26" name="Drop Down 42">
              <controlPr defaultSize="0" autoLine="0" autoPict="0">
                <anchor moveWithCells="1">
                  <from>
                    <xdr:col>1</xdr:col>
                    <xdr:colOff>0</xdr:colOff>
                    <xdr:row>93</xdr:row>
                    <xdr:rowOff>0</xdr:rowOff>
                  </from>
                  <to>
                    <xdr:col>1</xdr:col>
                    <xdr:colOff>1781175</xdr:colOff>
                    <xdr:row>94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71" r:id="rId27" name="Drop Down 43">
              <controlPr defaultSize="0" autoLine="0" autoPict="0">
                <anchor moveWithCells="1">
                  <from>
                    <xdr:col>1</xdr:col>
                    <xdr:colOff>0</xdr:colOff>
                    <xdr:row>94</xdr:row>
                    <xdr:rowOff>0</xdr:rowOff>
                  </from>
                  <to>
                    <xdr:col>1</xdr:col>
                    <xdr:colOff>1781175</xdr:colOff>
                    <xdr:row>95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72" r:id="rId28" name="Drop Down 44">
              <controlPr defaultSize="0" autoLine="0" autoPict="0">
                <anchor moveWithCells="1">
                  <from>
                    <xdr:col>14</xdr:col>
                    <xdr:colOff>0</xdr:colOff>
                    <xdr:row>62</xdr:row>
                    <xdr:rowOff>0</xdr:rowOff>
                  </from>
                  <to>
                    <xdr:col>16</xdr:col>
                    <xdr:colOff>9525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73" r:id="rId29" name="Drop Down 45">
              <controlPr defaultSize="0" autoLine="0" autoPict="0">
                <anchor moveWithCells="1">
                  <from>
                    <xdr:col>1</xdr:col>
                    <xdr:colOff>0</xdr:colOff>
                    <xdr:row>48</xdr:row>
                    <xdr:rowOff>152400</xdr:rowOff>
                  </from>
                  <to>
                    <xdr:col>1</xdr:col>
                    <xdr:colOff>1781175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74" r:id="rId30" name="Drop Down 46">
              <controlPr defaultSize="0" autoLine="0" autoPict="0">
                <anchor moveWithCells="1">
                  <from>
                    <xdr:col>1</xdr:col>
                    <xdr:colOff>0</xdr:colOff>
                    <xdr:row>49</xdr:row>
                    <xdr:rowOff>190500</xdr:rowOff>
                  </from>
                  <to>
                    <xdr:col>1</xdr:col>
                    <xdr:colOff>1781175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75" r:id="rId31" name="Drop Down 47">
              <controlPr defaultSize="0" autoLine="0" autoPict="0">
                <anchor moveWithCells="1">
                  <from>
                    <xdr:col>1</xdr:col>
                    <xdr:colOff>0</xdr:colOff>
                    <xdr:row>50</xdr:row>
                    <xdr:rowOff>190500</xdr:rowOff>
                  </from>
                  <to>
                    <xdr:col>1</xdr:col>
                    <xdr:colOff>1781175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76" r:id="rId32" name="Drop Down 48">
              <controlPr defaultSize="0" autoLine="0" autoPict="0">
                <anchor moveWithCells="1">
                  <from>
                    <xdr:col>1</xdr:col>
                    <xdr:colOff>0</xdr:colOff>
                    <xdr:row>52</xdr:row>
                    <xdr:rowOff>0</xdr:rowOff>
                  </from>
                  <to>
                    <xdr:col>1</xdr:col>
                    <xdr:colOff>1781175</xdr:colOff>
                    <xdr:row>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77" r:id="rId33" name="Drop Down 49">
              <controlPr defaultSize="0" autoLine="0" autoPict="0">
                <anchor moveWithCells="1">
                  <from>
                    <xdr:col>1</xdr:col>
                    <xdr:colOff>0</xdr:colOff>
                    <xdr:row>53</xdr:row>
                    <xdr:rowOff>0</xdr:rowOff>
                  </from>
                  <to>
                    <xdr:col>1</xdr:col>
                    <xdr:colOff>1781175</xdr:colOff>
                    <xdr:row>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94" r:id="rId34" name="Drop Down 66">
              <controlPr defaultSize="0" autoLine="0" autoPict="0">
                <anchor moveWithCells="1">
                  <from>
                    <xdr:col>16</xdr:col>
                    <xdr:colOff>0</xdr:colOff>
                    <xdr:row>62</xdr:row>
                    <xdr:rowOff>0</xdr:rowOff>
                  </from>
                  <to>
                    <xdr:col>17</xdr:col>
                    <xdr:colOff>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95" r:id="rId35" name="Drop Down 67">
              <controlPr defaultSize="0" autoLine="0" autoPict="0">
                <anchor moveWithCells="1">
                  <from>
                    <xdr:col>14</xdr:col>
                    <xdr:colOff>0</xdr:colOff>
                    <xdr:row>63</xdr:row>
                    <xdr:rowOff>0</xdr:rowOff>
                  </from>
                  <to>
                    <xdr:col>16</xdr:col>
                    <xdr:colOff>9525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96" r:id="rId36" name="Drop Down 68">
              <controlPr defaultSize="0" autoLine="0" autoPict="0">
                <anchor moveWithCells="1">
                  <from>
                    <xdr:col>14</xdr:col>
                    <xdr:colOff>0</xdr:colOff>
                    <xdr:row>64</xdr:row>
                    <xdr:rowOff>0</xdr:rowOff>
                  </from>
                  <to>
                    <xdr:col>16</xdr:col>
                    <xdr:colOff>9525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97" r:id="rId37" name="Drop Down 69">
              <controlPr defaultSize="0" autoLine="0" autoPict="0">
                <anchor moveWithCells="1">
                  <from>
                    <xdr:col>14</xdr:col>
                    <xdr:colOff>0</xdr:colOff>
                    <xdr:row>70</xdr:row>
                    <xdr:rowOff>0</xdr:rowOff>
                  </from>
                  <to>
                    <xdr:col>16</xdr:col>
                    <xdr:colOff>9525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98" r:id="rId38" name="Drop Down 70">
              <controlPr defaultSize="0" autoLine="0" autoPict="0">
                <anchor moveWithCells="1">
                  <from>
                    <xdr:col>14</xdr:col>
                    <xdr:colOff>0</xdr:colOff>
                    <xdr:row>71</xdr:row>
                    <xdr:rowOff>0</xdr:rowOff>
                  </from>
                  <to>
                    <xdr:col>16</xdr:col>
                    <xdr:colOff>9525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99" r:id="rId39" name="Drop Down 71">
              <controlPr defaultSize="0" autoLine="0" autoPict="0">
                <anchor moveWithCells="1">
                  <from>
                    <xdr:col>16</xdr:col>
                    <xdr:colOff>0</xdr:colOff>
                    <xdr:row>63</xdr:row>
                    <xdr:rowOff>0</xdr:rowOff>
                  </from>
                  <to>
                    <xdr:col>17</xdr:col>
                    <xdr:colOff>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00" r:id="rId40" name="Drop Down 72">
              <controlPr defaultSize="0" autoLine="0" autoPict="0">
                <anchor moveWithCells="1">
                  <from>
                    <xdr:col>16</xdr:col>
                    <xdr:colOff>0</xdr:colOff>
                    <xdr:row>64</xdr:row>
                    <xdr:rowOff>0</xdr:rowOff>
                  </from>
                  <to>
                    <xdr:col>17</xdr:col>
                    <xdr:colOff>0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01" r:id="rId41" name="Drop Down 73">
              <controlPr defaultSize="0" autoLine="0" autoPict="0">
                <anchor moveWithCells="1">
                  <from>
                    <xdr:col>16</xdr:col>
                    <xdr:colOff>0</xdr:colOff>
                    <xdr:row>70</xdr:row>
                    <xdr:rowOff>0</xdr:rowOff>
                  </from>
                  <to>
                    <xdr:col>17</xdr:col>
                    <xdr:colOff>0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02" r:id="rId42" name="Drop Down 74">
              <controlPr defaultSize="0" autoLine="0" autoPict="0">
                <anchor moveWithCells="1">
                  <from>
                    <xdr:col>16</xdr:col>
                    <xdr:colOff>0</xdr:colOff>
                    <xdr:row>71</xdr:row>
                    <xdr:rowOff>0</xdr:rowOff>
                  </from>
                  <to>
                    <xdr:col>17</xdr:col>
                    <xdr:colOff>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03" r:id="rId43" name="Drop Down 75">
              <controlPr defaultSize="0" autoLine="0" autoPict="0">
                <anchor moveWithCells="1">
                  <from>
                    <xdr:col>12</xdr:col>
                    <xdr:colOff>0</xdr:colOff>
                    <xdr:row>76</xdr:row>
                    <xdr:rowOff>0</xdr:rowOff>
                  </from>
                  <to>
                    <xdr:col>13</xdr:col>
                    <xdr:colOff>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04" r:id="rId44" name="Drop Down 76">
              <controlPr defaultSize="0" autoLine="0" autoPict="0">
                <anchor moveWithCells="1">
                  <from>
                    <xdr:col>12</xdr:col>
                    <xdr:colOff>0</xdr:colOff>
                    <xdr:row>82</xdr:row>
                    <xdr:rowOff>0</xdr:rowOff>
                  </from>
                  <to>
                    <xdr:col>13</xdr:col>
                    <xdr:colOff>0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05" r:id="rId45" name="Drop Down 77">
              <controlPr defaultSize="0" autoLine="0" autoPict="0">
                <anchor moveWithCells="1">
                  <from>
                    <xdr:col>12</xdr:col>
                    <xdr:colOff>0</xdr:colOff>
                    <xdr:row>83</xdr:row>
                    <xdr:rowOff>0</xdr:rowOff>
                  </from>
                  <to>
                    <xdr:col>13</xdr:col>
                    <xdr:colOff>0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06" r:id="rId46" name="Drop Down 78">
              <controlPr defaultSize="0" autoLine="0" autoPict="0">
                <anchor moveWithCells="1">
                  <from>
                    <xdr:col>12</xdr:col>
                    <xdr:colOff>0</xdr:colOff>
                    <xdr:row>84</xdr:row>
                    <xdr:rowOff>0</xdr:rowOff>
                  </from>
                  <to>
                    <xdr:col>13</xdr:col>
                    <xdr:colOff>0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07" r:id="rId47" name="Drop Down 79">
              <controlPr defaultSize="0" autoLine="0" autoPict="0">
                <anchor moveWithCells="1">
                  <from>
                    <xdr:col>12</xdr:col>
                    <xdr:colOff>0</xdr:colOff>
                    <xdr:row>85</xdr:row>
                    <xdr:rowOff>0</xdr:rowOff>
                  </from>
                  <to>
                    <xdr:col>13</xdr:col>
                    <xdr:colOff>0</xdr:colOff>
                    <xdr:row>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08" r:id="rId48" name="Drop Down 80">
              <controlPr defaultSize="0" autoLine="0" autoPict="0">
                <anchor moveWithCells="1">
                  <from>
                    <xdr:col>13</xdr:col>
                    <xdr:colOff>0</xdr:colOff>
                    <xdr:row>76</xdr:row>
                    <xdr:rowOff>0</xdr:rowOff>
                  </from>
                  <to>
                    <xdr:col>14</xdr:col>
                    <xdr:colOff>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09" r:id="rId49" name="Drop Down 81">
              <controlPr defaultSize="0" autoLine="0" autoPict="0">
                <anchor moveWithCells="1">
                  <from>
                    <xdr:col>13</xdr:col>
                    <xdr:colOff>0</xdr:colOff>
                    <xdr:row>82</xdr:row>
                    <xdr:rowOff>0</xdr:rowOff>
                  </from>
                  <to>
                    <xdr:col>14</xdr:col>
                    <xdr:colOff>0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10" r:id="rId50" name="Drop Down 82">
              <controlPr defaultSize="0" autoLine="0" autoPict="0">
                <anchor moveWithCells="1">
                  <from>
                    <xdr:col>13</xdr:col>
                    <xdr:colOff>0</xdr:colOff>
                    <xdr:row>83</xdr:row>
                    <xdr:rowOff>0</xdr:rowOff>
                  </from>
                  <to>
                    <xdr:col>14</xdr:col>
                    <xdr:colOff>0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11" r:id="rId51" name="Drop Down 83">
              <controlPr defaultSize="0" autoLine="0" autoPict="0">
                <anchor moveWithCells="1">
                  <from>
                    <xdr:col>13</xdr:col>
                    <xdr:colOff>0</xdr:colOff>
                    <xdr:row>84</xdr:row>
                    <xdr:rowOff>0</xdr:rowOff>
                  </from>
                  <to>
                    <xdr:col>14</xdr:col>
                    <xdr:colOff>0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12" r:id="rId52" name="Drop Down 84">
              <controlPr defaultSize="0" autoLine="0" autoPict="0">
                <anchor moveWithCells="1">
                  <from>
                    <xdr:col>13</xdr:col>
                    <xdr:colOff>0</xdr:colOff>
                    <xdr:row>85</xdr:row>
                    <xdr:rowOff>0</xdr:rowOff>
                  </from>
                  <to>
                    <xdr:col>14</xdr:col>
                    <xdr:colOff>0</xdr:colOff>
                    <xdr:row>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13" r:id="rId53" name="Drop Down 85">
              <controlPr defaultSize="0" autoLine="0" autoPict="0">
                <anchor moveWithCells="1">
                  <from>
                    <xdr:col>10</xdr:col>
                    <xdr:colOff>0</xdr:colOff>
                    <xdr:row>90</xdr:row>
                    <xdr:rowOff>0</xdr:rowOff>
                  </from>
                  <to>
                    <xdr:col>11</xdr:col>
                    <xdr:colOff>838200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14" r:id="rId54" name="Drop Down 86">
              <controlPr defaultSize="0" autoLine="0" autoPict="0">
                <anchor moveWithCells="1">
                  <from>
                    <xdr:col>12</xdr:col>
                    <xdr:colOff>0</xdr:colOff>
                    <xdr:row>90</xdr:row>
                    <xdr:rowOff>0</xdr:rowOff>
                  </from>
                  <to>
                    <xdr:col>13</xdr:col>
                    <xdr:colOff>0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15" r:id="rId55" name="Drop Down 87">
              <controlPr defaultSize="0" autoLine="0" autoPict="0">
                <anchor moveWithCells="1">
                  <from>
                    <xdr:col>10</xdr:col>
                    <xdr:colOff>0</xdr:colOff>
                    <xdr:row>91</xdr:row>
                    <xdr:rowOff>0</xdr:rowOff>
                  </from>
                  <to>
                    <xdr:col>11</xdr:col>
                    <xdr:colOff>838200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16" r:id="rId56" name="Drop Down 88">
              <controlPr defaultSize="0" autoLine="0" autoPict="0">
                <anchor moveWithCells="1">
                  <from>
                    <xdr:col>10</xdr:col>
                    <xdr:colOff>0</xdr:colOff>
                    <xdr:row>92</xdr:row>
                    <xdr:rowOff>0</xdr:rowOff>
                  </from>
                  <to>
                    <xdr:col>11</xdr:col>
                    <xdr:colOff>838200</xdr:colOff>
                    <xdr:row>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17" r:id="rId57" name="Drop Down 89">
              <controlPr defaultSize="0" autoLine="0" autoPict="0">
                <anchor moveWithCells="1">
                  <from>
                    <xdr:col>10</xdr:col>
                    <xdr:colOff>0</xdr:colOff>
                    <xdr:row>93</xdr:row>
                    <xdr:rowOff>0</xdr:rowOff>
                  </from>
                  <to>
                    <xdr:col>11</xdr:col>
                    <xdr:colOff>838200</xdr:colOff>
                    <xdr:row>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18" r:id="rId58" name="Drop Down 90">
              <controlPr defaultSize="0" autoLine="0" autoPict="0">
                <anchor moveWithCells="1">
                  <from>
                    <xdr:col>10</xdr:col>
                    <xdr:colOff>0</xdr:colOff>
                    <xdr:row>94</xdr:row>
                    <xdr:rowOff>0</xdr:rowOff>
                  </from>
                  <to>
                    <xdr:col>11</xdr:col>
                    <xdr:colOff>838200</xdr:colOff>
                    <xdr:row>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19" r:id="rId59" name="Drop Down 91">
              <controlPr defaultSize="0" autoLine="0" autoPict="0">
                <anchor moveWithCells="1">
                  <from>
                    <xdr:col>12</xdr:col>
                    <xdr:colOff>0</xdr:colOff>
                    <xdr:row>91</xdr:row>
                    <xdr:rowOff>0</xdr:rowOff>
                  </from>
                  <to>
                    <xdr:col>13</xdr:col>
                    <xdr:colOff>0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20" r:id="rId60" name="Drop Down 92">
              <controlPr defaultSize="0" autoLine="0" autoPict="0">
                <anchor moveWithCells="1">
                  <from>
                    <xdr:col>12</xdr:col>
                    <xdr:colOff>0</xdr:colOff>
                    <xdr:row>92</xdr:row>
                    <xdr:rowOff>0</xdr:rowOff>
                  </from>
                  <to>
                    <xdr:col>13</xdr:col>
                    <xdr:colOff>0</xdr:colOff>
                    <xdr:row>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21" r:id="rId61" name="Drop Down 93">
              <controlPr defaultSize="0" autoLine="0" autoPict="0">
                <anchor moveWithCells="1">
                  <from>
                    <xdr:col>12</xdr:col>
                    <xdr:colOff>0</xdr:colOff>
                    <xdr:row>93</xdr:row>
                    <xdr:rowOff>0</xdr:rowOff>
                  </from>
                  <to>
                    <xdr:col>13</xdr:col>
                    <xdr:colOff>0</xdr:colOff>
                    <xdr:row>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22" r:id="rId62" name="Drop Down 94">
              <controlPr defaultSize="0" autoLine="0" autoPict="0">
                <anchor moveWithCells="1">
                  <from>
                    <xdr:col>12</xdr:col>
                    <xdr:colOff>0</xdr:colOff>
                    <xdr:row>94</xdr:row>
                    <xdr:rowOff>0</xdr:rowOff>
                  </from>
                  <to>
                    <xdr:col>13</xdr:col>
                    <xdr:colOff>0</xdr:colOff>
                    <xdr:row>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23" r:id="rId63" name="Drop Down 95">
              <controlPr defaultSize="0" autoLine="0" autoPict="0">
                <anchor moveWithCells="1">
                  <from>
                    <xdr:col>14</xdr:col>
                    <xdr:colOff>0</xdr:colOff>
                    <xdr:row>11</xdr:row>
                    <xdr:rowOff>0</xdr:rowOff>
                  </from>
                  <to>
                    <xdr:col>16</xdr:col>
                    <xdr:colOff>9525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24" r:id="rId64" name="Drop Down 96">
              <controlPr defaultSize="0" autoLine="0" autoPict="0">
                <anchor moveWithCells="1">
                  <from>
                    <xdr:col>16</xdr:col>
                    <xdr:colOff>0</xdr:colOff>
                    <xdr:row>11</xdr:row>
                    <xdr:rowOff>0</xdr:rowOff>
                  </from>
                  <to>
                    <xdr:col>17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25" r:id="rId65" name="Drop Down 97">
              <controlPr defaultSize="0" autoLine="0" autoPict="0">
                <anchor moveWithCells="1">
                  <from>
                    <xdr:col>14</xdr:col>
                    <xdr:colOff>0</xdr:colOff>
                    <xdr:row>12</xdr:row>
                    <xdr:rowOff>0</xdr:rowOff>
                  </from>
                  <to>
                    <xdr:col>16</xdr:col>
                    <xdr:colOff>9525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26" r:id="rId66" name="Drop Down 98">
              <controlPr defaultSize="0" autoLine="0" autoPict="0">
                <anchor moveWithCells="1">
                  <from>
                    <xdr:col>14</xdr:col>
                    <xdr:colOff>0</xdr:colOff>
                    <xdr:row>13</xdr:row>
                    <xdr:rowOff>0</xdr:rowOff>
                  </from>
                  <to>
                    <xdr:col>16</xdr:col>
                    <xdr:colOff>9525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27" r:id="rId67" name="Drop Down 99">
              <controlPr defaultSize="0" autoLine="0" autoPict="0">
                <anchor moveWithCells="1">
                  <from>
                    <xdr:col>14</xdr:col>
                    <xdr:colOff>0</xdr:colOff>
                    <xdr:row>14</xdr:row>
                    <xdr:rowOff>0</xdr:rowOff>
                  </from>
                  <to>
                    <xdr:col>16</xdr:col>
                    <xdr:colOff>9525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28" r:id="rId68" name="Drop Down 100">
              <controlPr defaultSize="0" autoLine="0" autoPict="0">
                <anchor moveWithCells="1">
                  <from>
                    <xdr:col>14</xdr:col>
                    <xdr:colOff>0</xdr:colOff>
                    <xdr:row>25</xdr:row>
                    <xdr:rowOff>0</xdr:rowOff>
                  </from>
                  <to>
                    <xdr:col>16</xdr:col>
                    <xdr:colOff>9525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29" r:id="rId69" name="Drop Down 101">
              <controlPr defaultSize="0" autoLine="0" autoPict="0">
                <anchor moveWithCells="1">
                  <from>
                    <xdr:col>16</xdr:col>
                    <xdr:colOff>0</xdr:colOff>
                    <xdr:row>12</xdr:row>
                    <xdr:rowOff>0</xdr:rowOff>
                  </from>
                  <to>
                    <xdr:col>17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30" r:id="rId70" name="Drop Down 102">
              <controlPr defaultSize="0" autoLine="0" autoPict="0">
                <anchor moveWithCells="1">
                  <from>
                    <xdr:col>16</xdr:col>
                    <xdr:colOff>0</xdr:colOff>
                    <xdr:row>13</xdr:row>
                    <xdr:rowOff>0</xdr:rowOff>
                  </from>
                  <to>
                    <xdr:col>17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31" r:id="rId71" name="Drop Down 103">
              <controlPr defaultSize="0" autoLine="0" autoPict="0">
                <anchor moveWithCells="1">
                  <from>
                    <xdr:col>16</xdr:col>
                    <xdr:colOff>0</xdr:colOff>
                    <xdr:row>14</xdr:row>
                    <xdr:rowOff>0</xdr:rowOff>
                  </from>
                  <to>
                    <xdr:col>17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32" r:id="rId72" name="Drop Down 104">
              <controlPr defaultSize="0" autoLine="0" autoPict="0">
                <anchor moveWithCells="1">
                  <from>
                    <xdr:col>16</xdr:col>
                    <xdr:colOff>0</xdr:colOff>
                    <xdr:row>25</xdr:row>
                    <xdr:rowOff>0</xdr:rowOff>
                  </from>
                  <to>
                    <xdr:col>17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33" r:id="rId73" name="Drop Down 105">
              <controlPr defaultSize="0" autoLine="0" autoPict="0">
                <anchor moveWithCells="1">
                  <from>
                    <xdr:col>12</xdr:col>
                    <xdr:colOff>0</xdr:colOff>
                    <xdr:row>30</xdr:row>
                    <xdr:rowOff>0</xdr:rowOff>
                  </from>
                  <to>
                    <xdr:col>13</xdr:col>
                    <xdr:colOff>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34" r:id="rId74" name="Drop Down 106">
              <controlPr defaultSize="0" autoLine="0" autoPict="0">
                <anchor moveWithCells="1">
                  <from>
                    <xdr:col>13</xdr:col>
                    <xdr:colOff>0</xdr:colOff>
                    <xdr:row>30</xdr:row>
                    <xdr:rowOff>0</xdr:rowOff>
                  </from>
                  <to>
                    <xdr:col>14</xdr:col>
                    <xdr:colOff>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35" r:id="rId75" name="Drop Down 107">
              <controlPr defaultSize="0" autoLine="0" autoPict="0">
                <anchor moveWithCells="1">
                  <from>
                    <xdr:col>12</xdr:col>
                    <xdr:colOff>0</xdr:colOff>
                    <xdr:row>31</xdr:row>
                    <xdr:rowOff>0</xdr:rowOff>
                  </from>
                  <to>
                    <xdr:col>13</xdr:col>
                    <xdr:colOff>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36" r:id="rId76" name="Drop Down 108">
              <controlPr defaultSize="0" autoLine="0" autoPict="0">
                <anchor moveWithCells="1">
                  <from>
                    <xdr:col>12</xdr:col>
                    <xdr:colOff>0</xdr:colOff>
                    <xdr:row>32</xdr:row>
                    <xdr:rowOff>0</xdr:rowOff>
                  </from>
                  <to>
                    <xdr:col>13</xdr:col>
                    <xdr:colOff>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37" r:id="rId77" name="Drop Down 109">
              <controlPr defaultSize="0" autoLine="0" autoPict="0">
                <anchor moveWithCells="1">
                  <from>
                    <xdr:col>12</xdr:col>
                    <xdr:colOff>0</xdr:colOff>
                    <xdr:row>33</xdr:row>
                    <xdr:rowOff>0</xdr:rowOff>
                  </from>
                  <to>
                    <xdr:col>13</xdr:col>
                    <xdr:colOff>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38" r:id="rId78" name="Drop Down 110">
              <controlPr defaultSize="0" autoLine="0" autoPict="0">
                <anchor moveWithCells="1">
                  <from>
                    <xdr:col>12</xdr:col>
                    <xdr:colOff>0</xdr:colOff>
                    <xdr:row>44</xdr:row>
                    <xdr:rowOff>0</xdr:rowOff>
                  </from>
                  <to>
                    <xdr:col>13</xdr:col>
                    <xdr:colOff>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39" r:id="rId79" name="Drop Down 111">
              <controlPr defaultSize="0" autoLine="0" autoPict="0">
                <anchor moveWithCells="1">
                  <from>
                    <xdr:col>13</xdr:col>
                    <xdr:colOff>0</xdr:colOff>
                    <xdr:row>31</xdr:row>
                    <xdr:rowOff>0</xdr:rowOff>
                  </from>
                  <to>
                    <xdr:col>14</xdr:col>
                    <xdr:colOff>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40" r:id="rId80" name="Drop Down 112">
              <controlPr defaultSize="0" autoLine="0" autoPict="0">
                <anchor moveWithCells="1">
                  <from>
                    <xdr:col>13</xdr:col>
                    <xdr:colOff>0</xdr:colOff>
                    <xdr:row>32</xdr:row>
                    <xdr:rowOff>0</xdr:rowOff>
                  </from>
                  <to>
                    <xdr:col>14</xdr:col>
                    <xdr:colOff>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41" r:id="rId81" name="Drop Down 113">
              <controlPr defaultSize="0" autoLine="0" autoPict="0">
                <anchor moveWithCells="1">
                  <from>
                    <xdr:col>13</xdr:col>
                    <xdr:colOff>0</xdr:colOff>
                    <xdr:row>33</xdr:row>
                    <xdr:rowOff>0</xdr:rowOff>
                  </from>
                  <to>
                    <xdr:col>14</xdr:col>
                    <xdr:colOff>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42" r:id="rId82" name="Drop Down 114">
              <controlPr defaultSize="0" autoLine="0" autoPict="0">
                <anchor moveWithCells="1">
                  <from>
                    <xdr:col>13</xdr:col>
                    <xdr:colOff>0</xdr:colOff>
                    <xdr:row>44</xdr:row>
                    <xdr:rowOff>0</xdr:rowOff>
                  </from>
                  <to>
                    <xdr:col>14</xdr:col>
                    <xdr:colOff>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43" r:id="rId83" name="Drop Down 115">
              <controlPr defaultSize="0" autoLine="0" autoPict="0">
                <anchor moveWithCells="1">
                  <from>
                    <xdr:col>10</xdr:col>
                    <xdr:colOff>0</xdr:colOff>
                    <xdr:row>49</xdr:row>
                    <xdr:rowOff>0</xdr:rowOff>
                  </from>
                  <to>
                    <xdr:col>11</xdr:col>
                    <xdr:colOff>838200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44" r:id="rId84" name="Drop Down 116">
              <controlPr defaultSize="0" autoLine="0" autoPict="0">
                <anchor moveWithCells="1">
                  <from>
                    <xdr:col>12</xdr:col>
                    <xdr:colOff>0</xdr:colOff>
                    <xdr:row>49</xdr:row>
                    <xdr:rowOff>0</xdr:rowOff>
                  </from>
                  <to>
                    <xdr:col>13</xdr:col>
                    <xdr:colOff>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45" r:id="rId85" name="Drop Down 117">
              <controlPr defaultSize="0" autoLine="0" autoPict="0">
                <anchor moveWithCells="1">
                  <from>
                    <xdr:col>10</xdr:col>
                    <xdr:colOff>0</xdr:colOff>
                    <xdr:row>50</xdr:row>
                    <xdr:rowOff>0</xdr:rowOff>
                  </from>
                  <to>
                    <xdr:col>11</xdr:col>
                    <xdr:colOff>838200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46" r:id="rId86" name="Drop Down 118">
              <controlPr defaultSize="0" autoLine="0" autoPict="0">
                <anchor moveWithCells="1">
                  <from>
                    <xdr:col>10</xdr:col>
                    <xdr:colOff>0</xdr:colOff>
                    <xdr:row>51</xdr:row>
                    <xdr:rowOff>0</xdr:rowOff>
                  </from>
                  <to>
                    <xdr:col>11</xdr:col>
                    <xdr:colOff>838200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47" r:id="rId87" name="Drop Down 119">
              <controlPr defaultSize="0" autoLine="0" autoPict="0">
                <anchor moveWithCells="1">
                  <from>
                    <xdr:col>10</xdr:col>
                    <xdr:colOff>0</xdr:colOff>
                    <xdr:row>52</xdr:row>
                    <xdr:rowOff>0</xdr:rowOff>
                  </from>
                  <to>
                    <xdr:col>11</xdr:col>
                    <xdr:colOff>838200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48" r:id="rId88" name="Drop Down 120">
              <controlPr defaultSize="0" autoLine="0" autoPict="0">
                <anchor moveWithCells="1">
                  <from>
                    <xdr:col>10</xdr:col>
                    <xdr:colOff>0</xdr:colOff>
                    <xdr:row>53</xdr:row>
                    <xdr:rowOff>0</xdr:rowOff>
                  </from>
                  <to>
                    <xdr:col>11</xdr:col>
                    <xdr:colOff>838200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49" r:id="rId89" name="Drop Down 121">
              <controlPr defaultSize="0" autoLine="0" autoPict="0">
                <anchor moveWithCells="1">
                  <from>
                    <xdr:col>12</xdr:col>
                    <xdr:colOff>0</xdr:colOff>
                    <xdr:row>50</xdr:row>
                    <xdr:rowOff>0</xdr:rowOff>
                  </from>
                  <to>
                    <xdr:col>13</xdr:col>
                    <xdr:colOff>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50" r:id="rId90" name="Drop Down 122">
              <controlPr defaultSize="0" autoLine="0" autoPict="0">
                <anchor moveWithCells="1">
                  <from>
                    <xdr:col>12</xdr:col>
                    <xdr:colOff>0</xdr:colOff>
                    <xdr:row>51</xdr:row>
                    <xdr:rowOff>0</xdr:rowOff>
                  </from>
                  <to>
                    <xdr:col>13</xdr:col>
                    <xdr:colOff>0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51" r:id="rId91" name="Drop Down 123">
              <controlPr defaultSize="0" autoLine="0" autoPict="0">
                <anchor moveWithCells="1">
                  <from>
                    <xdr:col>12</xdr:col>
                    <xdr:colOff>0</xdr:colOff>
                    <xdr:row>52</xdr:row>
                    <xdr:rowOff>0</xdr:rowOff>
                  </from>
                  <to>
                    <xdr:col>13</xdr:col>
                    <xdr:colOff>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52" r:id="rId92" name="Drop Down 124">
              <controlPr defaultSize="0" autoLine="0" autoPict="0">
                <anchor moveWithCells="1">
                  <from>
                    <xdr:col>12</xdr:col>
                    <xdr:colOff>0</xdr:colOff>
                    <xdr:row>53</xdr:row>
                    <xdr:rowOff>0</xdr:rowOff>
                  </from>
                  <to>
                    <xdr:col>13</xdr:col>
                    <xdr:colOff>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93" r:id="rId93" name="Drop Down 165">
              <controlPr defaultSize="0" autoLine="0" autoPict="0">
                <anchor moveWithCells="1">
                  <from>
                    <xdr:col>12</xdr:col>
                    <xdr:colOff>0</xdr:colOff>
                    <xdr:row>34</xdr:row>
                    <xdr:rowOff>0</xdr:rowOff>
                  </from>
                  <to>
                    <xdr:col>13</xdr:col>
                    <xdr:colOff>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94" r:id="rId94" name="Drop Down 166">
              <controlPr defaultSize="0" autoLine="0" autoPict="0">
                <anchor moveWithCells="1">
                  <from>
                    <xdr:col>13</xdr:col>
                    <xdr:colOff>0</xdr:colOff>
                    <xdr:row>34</xdr:row>
                    <xdr:rowOff>0</xdr:rowOff>
                  </from>
                  <to>
                    <xdr:col>14</xdr:col>
                    <xdr:colOff>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95" r:id="rId95" name="Drop Down 167">
              <controlPr defaultSize="0" autoLine="0" autoPict="0">
                <anchor moveWithCells="1">
                  <from>
                    <xdr:col>12</xdr:col>
                    <xdr:colOff>0</xdr:colOff>
                    <xdr:row>35</xdr:row>
                    <xdr:rowOff>0</xdr:rowOff>
                  </from>
                  <to>
                    <xdr:col>13</xdr:col>
                    <xdr:colOff>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96" r:id="rId96" name="Drop Down 168">
              <controlPr defaultSize="0" autoLine="0" autoPict="0">
                <anchor moveWithCells="1">
                  <from>
                    <xdr:col>13</xdr:col>
                    <xdr:colOff>0</xdr:colOff>
                    <xdr:row>35</xdr:row>
                    <xdr:rowOff>0</xdr:rowOff>
                  </from>
                  <to>
                    <xdr:col>14</xdr:col>
                    <xdr:colOff>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97" r:id="rId97" name="Drop Down 169">
              <controlPr defaultSize="0" autoLine="0" autoPict="0">
                <anchor moveWithCells="1">
                  <from>
                    <xdr:col>12</xdr:col>
                    <xdr:colOff>0</xdr:colOff>
                    <xdr:row>36</xdr:row>
                    <xdr:rowOff>0</xdr:rowOff>
                  </from>
                  <to>
                    <xdr:col>13</xdr:col>
                    <xdr:colOff>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98" r:id="rId98" name="Drop Down 170">
              <controlPr defaultSize="0" autoLine="0" autoPict="0">
                <anchor moveWithCells="1">
                  <from>
                    <xdr:col>13</xdr:col>
                    <xdr:colOff>0</xdr:colOff>
                    <xdr:row>36</xdr:row>
                    <xdr:rowOff>0</xdr:rowOff>
                  </from>
                  <to>
                    <xdr:col>14</xdr:col>
                    <xdr:colOff>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99" r:id="rId99" name="Drop Down 171">
              <controlPr defaultSize="0" autoLine="0" autoPict="0">
                <anchor moveWithCells="1">
                  <from>
                    <xdr:col>12</xdr:col>
                    <xdr:colOff>0</xdr:colOff>
                    <xdr:row>37</xdr:row>
                    <xdr:rowOff>0</xdr:rowOff>
                  </from>
                  <to>
                    <xdr:col>13</xdr:col>
                    <xdr:colOff>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00" r:id="rId100" name="Drop Down 172">
              <controlPr defaultSize="0" autoLine="0" autoPict="0">
                <anchor moveWithCells="1">
                  <from>
                    <xdr:col>13</xdr:col>
                    <xdr:colOff>0</xdr:colOff>
                    <xdr:row>37</xdr:row>
                    <xdr:rowOff>0</xdr:rowOff>
                  </from>
                  <to>
                    <xdr:col>14</xdr:col>
                    <xdr:colOff>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01" r:id="rId101" name="Drop Down 173">
              <controlPr defaultSize="0" autoLine="0" autoPict="0">
                <anchor moveWithCells="1">
                  <from>
                    <xdr:col>12</xdr:col>
                    <xdr:colOff>0</xdr:colOff>
                    <xdr:row>38</xdr:row>
                    <xdr:rowOff>0</xdr:rowOff>
                  </from>
                  <to>
                    <xdr:col>13</xdr:col>
                    <xdr:colOff>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02" r:id="rId102" name="Drop Down 174">
              <controlPr defaultSize="0" autoLine="0" autoPict="0">
                <anchor moveWithCells="1">
                  <from>
                    <xdr:col>13</xdr:col>
                    <xdr:colOff>0</xdr:colOff>
                    <xdr:row>38</xdr:row>
                    <xdr:rowOff>0</xdr:rowOff>
                  </from>
                  <to>
                    <xdr:col>14</xdr:col>
                    <xdr:colOff>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03" r:id="rId103" name="Drop Down 175">
              <controlPr defaultSize="0" autoLine="0" autoPict="0">
                <anchor moveWithCells="1">
                  <from>
                    <xdr:col>12</xdr:col>
                    <xdr:colOff>0</xdr:colOff>
                    <xdr:row>44</xdr:row>
                    <xdr:rowOff>0</xdr:rowOff>
                  </from>
                  <to>
                    <xdr:col>13</xdr:col>
                    <xdr:colOff>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04" r:id="rId104" name="Drop Down 176">
              <controlPr defaultSize="0" autoLine="0" autoPict="0">
                <anchor moveWithCells="1">
                  <from>
                    <xdr:col>13</xdr:col>
                    <xdr:colOff>0</xdr:colOff>
                    <xdr:row>44</xdr:row>
                    <xdr:rowOff>0</xdr:rowOff>
                  </from>
                  <to>
                    <xdr:col>14</xdr:col>
                    <xdr:colOff>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05" r:id="rId105" name="Drop Down 177">
              <controlPr defaultSize="0" autoLine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4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06" r:id="rId106" name="Drop Down 178">
              <controlPr defaultSize="0" autoLine="0" autoPict="0">
                <anchor moveWithCells="1">
                  <from>
                    <xdr:col>4</xdr:col>
                    <xdr:colOff>0</xdr:colOff>
                    <xdr:row>20</xdr:row>
                    <xdr:rowOff>0</xdr:rowOff>
                  </from>
                  <to>
                    <xdr:col>5</xdr:col>
                    <xdr:colOff>9525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10" r:id="rId107" name="Drop Down 182">
              <controlPr defaultSize="0" autoLine="0" autoPict="0">
                <anchor moveWithCells="1">
                  <from>
                    <xdr:col>14</xdr:col>
                    <xdr:colOff>0</xdr:colOff>
                    <xdr:row>20</xdr:row>
                    <xdr:rowOff>0</xdr:rowOff>
                  </from>
                  <to>
                    <xdr:col>16</xdr:col>
                    <xdr:colOff>9525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11" r:id="rId108" name="Drop Down 183">
              <controlPr defaultSize="0" autoLine="0" autoPict="0">
                <anchor moveWithCells="1">
                  <from>
                    <xdr:col>16</xdr:col>
                    <xdr:colOff>0</xdr:colOff>
                    <xdr:row>20</xdr:row>
                    <xdr:rowOff>0</xdr:rowOff>
                  </from>
                  <to>
                    <xdr:col>17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12" r:id="rId109" name="Drop Down 184">
              <controlPr defaultSize="0" autoLine="0" autoPict="0">
                <anchor moveWithCells="1">
                  <from>
                    <xdr:col>3</xdr:col>
                    <xdr:colOff>0</xdr:colOff>
                    <xdr:row>21</xdr:row>
                    <xdr:rowOff>0</xdr:rowOff>
                  </from>
                  <to>
                    <xdr:col>4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13" r:id="rId110" name="Drop Down 185">
              <controlPr defaultSize="0" autoLine="0" autoPict="0">
                <anchor moveWithCells="1">
                  <from>
                    <xdr:col>4</xdr:col>
                    <xdr:colOff>0</xdr:colOff>
                    <xdr:row>21</xdr:row>
                    <xdr:rowOff>0</xdr:rowOff>
                  </from>
                  <to>
                    <xdr:col>5</xdr:col>
                    <xdr:colOff>9525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17" r:id="rId111" name="Drop Down 189">
              <controlPr defaultSize="0" autoLine="0" autoPict="0">
                <anchor moveWithCells="1">
                  <from>
                    <xdr:col>14</xdr:col>
                    <xdr:colOff>0</xdr:colOff>
                    <xdr:row>21</xdr:row>
                    <xdr:rowOff>0</xdr:rowOff>
                  </from>
                  <to>
                    <xdr:col>16</xdr:col>
                    <xdr:colOff>9525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18" r:id="rId112" name="Drop Down 190">
              <controlPr defaultSize="0" autoLine="0" autoPict="0">
                <anchor moveWithCells="1">
                  <from>
                    <xdr:col>16</xdr:col>
                    <xdr:colOff>0</xdr:colOff>
                    <xdr:row>21</xdr:row>
                    <xdr:rowOff>0</xdr:rowOff>
                  </from>
                  <to>
                    <xdr:col>17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19" r:id="rId113" name="Drop Down 191">
              <controlPr defaultSize="0" autoLine="0" autoPict="0">
                <anchor moveWithCells="1">
                  <from>
                    <xdr:col>3</xdr:col>
                    <xdr:colOff>0</xdr:colOff>
                    <xdr:row>22</xdr:row>
                    <xdr:rowOff>0</xdr:rowOff>
                  </from>
                  <to>
                    <xdr:col>4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20" r:id="rId114" name="Drop Down 192">
              <controlPr defaultSize="0" autoLine="0" autoPict="0">
                <anchor moveWithCells="1">
                  <from>
                    <xdr:col>4</xdr:col>
                    <xdr:colOff>0</xdr:colOff>
                    <xdr:row>22</xdr:row>
                    <xdr:rowOff>0</xdr:rowOff>
                  </from>
                  <to>
                    <xdr:col>5</xdr:col>
                    <xdr:colOff>9525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24" r:id="rId115" name="Drop Down 196">
              <controlPr defaultSize="0" autoLine="0" autoPict="0">
                <anchor moveWithCells="1">
                  <from>
                    <xdr:col>14</xdr:col>
                    <xdr:colOff>0</xdr:colOff>
                    <xdr:row>22</xdr:row>
                    <xdr:rowOff>0</xdr:rowOff>
                  </from>
                  <to>
                    <xdr:col>16</xdr:col>
                    <xdr:colOff>9525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25" r:id="rId116" name="Drop Down 197">
              <controlPr defaultSize="0" autoLine="0" autoPict="0">
                <anchor moveWithCells="1">
                  <from>
                    <xdr:col>16</xdr:col>
                    <xdr:colOff>0</xdr:colOff>
                    <xdr:row>22</xdr:row>
                    <xdr:rowOff>0</xdr:rowOff>
                  </from>
                  <to>
                    <xdr:col>17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26" r:id="rId117" name="Drop Down 198">
              <controlPr defaultSize="0" autoLine="0" autoPict="0">
                <anchor moveWithCells="1">
                  <from>
                    <xdr:col>3</xdr:col>
                    <xdr:colOff>0</xdr:colOff>
                    <xdr:row>23</xdr:row>
                    <xdr:rowOff>0</xdr:rowOff>
                  </from>
                  <to>
                    <xdr:col>4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27" r:id="rId118" name="Drop Down 199">
              <controlPr defaultSize="0" autoLine="0" autoPict="0">
                <anchor moveWithCells="1">
                  <from>
                    <xdr:col>4</xdr:col>
                    <xdr:colOff>0</xdr:colOff>
                    <xdr:row>23</xdr:row>
                    <xdr:rowOff>0</xdr:rowOff>
                  </from>
                  <to>
                    <xdr:col>5</xdr:col>
                    <xdr:colOff>9525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31" r:id="rId119" name="Drop Down 203">
              <controlPr defaultSize="0" autoLine="0" autoPict="0">
                <anchor moveWithCells="1">
                  <from>
                    <xdr:col>14</xdr:col>
                    <xdr:colOff>0</xdr:colOff>
                    <xdr:row>23</xdr:row>
                    <xdr:rowOff>0</xdr:rowOff>
                  </from>
                  <to>
                    <xdr:col>16</xdr:col>
                    <xdr:colOff>9525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32" r:id="rId120" name="Drop Down 204">
              <controlPr defaultSize="0" autoLine="0" autoPict="0">
                <anchor moveWithCells="1">
                  <from>
                    <xdr:col>16</xdr:col>
                    <xdr:colOff>0</xdr:colOff>
                    <xdr:row>23</xdr:row>
                    <xdr:rowOff>0</xdr:rowOff>
                  </from>
                  <to>
                    <xdr:col>17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33" r:id="rId121" name="Drop Down 205">
              <controlPr defaultSize="0" autoLine="0" autoPict="0">
                <anchor moveWithCells="1">
                  <from>
                    <xdr:col>3</xdr:col>
                    <xdr:colOff>0</xdr:colOff>
                    <xdr:row>24</xdr:row>
                    <xdr:rowOff>0</xdr:rowOff>
                  </from>
                  <to>
                    <xdr:col>4</xdr:col>
                    <xdr:colOff>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34" r:id="rId122" name="Drop Down 206">
              <controlPr defaultSize="0" autoLine="0" autoPict="0">
                <anchor moveWithCells="1">
                  <from>
                    <xdr:col>4</xdr:col>
                    <xdr:colOff>0</xdr:colOff>
                    <xdr:row>24</xdr:row>
                    <xdr:rowOff>0</xdr:rowOff>
                  </from>
                  <to>
                    <xdr:col>5</xdr:col>
                    <xdr:colOff>9525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38" r:id="rId123" name="Drop Down 210">
              <controlPr defaultSize="0" autoLine="0" autoPict="0">
                <anchor moveWithCells="1">
                  <from>
                    <xdr:col>14</xdr:col>
                    <xdr:colOff>0</xdr:colOff>
                    <xdr:row>24</xdr:row>
                    <xdr:rowOff>0</xdr:rowOff>
                  </from>
                  <to>
                    <xdr:col>16</xdr:col>
                    <xdr:colOff>9525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39" r:id="rId124" name="Drop Down 211">
              <controlPr defaultSize="0" autoLine="0" autoPict="0">
                <anchor moveWithCells="1">
                  <from>
                    <xdr:col>16</xdr:col>
                    <xdr:colOff>0</xdr:colOff>
                    <xdr:row>24</xdr:row>
                    <xdr:rowOff>0</xdr:rowOff>
                  </from>
                  <to>
                    <xdr:col>17</xdr:col>
                    <xdr:colOff>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50" r:id="rId125" name="Drop Down 222">
              <controlPr defaultSize="0" autoLine="0" autoPict="0">
                <anchor moveWithCells="1">
                  <from>
                    <xdr:col>3</xdr:col>
                    <xdr:colOff>0</xdr:colOff>
                    <xdr:row>15</xdr:row>
                    <xdr:rowOff>0</xdr:rowOff>
                  </from>
                  <to>
                    <xdr:col>4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51" r:id="rId126" name="Drop Down 223">
              <controlPr defaultSize="0" autoLine="0" autoPict="0">
                <anchor moveWithCells="1">
                  <from>
                    <xdr:col>4</xdr:col>
                    <xdr:colOff>0</xdr:colOff>
                    <xdr:row>15</xdr:row>
                    <xdr:rowOff>0</xdr:rowOff>
                  </from>
                  <to>
                    <xdr:col>5</xdr:col>
                    <xdr:colOff>9525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55" r:id="rId127" name="Drop Down 227">
              <controlPr defaultSize="0" autoLine="0" autoPict="0">
                <anchor moveWithCells="1">
                  <from>
                    <xdr:col>14</xdr:col>
                    <xdr:colOff>0</xdr:colOff>
                    <xdr:row>15</xdr:row>
                    <xdr:rowOff>0</xdr:rowOff>
                  </from>
                  <to>
                    <xdr:col>16</xdr:col>
                    <xdr:colOff>9525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56" r:id="rId128" name="Drop Down 228">
              <controlPr defaultSize="0" autoLine="0" autoPict="0">
                <anchor moveWithCells="1">
                  <from>
                    <xdr:col>16</xdr:col>
                    <xdr:colOff>0</xdr:colOff>
                    <xdr:row>15</xdr:row>
                    <xdr:rowOff>0</xdr:rowOff>
                  </from>
                  <to>
                    <xdr:col>17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57" r:id="rId129" name="Drop Down 229">
              <controlPr defaultSize="0" autoLine="0" autoPict="0">
                <anchor moveWithCells="1">
                  <from>
                    <xdr:col>3</xdr:col>
                    <xdr:colOff>0</xdr:colOff>
                    <xdr:row>16</xdr:row>
                    <xdr:rowOff>0</xdr:rowOff>
                  </from>
                  <to>
                    <xdr:col>4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58" r:id="rId130" name="Drop Down 230">
              <controlPr defaultSize="0" autoLine="0" autoPict="0">
                <anchor moveWithCells="1">
                  <from>
                    <xdr:col>4</xdr:col>
                    <xdr:colOff>0</xdr:colOff>
                    <xdr:row>16</xdr:row>
                    <xdr:rowOff>0</xdr:rowOff>
                  </from>
                  <to>
                    <xdr:col>5</xdr:col>
                    <xdr:colOff>9525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62" r:id="rId131" name="Drop Down 234">
              <controlPr defaultSize="0" autoLine="0" autoPict="0">
                <anchor moveWithCells="1">
                  <from>
                    <xdr:col>14</xdr:col>
                    <xdr:colOff>0</xdr:colOff>
                    <xdr:row>16</xdr:row>
                    <xdr:rowOff>0</xdr:rowOff>
                  </from>
                  <to>
                    <xdr:col>16</xdr:col>
                    <xdr:colOff>9525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63" r:id="rId132" name="Drop Down 235">
              <controlPr defaultSize="0" autoLine="0" autoPict="0">
                <anchor moveWithCells="1">
                  <from>
                    <xdr:col>16</xdr:col>
                    <xdr:colOff>0</xdr:colOff>
                    <xdr:row>16</xdr:row>
                    <xdr:rowOff>0</xdr:rowOff>
                  </from>
                  <to>
                    <xdr:col>17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64" r:id="rId133" name="Drop Down 236">
              <controlPr defaultSize="0" autoLine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4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65" r:id="rId134" name="Drop Down 237">
              <controlPr defaultSize="0" autoLine="0" autoPict="0">
                <anchor moveWithCells="1">
                  <from>
                    <xdr:col>4</xdr:col>
                    <xdr:colOff>0</xdr:colOff>
                    <xdr:row>17</xdr:row>
                    <xdr:rowOff>0</xdr:rowOff>
                  </from>
                  <to>
                    <xdr:col>5</xdr:col>
                    <xdr:colOff>9525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69" r:id="rId135" name="Drop Down 241">
              <controlPr defaultSize="0" autoLine="0" autoPict="0">
                <anchor moveWithCells="1">
                  <from>
                    <xdr:col>14</xdr:col>
                    <xdr:colOff>0</xdr:colOff>
                    <xdr:row>17</xdr:row>
                    <xdr:rowOff>0</xdr:rowOff>
                  </from>
                  <to>
                    <xdr:col>16</xdr:col>
                    <xdr:colOff>9525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70" r:id="rId136" name="Drop Down 242">
              <controlPr defaultSize="0" autoLine="0" autoPict="0">
                <anchor moveWithCells="1">
                  <from>
                    <xdr:col>16</xdr:col>
                    <xdr:colOff>0</xdr:colOff>
                    <xdr:row>17</xdr:row>
                    <xdr:rowOff>0</xdr:rowOff>
                  </from>
                  <to>
                    <xdr:col>17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71" r:id="rId137" name="Drop Down 243">
              <controlPr defaultSize="0" autoLine="0" autoPict="0">
                <anchor moveWithCells="1">
                  <from>
                    <xdr:col>3</xdr:col>
                    <xdr:colOff>0</xdr:colOff>
                    <xdr:row>18</xdr:row>
                    <xdr:rowOff>0</xdr:rowOff>
                  </from>
                  <to>
                    <xdr:col>4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72" r:id="rId138" name="Drop Down 244">
              <controlPr defaultSize="0" autoLine="0" autoPict="0">
                <anchor moveWithCells="1">
                  <from>
                    <xdr:col>4</xdr:col>
                    <xdr:colOff>0</xdr:colOff>
                    <xdr:row>18</xdr:row>
                    <xdr:rowOff>0</xdr:rowOff>
                  </from>
                  <to>
                    <xdr:col>5</xdr:col>
                    <xdr:colOff>9525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76" r:id="rId139" name="Drop Down 248">
              <controlPr defaultSize="0" autoLine="0" autoPict="0">
                <anchor moveWithCells="1">
                  <from>
                    <xdr:col>14</xdr:col>
                    <xdr:colOff>0</xdr:colOff>
                    <xdr:row>18</xdr:row>
                    <xdr:rowOff>0</xdr:rowOff>
                  </from>
                  <to>
                    <xdr:col>16</xdr:col>
                    <xdr:colOff>9525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77" r:id="rId140" name="Drop Down 249">
              <controlPr defaultSize="0" autoLine="0" autoPict="0">
                <anchor moveWithCells="1">
                  <from>
                    <xdr:col>16</xdr:col>
                    <xdr:colOff>0</xdr:colOff>
                    <xdr:row>18</xdr:row>
                    <xdr:rowOff>0</xdr:rowOff>
                  </from>
                  <to>
                    <xdr:col>17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78" r:id="rId141" name="Drop Down 250">
              <controlPr defaultSize="0" autoLine="0" autoPict="0">
                <anchor moveWithCells="1">
                  <from>
                    <xdr:col>3</xdr:col>
                    <xdr:colOff>0</xdr:colOff>
                    <xdr:row>19</xdr:row>
                    <xdr:rowOff>0</xdr:rowOff>
                  </from>
                  <to>
                    <xdr:col>4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79" r:id="rId142" name="Drop Down 251">
              <controlPr defaultSize="0" autoLine="0" autoPict="0">
                <anchor moveWithCells="1">
                  <from>
                    <xdr:col>4</xdr:col>
                    <xdr:colOff>0</xdr:colOff>
                    <xdr:row>19</xdr:row>
                    <xdr:rowOff>0</xdr:rowOff>
                  </from>
                  <to>
                    <xdr:col>5</xdr:col>
                    <xdr:colOff>9525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83" r:id="rId143" name="Drop Down 255">
              <controlPr defaultSize="0" autoLine="0" autoPict="0">
                <anchor moveWithCells="1">
                  <from>
                    <xdr:col>14</xdr:col>
                    <xdr:colOff>0</xdr:colOff>
                    <xdr:row>19</xdr:row>
                    <xdr:rowOff>0</xdr:rowOff>
                  </from>
                  <to>
                    <xdr:col>16</xdr:col>
                    <xdr:colOff>9525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84" r:id="rId144" name="Drop Down 256">
              <controlPr defaultSize="0" autoLine="0" autoPict="0">
                <anchor moveWithCells="1">
                  <from>
                    <xdr:col>16</xdr:col>
                    <xdr:colOff>0</xdr:colOff>
                    <xdr:row>19</xdr:row>
                    <xdr:rowOff>0</xdr:rowOff>
                  </from>
                  <to>
                    <xdr:col>17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85" r:id="rId145" name="Drop Down 257">
              <controlPr defaultSize="0" autoLine="0" autoPict="0">
                <anchor moveWithCells="1">
                  <from>
                    <xdr:col>12</xdr:col>
                    <xdr:colOff>0</xdr:colOff>
                    <xdr:row>39</xdr:row>
                    <xdr:rowOff>0</xdr:rowOff>
                  </from>
                  <to>
                    <xdr:col>13</xdr:col>
                    <xdr:colOff>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86" r:id="rId146" name="Drop Down 258">
              <controlPr defaultSize="0" autoLine="0" autoPict="0">
                <anchor moveWithCells="1">
                  <from>
                    <xdr:col>13</xdr:col>
                    <xdr:colOff>0</xdr:colOff>
                    <xdr:row>39</xdr:row>
                    <xdr:rowOff>0</xdr:rowOff>
                  </from>
                  <to>
                    <xdr:col>14</xdr:col>
                    <xdr:colOff>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87" r:id="rId147" name="Drop Down 259">
              <controlPr defaultSize="0" autoLine="0" autoPict="0">
                <anchor moveWithCells="1">
                  <from>
                    <xdr:col>12</xdr:col>
                    <xdr:colOff>0</xdr:colOff>
                    <xdr:row>40</xdr:row>
                    <xdr:rowOff>0</xdr:rowOff>
                  </from>
                  <to>
                    <xdr:col>13</xdr:col>
                    <xdr:colOff>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88" r:id="rId148" name="Drop Down 260">
              <controlPr defaultSize="0" autoLine="0" autoPict="0">
                <anchor moveWithCells="1">
                  <from>
                    <xdr:col>13</xdr:col>
                    <xdr:colOff>0</xdr:colOff>
                    <xdr:row>40</xdr:row>
                    <xdr:rowOff>0</xdr:rowOff>
                  </from>
                  <to>
                    <xdr:col>14</xdr:col>
                    <xdr:colOff>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89" r:id="rId149" name="Drop Down 261">
              <controlPr defaultSize="0" autoLine="0" autoPict="0">
                <anchor moveWithCells="1">
                  <from>
                    <xdr:col>12</xdr:col>
                    <xdr:colOff>0</xdr:colOff>
                    <xdr:row>41</xdr:row>
                    <xdr:rowOff>0</xdr:rowOff>
                  </from>
                  <to>
                    <xdr:col>13</xdr:col>
                    <xdr:colOff>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90" r:id="rId150" name="Drop Down 262">
              <controlPr defaultSize="0" autoLine="0" autoPict="0">
                <anchor moveWithCells="1">
                  <from>
                    <xdr:col>13</xdr:col>
                    <xdr:colOff>0</xdr:colOff>
                    <xdr:row>41</xdr:row>
                    <xdr:rowOff>0</xdr:rowOff>
                  </from>
                  <to>
                    <xdr:col>14</xdr:col>
                    <xdr:colOff>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91" r:id="rId151" name="Drop Down 263">
              <controlPr defaultSize="0" autoLine="0" autoPict="0">
                <anchor moveWithCells="1">
                  <from>
                    <xdr:col>12</xdr:col>
                    <xdr:colOff>0</xdr:colOff>
                    <xdr:row>42</xdr:row>
                    <xdr:rowOff>0</xdr:rowOff>
                  </from>
                  <to>
                    <xdr:col>13</xdr:col>
                    <xdr:colOff>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92" r:id="rId152" name="Drop Down 264">
              <controlPr defaultSize="0" autoLine="0" autoPict="0">
                <anchor moveWithCells="1">
                  <from>
                    <xdr:col>13</xdr:col>
                    <xdr:colOff>0</xdr:colOff>
                    <xdr:row>42</xdr:row>
                    <xdr:rowOff>0</xdr:rowOff>
                  </from>
                  <to>
                    <xdr:col>14</xdr:col>
                    <xdr:colOff>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93" r:id="rId153" name="Drop Down 265">
              <controlPr defaultSize="0" autoLine="0" autoPict="0">
                <anchor moveWithCells="1">
                  <from>
                    <xdr:col>12</xdr:col>
                    <xdr:colOff>0</xdr:colOff>
                    <xdr:row>43</xdr:row>
                    <xdr:rowOff>0</xdr:rowOff>
                  </from>
                  <to>
                    <xdr:col>13</xdr:col>
                    <xdr:colOff>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94" r:id="rId154" name="Drop Down 266">
              <controlPr defaultSize="0" autoLine="0" autoPict="0">
                <anchor moveWithCells="1">
                  <from>
                    <xdr:col>13</xdr:col>
                    <xdr:colOff>0</xdr:colOff>
                    <xdr:row>43</xdr:row>
                    <xdr:rowOff>0</xdr:rowOff>
                  </from>
                  <to>
                    <xdr:col>14</xdr:col>
                    <xdr:colOff>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95" r:id="rId155" name="Drop Down 267">
              <controlPr defaultSize="0" autoLine="0" autoPict="0">
                <anchor moveWithCells="1">
                  <from>
                    <xdr:col>3</xdr:col>
                    <xdr:colOff>0</xdr:colOff>
                    <xdr:row>65</xdr:row>
                    <xdr:rowOff>0</xdr:rowOff>
                  </from>
                  <to>
                    <xdr:col>4</xdr:col>
                    <xdr:colOff>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96" r:id="rId156" name="Drop Down 268">
              <controlPr defaultSize="0" autoLine="0" autoPict="0">
                <anchor moveWithCells="1">
                  <from>
                    <xdr:col>4</xdr:col>
                    <xdr:colOff>0</xdr:colOff>
                    <xdr:row>65</xdr:row>
                    <xdr:rowOff>0</xdr:rowOff>
                  </from>
                  <to>
                    <xdr:col>5</xdr:col>
                    <xdr:colOff>9525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02" r:id="rId157" name="Drop Down 274">
              <controlPr defaultSize="0" autoLine="0" autoPict="0">
                <anchor moveWithCells="1">
                  <from>
                    <xdr:col>14</xdr:col>
                    <xdr:colOff>0</xdr:colOff>
                    <xdr:row>65</xdr:row>
                    <xdr:rowOff>0</xdr:rowOff>
                  </from>
                  <to>
                    <xdr:col>16</xdr:col>
                    <xdr:colOff>9525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03" r:id="rId158" name="Drop Down 275">
              <controlPr defaultSize="0" autoLine="0" autoPict="0">
                <anchor moveWithCells="1">
                  <from>
                    <xdr:col>16</xdr:col>
                    <xdr:colOff>0</xdr:colOff>
                    <xdr:row>65</xdr:row>
                    <xdr:rowOff>0</xdr:rowOff>
                  </from>
                  <to>
                    <xdr:col>17</xdr:col>
                    <xdr:colOff>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04" r:id="rId159" name="Drop Down 276">
              <controlPr defaultSize="0" autoLine="0" autoPict="0">
                <anchor moveWithCells="1">
                  <from>
                    <xdr:col>3</xdr:col>
                    <xdr:colOff>0</xdr:colOff>
                    <xdr:row>66</xdr:row>
                    <xdr:rowOff>0</xdr:rowOff>
                  </from>
                  <to>
                    <xdr:col>4</xdr:col>
                    <xdr:colOff>0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05" r:id="rId160" name="Drop Down 277">
              <controlPr defaultSize="0" autoLine="0" autoPict="0">
                <anchor moveWithCells="1">
                  <from>
                    <xdr:col>4</xdr:col>
                    <xdr:colOff>0</xdr:colOff>
                    <xdr:row>66</xdr:row>
                    <xdr:rowOff>0</xdr:rowOff>
                  </from>
                  <to>
                    <xdr:col>5</xdr:col>
                    <xdr:colOff>9525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11" r:id="rId161" name="Drop Down 283">
              <controlPr defaultSize="0" autoLine="0" autoPict="0">
                <anchor moveWithCells="1">
                  <from>
                    <xdr:col>14</xdr:col>
                    <xdr:colOff>0</xdr:colOff>
                    <xdr:row>66</xdr:row>
                    <xdr:rowOff>0</xdr:rowOff>
                  </from>
                  <to>
                    <xdr:col>16</xdr:col>
                    <xdr:colOff>9525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12" r:id="rId162" name="Drop Down 284">
              <controlPr defaultSize="0" autoLine="0" autoPict="0">
                <anchor moveWithCells="1">
                  <from>
                    <xdr:col>16</xdr:col>
                    <xdr:colOff>0</xdr:colOff>
                    <xdr:row>66</xdr:row>
                    <xdr:rowOff>0</xdr:rowOff>
                  </from>
                  <to>
                    <xdr:col>17</xdr:col>
                    <xdr:colOff>0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13" r:id="rId163" name="Drop Down 285">
              <controlPr defaultSize="0" autoLine="0" autoPict="0">
                <anchor moveWithCells="1">
                  <from>
                    <xdr:col>3</xdr:col>
                    <xdr:colOff>0</xdr:colOff>
                    <xdr:row>67</xdr:row>
                    <xdr:rowOff>0</xdr:rowOff>
                  </from>
                  <to>
                    <xdr:col>4</xdr:col>
                    <xdr:colOff>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14" r:id="rId164" name="Drop Down 286">
              <controlPr defaultSize="0" autoLine="0" autoPict="0">
                <anchor moveWithCells="1">
                  <from>
                    <xdr:col>4</xdr:col>
                    <xdr:colOff>0</xdr:colOff>
                    <xdr:row>67</xdr:row>
                    <xdr:rowOff>0</xdr:rowOff>
                  </from>
                  <to>
                    <xdr:col>5</xdr:col>
                    <xdr:colOff>9525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20" r:id="rId165" name="Drop Down 292">
              <controlPr defaultSize="0" autoLine="0" autoPict="0">
                <anchor moveWithCells="1">
                  <from>
                    <xdr:col>14</xdr:col>
                    <xdr:colOff>0</xdr:colOff>
                    <xdr:row>67</xdr:row>
                    <xdr:rowOff>0</xdr:rowOff>
                  </from>
                  <to>
                    <xdr:col>16</xdr:col>
                    <xdr:colOff>9525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21" r:id="rId166" name="Drop Down 293">
              <controlPr defaultSize="0" autoLine="0" autoPict="0">
                <anchor moveWithCells="1">
                  <from>
                    <xdr:col>16</xdr:col>
                    <xdr:colOff>0</xdr:colOff>
                    <xdr:row>67</xdr:row>
                    <xdr:rowOff>0</xdr:rowOff>
                  </from>
                  <to>
                    <xdr:col>17</xdr:col>
                    <xdr:colOff>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22" r:id="rId167" name="Drop Down 294">
              <controlPr defaultSize="0" autoLine="0" autoPict="0">
                <anchor moveWithCells="1">
                  <from>
                    <xdr:col>3</xdr:col>
                    <xdr:colOff>0</xdr:colOff>
                    <xdr:row>68</xdr:row>
                    <xdr:rowOff>0</xdr:rowOff>
                  </from>
                  <to>
                    <xdr:col>4</xdr:col>
                    <xdr:colOff>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23" r:id="rId168" name="Drop Down 295">
              <controlPr defaultSize="0" autoLine="0" autoPict="0">
                <anchor moveWithCells="1">
                  <from>
                    <xdr:col>4</xdr:col>
                    <xdr:colOff>0</xdr:colOff>
                    <xdr:row>68</xdr:row>
                    <xdr:rowOff>0</xdr:rowOff>
                  </from>
                  <to>
                    <xdr:col>5</xdr:col>
                    <xdr:colOff>9525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29" r:id="rId169" name="Drop Down 301">
              <controlPr defaultSize="0" autoLine="0" autoPict="0">
                <anchor moveWithCells="1">
                  <from>
                    <xdr:col>14</xdr:col>
                    <xdr:colOff>0</xdr:colOff>
                    <xdr:row>68</xdr:row>
                    <xdr:rowOff>0</xdr:rowOff>
                  </from>
                  <to>
                    <xdr:col>16</xdr:col>
                    <xdr:colOff>9525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30" r:id="rId170" name="Drop Down 302">
              <controlPr defaultSize="0" autoLine="0" autoPict="0">
                <anchor moveWithCells="1">
                  <from>
                    <xdr:col>16</xdr:col>
                    <xdr:colOff>0</xdr:colOff>
                    <xdr:row>68</xdr:row>
                    <xdr:rowOff>0</xdr:rowOff>
                  </from>
                  <to>
                    <xdr:col>17</xdr:col>
                    <xdr:colOff>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31" r:id="rId171" name="Drop Down 303">
              <controlPr defaultSize="0" autoLine="0" autoPict="0">
                <anchor moveWithCells="1">
                  <from>
                    <xdr:col>3</xdr:col>
                    <xdr:colOff>0</xdr:colOff>
                    <xdr:row>69</xdr:row>
                    <xdr:rowOff>0</xdr:rowOff>
                  </from>
                  <to>
                    <xdr:col>4</xdr:col>
                    <xdr:colOff>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32" r:id="rId172" name="Drop Down 304">
              <controlPr defaultSize="0" autoLine="0" autoPict="0">
                <anchor moveWithCells="1">
                  <from>
                    <xdr:col>4</xdr:col>
                    <xdr:colOff>0</xdr:colOff>
                    <xdr:row>69</xdr:row>
                    <xdr:rowOff>0</xdr:rowOff>
                  </from>
                  <to>
                    <xdr:col>5</xdr:col>
                    <xdr:colOff>9525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38" r:id="rId173" name="Drop Down 310">
              <controlPr defaultSize="0" autoLine="0" autoPict="0">
                <anchor moveWithCells="1">
                  <from>
                    <xdr:col>14</xdr:col>
                    <xdr:colOff>0</xdr:colOff>
                    <xdr:row>69</xdr:row>
                    <xdr:rowOff>0</xdr:rowOff>
                  </from>
                  <to>
                    <xdr:col>16</xdr:col>
                    <xdr:colOff>9525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39" r:id="rId174" name="Drop Down 311">
              <controlPr defaultSize="0" autoLine="0" autoPict="0">
                <anchor moveWithCells="1">
                  <from>
                    <xdr:col>16</xdr:col>
                    <xdr:colOff>0</xdr:colOff>
                    <xdr:row>69</xdr:row>
                    <xdr:rowOff>0</xdr:rowOff>
                  </from>
                  <to>
                    <xdr:col>17</xdr:col>
                    <xdr:colOff>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40" r:id="rId175" name="Drop Down 312">
              <controlPr defaultSize="0" autoLine="0" autoPict="0">
                <anchor moveWithCells="1">
                  <from>
                    <xdr:col>12</xdr:col>
                    <xdr:colOff>0</xdr:colOff>
                    <xdr:row>77</xdr:row>
                    <xdr:rowOff>0</xdr:rowOff>
                  </from>
                  <to>
                    <xdr:col>13</xdr:col>
                    <xdr:colOff>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41" r:id="rId176" name="Drop Down 313">
              <controlPr defaultSize="0" autoLine="0" autoPict="0">
                <anchor moveWithCells="1">
                  <from>
                    <xdr:col>13</xdr:col>
                    <xdr:colOff>0</xdr:colOff>
                    <xdr:row>77</xdr:row>
                    <xdr:rowOff>0</xdr:rowOff>
                  </from>
                  <to>
                    <xdr:col>14</xdr:col>
                    <xdr:colOff>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42" r:id="rId177" name="Drop Down 314">
              <controlPr defaultSize="0" autoLine="0" autoPict="0">
                <anchor moveWithCells="1">
                  <from>
                    <xdr:col>12</xdr:col>
                    <xdr:colOff>0</xdr:colOff>
                    <xdr:row>78</xdr:row>
                    <xdr:rowOff>0</xdr:rowOff>
                  </from>
                  <to>
                    <xdr:col>13</xdr:col>
                    <xdr:colOff>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43" r:id="rId178" name="Drop Down 315">
              <controlPr defaultSize="0" autoLine="0" autoPict="0">
                <anchor moveWithCells="1">
                  <from>
                    <xdr:col>13</xdr:col>
                    <xdr:colOff>0</xdr:colOff>
                    <xdr:row>78</xdr:row>
                    <xdr:rowOff>0</xdr:rowOff>
                  </from>
                  <to>
                    <xdr:col>14</xdr:col>
                    <xdr:colOff>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44" r:id="rId179" name="Drop Down 316">
              <controlPr defaultSize="0" autoLine="0" autoPict="0">
                <anchor moveWithCells="1">
                  <from>
                    <xdr:col>12</xdr:col>
                    <xdr:colOff>0</xdr:colOff>
                    <xdr:row>79</xdr:row>
                    <xdr:rowOff>0</xdr:rowOff>
                  </from>
                  <to>
                    <xdr:col>13</xdr:col>
                    <xdr:colOff>0</xdr:colOff>
                    <xdr:row>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45" r:id="rId180" name="Drop Down 317">
              <controlPr defaultSize="0" autoLine="0" autoPict="0">
                <anchor moveWithCells="1">
                  <from>
                    <xdr:col>13</xdr:col>
                    <xdr:colOff>0</xdr:colOff>
                    <xdr:row>79</xdr:row>
                    <xdr:rowOff>0</xdr:rowOff>
                  </from>
                  <to>
                    <xdr:col>14</xdr:col>
                    <xdr:colOff>0</xdr:colOff>
                    <xdr:row>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46" r:id="rId181" name="Drop Down 318">
              <controlPr defaultSize="0" autoLine="0" autoPict="0">
                <anchor moveWithCells="1">
                  <from>
                    <xdr:col>12</xdr:col>
                    <xdr:colOff>0</xdr:colOff>
                    <xdr:row>80</xdr:row>
                    <xdr:rowOff>0</xdr:rowOff>
                  </from>
                  <to>
                    <xdr:col>13</xdr:col>
                    <xdr:colOff>0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47" r:id="rId182" name="Drop Down 319">
              <controlPr defaultSize="0" autoLine="0" autoPict="0">
                <anchor moveWithCells="1">
                  <from>
                    <xdr:col>13</xdr:col>
                    <xdr:colOff>0</xdr:colOff>
                    <xdr:row>80</xdr:row>
                    <xdr:rowOff>0</xdr:rowOff>
                  </from>
                  <to>
                    <xdr:col>14</xdr:col>
                    <xdr:colOff>0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48" r:id="rId183" name="Drop Down 320">
              <controlPr defaultSize="0" autoLine="0" autoPict="0">
                <anchor moveWithCells="1">
                  <from>
                    <xdr:col>12</xdr:col>
                    <xdr:colOff>0</xdr:colOff>
                    <xdr:row>81</xdr:row>
                    <xdr:rowOff>0</xdr:rowOff>
                  </from>
                  <to>
                    <xdr:col>13</xdr:col>
                    <xdr:colOff>0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49" r:id="rId184" name="Drop Down 321">
              <controlPr defaultSize="0" autoLine="0" autoPict="0">
                <anchor moveWithCells="1">
                  <from>
                    <xdr:col>13</xdr:col>
                    <xdr:colOff>0</xdr:colOff>
                    <xdr:row>81</xdr:row>
                    <xdr:rowOff>0</xdr:rowOff>
                  </from>
                  <to>
                    <xdr:col>14</xdr:col>
                    <xdr:colOff>0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255" r:id="rId185" name="Drop Down 527">
              <controlPr defaultSize="0" autoLine="0" autoPict="0">
                <anchor moveWithCells="1">
                  <from>
                    <xdr:col>2</xdr:col>
                    <xdr:colOff>9525</xdr:colOff>
                    <xdr:row>7</xdr:row>
                    <xdr:rowOff>180975</xdr:rowOff>
                  </from>
                  <to>
                    <xdr:col>2</xdr:col>
                    <xdr:colOff>1362075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7560" r:id="rId186" name="Drop Down 1384">
              <controlPr defaultSize="0" autoLine="0" autoPict="0">
                <anchor moveWithCells="1">
                  <from>
                    <xdr:col>4</xdr:col>
                    <xdr:colOff>0</xdr:colOff>
                    <xdr:row>64</xdr:row>
                    <xdr:rowOff>0</xdr:rowOff>
                  </from>
                  <to>
                    <xdr:col>5</xdr:col>
                    <xdr:colOff>9525</xdr:colOff>
                    <xdr:row>65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>
    <tabColor rgb="FF00B050"/>
  </sheetPr>
  <dimension ref="A1:CG156"/>
  <sheetViews>
    <sheetView zoomScale="80" zoomScaleNormal="80" workbookViewId="0">
      <selection activeCell="C3" sqref="C3"/>
    </sheetView>
  </sheetViews>
  <sheetFormatPr defaultColWidth="9.140625" defaultRowHeight="12.75" x14ac:dyDescent="0.2"/>
  <cols>
    <col min="1" max="1" width="14.5703125" style="93" customWidth="1"/>
    <col min="2" max="2" width="26.7109375" style="93" customWidth="1"/>
    <col min="3" max="3" width="20.42578125" style="93" customWidth="1"/>
    <col min="4" max="4" width="19.85546875" style="93" customWidth="1"/>
    <col min="5" max="5" width="19.7109375" style="93" customWidth="1"/>
    <col min="6" max="6" width="20.85546875" style="93" customWidth="1"/>
    <col min="7" max="7" width="20.85546875" style="93" hidden="1" customWidth="1"/>
    <col min="8" max="8" width="21.28515625" style="93" customWidth="1"/>
    <col min="9" max="9" width="3.7109375" style="93" hidden="1" customWidth="1"/>
    <col min="10" max="10" width="13.28515625" style="93" customWidth="1"/>
    <col min="11" max="11" width="13.28515625" style="93" hidden="1" customWidth="1"/>
    <col min="12" max="14" width="12.42578125" style="93" customWidth="1"/>
    <col min="15" max="15" width="0" style="93" hidden="1" customWidth="1"/>
    <col min="16" max="16" width="8.5703125" style="93" customWidth="1"/>
    <col min="17" max="17" width="8.7109375" style="93" customWidth="1"/>
    <col min="18" max="18" width="0.85546875" style="93" customWidth="1"/>
    <col min="19" max="22" width="9.140625" style="93"/>
    <col min="23" max="23" width="11.85546875" style="93" customWidth="1"/>
    <col min="24" max="24" width="8.5703125" style="93" bestFit="1" customWidth="1"/>
    <col min="25" max="25" width="22.7109375" style="93" bestFit="1" customWidth="1"/>
    <col min="26" max="26" width="13" style="93" bestFit="1" customWidth="1"/>
    <col min="27" max="27" width="11.28515625" style="93" bestFit="1" customWidth="1"/>
    <col min="28" max="28" width="13" style="93" bestFit="1" customWidth="1"/>
    <col min="29" max="29" width="10.7109375" style="93" customWidth="1"/>
    <col min="30" max="30" width="6.42578125" style="93" customWidth="1"/>
    <col min="31" max="31" width="26.7109375" style="93" customWidth="1"/>
    <col min="32" max="32" width="20.42578125" style="93" customWidth="1"/>
    <col min="33" max="33" width="19.85546875" style="93" customWidth="1"/>
    <col min="34" max="34" width="19.7109375" style="93" customWidth="1"/>
    <col min="35" max="35" width="20.85546875" style="93" customWidth="1"/>
    <col min="36" max="36" width="17.28515625" style="93" bestFit="1" customWidth="1"/>
    <col min="37" max="37" width="13.28515625" style="93" customWidth="1"/>
    <col min="38" max="40" width="12.42578125" style="93" customWidth="1"/>
    <col min="41" max="41" width="0" style="93" hidden="1" customWidth="1"/>
    <col min="42" max="42" width="8.5703125" style="93" customWidth="1"/>
    <col min="43" max="43" width="8.7109375" style="93" customWidth="1"/>
    <col min="44" max="44" width="0.85546875" style="93" customWidth="1"/>
    <col min="45" max="48" width="9.140625" style="93"/>
    <col min="49" max="49" width="11.85546875" style="93" customWidth="1"/>
    <col min="50" max="50" width="8.5703125" style="93" bestFit="1" customWidth="1"/>
    <col min="51" max="51" width="22.7109375" style="93" bestFit="1" customWidth="1"/>
    <col min="52" max="52" width="9.42578125" style="93" bestFit="1" customWidth="1"/>
    <col min="53" max="53" width="11.28515625" style="93" bestFit="1" customWidth="1"/>
    <col min="54" max="55" width="7.5703125" style="93" bestFit="1" customWidth="1"/>
    <col min="56" max="56" width="6.42578125" style="93" customWidth="1"/>
    <col min="57" max="57" width="0" style="93" hidden="1" customWidth="1"/>
    <col min="58" max="58" width="26.7109375" style="93" customWidth="1"/>
    <col min="59" max="59" width="20.42578125" style="93" customWidth="1"/>
    <col min="60" max="60" width="19.85546875" style="93" customWidth="1"/>
    <col min="61" max="61" width="19.7109375" style="93" customWidth="1"/>
    <col min="62" max="62" width="20.85546875" style="93" customWidth="1"/>
    <col min="63" max="63" width="17.28515625" style="93" bestFit="1" customWidth="1"/>
    <col min="64" max="64" width="13.28515625" style="93" customWidth="1"/>
    <col min="65" max="67" width="12.42578125" style="93" customWidth="1"/>
    <col min="68" max="68" width="0" style="93" hidden="1" customWidth="1"/>
    <col min="69" max="69" width="8.5703125" style="93" customWidth="1"/>
    <col min="70" max="70" width="8.7109375" style="93" customWidth="1"/>
    <col min="71" max="71" width="0.85546875" style="93" customWidth="1"/>
    <col min="72" max="75" width="9.140625" style="93"/>
    <col min="76" max="76" width="11.85546875" style="93" customWidth="1"/>
    <col min="77" max="77" width="8.5703125" style="93" bestFit="1" customWidth="1"/>
    <col min="78" max="78" width="22.7109375" style="93" bestFit="1" customWidth="1"/>
    <col min="79" max="79" width="9.42578125" style="93" bestFit="1" customWidth="1"/>
    <col min="80" max="80" width="11.28515625" style="93" bestFit="1" customWidth="1"/>
    <col min="81" max="82" width="7.5703125" style="93" bestFit="1" customWidth="1"/>
    <col min="83" max="83" width="6.42578125" style="93" customWidth="1"/>
    <col min="84" max="84" width="26.7109375" style="93" customWidth="1"/>
    <col min="85" max="85" width="20.42578125" style="93" customWidth="1"/>
    <col min="86" max="86" width="19.85546875" style="93" customWidth="1"/>
    <col min="87" max="87" width="19.7109375" style="93" customWidth="1"/>
    <col min="88" max="88" width="20.85546875" style="93" customWidth="1"/>
    <col min="89" max="89" width="17.28515625" style="93" bestFit="1" customWidth="1"/>
    <col min="90" max="90" width="13.28515625" style="93" customWidth="1"/>
    <col min="91" max="93" width="12.42578125" style="93" customWidth="1"/>
    <col min="94" max="94" width="0" style="93" hidden="1" customWidth="1"/>
    <col min="95" max="95" width="8.5703125" style="93" customWidth="1"/>
    <col min="96" max="96" width="8.7109375" style="93" customWidth="1"/>
    <col min="97" max="97" width="0.85546875" style="93" customWidth="1"/>
    <col min="98" max="101" width="9.140625" style="93"/>
    <col min="102" max="102" width="11.85546875" style="93" customWidth="1"/>
    <col min="103" max="103" width="8.5703125" style="93" bestFit="1" customWidth="1"/>
    <col min="104" max="104" width="22.7109375" style="93" bestFit="1" customWidth="1"/>
    <col min="105" max="105" width="9.42578125" style="93" bestFit="1" customWidth="1"/>
    <col min="106" max="106" width="11.28515625" style="93" bestFit="1" customWidth="1"/>
    <col min="107" max="108" width="7.5703125" style="93" bestFit="1" customWidth="1"/>
    <col min="109" max="109" width="6.42578125" style="93" customWidth="1"/>
    <col min="110" max="16384" width="9.140625" style="93"/>
  </cols>
  <sheetData>
    <row r="1" spans="1:84" ht="9.75" customHeight="1" x14ac:dyDescent="0.2">
      <c r="A1" s="635"/>
      <c r="B1" s="6"/>
      <c r="C1" s="6"/>
      <c r="D1" s="6"/>
      <c r="E1" s="6"/>
      <c r="F1" s="113"/>
      <c r="G1" s="113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36"/>
    </row>
    <row r="2" spans="1:84" ht="23.25" customHeight="1" x14ac:dyDescent="0.2">
      <c r="A2" s="635"/>
      <c r="B2" s="2636"/>
      <c r="C2" s="263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36"/>
    </row>
    <row r="3" spans="1:84" s="7" customFormat="1" ht="23.25" customHeight="1" thickBot="1" x14ac:dyDescent="0.3">
      <c r="A3" s="637"/>
      <c r="B3" s="598" t="s">
        <v>625</v>
      </c>
      <c r="C3" s="344"/>
      <c r="AD3" s="638"/>
    </row>
    <row r="4" spans="1:84" s="6" customFormat="1" ht="15" customHeight="1" thickBot="1" x14ac:dyDescent="0.25">
      <c r="A4" s="635"/>
      <c r="B4" s="281" t="s">
        <v>624</v>
      </c>
      <c r="C4" s="104"/>
      <c r="D4" s="1511" t="s">
        <v>1210</v>
      </c>
      <c r="E4" s="1511" t="s">
        <v>1188</v>
      </c>
      <c r="F4" s="603" t="s">
        <v>1094</v>
      </c>
      <c r="G4" s="352"/>
      <c r="H4" s="345"/>
      <c r="I4" s="345"/>
      <c r="J4" s="345"/>
      <c r="K4" s="345"/>
      <c r="L4" s="144"/>
      <c r="M4" s="1533"/>
      <c r="N4" s="144"/>
      <c r="AD4" s="636"/>
    </row>
    <row r="5" spans="1:84" s="6" customFormat="1" ht="15" customHeight="1" x14ac:dyDescent="0.2">
      <c r="A5" s="635"/>
      <c r="B5" s="281" t="s">
        <v>733</v>
      </c>
      <c r="C5" s="331"/>
      <c r="D5" s="1527"/>
      <c r="E5" s="1528">
        <f>C5*D5</f>
        <v>0</v>
      </c>
      <c r="F5" s="1529">
        <f>E5*C4</f>
        <v>0</v>
      </c>
      <c r="G5" s="489"/>
      <c r="H5" s="1514"/>
      <c r="I5" s="345"/>
      <c r="J5" s="2637" t="s">
        <v>1332</v>
      </c>
      <c r="L5" s="1516" t="s">
        <v>1333</v>
      </c>
      <c r="M5" s="1517"/>
      <c r="N5" s="1518">
        <f>M5*$E$5*C4</f>
        <v>0</v>
      </c>
      <c r="AD5" s="636"/>
    </row>
    <row r="6" spans="1:84" s="6" customFormat="1" ht="15" customHeight="1" x14ac:dyDescent="0.2">
      <c r="A6" s="635"/>
      <c r="B6" s="281" t="s">
        <v>401</v>
      </c>
      <c r="C6" s="294">
        <f>C27+M27+L46</f>
        <v>0</v>
      </c>
      <c r="D6" s="330"/>
      <c r="F6" s="2640"/>
      <c r="G6" s="2641"/>
      <c r="H6" s="2641"/>
      <c r="I6" s="345"/>
      <c r="J6" s="2638"/>
      <c r="L6" s="1519" t="s">
        <v>1334</v>
      </c>
      <c r="M6" s="1520"/>
      <c r="N6" s="1521">
        <f>M6*$E$5*C4</f>
        <v>0</v>
      </c>
      <c r="AD6" s="636"/>
    </row>
    <row r="7" spans="1:84" s="6" customFormat="1" ht="15" customHeight="1" thickBot="1" x14ac:dyDescent="0.25">
      <c r="A7" s="635"/>
      <c r="B7" s="281" t="s">
        <v>402</v>
      </c>
      <c r="C7" s="105">
        <f>IF(C6=0,0,(C6+C58)*C4)</f>
        <v>0</v>
      </c>
      <c r="F7" s="417"/>
      <c r="G7" s="704"/>
      <c r="H7" s="507"/>
      <c r="J7" s="2639"/>
      <c r="L7" s="1522" t="s">
        <v>809</v>
      </c>
      <c r="M7" s="1523"/>
      <c r="N7" s="1524">
        <f>M7*$C$5*C4</f>
        <v>0</v>
      </c>
      <c r="AD7" s="636"/>
    </row>
    <row r="8" spans="1:84" s="6" customFormat="1" ht="15" customHeight="1" thickBot="1" x14ac:dyDescent="0.25">
      <c r="A8" s="635"/>
      <c r="B8" s="281" t="s">
        <v>734</v>
      </c>
      <c r="C8" s="313"/>
      <c r="F8" s="1053"/>
      <c r="G8" s="704"/>
      <c r="H8" s="1515"/>
      <c r="I8" s="345"/>
      <c r="M8" s="1525" t="s">
        <v>2</v>
      </c>
      <c r="N8" s="1526">
        <f>SUM(N5:N7)</f>
        <v>0</v>
      </c>
      <c r="AD8" s="636"/>
    </row>
    <row r="9" spans="1:84" ht="15" customHeight="1" x14ac:dyDescent="0.2">
      <c r="A9" s="635"/>
      <c r="B9" s="281" t="s">
        <v>797</v>
      </c>
      <c r="C9" s="229">
        <v>1</v>
      </c>
      <c r="D9" s="6"/>
      <c r="E9" s="6"/>
      <c r="F9" s="489"/>
      <c r="G9" s="489"/>
      <c r="H9" s="1514"/>
      <c r="I9" s="345"/>
      <c r="J9" s="345"/>
      <c r="K9" s="345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34"/>
      <c r="X9" s="633">
        <v>1</v>
      </c>
      <c r="Y9" s="633" t="s">
        <v>52</v>
      </c>
      <c r="Z9" s="538"/>
      <c r="AA9" s="538"/>
      <c r="AB9" s="634"/>
      <c r="AC9" s="6"/>
      <c r="AD9" s="636"/>
    </row>
    <row r="10" spans="1:84" ht="13.5" thickBot="1" x14ac:dyDescent="0.25">
      <c r="A10" s="635"/>
      <c r="B10" s="6"/>
      <c r="C10" s="6"/>
      <c r="D10" s="6"/>
      <c r="E10" s="6"/>
      <c r="F10" s="346"/>
      <c r="G10" s="346"/>
      <c r="H10" s="345"/>
      <c r="I10" s="345"/>
      <c r="J10" s="345"/>
      <c r="K10" s="345"/>
      <c r="L10" s="6"/>
      <c r="M10" s="6"/>
      <c r="N10" s="6"/>
      <c r="O10" s="6"/>
      <c r="P10" s="2625" t="s">
        <v>413</v>
      </c>
      <c r="Q10" s="2625"/>
      <c r="R10" s="6"/>
      <c r="S10" s="6"/>
      <c r="T10" s="6"/>
      <c r="U10" s="6"/>
      <c r="V10" s="6"/>
      <c r="W10" s="634"/>
      <c r="X10" s="633">
        <v>2</v>
      </c>
      <c r="Y10" s="633" t="s">
        <v>915</v>
      </c>
      <c r="Z10" s="633"/>
      <c r="AA10" s="633"/>
      <c r="AB10" s="634"/>
      <c r="AC10" s="6"/>
      <c r="AD10" s="636"/>
    </row>
    <row r="11" spans="1:84" x14ac:dyDescent="0.2">
      <c r="A11" s="635"/>
      <c r="B11" s="98" t="s">
        <v>39</v>
      </c>
      <c r="C11" s="99" t="s">
        <v>396</v>
      </c>
      <c r="D11" s="99" t="s">
        <v>40</v>
      </c>
      <c r="E11" s="99" t="s">
        <v>41</v>
      </c>
      <c r="F11" s="99" t="s">
        <v>404</v>
      </c>
      <c r="G11" s="1046" t="s">
        <v>1192</v>
      </c>
      <c r="H11" s="99" t="s">
        <v>908</v>
      </c>
      <c r="I11" s="1046" t="s">
        <v>1192</v>
      </c>
      <c r="J11" s="99" t="s">
        <v>909</v>
      </c>
      <c r="K11" s="1046" t="s">
        <v>1192</v>
      </c>
      <c r="L11" s="99" t="s">
        <v>395</v>
      </c>
      <c r="M11" s="2630" t="s">
        <v>453</v>
      </c>
      <c r="N11" s="2631"/>
      <c r="O11" s="117"/>
      <c r="P11" s="99" t="s">
        <v>292</v>
      </c>
      <c r="Q11" s="99" t="s">
        <v>80</v>
      </c>
      <c r="R11" s="6"/>
      <c r="S11" s="6"/>
      <c r="T11" s="6"/>
      <c r="U11" s="6"/>
      <c r="V11" s="6"/>
      <c r="W11" s="634"/>
      <c r="X11" s="633"/>
      <c r="Y11" s="633"/>
      <c r="Z11" s="633"/>
      <c r="AA11" s="633"/>
      <c r="AB11" s="634"/>
      <c r="AC11" s="6"/>
      <c r="AD11" s="636"/>
      <c r="CF11" s="175"/>
    </row>
    <row r="12" spans="1:84" ht="15.75" customHeight="1" x14ac:dyDescent="0.2">
      <c r="A12" s="635"/>
      <c r="B12" s="90"/>
      <c r="C12" s="275"/>
      <c r="D12" s="3">
        <v>1</v>
      </c>
      <c r="E12" s="3">
        <v>1</v>
      </c>
      <c r="F12" s="72">
        <f>VLOOKUP(D12,Inventário!$AA$32:$AD$42,3)</f>
        <v>0</v>
      </c>
      <c r="G12" s="1047">
        <f>F12*L12</f>
        <v>0</v>
      </c>
      <c r="H12" s="72">
        <f>VLOOKUP(E12,Inventário!$AA$51:$AC$71,3)</f>
        <v>0</v>
      </c>
      <c r="I12" s="1047">
        <f>L12*H12</f>
        <v>0</v>
      </c>
      <c r="J12" s="72">
        <f>VLOOKUP(D12,Inventário!$AA$32:$AD$42,4)</f>
        <v>0</v>
      </c>
      <c r="K12" s="1047">
        <f>J12*L12</f>
        <v>0</v>
      </c>
      <c r="L12" s="389"/>
      <c r="M12" s="2623">
        <f>SUM(F12,H12,J12)*L12</f>
        <v>0</v>
      </c>
      <c r="N12" s="2624"/>
      <c r="O12" s="278">
        <v>1</v>
      </c>
      <c r="P12" s="112">
        <v>1</v>
      </c>
      <c r="Q12" s="6">
        <v>1</v>
      </c>
      <c r="R12" s="6"/>
      <c r="S12" s="6"/>
      <c r="T12" s="6"/>
      <c r="U12" s="6"/>
      <c r="V12" s="6"/>
      <c r="W12" s="6"/>
      <c r="X12" s="6"/>
      <c r="Y12" s="6"/>
      <c r="Z12" s="113"/>
      <c r="AA12" s="113"/>
      <c r="AB12" s="6"/>
      <c r="AC12" s="6"/>
      <c r="AD12" s="636"/>
      <c r="CF12" s="176" t="s">
        <v>319</v>
      </c>
    </row>
    <row r="13" spans="1:84" ht="15.75" customHeight="1" thickBot="1" x14ac:dyDescent="0.25">
      <c r="A13" s="635"/>
      <c r="B13" s="90"/>
      <c r="C13" s="275"/>
      <c r="D13" s="3">
        <v>1</v>
      </c>
      <c r="E13" s="3">
        <v>1</v>
      </c>
      <c r="F13" s="72">
        <f>VLOOKUP(D13,Inventário!$AA$32:$AD$42,3)</f>
        <v>0</v>
      </c>
      <c r="G13" s="1047">
        <f t="shared" ref="G13:G26" si="0">F13*L13</f>
        <v>0</v>
      </c>
      <c r="H13" s="72">
        <f>VLOOKUP(E13,Inventário!$AA$51:$AC$71,3)</f>
        <v>0</v>
      </c>
      <c r="I13" s="1047">
        <f t="shared" ref="I13:I26" si="1">L13*H13</f>
        <v>0</v>
      </c>
      <c r="J13" s="72">
        <f>VLOOKUP(D13,Inventário!$AA$32:$AD$42,4)</f>
        <v>0</v>
      </c>
      <c r="K13" s="1047">
        <f t="shared" ref="K13:K26" si="2">J13*L13</f>
        <v>0</v>
      </c>
      <c r="L13" s="20"/>
      <c r="M13" s="2623">
        <f t="shared" ref="M13:M26" si="3">SUM(F13,H13,J13)*L13</f>
        <v>0</v>
      </c>
      <c r="N13" s="2624"/>
      <c r="O13" s="277">
        <v>1</v>
      </c>
      <c r="P13" s="100">
        <v>1</v>
      </c>
      <c r="Q13" s="6">
        <v>1</v>
      </c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36"/>
      <c r="CF13" s="176" t="s">
        <v>320</v>
      </c>
    </row>
    <row r="14" spans="1:84" ht="15.75" customHeight="1" thickBot="1" x14ac:dyDescent="0.25">
      <c r="A14" s="635"/>
      <c r="B14" s="90"/>
      <c r="C14" s="275"/>
      <c r="D14" s="3">
        <v>1</v>
      </c>
      <c r="E14" s="3">
        <v>1</v>
      </c>
      <c r="F14" s="72">
        <f>VLOOKUP(D14,Inventário!$AA$32:$AD$42,3)</f>
        <v>0</v>
      </c>
      <c r="G14" s="1047">
        <f t="shared" si="0"/>
        <v>0</v>
      </c>
      <c r="H14" s="72">
        <f>VLOOKUP(E14,Inventário!$AA$51:$AC$71,3)</f>
        <v>0</v>
      </c>
      <c r="I14" s="1047">
        <f t="shared" si="1"/>
        <v>0</v>
      </c>
      <c r="J14" s="72">
        <f>VLOOKUP(D14,Inventário!$AA$32:$AD$42,4)</f>
        <v>0</v>
      </c>
      <c r="K14" s="1047">
        <f t="shared" si="2"/>
        <v>0</v>
      </c>
      <c r="L14" s="20"/>
      <c r="M14" s="2623">
        <f>SUM(F14,H14,J14)*L14</f>
        <v>0</v>
      </c>
      <c r="N14" s="2624"/>
      <c r="O14" s="277">
        <v>1</v>
      </c>
      <c r="P14" s="100">
        <v>1</v>
      </c>
      <c r="Q14" s="6">
        <v>1</v>
      </c>
      <c r="R14" s="6"/>
      <c r="S14" s="6"/>
      <c r="T14" s="6"/>
      <c r="U14" s="6"/>
      <c r="V14" s="6"/>
      <c r="W14" s="6"/>
      <c r="X14" s="2634">
        <f>C1</f>
        <v>0</v>
      </c>
      <c r="Y14" s="2635"/>
      <c r="Z14" s="547" t="s">
        <v>910</v>
      </c>
      <c r="AA14" s="548" t="s">
        <v>611</v>
      </c>
      <c r="AB14" s="349" t="s">
        <v>813</v>
      </c>
      <c r="AC14" s="350" t="s">
        <v>814</v>
      </c>
      <c r="AD14" s="636"/>
      <c r="CF14" s="176" t="s">
        <v>321</v>
      </c>
    </row>
    <row r="15" spans="1:84" ht="15.75" customHeight="1" x14ac:dyDescent="0.2">
      <c r="A15" s="635"/>
      <c r="B15" s="90"/>
      <c r="C15" s="275"/>
      <c r="D15" s="3">
        <v>1</v>
      </c>
      <c r="E15" s="3">
        <v>1</v>
      </c>
      <c r="F15" s="72">
        <f>VLOOKUP(D15,Inventário!$AA$32:$AD$42,3)</f>
        <v>0</v>
      </c>
      <c r="G15" s="1047">
        <f t="shared" si="0"/>
        <v>0</v>
      </c>
      <c r="H15" s="72">
        <f>VLOOKUP(E15,Inventário!$AA$51:$AC$71,3)</f>
        <v>0</v>
      </c>
      <c r="I15" s="1047">
        <f t="shared" si="1"/>
        <v>0</v>
      </c>
      <c r="J15" s="72">
        <f>VLOOKUP(D15,Inventário!$AA$32:$AD$42,4)</f>
        <v>0</v>
      </c>
      <c r="K15" s="1047">
        <f t="shared" si="2"/>
        <v>0</v>
      </c>
      <c r="L15" s="20"/>
      <c r="M15" s="2623">
        <f t="shared" si="3"/>
        <v>0</v>
      </c>
      <c r="N15" s="2624"/>
      <c r="O15" s="277">
        <v>1</v>
      </c>
      <c r="P15" s="100">
        <v>1</v>
      </c>
      <c r="Q15" s="6">
        <v>1</v>
      </c>
      <c r="R15" s="6"/>
      <c r="S15" s="6"/>
      <c r="T15" s="6"/>
      <c r="U15" s="6"/>
      <c r="V15" s="6"/>
      <c r="W15" s="6"/>
      <c r="X15" s="347"/>
      <c r="Y15" s="549" t="s">
        <v>911</v>
      </c>
      <c r="Z15" s="628">
        <f>(G27*C4)/IF($C$8=0,1,$C$8)</f>
        <v>0</v>
      </c>
      <c r="AA15" s="554">
        <f>C57*G73</f>
        <v>0</v>
      </c>
      <c r="AB15" s="115">
        <f>IF(C9=0,0,IF(C9=1,Z15+AA15,IF(C9=2,AA15)))</f>
        <v>0</v>
      </c>
      <c r="AC15" s="555">
        <f>IF(C9=0,0,IF(C9=1,0,IF(C9=2,Z15)))</f>
        <v>0</v>
      </c>
      <c r="AD15" s="636"/>
      <c r="CF15" s="176" t="s">
        <v>322</v>
      </c>
    </row>
    <row r="16" spans="1:84" ht="15.75" customHeight="1" x14ac:dyDescent="0.2">
      <c r="A16" s="635"/>
      <c r="B16" s="90"/>
      <c r="C16" s="275"/>
      <c r="D16" s="3">
        <v>1</v>
      </c>
      <c r="E16" s="3">
        <v>1</v>
      </c>
      <c r="F16" s="72">
        <f>VLOOKUP(D16,Inventário!$AA$32:$AD$42,3)</f>
        <v>0</v>
      </c>
      <c r="G16" s="1047">
        <f t="shared" si="0"/>
        <v>0</v>
      </c>
      <c r="H16" s="72">
        <f>VLOOKUP(E16,Inventário!$AA$51:$AC$71,3)</f>
        <v>0</v>
      </c>
      <c r="I16" s="1047">
        <f t="shared" si="1"/>
        <v>0</v>
      </c>
      <c r="J16" s="72">
        <f>VLOOKUP(D16,Inventário!$AA$32:$AD$42,4)</f>
        <v>0</v>
      </c>
      <c r="K16" s="1047">
        <f t="shared" si="2"/>
        <v>0</v>
      </c>
      <c r="L16" s="20"/>
      <c r="M16" s="2623">
        <f t="shared" si="3"/>
        <v>0</v>
      </c>
      <c r="N16" s="2624"/>
      <c r="O16" s="277">
        <v>1</v>
      </c>
      <c r="P16" s="100">
        <v>1</v>
      </c>
      <c r="Q16" s="6">
        <v>1</v>
      </c>
      <c r="R16" s="6"/>
      <c r="S16" s="6"/>
      <c r="T16" s="6"/>
      <c r="U16" s="6"/>
      <c r="V16" s="6"/>
      <c r="W16" s="6"/>
      <c r="X16" s="347"/>
      <c r="Y16" s="550" t="s">
        <v>912</v>
      </c>
      <c r="Z16" s="628">
        <f>(I27*C4)/IF($C$8=0,1,$C$8)</f>
        <v>0</v>
      </c>
      <c r="AA16" s="554">
        <f>C57*I73</f>
        <v>0</v>
      </c>
      <c r="AB16" s="115">
        <f>IF(C9=0,0,IF(C9=1,Z16+AA16,IF(C9=2,AA16)))</f>
        <v>0</v>
      </c>
      <c r="AC16" s="555">
        <f>IF(C9=0,0,IF(C9=1,0,IF(C9=2,Z16)))</f>
        <v>0</v>
      </c>
      <c r="AD16" s="636"/>
      <c r="CF16" s="176" t="s">
        <v>323</v>
      </c>
    </row>
    <row r="17" spans="1:84" ht="15.75" customHeight="1" x14ac:dyDescent="0.2">
      <c r="A17" s="635"/>
      <c r="B17" s="90"/>
      <c r="C17" s="275"/>
      <c r="D17" s="3">
        <v>1</v>
      </c>
      <c r="E17" s="3">
        <v>1</v>
      </c>
      <c r="F17" s="72">
        <f>VLOOKUP(D17,Inventário!$AA$32:$AD$42,3)</f>
        <v>0</v>
      </c>
      <c r="G17" s="1047">
        <f t="shared" si="0"/>
        <v>0</v>
      </c>
      <c r="H17" s="72">
        <f>VLOOKUP(E17,Inventário!$AA$51:$AC$71,3)</f>
        <v>0</v>
      </c>
      <c r="I17" s="1047">
        <f t="shared" si="1"/>
        <v>0</v>
      </c>
      <c r="J17" s="72">
        <f>VLOOKUP(D17,Inventário!$AA$32:$AD$42,4)</f>
        <v>0</v>
      </c>
      <c r="K17" s="1047">
        <f t="shared" si="2"/>
        <v>0</v>
      </c>
      <c r="L17" s="20"/>
      <c r="M17" s="2623">
        <f t="shared" si="3"/>
        <v>0</v>
      </c>
      <c r="N17" s="2624"/>
      <c r="O17" s="277">
        <v>1</v>
      </c>
      <c r="P17" s="100">
        <v>1</v>
      </c>
      <c r="Q17" s="6">
        <v>1</v>
      </c>
      <c r="R17" s="6"/>
      <c r="S17" s="6"/>
      <c r="T17" s="6"/>
      <c r="U17" s="6"/>
      <c r="V17" s="6"/>
      <c r="W17" s="6"/>
      <c r="X17" s="347"/>
      <c r="Y17" s="550" t="s">
        <v>350</v>
      </c>
      <c r="Z17" s="628">
        <f>(K27*C4)/IF($C$8=0,1,$C$8)</f>
        <v>0</v>
      </c>
      <c r="AA17" s="554">
        <f>C57*K73</f>
        <v>0</v>
      </c>
      <c r="AB17" s="115">
        <f>IF(C9=0,0,IF(C9=1,Z17+AA17,IF(C9=2,AA17)))</f>
        <v>0</v>
      </c>
      <c r="AC17" s="555">
        <f>IF(C9=0,0,IF(C9=1,0,IF(C9=2,Z17)))</f>
        <v>0</v>
      </c>
      <c r="AD17" s="636"/>
      <c r="CF17" s="176" t="s">
        <v>324</v>
      </c>
    </row>
    <row r="18" spans="1:84" ht="15.75" customHeight="1" x14ac:dyDescent="0.2">
      <c r="A18" s="635"/>
      <c r="B18" s="90"/>
      <c r="C18" s="275"/>
      <c r="D18" s="3">
        <v>1</v>
      </c>
      <c r="E18" s="3">
        <v>1</v>
      </c>
      <c r="F18" s="72">
        <f>VLOOKUP(D18,Inventário!$AA$32:$AD$42,3)</f>
        <v>0</v>
      </c>
      <c r="G18" s="1047">
        <f t="shared" si="0"/>
        <v>0</v>
      </c>
      <c r="H18" s="72">
        <f>VLOOKUP(E18,Inventário!$AA$51:$AC$71,3)</f>
        <v>0</v>
      </c>
      <c r="I18" s="1047">
        <f t="shared" si="1"/>
        <v>0</v>
      </c>
      <c r="J18" s="72">
        <f>VLOOKUP(D18,Inventário!$AA$32:$AD$42,4)</f>
        <v>0</v>
      </c>
      <c r="K18" s="1047">
        <f t="shared" si="2"/>
        <v>0</v>
      </c>
      <c r="L18" s="20"/>
      <c r="M18" s="2623">
        <f t="shared" si="3"/>
        <v>0</v>
      </c>
      <c r="N18" s="2624"/>
      <c r="O18" s="277">
        <v>1</v>
      </c>
      <c r="P18" s="100">
        <v>1</v>
      </c>
      <c r="Q18" s="6">
        <v>1</v>
      </c>
      <c r="R18" s="6"/>
      <c r="S18" s="6"/>
      <c r="T18" s="6"/>
      <c r="U18" s="6"/>
      <c r="V18" s="6"/>
      <c r="W18" s="6"/>
      <c r="X18" s="347"/>
      <c r="Y18" s="551" t="s">
        <v>397</v>
      </c>
      <c r="Z18" s="628">
        <f>(L46*C4)/IF($C$8=0,1,$C$8)</f>
        <v>0</v>
      </c>
      <c r="AA18" s="554">
        <f>C57*L87</f>
        <v>0</v>
      </c>
      <c r="AB18" s="115">
        <f>IF(C9=0,0,IF(C9=1,Z18+AA18,IF(C9=2,AA18)))</f>
        <v>0</v>
      </c>
      <c r="AC18" s="555">
        <f>IF(C9=0,0,IF(C9=1,0,IF(C9=2,Z18)))</f>
        <v>0</v>
      </c>
      <c r="AD18" s="636"/>
      <c r="CF18" s="176" t="s">
        <v>325</v>
      </c>
    </row>
    <row r="19" spans="1:84" ht="15.75" customHeight="1" thickBot="1" x14ac:dyDescent="0.25">
      <c r="A19" s="635"/>
      <c r="B19" s="90"/>
      <c r="C19" s="275"/>
      <c r="D19" s="3">
        <v>1</v>
      </c>
      <c r="E19" s="3">
        <v>1</v>
      </c>
      <c r="F19" s="72">
        <f>VLOOKUP(D19,Inventário!$AA$32:$AD$42,3)</f>
        <v>0</v>
      </c>
      <c r="G19" s="1047">
        <f t="shared" si="0"/>
        <v>0</v>
      </c>
      <c r="H19" s="72">
        <f>VLOOKUP(E19,Inventário!$AA$51:$AC$71,3)</f>
        <v>0</v>
      </c>
      <c r="I19" s="1047">
        <f t="shared" si="1"/>
        <v>0</v>
      </c>
      <c r="J19" s="72">
        <f>VLOOKUP(D19,Inventário!$AA$32:$AD$42,4)</f>
        <v>0</v>
      </c>
      <c r="K19" s="1047">
        <f t="shared" si="2"/>
        <v>0</v>
      </c>
      <c r="L19" s="20"/>
      <c r="M19" s="2623">
        <f>SUM(F19,H19,J19)*L19</f>
        <v>0</v>
      </c>
      <c r="N19" s="2624"/>
      <c r="O19" s="277">
        <v>1</v>
      </c>
      <c r="P19" s="100">
        <v>1</v>
      </c>
      <c r="Q19" s="6">
        <v>1</v>
      </c>
      <c r="R19" s="6"/>
      <c r="S19" s="6"/>
      <c r="T19" s="6"/>
      <c r="U19" s="6"/>
      <c r="V19" s="6"/>
      <c r="W19" s="6"/>
      <c r="X19" s="348"/>
      <c r="Y19" s="552" t="s">
        <v>812</v>
      </c>
      <c r="Z19" s="628">
        <f>(C27*C4)/IF($C$8=0,1,$C$8)</f>
        <v>0</v>
      </c>
      <c r="AA19" s="554">
        <f>C57*C73</f>
        <v>0</v>
      </c>
      <c r="AB19" s="115">
        <f>IF(C9=0,0,IF(C9=1,Z19+AA19,IF(C9=2,AA19)))</f>
        <v>0</v>
      </c>
      <c r="AC19" s="555">
        <f>IF(C9=0,0,IF(C9=1,0,IF(C9=2,Z19)))</f>
        <v>0</v>
      </c>
      <c r="AD19" s="636"/>
      <c r="CF19" s="176" t="s">
        <v>326</v>
      </c>
    </row>
    <row r="20" spans="1:84" ht="15.75" customHeight="1" thickBot="1" x14ac:dyDescent="0.25">
      <c r="A20" s="635"/>
      <c r="B20" s="90"/>
      <c r="C20" s="643"/>
      <c r="D20" s="3">
        <v>1</v>
      </c>
      <c r="E20" s="3">
        <v>1</v>
      </c>
      <c r="F20" s="72">
        <f>VLOOKUP(D20,Inventário!$AA$32:$AD$42,3)</f>
        <v>0</v>
      </c>
      <c r="G20" s="1047">
        <f t="shared" si="0"/>
        <v>0</v>
      </c>
      <c r="H20" s="72">
        <f>VLOOKUP(E20,Inventário!$AA$51:$AC$71,3)</f>
        <v>0</v>
      </c>
      <c r="I20" s="1047">
        <f t="shared" si="1"/>
        <v>0</v>
      </c>
      <c r="J20" s="72">
        <f>VLOOKUP(D20,Inventário!$AA$32:$AD$42,4)</f>
        <v>0</v>
      </c>
      <c r="K20" s="1047">
        <f t="shared" si="2"/>
        <v>0</v>
      </c>
      <c r="L20" s="20"/>
      <c r="M20" s="2623">
        <f>SUM(F20,H20,J20)*L20</f>
        <v>0</v>
      </c>
      <c r="N20" s="2624"/>
      <c r="O20" s="277">
        <v>1</v>
      </c>
      <c r="P20" s="100">
        <v>1</v>
      </c>
      <c r="Q20" s="6">
        <v>1</v>
      </c>
      <c r="R20" s="6"/>
      <c r="S20" s="6"/>
      <c r="T20" s="6"/>
      <c r="U20" s="6"/>
      <c r="V20" s="6"/>
      <c r="W20" s="6"/>
      <c r="X20" s="351"/>
      <c r="Y20" s="553" t="s">
        <v>2</v>
      </c>
      <c r="Z20" s="1512">
        <f>SUM(Z15:Z19)</f>
        <v>0</v>
      </c>
      <c r="AA20" s="1513">
        <f>SUM(AA15:AA19)</f>
        <v>0</v>
      </c>
      <c r="AB20" s="558">
        <f>SUM(AB15:AB19)</f>
        <v>0</v>
      </c>
      <c r="AC20" s="559">
        <f>SUM(AC15:AC19)</f>
        <v>0</v>
      </c>
      <c r="AD20" s="636"/>
      <c r="CF20" s="176" t="s">
        <v>327</v>
      </c>
    </row>
    <row r="21" spans="1:84" ht="15.75" customHeight="1" x14ac:dyDescent="0.2">
      <c r="A21" s="635"/>
      <c r="B21" s="90"/>
      <c r="C21" s="643"/>
      <c r="D21" s="3">
        <v>1</v>
      </c>
      <c r="E21" s="3">
        <v>1</v>
      </c>
      <c r="F21" s="72">
        <f>VLOOKUP(D21,Inventário!$AA$32:$AD$42,3)</f>
        <v>0</v>
      </c>
      <c r="G21" s="1047">
        <f t="shared" si="0"/>
        <v>0</v>
      </c>
      <c r="H21" s="72">
        <f>VLOOKUP(E21,Inventário!$AA$51:$AC$71,3)</f>
        <v>0</v>
      </c>
      <c r="I21" s="1047">
        <f t="shared" si="1"/>
        <v>0</v>
      </c>
      <c r="J21" s="72">
        <f>VLOOKUP(D21,Inventário!$AA$32:$AD$42,4)</f>
        <v>0</v>
      </c>
      <c r="K21" s="1047">
        <f t="shared" si="2"/>
        <v>0</v>
      </c>
      <c r="L21" s="20"/>
      <c r="M21" s="2623">
        <f t="shared" si="3"/>
        <v>0</v>
      </c>
      <c r="N21" s="2624"/>
      <c r="O21" s="277">
        <v>1</v>
      </c>
      <c r="P21" s="100">
        <v>1</v>
      </c>
      <c r="Q21" s="6">
        <v>1</v>
      </c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36"/>
      <c r="CF21" s="176" t="s">
        <v>328</v>
      </c>
    </row>
    <row r="22" spans="1:84" ht="15.75" customHeight="1" x14ac:dyDescent="0.2">
      <c r="A22" s="635"/>
      <c r="B22" s="90"/>
      <c r="C22" s="643"/>
      <c r="D22" s="3">
        <v>1</v>
      </c>
      <c r="E22" s="3">
        <v>1</v>
      </c>
      <c r="F22" s="72">
        <f>VLOOKUP(D22,Inventário!$AA$32:$AD$42,3)</f>
        <v>0</v>
      </c>
      <c r="G22" s="1047">
        <f t="shared" si="0"/>
        <v>0</v>
      </c>
      <c r="H22" s="72">
        <f>VLOOKUP(E22,Inventário!$AA$51:$AC$71,3)</f>
        <v>0</v>
      </c>
      <c r="I22" s="1047">
        <f t="shared" si="1"/>
        <v>0</v>
      </c>
      <c r="J22" s="72">
        <f>VLOOKUP(D22,Inventário!$AA$32:$AD$42,4)</f>
        <v>0</v>
      </c>
      <c r="K22" s="1047">
        <f t="shared" si="2"/>
        <v>0</v>
      </c>
      <c r="L22" s="20"/>
      <c r="M22" s="2623">
        <f t="shared" si="3"/>
        <v>0</v>
      </c>
      <c r="N22" s="2624"/>
      <c r="O22" s="277">
        <v>1</v>
      </c>
      <c r="P22" s="100">
        <v>1</v>
      </c>
      <c r="Q22" s="6">
        <v>1</v>
      </c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36"/>
      <c r="CF22" s="176" t="s">
        <v>329</v>
      </c>
    </row>
    <row r="23" spans="1:84" ht="15.75" customHeight="1" thickBot="1" x14ac:dyDescent="0.25">
      <c r="A23" s="635"/>
      <c r="B23" s="90"/>
      <c r="C23" s="643"/>
      <c r="D23" s="3">
        <v>1</v>
      </c>
      <c r="E23" s="3">
        <v>1</v>
      </c>
      <c r="F23" s="72">
        <f>VLOOKUP(D23,Inventário!$AA$32:$AD$42,3)</f>
        <v>0</v>
      </c>
      <c r="G23" s="1047">
        <f t="shared" si="0"/>
        <v>0</v>
      </c>
      <c r="H23" s="72">
        <f>VLOOKUP(E23,Inventário!$AA$51:$AC$71,3)</f>
        <v>0</v>
      </c>
      <c r="I23" s="1047">
        <f t="shared" si="1"/>
        <v>0</v>
      </c>
      <c r="J23" s="72">
        <f>VLOOKUP(D23,Inventário!$AA$32:$AD$42,4)</f>
        <v>0</v>
      </c>
      <c r="K23" s="1047">
        <f t="shared" si="2"/>
        <v>0</v>
      </c>
      <c r="L23" s="20"/>
      <c r="M23" s="2623">
        <f t="shared" si="3"/>
        <v>0</v>
      </c>
      <c r="N23" s="2624"/>
      <c r="O23" s="277">
        <v>1</v>
      </c>
      <c r="P23" s="100">
        <v>1</v>
      </c>
      <c r="Q23" s="6">
        <v>1</v>
      </c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36"/>
      <c r="CF23" s="177" t="s">
        <v>330</v>
      </c>
    </row>
    <row r="24" spans="1:84" ht="15.75" customHeight="1" x14ac:dyDescent="0.2">
      <c r="A24" s="635"/>
      <c r="B24" s="90"/>
      <c r="C24" s="275"/>
      <c r="D24" s="3">
        <v>1</v>
      </c>
      <c r="E24" s="3">
        <v>1</v>
      </c>
      <c r="F24" s="72">
        <f>VLOOKUP(D24,Inventário!$AA$32:$AD$42,3)</f>
        <v>0</v>
      </c>
      <c r="G24" s="1047">
        <f t="shared" si="0"/>
        <v>0</v>
      </c>
      <c r="H24" s="72">
        <f>VLOOKUP(E24,Inventário!$AA$51:$AC$71,3)</f>
        <v>0</v>
      </c>
      <c r="I24" s="1047">
        <f t="shared" si="1"/>
        <v>0</v>
      </c>
      <c r="J24" s="72">
        <f>VLOOKUP(D24,Inventário!$AA$32:$AD$42,4)</f>
        <v>0</v>
      </c>
      <c r="K24" s="1047">
        <f t="shared" si="2"/>
        <v>0</v>
      </c>
      <c r="L24" s="20"/>
      <c r="M24" s="2623">
        <f t="shared" si="3"/>
        <v>0</v>
      </c>
      <c r="N24" s="2624"/>
      <c r="O24" s="277">
        <v>1</v>
      </c>
      <c r="P24" s="100">
        <v>1</v>
      </c>
      <c r="Q24" s="6">
        <v>1</v>
      </c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36"/>
      <c r="CF24" s="176"/>
    </row>
    <row r="25" spans="1:84" ht="15.75" customHeight="1" x14ac:dyDescent="0.2">
      <c r="A25" s="635"/>
      <c r="B25" s="90"/>
      <c r="C25" s="275"/>
      <c r="D25" s="3">
        <v>1</v>
      </c>
      <c r="E25" s="3">
        <v>1</v>
      </c>
      <c r="F25" s="72">
        <f>VLOOKUP(D25,Inventário!$AA$32:$AD$42,3)</f>
        <v>0</v>
      </c>
      <c r="G25" s="1047">
        <f t="shared" si="0"/>
        <v>0</v>
      </c>
      <c r="H25" s="72">
        <f>VLOOKUP(E25,Inventário!$AA$51:$AC$71,3)</f>
        <v>0</v>
      </c>
      <c r="I25" s="1047">
        <f t="shared" si="1"/>
        <v>0</v>
      </c>
      <c r="J25" s="72">
        <f>VLOOKUP(D25,Inventário!$AA$32:$AD$42,4)</f>
        <v>0</v>
      </c>
      <c r="K25" s="1047">
        <f t="shared" si="2"/>
        <v>0</v>
      </c>
      <c r="L25" s="20"/>
      <c r="M25" s="2623">
        <f t="shared" si="3"/>
        <v>0</v>
      </c>
      <c r="N25" s="2624"/>
      <c r="O25" s="277">
        <v>1</v>
      </c>
      <c r="P25" s="100">
        <v>1</v>
      </c>
      <c r="Q25" s="6">
        <v>1</v>
      </c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36"/>
      <c r="CF25" s="176"/>
    </row>
    <row r="26" spans="1:84" ht="15.75" customHeight="1" x14ac:dyDescent="0.2">
      <c r="A26" s="635"/>
      <c r="B26" s="90"/>
      <c r="C26" s="275"/>
      <c r="D26" s="3">
        <v>1</v>
      </c>
      <c r="E26" s="3">
        <v>1</v>
      </c>
      <c r="F26" s="72">
        <f>VLOOKUP(D26,Inventário!$AA$32:$AD$42,3)</f>
        <v>0</v>
      </c>
      <c r="G26" s="1047">
        <f t="shared" si="0"/>
        <v>0</v>
      </c>
      <c r="H26" s="72">
        <f>VLOOKUP(E26,Inventário!$AA$51:$AC$71,3)</f>
        <v>0</v>
      </c>
      <c r="I26" s="1047">
        <f t="shared" si="1"/>
        <v>0</v>
      </c>
      <c r="J26" s="72">
        <f>VLOOKUP(D26,Inventário!$AA$32:$AD$42,4)</f>
        <v>0</v>
      </c>
      <c r="K26" s="1047">
        <f t="shared" si="2"/>
        <v>0</v>
      </c>
      <c r="L26" s="20"/>
      <c r="M26" s="2623">
        <f t="shared" si="3"/>
        <v>0</v>
      </c>
      <c r="N26" s="2624"/>
      <c r="O26" s="277">
        <v>1</v>
      </c>
      <c r="P26" s="100">
        <v>1</v>
      </c>
      <c r="Q26" s="6">
        <v>1</v>
      </c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36"/>
      <c r="CF26" s="176"/>
    </row>
    <row r="27" spans="1:84" ht="15.75" customHeight="1" x14ac:dyDescent="0.2">
      <c r="A27" s="635"/>
      <c r="B27" s="95" t="s">
        <v>77</v>
      </c>
      <c r="C27" s="276">
        <f>SUM(C12:C26)</f>
        <v>0</v>
      </c>
      <c r="D27" s="3"/>
      <c r="E27" s="3"/>
      <c r="F27" s="96">
        <f t="shared" ref="F27:K27" si="4">SUM(F12:F26)</f>
        <v>0</v>
      </c>
      <c r="G27" s="1048">
        <f t="shared" si="4"/>
        <v>0</v>
      </c>
      <c r="H27" s="96">
        <f t="shared" si="4"/>
        <v>0</v>
      </c>
      <c r="I27" s="1048">
        <f t="shared" si="4"/>
        <v>0</v>
      </c>
      <c r="J27" s="96">
        <f t="shared" si="4"/>
        <v>0</v>
      </c>
      <c r="K27" s="1048">
        <f t="shared" si="4"/>
        <v>0</v>
      </c>
      <c r="L27" s="3"/>
      <c r="M27" s="2642">
        <f>SUM(M12:N26)</f>
        <v>0</v>
      </c>
      <c r="N27" s="2643"/>
      <c r="O27" s="279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36"/>
      <c r="CF27" s="176"/>
    </row>
    <row r="28" spans="1:84" x14ac:dyDescent="0.2">
      <c r="A28" s="635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36"/>
      <c r="CF28" s="176"/>
    </row>
    <row r="29" spans="1:84" x14ac:dyDescent="0.2">
      <c r="A29" s="635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2625" t="s">
        <v>414</v>
      </c>
      <c r="N29" s="2625"/>
      <c r="O29" s="59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36"/>
      <c r="CF29" s="176"/>
    </row>
    <row r="30" spans="1:84" x14ac:dyDescent="0.2">
      <c r="A30" s="635"/>
      <c r="B30" s="98" t="s">
        <v>397</v>
      </c>
      <c r="C30" s="99" t="s">
        <v>42</v>
      </c>
      <c r="D30" s="99" t="s">
        <v>398</v>
      </c>
      <c r="E30" s="99" t="s">
        <v>399</v>
      </c>
      <c r="F30" s="3"/>
      <c r="G30" s="3"/>
      <c r="H30" s="3"/>
      <c r="I30" s="3"/>
      <c r="J30" s="3"/>
      <c r="K30" s="3"/>
      <c r="L30" s="99" t="s">
        <v>298</v>
      </c>
      <c r="M30" s="99" t="s">
        <v>292</v>
      </c>
      <c r="N30" s="99" t="s">
        <v>80</v>
      </c>
      <c r="O30" s="59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36"/>
      <c r="CF30" s="176"/>
    </row>
    <row r="31" spans="1:84" ht="15.75" customHeight="1" x14ac:dyDescent="0.2">
      <c r="A31" s="635"/>
      <c r="B31" s="90"/>
      <c r="C31" s="295"/>
      <c r="D31" s="280"/>
      <c r="E31" s="20"/>
      <c r="F31" s="3"/>
      <c r="G31" s="3"/>
      <c r="H31" s="94"/>
      <c r="I31" s="94"/>
      <c r="J31" s="94"/>
      <c r="K31" s="94"/>
      <c r="L31" s="72">
        <f t="shared" ref="L31:L45" si="5">E31*D31</f>
        <v>0</v>
      </c>
      <c r="M31" s="112">
        <v>1</v>
      </c>
      <c r="N31" s="3">
        <v>1</v>
      </c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36"/>
      <c r="CF31" s="176"/>
    </row>
    <row r="32" spans="1:84" ht="15.75" customHeight="1" x14ac:dyDescent="0.2">
      <c r="A32" s="635"/>
      <c r="B32" s="90"/>
      <c r="C32" s="295"/>
      <c r="D32" s="280"/>
      <c r="E32" s="20"/>
      <c r="F32" s="3"/>
      <c r="G32" s="3"/>
      <c r="H32" s="94"/>
      <c r="I32" s="94"/>
      <c r="J32" s="94"/>
      <c r="K32" s="94"/>
      <c r="L32" s="72">
        <f t="shared" si="5"/>
        <v>0</v>
      </c>
      <c r="M32" s="100">
        <v>1</v>
      </c>
      <c r="N32" s="3">
        <v>1</v>
      </c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36"/>
      <c r="CF32" s="176"/>
    </row>
    <row r="33" spans="1:84" ht="15.75" customHeight="1" thickBot="1" x14ac:dyDescent="0.25">
      <c r="A33" s="635"/>
      <c r="B33" s="90"/>
      <c r="C33" s="295"/>
      <c r="D33" s="280"/>
      <c r="E33" s="20"/>
      <c r="F33" s="3"/>
      <c r="G33" s="3"/>
      <c r="H33" s="94"/>
      <c r="I33" s="94"/>
      <c r="J33" s="94"/>
      <c r="K33" s="94"/>
      <c r="L33" s="72">
        <f t="shared" si="5"/>
        <v>0</v>
      </c>
      <c r="M33" s="100">
        <v>1</v>
      </c>
      <c r="N33" s="3">
        <v>1</v>
      </c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36"/>
      <c r="CF33" s="177"/>
    </row>
    <row r="34" spans="1:84" ht="15.75" customHeight="1" x14ac:dyDescent="0.2">
      <c r="A34" s="635"/>
      <c r="B34" s="1"/>
      <c r="C34" s="20"/>
      <c r="D34" s="280"/>
      <c r="E34" s="20"/>
      <c r="F34" s="3"/>
      <c r="G34" s="3"/>
      <c r="H34" s="94"/>
      <c r="I34" s="94"/>
      <c r="J34" s="94"/>
      <c r="K34" s="94"/>
      <c r="L34" s="72">
        <f t="shared" si="5"/>
        <v>0</v>
      </c>
      <c r="M34" s="100">
        <v>1</v>
      </c>
      <c r="N34" s="3">
        <v>1</v>
      </c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36"/>
    </row>
    <row r="35" spans="1:84" ht="15.75" customHeight="1" x14ac:dyDescent="0.2">
      <c r="A35" s="635"/>
      <c r="B35" s="1"/>
      <c r="C35" s="20"/>
      <c r="D35" s="280"/>
      <c r="E35" s="20"/>
      <c r="F35" s="3"/>
      <c r="G35" s="3"/>
      <c r="H35" s="94"/>
      <c r="I35" s="94"/>
      <c r="J35" s="94"/>
      <c r="K35" s="94"/>
      <c r="L35" s="72">
        <f t="shared" si="5"/>
        <v>0</v>
      </c>
      <c r="M35" s="100">
        <v>1</v>
      </c>
      <c r="N35" s="3">
        <v>1</v>
      </c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36"/>
    </row>
    <row r="36" spans="1:84" ht="15.75" customHeight="1" x14ac:dyDescent="0.2">
      <c r="A36" s="635"/>
      <c r="B36" s="1"/>
      <c r="C36" s="20"/>
      <c r="D36" s="28"/>
      <c r="E36" s="20"/>
      <c r="F36" s="3"/>
      <c r="G36" s="3"/>
      <c r="H36" s="94"/>
      <c r="I36" s="94"/>
      <c r="J36" s="94"/>
      <c r="K36" s="94"/>
      <c r="L36" s="72">
        <f t="shared" si="5"/>
        <v>0</v>
      </c>
      <c r="M36" s="100">
        <v>1</v>
      </c>
      <c r="N36" s="3">
        <v>1</v>
      </c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36"/>
    </row>
    <row r="37" spans="1:84" ht="15.75" customHeight="1" x14ac:dyDescent="0.2">
      <c r="A37" s="635"/>
      <c r="B37" s="1"/>
      <c r="C37" s="20"/>
      <c r="D37" s="280"/>
      <c r="E37" s="20"/>
      <c r="F37" s="3"/>
      <c r="G37" s="3"/>
      <c r="H37" s="94"/>
      <c r="I37" s="94"/>
      <c r="J37" s="94"/>
      <c r="K37" s="94"/>
      <c r="L37" s="72">
        <f t="shared" si="5"/>
        <v>0</v>
      </c>
      <c r="M37" s="100">
        <v>1</v>
      </c>
      <c r="N37" s="3">
        <v>1</v>
      </c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36"/>
    </row>
    <row r="38" spans="1:84" ht="15.75" customHeight="1" x14ac:dyDescent="0.2">
      <c r="A38" s="635"/>
      <c r="B38" s="1"/>
      <c r="C38" s="20"/>
      <c r="D38" s="280"/>
      <c r="E38" s="20"/>
      <c r="F38" s="3"/>
      <c r="G38" s="3"/>
      <c r="H38" s="94"/>
      <c r="I38" s="94"/>
      <c r="J38" s="94"/>
      <c r="K38" s="94"/>
      <c r="L38" s="72">
        <f t="shared" si="5"/>
        <v>0</v>
      </c>
      <c r="M38" s="100">
        <v>1</v>
      </c>
      <c r="N38" s="3">
        <v>1</v>
      </c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36"/>
    </row>
    <row r="39" spans="1:84" ht="15.75" customHeight="1" x14ac:dyDescent="0.2">
      <c r="A39" s="635"/>
      <c r="B39" s="1"/>
      <c r="C39" s="20"/>
      <c r="D39" s="280"/>
      <c r="E39" s="20"/>
      <c r="F39" s="3"/>
      <c r="G39" s="3"/>
      <c r="H39" s="94"/>
      <c r="I39" s="94"/>
      <c r="J39" s="94"/>
      <c r="K39" s="94"/>
      <c r="L39" s="72">
        <f t="shared" si="5"/>
        <v>0</v>
      </c>
      <c r="M39" s="100">
        <v>1</v>
      </c>
      <c r="N39" s="3">
        <v>1</v>
      </c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36"/>
    </row>
    <row r="40" spans="1:84" ht="15.75" customHeight="1" x14ac:dyDescent="0.2">
      <c r="A40" s="635"/>
      <c r="B40" s="1"/>
      <c r="C40" s="20"/>
      <c r="D40" s="280"/>
      <c r="E40" s="389"/>
      <c r="F40" s="3"/>
      <c r="G40" s="3"/>
      <c r="H40" s="94"/>
      <c r="I40" s="94"/>
      <c r="J40" s="94"/>
      <c r="K40" s="94"/>
      <c r="L40" s="72">
        <f t="shared" si="5"/>
        <v>0</v>
      </c>
      <c r="M40" s="100">
        <v>1</v>
      </c>
      <c r="N40" s="3">
        <v>1</v>
      </c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36"/>
    </row>
    <row r="41" spans="1:84" ht="15.75" customHeight="1" x14ac:dyDescent="0.2">
      <c r="A41" s="635"/>
      <c r="B41" s="1"/>
      <c r="C41" s="20"/>
      <c r="D41" s="280"/>
      <c r="E41" s="20"/>
      <c r="F41" s="3"/>
      <c r="G41" s="3"/>
      <c r="H41" s="94"/>
      <c r="I41" s="94"/>
      <c r="J41" s="94"/>
      <c r="K41" s="94"/>
      <c r="L41" s="72">
        <f t="shared" si="5"/>
        <v>0</v>
      </c>
      <c r="M41" s="100">
        <v>1</v>
      </c>
      <c r="N41" s="3">
        <v>1</v>
      </c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36"/>
    </row>
    <row r="42" spans="1:84" ht="15.75" customHeight="1" x14ac:dyDescent="0.2">
      <c r="A42" s="635"/>
      <c r="B42" s="1"/>
      <c r="C42" s="20"/>
      <c r="D42" s="28"/>
      <c r="E42" s="20"/>
      <c r="F42" s="3"/>
      <c r="G42" s="3"/>
      <c r="H42" s="94"/>
      <c r="I42" s="94"/>
      <c r="J42" s="94"/>
      <c r="K42" s="94"/>
      <c r="L42" s="72">
        <f t="shared" si="5"/>
        <v>0</v>
      </c>
      <c r="M42" s="100">
        <v>1</v>
      </c>
      <c r="N42" s="3">
        <v>1</v>
      </c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36"/>
    </row>
    <row r="43" spans="1:84" ht="15.75" customHeight="1" x14ac:dyDescent="0.2">
      <c r="A43" s="635"/>
      <c r="B43" s="1"/>
      <c r="C43" s="20"/>
      <c r="D43" s="280"/>
      <c r="E43" s="20"/>
      <c r="F43" s="3"/>
      <c r="G43" s="3"/>
      <c r="H43" s="94"/>
      <c r="I43" s="94"/>
      <c r="J43" s="94"/>
      <c r="K43" s="94"/>
      <c r="L43" s="72">
        <f t="shared" si="5"/>
        <v>0</v>
      </c>
      <c r="M43" s="100">
        <v>1</v>
      </c>
      <c r="N43" s="3">
        <v>1</v>
      </c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36"/>
    </row>
    <row r="44" spans="1:84" ht="15.75" customHeight="1" x14ac:dyDescent="0.2">
      <c r="A44" s="635"/>
      <c r="B44" s="1"/>
      <c r="C44" s="20"/>
      <c r="D44" s="280"/>
      <c r="E44" s="20"/>
      <c r="F44" s="3"/>
      <c r="G44" s="3"/>
      <c r="H44" s="94"/>
      <c r="I44" s="94"/>
      <c r="J44" s="94"/>
      <c r="K44" s="94"/>
      <c r="L44" s="72">
        <f t="shared" si="5"/>
        <v>0</v>
      </c>
      <c r="M44" s="100">
        <v>1</v>
      </c>
      <c r="N44" s="3">
        <v>1</v>
      </c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36"/>
    </row>
    <row r="45" spans="1:84" ht="15.75" customHeight="1" x14ac:dyDescent="0.2">
      <c r="A45" s="635"/>
      <c r="B45" s="1"/>
      <c r="C45" s="20"/>
      <c r="D45" s="280"/>
      <c r="E45" s="20"/>
      <c r="F45" s="3"/>
      <c r="G45" s="3"/>
      <c r="H45" s="94"/>
      <c r="I45" s="94"/>
      <c r="J45" s="94"/>
      <c r="K45" s="94"/>
      <c r="L45" s="72">
        <f t="shared" si="5"/>
        <v>0</v>
      </c>
      <c r="M45" s="100">
        <v>1</v>
      </c>
      <c r="N45" s="3">
        <v>1</v>
      </c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36"/>
    </row>
    <row r="46" spans="1:84" x14ac:dyDescent="0.2">
      <c r="A46" s="635"/>
      <c r="B46" s="95" t="s">
        <v>77</v>
      </c>
      <c r="C46" s="3"/>
      <c r="D46" s="3"/>
      <c r="E46" s="3"/>
      <c r="F46" s="3"/>
      <c r="G46" s="3"/>
      <c r="H46" s="96"/>
      <c r="I46" s="96"/>
      <c r="J46" s="96"/>
      <c r="K46" s="96"/>
      <c r="L46" s="106">
        <f>SUM(L31:L45)</f>
        <v>0</v>
      </c>
      <c r="M46" s="113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36"/>
    </row>
    <row r="47" spans="1:84" x14ac:dyDescent="0.2">
      <c r="A47" s="635"/>
      <c r="B47" s="91"/>
      <c r="C47" s="6"/>
      <c r="D47" s="6"/>
      <c r="E47" s="6"/>
      <c r="F47" s="6"/>
      <c r="G47" s="6"/>
      <c r="H47" s="6"/>
      <c r="I47" s="6"/>
      <c r="J47" s="6"/>
      <c r="K47" s="6"/>
      <c r="L47" s="113"/>
      <c r="M47" s="113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36"/>
    </row>
    <row r="48" spans="1:84" x14ac:dyDescent="0.2">
      <c r="A48" s="635"/>
      <c r="B48" s="6"/>
      <c r="C48" s="6"/>
      <c r="D48" s="6"/>
      <c r="E48" s="6"/>
      <c r="F48" s="6"/>
      <c r="G48" s="6"/>
      <c r="H48" s="6"/>
      <c r="I48" s="6"/>
      <c r="J48" s="6"/>
      <c r="K48" s="6"/>
      <c r="L48" s="2630" t="s">
        <v>413</v>
      </c>
      <c r="M48" s="2631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36"/>
    </row>
    <row r="49" spans="1:84" x14ac:dyDescent="0.2">
      <c r="A49" s="635"/>
      <c r="B49" s="98" t="s">
        <v>301</v>
      </c>
      <c r="C49" s="99" t="s">
        <v>410</v>
      </c>
      <c r="D49" s="98" t="s">
        <v>411</v>
      </c>
      <c r="E49" s="99" t="s">
        <v>412</v>
      </c>
      <c r="F49" s="6"/>
      <c r="G49" s="6"/>
      <c r="H49" s="6"/>
      <c r="I49" s="6"/>
      <c r="J49" s="6"/>
      <c r="K49" s="6"/>
      <c r="L49" s="99" t="s">
        <v>292</v>
      </c>
      <c r="M49" s="99" t="s">
        <v>80</v>
      </c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36"/>
    </row>
    <row r="50" spans="1:84" ht="15.75" customHeight="1" x14ac:dyDescent="0.2">
      <c r="A50" s="635"/>
      <c r="B50" s="3">
        <v>1</v>
      </c>
      <c r="C50" s="20"/>
      <c r="D50" s="276">
        <f>VLOOKUP(B50,'Mão-de-obra'!$CJ$10:$CL$29,3)</f>
        <v>0</v>
      </c>
      <c r="E50" s="106">
        <f>C50*D50</f>
        <v>0</v>
      </c>
      <c r="F50" s="6"/>
      <c r="G50" s="6"/>
      <c r="H50" s="6"/>
      <c r="I50" s="6"/>
      <c r="J50" s="6"/>
      <c r="K50" s="6"/>
      <c r="L50" s="6">
        <v>1</v>
      </c>
      <c r="M50" s="6">
        <v>1</v>
      </c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36"/>
    </row>
    <row r="51" spans="1:84" ht="15.75" customHeight="1" x14ac:dyDescent="0.2">
      <c r="A51" s="635"/>
      <c r="B51" s="3">
        <v>1</v>
      </c>
      <c r="C51" s="20"/>
      <c r="D51" s="276">
        <f>VLOOKUP(B51,'Mão-de-obra'!$CJ$10:$CL$29,3)</f>
        <v>0</v>
      </c>
      <c r="E51" s="106">
        <f>C51*D51</f>
        <v>0</v>
      </c>
      <c r="F51" s="6"/>
      <c r="G51" s="6"/>
      <c r="H51" s="6"/>
      <c r="I51" s="6"/>
      <c r="J51" s="6"/>
      <c r="K51" s="6"/>
      <c r="L51" s="6">
        <v>1</v>
      </c>
      <c r="M51" s="6">
        <v>1</v>
      </c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36"/>
    </row>
    <row r="52" spans="1:84" ht="15" customHeight="1" x14ac:dyDescent="0.2">
      <c r="A52" s="635"/>
      <c r="B52" s="3">
        <v>1</v>
      </c>
      <c r="C52" s="20"/>
      <c r="D52" s="276">
        <f>VLOOKUP(B52,'Mão-de-obra'!$CJ$10:$CL$29,3)</f>
        <v>0</v>
      </c>
      <c r="E52" s="106">
        <f>C52*D52</f>
        <v>0</v>
      </c>
      <c r="F52" s="6"/>
      <c r="G52" s="6"/>
      <c r="H52" s="6"/>
      <c r="I52" s="6"/>
      <c r="J52" s="6"/>
      <c r="K52" s="6"/>
      <c r="L52" s="6">
        <v>1</v>
      </c>
      <c r="M52" s="6">
        <v>1</v>
      </c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36"/>
    </row>
    <row r="53" spans="1:84" ht="15.75" customHeight="1" x14ac:dyDescent="0.2">
      <c r="A53" s="635"/>
      <c r="B53" s="3">
        <v>1</v>
      </c>
      <c r="C53" s="20"/>
      <c r="D53" s="276">
        <f>VLOOKUP(B53,'Mão-de-obra'!$CJ$10:$CL$29,3)</f>
        <v>0</v>
      </c>
      <c r="E53" s="106">
        <f>C53*D53</f>
        <v>0</v>
      </c>
      <c r="F53" s="6"/>
      <c r="G53" s="6"/>
      <c r="H53" s="6"/>
      <c r="I53" s="6"/>
      <c r="J53" s="6"/>
      <c r="K53" s="6"/>
      <c r="L53" s="6">
        <v>1</v>
      </c>
      <c r="M53" s="6">
        <v>1</v>
      </c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36"/>
    </row>
    <row r="54" spans="1:84" ht="15.75" customHeight="1" x14ac:dyDescent="0.2">
      <c r="A54" s="635"/>
      <c r="B54" s="3">
        <v>1</v>
      </c>
      <c r="C54" s="20"/>
      <c r="D54" s="276">
        <f>VLOOKUP(B54,'Mão-de-obra'!$CJ$10:$CL$29,3)</f>
        <v>0</v>
      </c>
      <c r="E54" s="106">
        <f>C54*D54</f>
        <v>0</v>
      </c>
      <c r="F54" s="6"/>
      <c r="G54" s="6"/>
      <c r="H54" s="6"/>
      <c r="I54" s="6"/>
      <c r="J54" s="6"/>
      <c r="K54" s="6"/>
      <c r="L54" s="6">
        <v>1</v>
      </c>
      <c r="M54" s="6">
        <v>1</v>
      </c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36"/>
    </row>
    <row r="55" spans="1:84" x14ac:dyDescent="0.2">
      <c r="A55" s="639"/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36"/>
    </row>
    <row r="56" spans="1:84" s="6" customFormat="1" ht="18" x14ac:dyDescent="0.25">
      <c r="A56" s="635"/>
      <c r="B56" s="121" t="s">
        <v>611</v>
      </c>
      <c r="C56" s="121"/>
      <c r="AD56" s="636"/>
    </row>
    <row r="57" spans="1:84" x14ac:dyDescent="0.2">
      <c r="A57" s="635"/>
      <c r="B57" s="91" t="s">
        <v>538</v>
      </c>
      <c r="C57" s="282">
        <f>C4</f>
        <v>0</v>
      </c>
      <c r="D57" s="6"/>
      <c r="E57" s="6"/>
      <c r="F57" s="144"/>
      <c r="G57" s="144"/>
      <c r="H57" s="319"/>
      <c r="I57" s="319"/>
      <c r="J57" s="319"/>
      <c r="K57" s="319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36"/>
    </row>
    <row r="58" spans="1:84" x14ac:dyDescent="0.2">
      <c r="A58" s="635"/>
      <c r="B58" s="91" t="s">
        <v>401</v>
      </c>
      <c r="C58" s="105">
        <f>C73+M73+L87</f>
        <v>0</v>
      </c>
      <c r="D58" s="6"/>
      <c r="E58" s="6"/>
      <c r="F58" s="346"/>
      <c r="G58" s="346"/>
      <c r="H58" s="115"/>
      <c r="I58" s="115"/>
      <c r="J58" s="115"/>
      <c r="K58" s="115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36"/>
    </row>
    <row r="59" spans="1:84" x14ac:dyDescent="0.2">
      <c r="A59" s="635"/>
      <c r="B59" s="91" t="s">
        <v>402</v>
      </c>
      <c r="C59" s="105">
        <f>C58*C57</f>
        <v>0</v>
      </c>
      <c r="D59" s="6"/>
      <c r="E59" s="6"/>
      <c r="F59" s="346"/>
      <c r="G59" s="346"/>
      <c r="H59" s="115"/>
      <c r="I59" s="115"/>
      <c r="J59" s="115"/>
      <c r="K59" s="115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36"/>
    </row>
    <row r="60" spans="1:84" x14ac:dyDescent="0.2">
      <c r="A60" s="635"/>
      <c r="B60" s="6"/>
      <c r="C60" s="6"/>
      <c r="D60" s="6"/>
      <c r="E60" s="6"/>
      <c r="F60" s="346"/>
      <c r="G60" s="346"/>
      <c r="H60" s="115"/>
      <c r="I60" s="115"/>
      <c r="J60" s="115"/>
      <c r="K60" s="115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36"/>
    </row>
    <row r="61" spans="1:84" x14ac:dyDescent="0.2">
      <c r="A61" s="635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2625" t="s">
        <v>413</v>
      </c>
      <c r="Q61" s="2625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36"/>
    </row>
    <row r="62" spans="1:84" x14ac:dyDescent="0.2">
      <c r="A62" s="635"/>
      <c r="B62" s="98" t="s">
        <v>39</v>
      </c>
      <c r="C62" s="99" t="s">
        <v>396</v>
      </c>
      <c r="D62" s="99" t="s">
        <v>40</v>
      </c>
      <c r="E62" s="99" t="s">
        <v>41</v>
      </c>
      <c r="F62" s="99" t="s">
        <v>404</v>
      </c>
      <c r="G62" s="1046" t="s">
        <v>1192</v>
      </c>
      <c r="H62" s="99" t="s">
        <v>908</v>
      </c>
      <c r="I62" s="1046" t="s">
        <v>1192</v>
      </c>
      <c r="J62" s="99" t="s">
        <v>909</v>
      </c>
      <c r="K62" s="1046" t="s">
        <v>1192</v>
      </c>
      <c r="L62" s="99" t="s">
        <v>395</v>
      </c>
      <c r="M62" s="2630" t="s">
        <v>415</v>
      </c>
      <c r="N62" s="2631"/>
      <c r="O62" s="117" t="s">
        <v>491</v>
      </c>
      <c r="P62" s="99" t="s">
        <v>292</v>
      </c>
      <c r="Q62" s="99" t="s">
        <v>80</v>
      </c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36"/>
      <c r="CF62" s="6"/>
    </row>
    <row r="63" spans="1:84" ht="15.75" customHeight="1" x14ac:dyDescent="0.2">
      <c r="A63" s="635"/>
      <c r="B63" s="1"/>
      <c r="C63" s="275"/>
      <c r="D63" s="3">
        <v>1</v>
      </c>
      <c r="E63" s="3">
        <v>1</v>
      </c>
      <c r="F63" s="546">
        <f>VLOOKUP(D63,Inventário!$AA$32:$AD$42,3)</f>
        <v>0</v>
      </c>
      <c r="G63" s="1047">
        <f>F63*L63</f>
        <v>0</v>
      </c>
      <c r="H63" s="546">
        <f>VLOOKUP(E63,Inventário!$AA$51:$AC$71,3)</f>
        <v>0</v>
      </c>
      <c r="I63" s="1047">
        <f>H63*L63</f>
        <v>0</v>
      </c>
      <c r="J63" s="546">
        <f>VLOOKUP(D63,Inventário!$AA$32:$AD$42,4)</f>
        <v>0</v>
      </c>
      <c r="K63" s="1047">
        <f>J63*L63</f>
        <v>0</v>
      </c>
      <c r="L63" s="20"/>
      <c r="M63" s="2623">
        <f>SUM(F63,H63,J63)*L63</f>
        <v>0</v>
      </c>
      <c r="N63" s="2624"/>
      <c r="O63" s="278">
        <f t="shared" ref="O63:O72" si="6">(C63+M63)*$C$57</f>
        <v>0</v>
      </c>
      <c r="P63" s="112">
        <v>1</v>
      </c>
      <c r="Q63" s="3">
        <v>1</v>
      </c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36"/>
      <c r="CF63" s="6"/>
    </row>
    <row r="64" spans="1:84" ht="15.75" customHeight="1" x14ac:dyDescent="0.2">
      <c r="A64" s="635"/>
      <c r="B64" s="90"/>
      <c r="C64" s="58"/>
      <c r="D64" s="3">
        <v>1</v>
      </c>
      <c r="E64" s="3">
        <v>1</v>
      </c>
      <c r="F64" s="546">
        <f>VLOOKUP(D64,Inventário!$AA$32:$AD$42,3)</f>
        <v>0</v>
      </c>
      <c r="G64" s="1047">
        <f t="shared" ref="G64:G72" si="7">F64*L64</f>
        <v>0</v>
      </c>
      <c r="H64" s="546">
        <f>VLOOKUP(E64,Inventário!$AA$51:$AC$71,3)</f>
        <v>0</v>
      </c>
      <c r="I64" s="1047">
        <f t="shared" ref="I64:I72" si="8">H64*L64</f>
        <v>0</v>
      </c>
      <c r="J64" s="546">
        <f>VLOOKUP(D64,Inventário!$AA$32:$AD$42,4)</f>
        <v>0</v>
      </c>
      <c r="K64" s="1047">
        <f t="shared" ref="K64:K72" si="9">J64*L64</f>
        <v>0</v>
      </c>
      <c r="L64" s="20"/>
      <c r="M64" s="2623">
        <f>SUM(F64,H64,J64)*L64</f>
        <v>0</v>
      </c>
      <c r="N64" s="2624"/>
      <c r="O64" s="278">
        <f t="shared" si="6"/>
        <v>0</v>
      </c>
      <c r="P64" s="100">
        <v>1</v>
      </c>
      <c r="Q64" s="3">
        <v>1</v>
      </c>
      <c r="R64" s="6">
        <v>20</v>
      </c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36"/>
      <c r="CF64" s="6"/>
    </row>
    <row r="65" spans="1:84" ht="15.75" customHeight="1" x14ac:dyDescent="0.2">
      <c r="A65" s="635"/>
      <c r="B65" s="1"/>
      <c r="C65" s="275"/>
      <c r="D65" s="3">
        <v>1</v>
      </c>
      <c r="E65" s="3">
        <v>1</v>
      </c>
      <c r="F65" s="546">
        <f>VLOOKUP(D65,Inventário!$AA$32:$AD$42,3)</f>
        <v>0</v>
      </c>
      <c r="G65" s="1047">
        <f t="shared" si="7"/>
        <v>0</v>
      </c>
      <c r="H65" s="546">
        <f>VLOOKUP(E65,Inventário!$AA$51:$AC$71,3)</f>
        <v>0</v>
      </c>
      <c r="I65" s="1047">
        <f t="shared" si="8"/>
        <v>0</v>
      </c>
      <c r="J65" s="546">
        <f>VLOOKUP(D65,Inventário!$AA$32:$AD$42,4)</f>
        <v>0</v>
      </c>
      <c r="K65" s="1047">
        <f t="shared" si="9"/>
        <v>0</v>
      </c>
      <c r="L65" s="20"/>
      <c r="M65" s="2623">
        <f t="shared" ref="M65:M72" si="10">SUM(F65,H65,J65)*L65</f>
        <v>0</v>
      </c>
      <c r="N65" s="2624"/>
      <c r="O65" s="278">
        <f t="shared" si="6"/>
        <v>0</v>
      </c>
      <c r="P65" s="100">
        <v>1</v>
      </c>
      <c r="Q65" s="3">
        <v>1</v>
      </c>
      <c r="R65" s="6">
        <v>20</v>
      </c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36"/>
      <c r="CF65" s="6"/>
    </row>
    <row r="66" spans="1:84" ht="15.75" customHeight="1" x14ac:dyDescent="0.2">
      <c r="A66" s="635"/>
      <c r="B66" s="1"/>
      <c r="C66" s="643"/>
      <c r="D66" s="3">
        <v>1</v>
      </c>
      <c r="E66" s="3">
        <v>1</v>
      </c>
      <c r="F66" s="546">
        <f>VLOOKUP(D66,Inventário!$AA$32:$AD$42,3)</f>
        <v>0</v>
      </c>
      <c r="G66" s="1047">
        <f t="shared" si="7"/>
        <v>0</v>
      </c>
      <c r="H66" s="546">
        <f>VLOOKUP(E66,Inventário!$AA$51:$AC$71,3)</f>
        <v>0</v>
      </c>
      <c r="I66" s="1047">
        <f t="shared" si="8"/>
        <v>0</v>
      </c>
      <c r="J66" s="546">
        <f>VLOOKUP(D66,Inventário!$AA$32:$AD$42,4)</f>
        <v>0</v>
      </c>
      <c r="K66" s="1047">
        <f t="shared" si="9"/>
        <v>0</v>
      </c>
      <c r="L66" s="20"/>
      <c r="M66" s="2623">
        <f>SUM(F66,H66,J66)*L66</f>
        <v>0</v>
      </c>
      <c r="N66" s="2624"/>
      <c r="O66" s="278">
        <f t="shared" si="6"/>
        <v>0</v>
      </c>
      <c r="P66" s="100">
        <v>1</v>
      </c>
      <c r="Q66" s="3">
        <v>1</v>
      </c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36"/>
      <c r="CF66" s="6"/>
    </row>
    <row r="67" spans="1:84" ht="15.75" customHeight="1" x14ac:dyDescent="0.2">
      <c r="A67" s="635"/>
      <c r="B67" s="1"/>
      <c r="C67" s="275"/>
      <c r="D67" s="3">
        <v>1</v>
      </c>
      <c r="E67" s="3">
        <v>1</v>
      </c>
      <c r="F67" s="546">
        <f>VLOOKUP(D67,Inventário!$AA$32:$AD$42,3)</f>
        <v>0</v>
      </c>
      <c r="G67" s="1047">
        <f t="shared" si="7"/>
        <v>0</v>
      </c>
      <c r="H67" s="546">
        <f>VLOOKUP(E67,Inventário!$AA$51:$AC$71,3)</f>
        <v>0</v>
      </c>
      <c r="I67" s="1047">
        <f t="shared" si="8"/>
        <v>0</v>
      </c>
      <c r="J67" s="546">
        <f>VLOOKUP(D67,Inventário!$AA$32:$AD$42,4)</f>
        <v>0</v>
      </c>
      <c r="K67" s="1047">
        <f t="shared" si="9"/>
        <v>0</v>
      </c>
      <c r="L67" s="20"/>
      <c r="M67" s="2623">
        <f t="shared" si="10"/>
        <v>0</v>
      </c>
      <c r="N67" s="2624"/>
      <c r="O67" s="278">
        <f t="shared" si="6"/>
        <v>0</v>
      </c>
      <c r="P67" s="100">
        <v>1</v>
      </c>
      <c r="Q67" s="3">
        <v>1</v>
      </c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36"/>
      <c r="CF67" s="6"/>
    </row>
    <row r="68" spans="1:84" ht="15.75" customHeight="1" x14ac:dyDescent="0.2">
      <c r="A68" s="635"/>
      <c r="B68" s="1"/>
      <c r="C68" s="275"/>
      <c r="D68" s="3">
        <v>1</v>
      </c>
      <c r="E68" s="3">
        <v>1</v>
      </c>
      <c r="F68" s="546">
        <f>VLOOKUP(D68,Inventário!$AA$32:$AD$42,3)</f>
        <v>0</v>
      </c>
      <c r="G68" s="1047">
        <f t="shared" si="7"/>
        <v>0</v>
      </c>
      <c r="H68" s="546">
        <f>VLOOKUP(E68,Inventário!$AA$51:$AC$71,3)</f>
        <v>0</v>
      </c>
      <c r="I68" s="1047">
        <f t="shared" si="8"/>
        <v>0</v>
      </c>
      <c r="J68" s="546">
        <f>VLOOKUP(D68,Inventário!$AA$32:$AD$42,4)</f>
        <v>0</v>
      </c>
      <c r="K68" s="1047">
        <f t="shared" si="9"/>
        <v>0</v>
      </c>
      <c r="L68" s="20"/>
      <c r="M68" s="2623">
        <f>SUM(F68,H68,J68)*L68</f>
        <v>0</v>
      </c>
      <c r="N68" s="2624"/>
      <c r="O68" s="278">
        <f t="shared" si="6"/>
        <v>0</v>
      </c>
      <c r="P68" s="100">
        <v>1</v>
      </c>
      <c r="Q68" s="3">
        <v>1</v>
      </c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36"/>
      <c r="CF68" s="6"/>
    </row>
    <row r="69" spans="1:84" ht="15.75" customHeight="1" x14ac:dyDescent="0.2">
      <c r="A69" s="635"/>
      <c r="B69" s="1"/>
      <c r="C69" s="643"/>
      <c r="D69" s="3">
        <v>1</v>
      </c>
      <c r="E69" s="3">
        <v>1</v>
      </c>
      <c r="F69" s="546">
        <f>VLOOKUP(D69,Inventário!$AA$32:$AD$42,3)</f>
        <v>0</v>
      </c>
      <c r="G69" s="1047">
        <f t="shared" si="7"/>
        <v>0</v>
      </c>
      <c r="H69" s="546">
        <f>VLOOKUP(E69,Inventário!$AA$51:$AC$71,3)</f>
        <v>0</v>
      </c>
      <c r="I69" s="1047">
        <f t="shared" si="8"/>
        <v>0</v>
      </c>
      <c r="J69" s="546">
        <f>VLOOKUP(D69,Inventário!$AA$32:$AD$42,4)</f>
        <v>0</v>
      </c>
      <c r="K69" s="1047">
        <f t="shared" si="9"/>
        <v>0</v>
      </c>
      <c r="L69" s="20"/>
      <c r="M69" s="2623">
        <f t="shared" si="10"/>
        <v>0</v>
      </c>
      <c r="N69" s="2624"/>
      <c r="O69" s="278">
        <f t="shared" si="6"/>
        <v>0</v>
      </c>
      <c r="P69" s="100">
        <v>1</v>
      </c>
      <c r="Q69" s="3">
        <v>1</v>
      </c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36"/>
      <c r="CF69" s="6"/>
    </row>
    <row r="70" spans="1:84" ht="15.75" customHeight="1" x14ac:dyDescent="0.2">
      <c r="A70" s="635"/>
      <c r="B70" s="1"/>
      <c r="C70" s="275"/>
      <c r="D70" s="3">
        <v>1</v>
      </c>
      <c r="E70" s="3">
        <v>1</v>
      </c>
      <c r="F70" s="546">
        <f>VLOOKUP(D70,Inventário!$AA$32:$AD$42,3)</f>
        <v>0</v>
      </c>
      <c r="G70" s="1047">
        <f t="shared" si="7"/>
        <v>0</v>
      </c>
      <c r="H70" s="546">
        <f>VLOOKUP(E70,Inventário!$AA$51:$AC$71,3)</f>
        <v>0</v>
      </c>
      <c r="I70" s="1047">
        <f t="shared" si="8"/>
        <v>0</v>
      </c>
      <c r="J70" s="546">
        <f>VLOOKUP(D70,Inventário!$AA$32:$AD$42,4)</f>
        <v>0</v>
      </c>
      <c r="K70" s="1047">
        <f t="shared" si="9"/>
        <v>0</v>
      </c>
      <c r="L70" s="20"/>
      <c r="M70" s="2623">
        <f t="shared" si="10"/>
        <v>0</v>
      </c>
      <c r="N70" s="2624"/>
      <c r="O70" s="278">
        <f t="shared" si="6"/>
        <v>0</v>
      </c>
      <c r="P70" s="100">
        <v>1</v>
      </c>
      <c r="Q70" s="3">
        <v>1</v>
      </c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36"/>
      <c r="CF70" s="6"/>
    </row>
    <row r="71" spans="1:84" ht="15.75" customHeight="1" x14ac:dyDescent="0.2">
      <c r="A71" s="635"/>
      <c r="B71" s="1"/>
      <c r="C71" s="275"/>
      <c r="D71" s="3">
        <v>1</v>
      </c>
      <c r="E71" s="3">
        <v>1</v>
      </c>
      <c r="F71" s="546">
        <f>VLOOKUP(D71,Inventário!$AA$32:$AD$42,3)</f>
        <v>0</v>
      </c>
      <c r="G71" s="1047">
        <f t="shared" si="7"/>
        <v>0</v>
      </c>
      <c r="H71" s="546">
        <f>VLOOKUP(E71,Inventário!$AA$51:$AC$71,3)</f>
        <v>0</v>
      </c>
      <c r="I71" s="1047">
        <f t="shared" si="8"/>
        <v>0</v>
      </c>
      <c r="J71" s="546">
        <f>VLOOKUP(D71,Inventário!$AA$32:$AD$42,4)</f>
        <v>0</v>
      </c>
      <c r="K71" s="1047">
        <f t="shared" si="9"/>
        <v>0</v>
      </c>
      <c r="L71" s="20"/>
      <c r="M71" s="2623">
        <f t="shared" si="10"/>
        <v>0</v>
      </c>
      <c r="N71" s="2624"/>
      <c r="O71" s="278">
        <f t="shared" si="6"/>
        <v>0</v>
      </c>
      <c r="P71" s="100">
        <v>1</v>
      </c>
      <c r="Q71" s="3">
        <v>1</v>
      </c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36"/>
      <c r="CF71" s="6"/>
    </row>
    <row r="72" spans="1:84" ht="15.75" customHeight="1" x14ac:dyDescent="0.2">
      <c r="A72" s="635"/>
      <c r="B72" s="1"/>
      <c r="C72" s="275"/>
      <c r="D72" s="3">
        <v>1</v>
      </c>
      <c r="E72" s="3">
        <v>1</v>
      </c>
      <c r="F72" s="546">
        <f>VLOOKUP(D72,Inventário!$AA$32:$AD$42,3)</f>
        <v>0</v>
      </c>
      <c r="G72" s="1047">
        <f t="shared" si="7"/>
        <v>0</v>
      </c>
      <c r="H72" s="546">
        <f>VLOOKUP(E72,Inventário!$AA$51:$AC$71,3)</f>
        <v>0</v>
      </c>
      <c r="I72" s="1047">
        <f t="shared" si="8"/>
        <v>0</v>
      </c>
      <c r="J72" s="546">
        <f>VLOOKUP(D72,Inventário!$AA$32:$AD$42,4)</f>
        <v>0</v>
      </c>
      <c r="K72" s="1047">
        <f t="shared" si="9"/>
        <v>0</v>
      </c>
      <c r="L72" s="20"/>
      <c r="M72" s="2623">
        <f t="shared" si="10"/>
        <v>0</v>
      </c>
      <c r="N72" s="2624"/>
      <c r="O72" s="278">
        <f t="shared" si="6"/>
        <v>0</v>
      </c>
      <c r="P72" s="100">
        <v>1</v>
      </c>
      <c r="Q72" s="3">
        <v>1</v>
      </c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36"/>
      <c r="CF72" s="6"/>
    </row>
    <row r="73" spans="1:84" ht="15.75" customHeight="1" x14ac:dyDescent="0.2">
      <c r="A73" s="635"/>
      <c r="B73" s="95" t="s">
        <v>77</v>
      </c>
      <c r="C73" s="276">
        <f>SUM(C63:C72)</f>
        <v>0</v>
      </c>
      <c r="D73" s="3"/>
      <c r="E73" s="3"/>
      <c r="F73" s="96">
        <f t="shared" ref="F73:K73" si="11">SUM(F63:F72)</f>
        <v>0</v>
      </c>
      <c r="G73" s="1048">
        <f t="shared" si="11"/>
        <v>0</v>
      </c>
      <c r="H73" s="96">
        <f t="shared" si="11"/>
        <v>0</v>
      </c>
      <c r="I73" s="1048">
        <f t="shared" si="11"/>
        <v>0</v>
      </c>
      <c r="J73" s="96">
        <f t="shared" si="11"/>
        <v>0</v>
      </c>
      <c r="K73" s="1048">
        <f t="shared" si="11"/>
        <v>0</v>
      </c>
      <c r="L73" s="3"/>
      <c r="M73" s="2626">
        <f>SUM(M63:N72)</f>
        <v>0</v>
      </c>
      <c r="N73" s="2627"/>
      <c r="O73" s="279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36"/>
      <c r="CF73" s="6"/>
    </row>
    <row r="74" spans="1:84" x14ac:dyDescent="0.2">
      <c r="A74" s="635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36"/>
      <c r="CF74" s="6"/>
    </row>
    <row r="75" spans="1:84" x14ac:dyDescent="0.2">
      <c r="A75" s="635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2625" t="s">
        <v>414</v>
      </c>
      <c r="N75" s="2625"/>
      <c r="O75" s="89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36"/>
      <c r="CF75" s="6"/>
    </row>
    <row r="76" spans="1:84" x14ac:dyDescent="0.2">
      <c r="A76" s="635"/>
      <c r="B76" s="98" t="s">
        <v>397</v>
      </c>
      <c r="C76" s="99" t="s">
        <v>42</v>
      </c>
      <c r="D76" s="99" t="s">
        <v>398</v>
      </c>
      <c r="E76" s="99" t="s">
        <v>399</v>
      </c>
      <c r="F76" s="3"/>
      <c r="G76" s="3"/>
      <c r="H76" s="3"/>
      <c r="I76" s="3"/>
      <c r="J76" s="3"/>
      <c r="K76" s="3"/>
      <c r="L76" s="99" t="s">
        <v>298</v>
      </c>
      <c r="M76" s="99" t="s">
        <v>292</v>
      </c>
      <c r="N76" s="99" t="s">
        <v>80</v>
      </c>
      <c r="O76" s="117" t="s">
        <v>491</v>
      </c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36"/>
      <c r="CF76" s="6"/>
    </row>
    <row r="77" spans="1:84" ht="15.75" customHeight="1" x14ac:dyDescent="0.2">
      <c r="A77" s="635"/>
      <c r="B77" s="1"/>
      <c r="C77" s="20"/>
      <c r="D77" s="275"/>
      <c r="E77" s="20"/>
      <c r="F77" s="3"/>
      <c r="G77" s="3"/>
      <c r="H77" s="94"/>
      <c r="I77" s="94"/>
      <c r="J77" s="94"/>
      <c r="K77" s="94"/>
      <c r="L77" s="276">
        <f>E77*D77</f>
        <v>0</v>
      </c>
      <c r="M77" s="112">
        <v>1</v>
      </c>
      <c r="N77" s="3">
        <v>1</v>
      </c>
      <c r="O77" s="113">
        <f t="shared" ref="O77:O86" si="12">L77*$C$57</f>
        <v>0</v>
      </c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36"/>
      <c r="CF77" s="6"/>
    </row>
    <row r="78" spans="1:84" ht="15.75" customHeight="1" x14ac:dyDescent="0.2">
      <c r="A78" s="635"/>
      <c r="B78" s="1"/>
      <c r="C78" s="20"/>
      <c r="D78" s="275"/>
      <c r="E78" s="20"/>
      <c r="F78" s="3"/>
      <c r="G78" s="3"/>
      <c r="H78" s="94"/>
      <c r="I78" s="94"/>
      <c r="J78" s="94"/>
      <c r="K78" s="94"/>
      <c r="L78" s="276">
        <f t="shared" ref="L78:L86" si="13">E78*D78</f>
        <v>0</v>
      </c>
      <c r="M78" s="112">
        <v>1</v>
      </c>
      <c r="N78" s="3">
        <v>1</v>
      </c>
      <c r="O78" s="113">
        <f t="shared" si="12"/>
        <v>0</v>
      </c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36"/>
      <c r="CF78" s="6"/>
    </row>
    <row r="79" spans="1:84" ht="15.75" customHeight="1" x14ac:dyDescent="0.2">
      <c r="A79" s="635"/>
      <c r="B79" s="1"/>
      <c r="C79" s="20"/>
      <c r="D79" s="280"/>
      <c r="E79" s="20"/>
      <c r="F79" s="3"/>
      <c r="G79" s="3"/>
      <c r="H79" s="94"/>
      <c r="I79" s="94"/>
      <c r="J79" s="94"/>
      <c r="K79" s="94"/>
      <c r="L79" s="276">
        <f t="shared" si="13"/>
        <v>0</v>
      </c>
      <c r="M79" s="112">
        <v>1</v>
      </c>
      <c r="N79" s="3">
        <v>1</v>
      </c>
      <c r="O79" s="113">
        <f t="shared" si="12"/>
        <v>0</v>
      </c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36"/>
      <c r="CF79" s="6"/>
    </row>
    <row r="80" spans="1:84" ht="15.75" customHeight="1" x14ac:dyDescent="0.2">
      <c r="A80" s="635"/>
      <c r="B80" s="1"/>
      <c r="C80" s="20"/>
      <c r="D80" s="275"/>
      <c r="E80" s="20"/>
      <c r="F80" s="3"/>
      <c r="G80" s="3"/>
      <c r="H80" s="94"/>
      <c r="I80" s="94"/>
      <c r="J80" s="94"/>
      <c r="K80" s="94"/>
      <c r="L80" s="276">
        <f t="shared" si="13"/>
        <v>0</v>
      </c>
      <c r="M80" s="112">
        <v>1</v>
      </c>
      <c r="N80" s="3">
        <v>1</v>
      </c>
      <c r="O80" s="113">
        <f t="shared" si="12"/>
        <v>0</v>
      </c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36"/>
      <c r="CF80" s="6"/>
    </row>
    <row r="81" spans="1:85" ht="15.75" customHeight="1" x14ac:dyDescent="0.2">
      <c r="A81" s="635"/>
      <c r="B81" s="1"/>
      <c r="C81" s="20"/>
      <c r="D81" s="275"/>
      <c r="E81" s="20"/>
      <c r="F81" s="3"/>
      <c r="G81" s="3"/>
      <c r="H81" s="94"/>
      <c r="I81" s="94"/>
      <c r="J81" s="94"/>
      <c r="K81" s="94"/>
      <c r="L81" s="276">
        <f>E81*D81</f>
        <v>0</v>
      </c>
      <c r="M81" s="112">
        <v>1</v>
      </c>
      <c r="N81" s="3">
        <v>1</v>
      </c>
      <c r="O81" s="113">
        <f t="shared" si="12"/>
        <v>0</v>
      </c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36"/>
      <c r="CF81" s="6"/>
    </row>
    <row r="82" spans="1:85" ht="15.75" customHeight="1" x14ac:dyDescent="0.2">
      <c r="A82" s="635"/>
      <c r="B82" s="1"/>
      <c r="C82" s="20"/>
      <c r="D82" s="275"/>
      <c r="E82" s="20"/>
      <c r="F82" s="3"/>
      <c r="G82" s="3"/>
      <c r="H82" s="94"/>
      <c r="I82" s="94"/>
      <c r="J82" s="94"/>
      <c r="K82" s="94"/>
      <c r="L82" s="276">
        <f t="shared" si="13"/>
        <v>0</v>
      </c>
      <c r="M82" s="112">
        <v>1</v>
      </c>
      <c r="N82" s="3">
        <v>1</v>
      </c>
      <c r="O82" s="113">
        <f t="shared" si="12"/>
        <v>0</v>
      </c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36"/>
      <c r="CF82" s="6"/>
    </row>
    <row r="83" spans="1:85" ht="15.75" customHeight="1" x14ac:dyDescent="0.2">
      <c r="A83" s="635"/>
      <c r="B83" s="1"/>
      <c r="C83" s="20"/>
      <c r="D83" s="275"/>
      <c r="E83" s="20"/>
      <c r="F83" s="3"/>
      <c r="G83" s="3"/>
      <c r="H83" s="94"/>
      <c r="I83" s="94"/>
      <c r="J83" s="94"/>
      <c r="K83" s="94"/>
      <c r="L83" s="276">
        <f t="shared" si="13"/>
        <v>0</v>
      </c>
      <c r="M83" s="100">
        <v>1</v>
      </c>
      <c r="N83" s="3">
        <v>1</v>
      </c>
      <c r="O83" s="113">
        <f t="shared" si="12"/>
        <v>0</v>
      </c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36"/>
      <c r="CF83" s="6"/>
    </row>
    <row r="84" spans="1:85" ht="15.75" customHeight="1" x14ac:dyDescent="0.2">
      <c r="A84" s="635"/>
      <c r="B84" s="1"/>
      <c r="C84" s="20"/>
      <c r="D84" s="275"/>
      <c r="E84" s="20"/>
      <c r="F84" s="3"/>
      <c r="G84" s="3"/>
      <c r="H84" s="94"/>
      <c r="I84" s="94"/>
      <c r="J84" s="94"/>
      <c r="K84" s="94"/>
      <c r="L84" s="276">
        <f t="shared" si="13"/>
        <v>0</v>
      </c>
      <c r="M84" s="100">
        <v>1</v>
      </c>
      <c r="N84" s="3">
        <v>1</v>
      </c>
      <c r="O84" s="113">
        <f t="shared" si="12"/>
        <v>0</v>
      </c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36"/>
      <c r="CF84" s="6"/>
    </row>
    <row r="85" spans="1:85" ht="15.75" customHeight="1" x14ac:dyDescent="0.2">
      <c r="A85" s="635"/>
      <c r="B85" s="1"/>
      <c r="C85" s="20"/>
      <c r="D85" s="275"/>
      <c r="E85" s="20"/>
      <c r="F85" s="3"/>
      <c r="G85" s="3"/>
      <c r="H85" s="94"/>
      <c r="I85" s="94"/>
      <c r="J85" s="94"/>
      <c r="K85" s="94"/>
      <c r="L85" s="276">
        <f t="shared" si="13"/>
        <v>0</v>
      </c>
      <c r="M85" s="100">
        <v>1</v>
      </c>
      <c r="N85" s="3">
        <v>1</v>
      </c>
      <c r="O85" s="113">
        <f t="shared" si="12"/>
        <v>0</v>
      </c>
      <c r="P85" s="6"/>
      <c r="Q85" s="6"/>
      <c r="R85" s="6">
        <v>20</v>
      </c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36"/>
      <c r="CF85" s="6"/>
    </row>
    <row r="86" spans="1:85" ht="15.75" customHeight="1" x14ac:dyDescent="0.2">
      <c r="A86" s="635"/>
      <c r="B86" s="1"/>
      <c r="C86" s="20"/>
      <c r="D86" s="275"/>
      <c r="E86" s="20"/>
      <c r="F86" s="3"/>
      <c r="G86" s="3"/>
      <c r="H86" s="94"/>
      <c r="I86" s="94"/>
      <c r="J86" s="94"/>
      <c r="K86" s="94"/>
      <c r="L86" s="276">
        <f t="shared" si="13"/>
        <v>0</v>
      </c>
      <c r="M86" s="100">
        <v>1</v>
      </c>
      <c r="N86" s="3">
        <v>1</v>
      </c>
      <c r="O86" s="113">
        <f t="shared" si="12"/>
        <v>0</v>
      </c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36"/>
    </row>
    <row r="87" spans="1:85" x14ac:dyDescent="0.2">
      <c r="A87" s="635"/>
      <c r="B87" s="95" t="s">
        <v>77</v>
      </c>
      <c r="C87" s="3"/>
      <c r="D87" s="3"/>
      <c r="E87" s="3"/>
      <c r="F87" s="3"/>
      <c r="G87" s="3"/>
      <c r="H87" s="96"/>
      <c r="I87" s="96"/>
      <c r="J87" s="96"/>
      <c r="K87" s="96"/>
      <c r="L87" s="106">
        <f>SUM(L77:L86)</f>
        <v>0</v>
      </c>
      <c r="M87" s="113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36"/>
    </row>
    <row r="88" spans="1:85" x14ac:dyDescent="0.2">
      <c r="A88" s="635"/>
      <c r="B88" s="91"/>
      <c r="C88" s="6"/>
      <c r="D88" s="6"/>
      <c r="E88" s="6"/>
      <c r="F88" s="6"/>
      <c r="G88" s="6"/>
      <c r="H88" s="6"/>
      <c r="I88" s="6"/>
      <c r="J88" s="6"/>
      <c r="K88" s="6"/>
      <c r="L88" s="113"/>
      <c r="M88" s="113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36"/>
    </row>
    <row r="89" spans="1:85" x14ac:dyDescent="0.2">
      <c r="A89" s="635"/>
      <c r="B89" s="6"/>
      <c r="C89" s="6"/>
      <c r="D89" s="6"/>
      <c r="E89" s="6"/>
      <c r="F89" s="6"/>
      <c r="G89" s="6"/>
      <c r="H89" s="6"/>
      <c r="I89" s="6"/>
      <c r="J89" s="6"/>
      <c r="K89" s="6"/>
      <c r="L89" s="2625" t="s">
        <v>413</v>
      </c>
      <c r="M89" s="2625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36"/>
    </row>
    <row r="90" spans="1:85" x14ac:dyDescent="0.2">
      <c r="A90" s="635"/>
      <c r="B90" s="98" t="s">
        <v>301</v>
      </c>
      <c r="C90" s="99" t="s">
        <v>410</v>
      </c>
      <c r="D90" s="98" t="s">
        <v>411</v>
      </c>
      <c r="E90" s="99" t="s">
        <v>492</v>
      </c>
      <c r="F90" s="6"/>
      <c r="G90" s="6"/>
      <c r="H90" s="6"/>
      <c r="I90" s="6"/>
      <c r="J90" s="6"/>
      <c r="K90" s="6"/>
      <c r="L90" s="99" t="s">
        <v>292</v>
      </c>
      <c r="M90" s="99" t="s">
        <v>80</v>
      </c>
      <c r="N90" s="6"/>
      <c r="O90" s="117" t="s">
        <v>491</v>
      </c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36"/>
      <c r="CF90" s="99" t="s">
        <v>484</v>
      </c>
      <c r="CG90" s="99" t="s">
        <v>485</v>
      </c>
    </row>
    <row r="91" spans="1:85" ht="15.75" customHeight="1" x14ac:dyDescent="0.2">
      <c r="A91" s="635"/>
      <c r="B91" s="3">
        <v>1</v>
      </c>
      <c r="C91" s="20"/>
      <c r="D91" s="276">
        <f>VLOOKUP(B91,'Mão-de-obra'!$CJ$10:$CL$29,3)</f>
        <v>0</v>
      </c>
      <c r="E91" s="106">
        <f>C91*D91</f>
        <v>0</v>
      </c>
      <c r="F91" s="6"/>
      <c r="G91" s="6"/>
      <c r="H91" s="6"/>
      <c r="I91" s="6"/>
      <c r="J91" s="6"/>
      <c r="K91" s="6"/>
      <c r="L91" s="6">
        <v>1</v>
      </c>
      <c r="M91" s="6">
        <v>1</v>
      </c>
      <c r="N91" s="6"/>
      <c r="O91" s="113">
        <f>E91*$C$57</f>
        <v>0</v>
      </c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36"/>
      <c r="CE91" s="93">
        <f>B91</f>
        <v>1</v>
      </c>
      <c r="CF91" s="3">
        <f>VLOOKUP(B91,'Mão-de-obra'!$CJ$10:$CK$29,2)</f>
        <v>0</v>
      </c>
      <c r="CG91" s="3">
        <f>C91*$C$57</f>
        <v>0</v>
      </c>
    </row>
    <row r="92" spans="1:85" ht="15.75" customHeight="1" x14ac:dyDescent="0.2">
      <c r="A92" s="635"/>
      <c r="B92" s="3">
        <v>1</v>
      </c>
      <c r="C92" s="20"/>
      <c r="D92" s="276">
        <f>VLOOKUP(B92,'Mão-de-obra'!$CJ$10:$CL$29,3)</f>
        <v>0</v>
      </c>
      <c r="E92" s="106">
        <f>C92*D92</f>
        <v>0</v>
      </c>
      <c r="F92" s="6"/>
      <c r="G92" s="6"/>
      <c r="H92" s="6"/>
      <c r="I92" s="6"/>
      <c r="J92" s="6"/>
      <c r="K92" s="6"/>
      <c r="L92" s="6">
        <v>1</v>
      </c>
      <c r="M92" s="6">
        <v>1</v>
      </c>
      <c r="N92" s="6"/>
      <c r="O92" s="113">
        <f>E92*$C$57</f>
        <v>0</v>
      </c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36"/>
      <c r="CE92" s="93">
        <f>B92</f>
        <v>1</v>
      </c>
      <c r="CF92" s="3">
        <f>VLOOKUP(B92,'Mão-de-obra'!$CJ$10:$CK$29,2)</f>
        <v>0</v>
      </c>
      <c r="CG92" s="3">
        <f>C92*$C$57</f>
        <v>0</v>
      </c>
    </row>
    <row r="93" spans="1:85" ht="15.75" customHeight="1" x14ac:dyDescent="0.2">
      <c r="A93" s="635"/>
      <c r="B93" s="3">
        <v>1</v>
      </c>
      <c r="C93" s="20"/>
      <c r="D93" s="276">
        <f>VLOOKUP(B93,'Mão-de-obra'!$CJ$10:$CL$29,3)</f>
        <v>0</v>
      </c>
      <c r="E93" s="106">
        <f>C93*D93</f>
        <v>0</v>
      </c>
      <c r="F93" s="6"/>
      <c r="G93" s="6"/>
      <c r="H93" s="6"/>
      <c r="I93" s="6"/>
      <c r="J93" s="6"/>
      <c r="K93" s="6"/>
      <c r="L93" s="6">
        <v>1</v>
      </c>
      <c r="M93" s="6">
        <v>1</v>
      </c>
      <c r="N93" s="6"/>
      <c r="O93" s="113">
        <f>E93*$C$57</f>
        <v>0</v>
      </c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36"/>
      <c r="CE93" s="93">
        <f>B93</f>
        <v>1</v>
      </c>
      <c r="CF93" s="3">
        <f>VLOOKUP(B93,'Mão-de-obra'!$CJ$10:$CK$29,2)</f>
        <v>0</v>
      </c>
      <c r="CG93" s="3">
        <f>C93*$C$57</f>
        <v>0</v>
      </c>
    </row>
    <row r="94" spans="1:85" ht="15.75" customHeight="1" x14ac:dyDescent="0.2">
      <c r="A94" s="635"/>
      <c r="B94" s="3">
        <v>1</v>
      </c>
      <c r="C94" s="20"/>
      <c r="D94" s="276">
        <f>VLOOKUP(B94,'Mão-de-obra'!$CJ$10:$CL$29,3)</f>
        <v>0</v>
      </c>
      <c r="E94" s="106">
        <f>C94*D94</f>
        <v>0</v>
      </c>
      <c r="F94" s="6"/>
      <c r="G94" s="6"/>
      <c r="H94" s="6"/>
      <c r="I94" s="6"/>
      <c r="J94" s="6"/>
      <c r="K94" s="6"/>
      <c r="L94" s="6">
        <v>1</v>
      </c>
      <c r="M94" s="6">
        <v>1</v>
      </c>
      <c r="N94" s="6"/>
      <c r="O94" s="113">
        <f>E94*$C$57</f>
        <v>0</v>
      </c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36"/>
      <c r="CE94" s="93">
        <f>B94</f>
        <v>1</v>
      </c>
      <c r="CF94" s="3">
        <f>VLOOKUP(B94,'Mão-de-obra'!$CJ$10:$CK$29,2)</f>
        <v>0</v>
      </c>
      <c r="CG94" s="3">
        <f>C94*$C$57</f>
        <v>0</v>
      </c>
    </row>
    <row r="95" spans="1:85" ht="15.75" customHeight="1" x14ac:dyDescent="0.2">
      <c r="A95" s="635"/>
      <c r="B95" s="3">
        <v>1</v>
      </c>
      <c r="C95" s="20"/>
      <c r="D95" s="276">
        <f>VLOOKUP(B95,'Mão-de-obra'!$CJ$10:$CL$29,3)</f>
        <v>0</v>
      </c>
      <c r="E95" s="106">
        <f>C95*D95</f>
        <v>0</v>
      </c>
      <c r="F95" s="6"/>
      <c r="G95" s="6"/>
      <c r="H95" s="6"/>
      <c r="I95" s="6"/>
      <c r="J95" s="6"/>
      <c r="K95" s="6"/>
      <c r="L95" s="6">
        <v>1</v>
      </c>
      <c r="M95" s="6">
        <v>1</v>
      </c>
      <c r="N95" s="6"/>
      <c r="O95" s="113">
        <f>E95*$C$57</f>
        <v>0</v>
      </c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36"/>
      <c r="CE95" s="93">
        <f>B95</f>
        <v>1</v>
      </c>
      <c r="CF95" s="3">
        <f>VLOOKUP(B95,'Mão-de-obra'!$CJ$10:$CK$29,2)</f>
        <v>0</v>
      </c>
      <c r="CG95" s="3">
        <f>C95*$C$57</f>
        <v>0</v>
      </c>
    </row>
    <row r="96" spans="1:85" ht="13.5" thickBot="1" x14ac:dyDescent="0.25">
      <c r="A96" s="640"/>
      <c r="B96" s="641"/>
      <c r="C96" s="641"/>
      <c r="D96" s="641"/>
      <c r="E96" s="641"/>
      <c r="F96" s="641"/>
      <c r="G96" s="641"/>
      <c r="H96" s="641"/>
      <c r="I96" s="641"/>
      <c r="J96" s="641"/>
      <c r="K96" s="641"/>
      <c r="L96" s="641"/>
      <c r="M96" s="641"/>
      <c r="N96" s="641"/>
      <c r="O96" s="641"/>
      <c r="P96" s="641"/>
      <c r="Q96" s="641"/>
      <c r="R96" s="641"/>
      <c r="S96" s="641"/>
      <c r="T96" s="641"/>
      <c r="U96" s="641"/>
      <c r="V96" s="641"/>
      <c r="W96" s="641"/>
      <c r="X96" s="641"/>
      <c r="Y96" s="641"/>
      <c r="Z96" s="641"/>
      <c r="AA96" s="641"/>
      <c r="AB96" s="641"/>
      <c r="AC96" s="641"/>
      <c r="AD96" s="642"/>
      <c r="CF96" s="3" t="s">
        <v>2</v>
      </c>
      <c r="CG96" s="3">
        <f>SUM(CG91:CG95)</f>
        <v>0</v>
      </c>
    </row>
    <row r="97" ht="13.5" thickTop="1" x14ac:dyDescent="0.2"/>
    <row r="156" spans="5:5" x14ac:dyDescent="0.2">
      <c r="E156" s="93">
        <v>1</v>
      </c>
    </row>
  </sheetData>
  <mergeCells count="39">
    <mergeCell ref="J5:J7"/>
    <mergeCell ref="B2:C2"/>
    <mergeCell ref="X14:Y14"/>
    <mergeCell ref="M11:N11"/>
    <mergeCell ref="M71:N71"/>
    <mergeCell ref="M14:N14"/>
    <mergeCell ref="F6:H6"/>
    <mergeCell ref="P10:Q10"/>
    <mergeCell ref="M12:N12"/>
    <mergeCell ref="M13:N13"/>
    <mergeCell ref="M64:N64"/>
    <mergeCell ref="M65:N65"/>
    <mergeCell ref="M27:N27"/>
    <mergeCell ref="M19:N19"/>
    <mergeCell ref="M20:N20"/>
    <mergeCell ref="M15:N15"/>
    <mergeCell ref="P61:Q61"/>
    <mergeCell ref="M24:N24"/>
    <mergeCell ref="M25:N25"/>
    <mergeCell ref="M26:N26"/>
    <mergeCell ref="M67:N67"/>
    <mergeCell ref="M29:N29"/>
    <mergeCell ref="L48:M48"/>
    <mergeCell ref="L89:M89"/>
    <mergeCell ref="M16:N16"/>
    <mergeCell ref="M17:N17"/>
    <mergeCell ref="M18:N18"/>
    <mergeCell ref="M75:N75"/>
    <mergeCell ref="M70:N70"/>
    <mergeCell ref="M21:N21"/>
    <mergeCell ref="M62:N62"/>
    <mergeCell ref="M63:N63"/>
    <mergeCell ref="M73:N73"/>
    <mergeCell ref="M72:N72"/>
    <mergeCell ref="M66:N66"/>
    <mergeCell ref="M68:N68"/>
    <mergeCell ref="M69:N69"/>
    <mergeCell ref="M22:N22"/>
    <mergeCell ref="M23:N23"/>
  </mergeCells>
  <phoneticPr fontId="0" type="noConversion"/>
  <conditionalFormatting sqref="C50:C54 C91:C95">
    <cfRule type="expression" dxfId="510" priority="2" stopIfTrue="1">
      <formula>$B50=1</formula>
    </cfRule>
  </conditionalFormatting>
  <pageMargins left="0.78740157499999996" right="0.78740157499999996" top="0.984251969" bottom="0.984251969" header="0.5" footer="0.5"/>
  <pageSetup scale="7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6865" r:id="rId4" name="Drop Down 1">
              <controlPr defaultSize="0" autoLine="0" autoPict="0">
                <anchor moveWithCells="1">
                  <from>
                    <xdr:col>3</xdr:col>
                    <xdr:colOff>0</xdr:colOff>
                    <xdr:row>11</xdr:row>
                    <xdr:rowOff>0</xdr:rowOff>
                  </from>
                  <to>
                    <xdr:col>4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66" r:id="rId5" name="Drop Down 2">
              <controlPr defaultSize="0" autoLine="0" autoPict="0">
                <anchor moveWithCells="1">
                  <from>
                    <xdr:col>4</xdr:col>
                    <xdr:colOff>0</xdr:colOff>
                    <xdr:row>11</xdr:row>
                    <xdr:rowOff>0</xdr:rowOff>
                  </from>
                  <to>
                    <xdr:col>5</xdr:col>
                    <xdr:colOff>9525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67" r:id="rId6" name="Drop Down 3">
              <controlPr defaultSize="0" autoLine="0" autoPict="0">
                <anchor moveWithCells="1">
                  <from>
                    <xdr:col>3</xdr:col>
                    <xdr:colOff>0</xdr:colOff>
                    <xdr:row>12</xdr:row>
                    <xdr:rowOff>0</xdr:rowOff>
                  </from>
                  <to>
                    <xdr:col>4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68" r:id="rId7" name="Drop Down 4">
              <controlPr defaultSize="0" autoLine="0" autoPict="0">
                <anchor moveWithCells="1">
                  <from>
                    <xdr:col>3</xdr:col>
                    <xdr:colOff>0</xdr:colOff>
                    <xdr:row>13</xdr:row>
                    <xdr:rowOff>0</xdr:rowOff>
                  </from>
                  <to>
                    <xdr:col>4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69" r:id="rId8" name="Drop Down 5">
              <controlPr defaultSize="0" autoLine="0" autoPict="0">
                <anchor moveWithCells="1">
                  <from>
                    <xdr:col>3</xdr:col>
                    <xdr:colOff>0</xdr:colOff>
                    <xdr:row>14</xdr:row>
                    <xdr:rowOff>0</xdr:rowOff>
                  </from>
                  <to>
                    <xdr:col>4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70" r:id="rId9" name="Drop Down 6">
              <controlPr defaultSize="0" autoLine="0" autoPict="0">
                <anchor moveWithCells="1">
                  <from>
                    <xdr:col>3</xdr:col>
                    <xdr:colOff>0</xdr:colOff>
                    <xdr:row>25</xdr:row>
                    <xdr:rowOff>0</xdr:rowOff>
                  </from>
                  <to>
                    <xdr:col>4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71" r:id="rId10" name="Drop Down 7">
              <controlPr defaultSize="0" autoLine="0" autoPict="0">
                <anchor moveWithCells="1">
                  <from>
                    <xdr:col>4</xdr:col>
                    <xdr:colOff>0</xdr:colOff>
                    <xdr:row>12</xdr:row>
                    <xdr:rowOff>0</xdr:rowOff>
                  </from>
                  <to>
                    <xdr:col>5</xdr:col>
                    <xdr:colOff>9525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72" r:id="rId11" name="Drop Down 8">
              <controlPr defaultSize="0" autoLine="0" autoPict="0">
                <anchor moveWithCells="1">
                  <from>
                    <xdr:col>4</xdr:col>
                    <xdr:colOff>0</xdr:colOff>
                    <xdr:row>13</xdr:row>
                    <xdr:rowOff>0</xdr:rowOff>
                  </from>
                  <to>
                    <xdr:col>5</xdr:col>
                    <xdr:colOff>9525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73" r:id="rId12" name="Drop Down 9">
              <controlPr defaultSize="0" autoLine="0" autoPict="0">
                <anchor moveWithCells="1">
                  <from>
                    <xdr:col>4</xdr:col>
                    <xdr:colOff>0</xdr:colOff>
                    <xdr:row>14</xdr:row>
                    <xdr:rowOff>0</xdr:rowOff>
                  </from>
                  <to>
                    <xdr:col>5</xdr:col>
                    <xdr:colOff>9525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74" r:id="rId13" name="Drop Down 10">
              <controlPr defaultSize="0" autoLine="0" autoPict="0">
                <anchor moveWithCells="1">
                  <from>
                    <xdr:col>4</xdr:col>
                    <xdr:colOff>0</xdr:colOff>
                    <xdr:row>25</xdr:row>
                    <xdr:rowOff>0</xdr:rowOff>
                  </from>
                  <to>
                    <xdr:col>5</xdr:col>
                    <xdr:colOff>9525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2" r:id="rId14" name="Drop Down 38">
              <controlPr defaultSize="0" autoLine="0" autoPict="0">
                <anchor moveWithCells="1">
                  <from>
                    <xdr:col>3</xdr:col>
                    <xdr:colOff>0</xdr:colOff>
                    <xdr:row>62</xdr:row>
                    <xdr:rowOff>0</xdr:rowOff>
                  </from>
                  <to>
                    <xdr:col>4</xdr:col>
                    <xdr:colOff>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3" r:id="rId15" name="Drop Down 39">
              <controlPr defaultSize="0" autoLine="0" autoPict="0">
                <anchor moveWithCells="1">
                  <from>
                    <xdr:col>4</xdr:col>
                    <xdr:colOff>0</xdr:colOff>
                    <xdr:row>62</xdr:row>
                    <xdr:rowOff>0</xdr:rowOff>
                  </from>
                  <to>
                    <xdr:col>5</xdr:col>
                    <xdr:colOff>9525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4" r:id="rId16" name="Drop Down 40">
              <controlPr defaultSize="0" autoLine="0" autoPict="0">
                <anchor moveWithCells="1">
                  <from>
                    <xdr:col>3</xdr:col>
                    <xdr:colOff>0</xdr:colOff>
                    <xdr:row>63</xdr:row>
                    <xdr:rowOff>0</xdr:rowOff>
                  </from>
                  <to>
                    <xdr:col>4</xdr:col>
                    <xdr:colOff>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5" r:id="rId17" name="Drop Down 41">
              <controlPr defaultSize="0" autoLine="0" autoPict="0">
                <anchor moveWithCells="1">
                  <from>
                    <xdr:col>3</xdr:col>
                    <xdr:colOff>0</xdr:colOff>
                    <xdr:row>64</xdr:row>
                    <xdr:rowOff>0</xdr:rowOff>
                  </from>
                  <to>
                    <xdr:col>4</xdr:col>
                    <xdr:colOff>0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6" r:id="rId18" name="Drop Down 42">
              <controlPr defaultSize="0" autoLine="0" autoPict="0">
                <anchor moveWithCells="1">
                  <from>
                    <xdr:col>3</xdr:col>
                    <xdr:colOff>0</xdr:colOff>
                    <xdr:row>70</xdr:row>
                    <xdr:rowOff>0</xdr:rowOff>
                  </from>
                  <to>
                    <xdr:col>4</xdr:col>
                    <xdr:colOff>0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7" r:id="rId19" name="Drop Down 43">
              <controlPr defaultSize="0" autoLine="0" autoPict="0">
                <anchor moveWithCells="1">
                  <from>
                    <xdr:col>3</xdr:col>
                    <xdr:colOff>0</xdr:colOff>
                    <xdr:row>71</xdr:row>
                    <xdr:rowOff>0</xdr:rowOff>
                  </from>
                  <to>
                    <xdr:col>4</xdr:col>
                    <xdr:colOff>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8" r:id="rId20" name="Drop Down 44">
              <controlPr defaultSize="0" autoLine="0" autoPict="0">
                <anchor moveWithCells="1">
                  <from>
                    <xdr:col>4</xdr:col>
                    <xdr:colOff>0</xdr:colOff>
                    <xdr:row>63</xdr:row>
                    <xdr:rowOff>0</xdr:rowOff>
                  </from>
                  <to>
                    <xdr:col>5</xdr:col>
                    <xdr:colOff>9525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9" r:id="rId21" name="Drop Down 45">
              <controlPr defaultSize="0" autoLine="0" autoPict="0">
                <anchor moveWithCells="1">
                  <from>
                    <xdr:col>4</xdr:col>
                    <xdr:colOff>0</xdr:colOff>
                    <xdr:row>64</xdr:row>
                    <xdr:rowOff>0</xdr:rowOff>
                  </from>
                  <to>
                    <xdr:col>5</xdr:col>
                    <xdr:colOff>9525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10" r:id="rId22" name="Drop Down 46">
              <controlPr defaultSize="0" autoLine="0" autoPict="0">
                <anchor moveWithCells="1">
                  <from>
                    <xdr:col>4</xdr:col>
                    <xdr:colOff>0</xdr:colOff>
                    <xdr:row>70</xdr:row>
                    <xdr:rowOff>0</xdr:rowOff>
                  </from>
                  <to>
                    <xdr:col>5</xdr:col>
                    <xdr:colOff>9525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11" r:id="rId23" name="Drop Down 47">
              <controlPr defaultSize="0" autoLine="0" autoPict="0">
                <anchor moveWithCells="1">
                  <from>
                    <xdr:col>4</xdr:col>
                    <xdr:colOff>0</xdr:colOff>
                    <xdr:row>71</xdr:row>
                    <xdr:rowOff>0</xdr:rowOff>
                  </from>
                  <to>
                    <xdr:col>5</xdr:col>
                    <xdr:colOff>9525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41" r:id="rId24" name="Drop Down 77">
              <controlPr defaultSize="0" autoLine="0" autoPict="0">
                <anchor moveWithCells="1">
                  <from>
                    <xdr:col>1</xdr:col>
                    <xdr:colOff>0</xdr:colOff>
                    <xdr:row>90</xdr:row>
                    <xdr:rowOff>0</xdr:rowOff>
                  </from>
                  <to>
                    <xdr:col>2</xdr:col>
                    <xdr:colOff>0</xdr:colOff>
                    <xdr:row>91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42" r:id="rId25" name="Drop Down 78">
              <controlPr defaultSize="0" autoLine="0" autoPict="0">
                <anchor moveWithCells="1">
                  <from>
                    <xdr:col>1</xdr:col>
                    <xdr:colOff>0</xdr:colOff>
                    <xdr:row>91</xdr:row>
                    <xdr:rowOff>0</xdr:rowOff>
                  </from>
                  <to>
                    <xdr:col>2</xdr:col>
                    <xdr:colOff>0</xdr:colOff>
                    <xdr:row>92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43" r:id="rId26" name="Drop Down 79">
              <controlPr defaultSize="0" autoLine="0" autoPict="0">
                <anchor moveWithCells="1">
                  <from>
                    <xdr:col>1</xdr:col>
                    <xdr:colOff>0</xdr:colOff>
                    <xdr:row>92</xdr:row>
                    <xdr:rowOff>0</xdr:rowOff>
                  </from>
                  <to>
                    <xdr:col>2</xdr:col>
                    <xdr:colOff>0</xdr:colOff>
                    <xdr:row>93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44" r:id="rId27" name="Drop Down 80">
              <controlPr defaultSize="0" autoLine="0" autoPict="0">
                <anchor moveWithCells="1">
                  <from>
                    <xdr:col>1</xdr:col>
                    <xdr:colOff>0</xdr:colOff>
                    <xdr:row>93</xdr:row>
                    <xdr:rowOff>0</xdr:rowOff>
                  </from>
                  <to>
                    <xdr:col>2</xdr:col>
                    <xdr:colOff>0</xdr:colOff>
                    <xdr:row>94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45" r:id="rId28" name="Drop Down 81">
              <controlPr defaultSize="0" autoLine="0" autoPict="0">
                <anchor moveWithCells="1">
                  <from>
                    <xdr:col>1</xdr:col>
                    <xdr:colOff>0</xdr:colOff>
                    <xdr:row>94</xdr:row>
                    <xdr:rowOff>0</xdr:rowOff>
                  </from>
                  <to>
                    <xdr:col>2</xdr:col>
                    <xdr:colOff>0</xdr:colOff>
                    <xdr:row>95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46" r:id="rId29" name="Drop Down 82">
              <controlPr defaultSize="0" autoLine="0" autoPict="0">
                <anchor moveWithCells="1">
                  <from>
                    <xdr:col>14</xdr:col>
                    <xdr:colOff>0</xdr:colOff>
                    <xdr:row>62</xdr:row>
                    <xdr:rowOff>0</xdr:rowOff>
                  </from>
                  <to>
                    <xdr:col>16</xdr:col>
                    <xdr:colOff>9525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52" r:id="rId30" name="Drop Down 88">
              <controlPr defaultSize="0" autoLine="0" autoPict="0">
                <anchor moveWithCells="1">
                  <from>
                    <xdr:col>1</xdr:col>
                    <xdr:colOff>0</xdr:colOff>
                    <xdr:row>48</xdr:row>
                    <xdr:rowOff>152400</xdr:rowOff>
                  </from>
                  <to>
                    <xdr:col>2</xdr:col>
                    <xdr:colOff>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53" r:id="rId31" name="Drop Down 89">
              <controlPr defaultSize="0" autoLine="0" autoPict="0">
                <anchor moveWithCells="1">
                  <from>
                    <xdr:col>1</xdr:col>
                    <xdr:colOff>0</xdr:colOff>
                    <xdr:row>49</xdr:row>
                    <xdr:rowOff>190500</xdr:rowOff>
                  </from>
                  <to>
                    <xdr:col>2</xdr:col>
                    <xdr:colOff>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54" r:id="rId32" name="Drop Down 90">
              <controlPr defaultSize="0" autoLine="0" autoPict="0">
                <anchor moveWithCells="1">
                  <from>
                    <xdr:col>1</xdr:col>
                    <xdr:colOff>0</xdr:colOff>
                    <xdr:row>50</xdr:row>
                    <xdr:rowOff>190500</xdr:rowOff>
                  </from>
                  <to>
                    <xdr:col>2</xdr:col>
                    <xdr:colOff>0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55" r:id="rId33" name="Drop Down 91">
              <controlPr defaultSize="0" autoLine="0" autoPict="0">
                <anchor moveWithCells="1">
                  <from>
                    <xdr:col>1</xdr:col>
                    <xdr:colOff>0</xdr:colOff>
                    <xdr:row>52</xdr:row>
                    <xdr:rowOff>0</xdr:rowOff>
                  </from>
                  <to>
                    <xdr:col>2</xdr:col>
                    <xdr:colOff>0</xdr:colOff>
                    <xdr:row>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56" r:id="rId34" name="Drop Down 92">
              <controlPr defaultSize="0" autoLine="0" autoPict="0">
                <anchor moveWithCells="1">
                  <from>
                    <xdr:col>1</xdr:col>
                    <xdr:colOff>0</xdr:colOff>
                    <xdr:row>53</xdr:row>
                    <xdr:rowOff>0</xdr:rowOff>
                  </from>
                  <to>
                    <xdr:col>2</xdr:col>
                    <xdr:colOff>0</xdr:colOff>
                    <xdr:row>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94" r:id="rId35" name="Drop Down 130">
              <controlPr defaultSize="0" autoLine="0" autoPict="0">
                <anchor moveWithCells="1">
                  <from>
                    <xdr:col>16</xdr:col>
                    <xdr:colOff>0</xdr:colOff>
                    <xdr:row>62</xdr:row>
                    <xdr:rowOff>0</xdr:rowOff>
                  </from>
                  <to>
                    <xdr:col>17</xdr:col>
                    <xdr:colOff>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95" r:id="rId36" name="Drop Down 131">
              <controlPr defaultSize="0" autoLine="0" autoPict="0">
                <anchor moveWithCells="1">
                  <from>
                    <xdr:col>14</xdr:col>
                    <xdr:colOff>0</xdr:colOff>
                    <xdr:row>63</xdr:row>
                    <xdr:rowOff>0</xdr:rowOff>
                  </from>
                  <to>
                    <xdr:col>16</xdr:col>
                    <xdr:colOff>9525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96" r:id="rId37" name="Drop Down 132">
              <controlPr defaultSize="0" autoLine="0" autoPict="0">
                <anchor moveWithCells="1">
                  <from>
                    <xdr:col>14</xdr:col>
                    <xdr:colOff>0</xdr:colOff>
                    <xdr:row>64</xdr:row>
                    <xdr:rowOff>0</xdr:rowOff>
                  </from>
                  <to>
                    <xdr:col>16</xdr:col>
                    <xdr:colOff>9525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97" r:id="rId38" name="Drop Down 133">
              <controlPr defaultSize="0" autoLine="0" autoPict="0">
                <anchor moveWithCells="1">
                  <from>
                    <xdr:col>14</xdr:col>
                    <xdr:colOff>0</xdr:colOff>
                    <xdr:row>70</xdr:row>
                    <xdr:rowOff>0</xdr:rowOff>
                  </from>
                  <to>
                    <xdr:col>16</xdr:col>
                    <xdr:colOff>9525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98" r:id="rId39" name="Drop Down 134">
              <controlPr defaultSize="0" autoLine="0" autoPict="0">
                <anchor moveWithCells="1">
                  <from>
                    <xdr:col>14</xdr:col>
                    <xdr:colOff>0</xdr:colOff>
                    <xdr:row>71</xdr:row>
                    <xdr:rowOff>0</xdr:rowOff>
                  </from>
                  <to>
                    <xdr:col>16</xdr:col>
                    <xdr:colOff>9525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99" r:id="rId40" name="Drop Down 135">
              <controlPr defaultSize="0" autoLine="0" autoPict="0">
                <anchor moveWithCells="1">
                  <from>
                    <xdr:col>16</xdr:col>
                    <xdr:colOff>0</xdr:colOff>
                    <xdr:row>63</xdr:row>
                    <xdr:rowOff>0</xdr:rowOff>
                  </from>
                  <to>
                    <xdr:col>17</xdr:col>
                    <xdr:colOff>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00" r:id="rId41" name="Drop Down 136">
              <controlPr defaultSize="0" autoLine="0" autoPict="0">
                <anchor moveWithCells="1">
                  <from>
                    <xdr:col>16</xdr:col>
                    <xdr:colOff>0</xdr:colOff>
                    <xdr:row>64</xdr:row>
                    <xdr:rowOff>0</xdr:rowOff>
                  </from>
                  <to>
                    <xdr:col>17</xdr:col>
                    <xdr:colOff>0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01" r:id="rId42" name="Drop Down 137">
              <controlPr defaultSize="0" autoLine="0" autoPict="0">
                <anchor moveWithCells="1">
                  <from>
                    <xdr:col>16</xdr:col>
                    <xdr:colOff>0</xdr:colOff>
                    <xdr:row>70</xdr:row>
                    <xdr:rowOff>0</xdr:rowOff>
                  </from>
                  <to>
                    <xdr:col>17</xdr:col>
                    <xdr:colOff>0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02" r:id="rId43" name="Drop Down 138">
              <controlPr defaultSize="0" autoLine="0" autoPict="0">
                <anchor moveWithCells="1">
                  <from>
                    <xdr:col>16</xdr:col>
                    <xdr:colOff>0</xdr:colOff>
                    <xdr:row>71</xdr:row>
                    <xdr:rowOff>0</xdr:rowOff>
                  </from>
                  <to>
                    <xdr:col>17</xdr:col>
                    <xdr:colOff>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03" r:id="rId44" name="Drop Down 139">
              <controlPr defaultSize="0" autoLine="0" autoPict="0">
                <anchor moveWithCells="1">
                  <from>
                    <xdr:col>12</xdr:col>
                    <xdr:colOff>0</xdr:colOff>
                    <xdr:row>76</xdr:row>
                    <xdr:rowOff>0</xdr:rowOff>
                  </from>
                  <to>
                    <xdr:col>13</xdr:col>
                    <xdr:colOff>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04" r:id="rId45" name="Drop Down 140">
              <controlPr defaultSize="0" autoLine="0" autoPict="0">
                <anchor moveWithCells="1">
                  <from>
                    <xdr:col>12</xdr:col>
                    <xdr:colOff>0</xdr:colOff>
                    <xdr:row>82</xdr:row>
                    <xdr:rowOff>0</xdr:rowOff>
                  </from>
                  <to>
                    <xdr:col>13</xdr:col>
                    <xdr:colOff>0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05" r:id="rId46" name="Drop Down 141">
              <controlPr defaultSize="0" autoLine="0" autoPict="0">
                <anchor moveWithCells="1">
                  <from>
                    <xdr:col>12</xdr:col>
                    <xdr:colOff>0</xdr:colOff>
                    <xdr:row>83</xdr:row>
                    <xdr:rowOff>0</xdr:rowOff>
                  </from>
                  <to>
                    <xdr:col>13</xdr:col>
                    <xdr:colOff>0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06" r:id="rId47" name="Drop Down 142">
              <controlPr defaultSize="0" autoLine="0" autoPict="0">
                <anchor moveWithCells="1">
                  <from>
                    <xdr:col>12</xdr:col>
                    <xdr:colOff>0</xdr:colOff>
                    <xdr:row>84</xdr:row>
                    <xdr:rowOff>0</xdr:rowOff>
                  </from>
                  <to>
                    <xdr:col>13</xdr:col>
                    <xdr:colOff>0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07" r:id="rId48" name="Drop Down 143">
              <controlPr defaultSize="0" autoLine="0" autoPict="0">
                <anchor moveWithCells="1">
                  <from>
                    <xdr:col>12</xdr:col>
                    <xdr:colOff>0</xdr:colOff>
                    <xdr:row>85</xdr:row>
                    <xdr:rowOff>0</xdr:rowOff>
                  </from>
                  <to>
                    <xdr:col>13</xdr:col>
                    <xdr:colOff>0</xdr:colOff>
                    <xdr:row>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08" r:id="rId49" name="Drop Down 144">
              <controlPr defaultSize="0" autoLine="0" autoPict="0">
                <anchor moveWithCells="1">
                  <from>
                    <xdr:col>13</xdr:col>
                    <xdr:colOff>0</xdr:colOff>
                    <xdr:row>76</xdr:row>
                    <xdr:rowOff>0</xdr:rowOff>
                  </from>
                  <to>
                    <xdr:col>13</xdr:col>
                    <xdr:colOff>828675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09" r:id="rId50" name="Drop Down 145">
              <controlPr defaultSize="0" autoLine="0" autoPict="0">
                <anchor moveWithCells="1">
                  <from>
                    <xdr:col>13</xdr:col>
                    <xdr:colOff>0</xdr:colOff>
                    <xdr:row>82</xdr:row>
                    <xdr:rowOff>0</xdr:rowOff>
                  </from>
                  <to>
                    <xdr:col>13</xdr:col>
                    <xdr:colOff>828675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10" r:id="rId51" name="Drop Down 146">
              <controlPr defaultSize="0" autoLine="0" autoPict="0">
                <anchor moveWithCells="1">
                  <from>
                    <xdr:col>13</xdr:col>
                    <xdr:colOff>0</xdr:colOff>
                    <xdr:row>83</xdr:row>
                    <xdr:rowOff>0</xdr:rowOff>
                  </from>
                  <to>
                    <xdr:col>13</xdr:col>
                    <xdr:colOff>828675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11" r:id="rId52" name="Drop Down 147">
              <controlPr defaultSize="0" autoLine="0" autoPict="0">
                <anchor moveWithCells="1">
                  <from>
                    <xdr:col>13</xdr:col>
                    <xdr:colOff>0</xdr:colOff>
                    <xdr:row>84</xdr:row>
                    <xdr:rowOff>0</xdr:rowOff>
                  </from>
                  <to>
                    <xdr:col>13</xdr:col>
                    <xdr:colOff>828675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12" r:id="rId53" name="Drop Down 148">
              <controlPr defaultSize="0" autoLine="0" autoPict="0">
                <anchor moveWithCells="1">
                  <from>
                    <xdr:col>13</xdr:col>
                    <xdr:colOff>0</xdr:colOff>
                    <xdr:row>85</xdr:row>
                    <xdr:rowOff>0</xdr:rowOff>
                  </from>
                  <to>
                    <xdr:col>13</xdr:col>
                    <xdr:colOff>828675</xdr:colOff>
                    <xdr:row>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13" r:id="rId54" name="Drop Down 149">
              <controlPr defaultSize="0" autoLine="0" autoPict="0">
                <anchor moveWithCells="1">
                  <from>
                    <xdr:col>10</xdr:col>
                    <xdr:colOff>0</xdr:colOff>
                    <xdr:row>90</xdr:row>
                    <xdr:rowOff>0</xdr:rowOff>
                  </from>
                  <to>
                    <xdr:col>11</xdr:col>
                    <xdr:colOff>828675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14" r:id="rId55" name="Drop Down 150">
              <controlPr defaultSize="0" autoLine="0" autoPict="0">
                <anchor moveWithCells="1">
                  <from>
                    <xdr:col>12</xdr:col>
                    <xdr:colOff>0</xdr:colOff>
                    <xdr:row>90</xdr:row>
                    <xdr:rowOff>0</xdr:rowOff>
                  </from>
                  <to>
                    <xdr:col>13</xdr:col>
                    <xdr:colOff>0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15" r:id="rId56" name="Drop Down 151">
              <controlPr defaultSize="0" autoLine="0" autoPict="0">
                <anchor moveWithCells="1">
                  <from>
                    <xdr:col>10</xdr:col>
                    <xdr:colOff>0</xdr:colOff>
                    <xdr:row>91</xdr:row>
                    <xdr:rowOff>0</xdr:rowOff>
                  </from>
                  <to>
                    <xdr:col>11</xdr:col>
                    <xdr:colOff>828675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16" r:id="rId57" name="Drop Down 152">
              <controlPr defaultSize="0" autoLine="0" autoPict="0">
                <anchor moveWithCells="1">
                  <from>
                    <xdr:col>10</xdr:col>
                    <xdr:colOff>0</xdr:colOff>
                    <xdr:row>92</xdr:row>
                    <xdr:rowOff>0</xdr:rowOff>
                  </from>
                  <to>
                    <xdr:col>11</xdr:col>
                    <xdr:colOff>828675</xdr:colOff>
                    <xdr:row>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17" r:id="rId58" name="Drop Down 153">
              <controlPr defaultSize="0" autoLine="0" autoPict="0">
                <anchor moveWithCells="1">
                  <from>
                    <xdr:col>10</xdr:col>
                    <xdr:colOff>0</xdr:colOff>
                    <xdr:row>93</xdr:row>
                    <xdr:rowOff>0</xdr:rowOff>
                  </from>
                  <to>
                    <xdr:col>11</xdr:col>
                    <xdr:colOff>828675</xdr:colOff>
                    <xdr:row>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18" r:id="rId59" name="Drop Down 154">
              <controlPr defaultSize="0" autoLine="0" autoPict="0">
                <anchor moveWithCells="1">
                  <from>
                    <xdr:col>10</xdr:col>
                    <xdr:colOff>0</xdr:colOff>
                    <xdr:row>94</xdr:row>
                    <xdr:rowOff>0</xdr:rowOff>
                  </from>
                  <to>
                    <xdr:col>11</xdr:col>
                    <xdr:colOff>828675</xdr:colOff>
                    <xdr:row>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19" r:id="rId60" name="Drop Down 155">
              <controlPr defaultSize="0" autoLine="0" autoPict="0">
                <anchor moveWithCells="1">
                  <from>
                    <xdr:col>12</xdr:col>
                    <xdr:colOff>0</xdr:colOff>
                    <xdr:row>91</xdr:row>
                    <xdr:rowOff>0</xdr:rowOff>
                  </from>
                  <to>
                    <xdr:col>13</xdr:col>
                    <xdr:colOff>0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20" r:id="rId61" name="Drop Down 156">
              <controlPr defaultSize="0" autoLine="0" autoPict="0">
                <anchor moveWithCells="1">
                  <from>
                    <xdr:col>12</xdr:col>
                    <xdr:colOff>0</xdr:colOff>
                    <xdr:row>92</xdr:row>
                    <xdr:rowOff>0</xdr:rowOff>
                  </from>
                  <to>
                    <xdr:col>13</xdr:col>
                    <xdr:colOff>0</xdr:colOff>
                    <xdr:row>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21" r:id="rId62" name="Drop Down 157">
              <controlPr defaultSize="0" autoLine="0" autoPict="0">
                <anchor moveWithCells="1">
                  <from>
                    <xdr:col>12</xdr:col>
                    <xdr:colOff>0</xdr:colOff>
                    <xdr:row>93</xdr:row>
                    <xdr:rowOff>0</xdr:rowOff>
                  </from>
                  <to>
                    <xdr:col>13</xdr:col>
                    <xdr:colOff>0</xdr:colOff>
                    <xdr:row>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22" r:id="rId63" name="Drop Down 158">
              <controlPr defaultSize="0" autoLine="0" autoPict="0">
                <anchor moveWithCells="1">
                  <from>
                    <xdr:col>12</xdr:col>
                    <xdr:colOff>0</xdr:colOff>
                    <xdr:row>94</xdr:row>
                    <xdr:rowOff>0</xdr:rowOff>
                  </from>
                  <to>
                    <xdr:col>13</xdr:col>
                    <xdr:colOff>0</xdr:colOff>
                    <xdr:row>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53" r:id="rId64" name="Drop Down 189">
              <controlPr defaultSize="0" autoLine="0" autoPict="0">
                <anchor moveWithCells="1">
                  <from>
                    <xdr:col>14</xdr:col>
                    <xdr:colOff>0</xdr:colOff>
                    <xdr:row>11</xdr:row>
                    <xdr:rowOff>0</xdr:rowOff>
                  </from>
                  <to>
                    <xdr:col>16</xdr:col>
                    <xdr:colOff>9525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54" r:id="rId65" name="Drop Down 190">
              <controlPr defaultSize="0" autoLine="0" autoPict="0">
                <anchor moveWithCells="1">
                  <from>
                    <xdr:col>16</xdr:col>
                    <xdr:colOff>0</xdr:colOff>
                    <xdr:row>11</xdr:row>
                    <xdr:rowOff>0</xdr:rowOff>
                  </from>
                  <to>
                    <xdr:col>17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55" r:id="rId66" name="Drop Down 191">
              <controlPr defaultSize="0" autoLine="0" autoPict="0">
                <anchor moveWithCells="1">
                  <from>
                    <xdr:col>14</xdr:col>
                    <xdr:colOff>0</xdr:colOff>
                    <xdr:row>12</xdr:row>
                    <xdr:rowOff>0</xdr:rowOff>
                  </from>
                  <to>
                    <xdr:col>16</xdr:col>
                    <xdr:colOff>9525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56" r:id="rId67" name="Drop Down 192">
              <controlPr defaultSize="0" autoLine="0" autoPict="0">
                <anchor moveWithCells="1">
                  <from>
                    <xdr:col>14</xdr:col>
                    <xdr:colOff>0</xdr:colOff>
                    <xdr:row>13</xdr:row>
                    <xdr:rowOff>0</xdr:rowOff>
                  </from>
                  <to>
                    <xdr:col>16</xdr:col>
                    <xdr:colOff>9525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57" r:id="rId68" name="Drop Down 193">
              <controlPr defaultSize="0" autoLine="0" autoPict="0">
                <anchor moveWithCells="1">
                  <from>
                    <xdr:col>14</xdr:col>
                    <xdr:colOff>0</xdr:colOff>
                    <xdr:row>14</xdr:row>
                    <xdr:rowOff>0</xdr:rowOff>
                  </from>
                  <to>
                    <xdr:col>16</xdr:col>
                    <xdr:colOff>9525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58" r:id="rId69" name="Drop Down 194">
              <controlPr defaultSize="0" autoLine="0" autoPict="0">
                <anchor moveWithCells="1">
                  <from>
                    <xdr:col>14</xdr:col>
                    <xdr:colOff>0</xdr:colOff>
                    <xdr:row>25</xdr:row>
                    <xdr:rowOff>0</xdr:rowOff>
                  </from>
                  <to>
                    <xdr:col>16</xdr:col>
                    <xdr:colOff>9525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59" r:id="rId70" name="Drop Down 195">
              <controlPr defaultSize="0" autoLine="0" autoPict="0">
                <anchor moveWithCells="1">
                  <from>
                    <xdr:col>16</xdr:col>
                    <xdr:colOff>0</xdr:colOff>
                    <xdr:row>12</xdr:row>
                    <xdr:rowOff>0</xdr:rowOff>
                  </from>
                  <to>
                    <xdr:col>17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60" r:id="rId71" name="Drop Down 196">
              <controlPr defaultSize="0" autoLine="0" autoPict="0">
                <anchor moveWithCells="1">
                  <from>
                    <xdr:col>16</xdr:col>
                    <xdr:colOff>0</xdr:colOff>
                    <xdr:row>13</xdr:row>
                    <xdr:rowOff>0</xdr:rowOff>
                  </from>
                  <to>
                    <xdr:col>17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61" r:id="rId72" name="Drop Down 197">
              <controlPr defaultSize="0" autoLine="0" autoPict="0">
                <anchor moveWithCells="1">
                  <from>
                    <xdr:col>16</xdr:col>
                    <xdr:colOff>0</xdr:colOff>
                    <xdr:row>14</xdr:row>
                    <xdr:rowOff>0</xdr:rowOff>
                  </from>
                  <to>
                    <xdr:col>17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62" r:id="rId73" name="Drop Down 198">
              <controlPr defaultSize="0" autoLine="0" autoPict="0">
                <anchor moveWithCells="1">
                  <from>
                    <xdr:col>16</xdr:col>
                    <xdr:colOff>0</xdr:colOff>
                    <xdr:row>25</xdr:row>
                    <xdr:rowOff>0</xdr:rowOff>
                  </from>
                  <to>
                    <xdr:col>17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63" r:id="rId74" name="Drop Down 199">
              <controlPr defaultSize="0" autoLine="0" autoPict="0">
                <anchor moveWithCells="1">
                  <from>
                    <xdr:col>12</xdr:col>
                    <xdr:colOff>0</xdr:colOff>
                    <xdr:row>30</xdr:row>
                    <xdr:rowOff>0</xdr:rowOff>
                  </from>
                  <to>
                    <xdr:col>13</xdr:col>
                    <xdr:colOff>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64" r:id="rId75" name="Drop Down 200">
              <controlPr defaultSize="0" autoLine="0" autoPict="0">
                <anchor moveWithCells="1">
                  <from>
                    <xdr:col>13</xdr:col>
                    <xdr:colOff>0</xdr:colOff>
                    <xdr:row>30</xdr:row>
                    <xdr:rowOff>0</xdr:rowOff>
                  </from>
                  <to>
                    <xdr:col>13</xdr:col>
                    <xdr:colOff>828675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65" r:id="rId76" name="Drop Down 201">
              <controlPr defaultSize="0" autoLine="0" autoPict="0">
                <anchor moveWithCells="1">
                  <from>
                    <xdr:col>12</xdr:col>
                    <xdr:colOff>0</xdr:colOff>
                    <xdr:row>31</xdr:row>
                    <xdr:rowOff>0</xdr:rowOff>
                  </from>
                  <to>
                    <xdr:col>13</xdr:col>
                    <xdr:colOff>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66" r:id="rId77" name="Drop Down 202">
              <controlPr defaultSize="0" autoLine="0" autoPict="0">
                <anchor moveWithCells="1">
                  <from>
                    <xdr:col>12</xdr:col>
                    <xdr:colOff>0</xdr:colOff>
                    <xdr:row>32</xdr:row>
                    <xdr:rowOff>0</xdr:rowOff>
                  </from>
                  <to>
                    <xdr:col>13</xdr:col>
                    <xdr:colOff>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67" r:id="rId78" name="Drop Down 203">
              <controlPr defaultSize="0" autoLine="0" autoPict="0">
                <anchor moveWithCells="1">
                  <from>
                    <xdr:col>12</xdr:col>
                    <xdr:colOff>0</xdr:colOff>
                    <xdr:row>33</xdr:row>
                    <xdr:rowOff>0</xdr:rowOff>
                  </from>
                  <to>
                    <xdr:col>13</xdr:col>
                    <xdr:colOff>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68" r:id="rId79" name="Drop Down 204">
              <controlPr defaultSize="0" autoLine="0" autoPict="0">
                <anchor moveWithCells="1">
                  <from>
                    <xdr:col>12</xdr:col>
                    <xdr:colOff>0</xdr:colOff>
                    <xdr:row>44</xdr:row>
                    <xdr:rowOff>0</xdr:rowOff>
                  </from>
                  <to>
                    <xdr:col>13</xdr:col>
                    <xdr:colOff>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69" r:id="rId80" name="Drop Down 205">
              <controlPr defaultSize="0" autoLine="0" autoPict="0">
                <anchor moveWithCells="1">
                  <from>
                    <xdr:col>13</xdr:col>
                    <xdr:colOff>0</xdr:colOff>
                    <xdr:row>31</xdr:row>
                    <xdr:rowOff>0</xdr:rowOff>
                  </from>
                  <to>
                    <xdr:col>13</xdr:col>
                    <xdr:colOff>828675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70" r:id="rId81" name="Drop Down 206">
              <controlPr defaultSize="0" autoLine="0" autoPict="0">
                <anchor moveWithCells="1">
                  <from>
                    <xdr:col>13</xdr:col>
                    <xdr:colOff>0</xdr:colOff>
                    <xdr:row>32</xdr:row>
                    <xdr:rowOff>0</xdr:rowOff>
                  </from>
                  <to>
                    <xdr:col>13</xdr:col>
                    <xdr:colOff>828675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71" r:id="rId82" name="Drop Down 207">
              <controlPr defaultSize="0" autoLine="0" autoPict="0">
                <anchor moveWithCells="1">
                  <from>
                    <xdr:col>13</xdr:col>
                    <xdr:colOff>0</xdr:colOff>
                    <xdr:row>33</xdr:row>
                    <xdr:rowOff>0</xdr:rowOff>
                  </from>
                  <to>
                    <xdr:col>13</xdr:col>
                    <xdr:colOff>828675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72" r:id="rId83" name="Drop Down 208">
              <controlPr defaultSize="0" autoLine="0" autoPict="0">
                <anchor moveWithCells="1">
                  <from>
                    <xdr:col>13</xdr:col>
                    <xdr:colOff>0</xdr:colOff>
                    <xdr:row>44</xdr:row>
                    <xdr:rowOff>0</xdr:rowOff>
                  </from>
                  <to>
                    <xdr:col>13</xdr:col>
                    <xdr:colOff>828675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73" r:id="rId84" name="Drop Down 209">
              <controlPr defaultSize="0" autoLine="0" autoPict="0">
                <anchor moveWithCells="1">
                  <from>
                    <xdr:col>10</xdr:col>
                    <xdr:colOff>0</xdr:colOff>
                    <xdr:row>49</xdr:row>
                    <xdr:rowOff>0</xdr:rowOff>
                  </from>
                  <to>
                    <xdr:col>11</xdr:col>
                    <xdr:colOff>828675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74" r:id="rId85" name="Drop Down 210">
              <controlPr defaultSize="0" autoLine="0" autoPict="0">
                <anchor moveWithCells="1">
                  <from>
                    <xdr:col>12</xdr:col>
                    <xdr:colOff>0</xdr:colOff>
                    <xdr:row>49</xdr:row>
                    <xdr:rowOff>0</xdr:rowOff>
                  </from>
                  <to>
                    <xdr:col>13</xdr:col>
                    <xdr:colOff>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75" r:id="rId86" name="Drop Down 211">
              <controlPr defaultSize="0" autoLine="0" autoPict="0">
                <anchor moveWithCells="1">
                  <from>
                    <xdr:col>10</xdr:col>
                    <xdr:colOff>0</xdr:colOff>
                    <xdr:row>50</xdr:row>
                    <xdr:rowOff>0</xdr:rowOff>
                  </from>
                  <to>
                    <xdr:col>11</xdr:col>
                    <xdr:colOff>828675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76" r:id="rId87" name="Drop Down 212">
              <controlPr defaultSize="0" autoLine="0" autoPict="0">
                <anchor moveWithCells="1">
                  <from>
                    <xdr:col>10</xdr:col>
                    <xdr:colOff>0</xdr:colOff>
                    <xdr:row>51</xdr:row>
                    <xdr:rowOff>0</xdr:rowOff>
                  </from>
                  <to>
                    <xdr:col>11</xdr:col>
                    <xdr:colOff>828675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77" r:id="rId88" name="Drop Down 213">
              <controlPr defaultSize="0" autoLine="0" autoPict="0">
                <anchor moveWithCells="1">
                  <from>
                    <xdr:col>10</xdr:col>
                    <xdr:colOff>0</xdr:colOff>
                    <xdr:row>52</xdr:row>
                    <xdr:rowOff>0</xdr:rowOff>
                  </from>
                  <to>
                    <xdr:col>11</xdr:col>
                    <xdr:colOff>828675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78" r:id="rId89" name="Drop Down 214">
              <controlPr defaultSize="0" autoLine="0" autoPict="0">
                <anchor moveWithCells="1">
                  <from>
                    <xdr:col>10</xdr:col>
                    <xdr:colOff>0</xdr:colOff>
                    <xdr:row>53</xdr:row>
                    <xdr:rowOff>0</xdr:rowOff>
                  </from>
                  <to>
                    <xdr:col>11</xdr:col>
                    <xdr:colOff>828675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79" r:id="rId90" name="Drop Down 215">
              <controlPr defaultSize="0" autoLine="0" autoPict="0">
                <anchor moveWithCells="1">
                  <from>
                    <xdr:col>12</xdr:col>
                    <xdr:colOff>0</xdr:colOff>
                    <xdr:row>50</xdr:row>
                    <xdr:rowOff>0</xdr:rowOff>
                  </from>
                  <to>
                    <xdr:col>13</xdr:col>
                    <xdr:colOff>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80" r:id="rId91" name="Drop Down 216">
              <controlPr defaultSize="0" autoLine="0" autoPict="0">
                <anchor moveWithCells="1">
                  <from>
                    <xdr:col>12</xdr:col>
                    <xdr:colOff>0</xdr:colOff>
                    <xdr:row>51</xdr:row>
                    <xdr:rowOff>0</xdr:rowOff>
                  </from>
                  <to>
                    <xdr:col>13</xdr:col>
                    <xdr:colOff>0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81" r:id="rId92" name="Drop Down 217">
              <controlPr defaultSize="0" autoLine="0" autoPict="0">
                <anchor moveWithCells="1">
                  <from>
                    <xdr:col>12</xdr:col>
                    <xdr:colOff>0</xdr:colOff>
                    <xdr:row>52</xdr:row>
                    <xdr:rowOff>0</xdr:rowOff>
                  </from>
                  <to>
                    <xdr:col>13</xdr:col>
                    <xdr:colOff>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82" r:id="rId93" name="Drop Down 218">
              <controlPr defaultSize="0" autoLine="0" autoPict="0">
                <anchor moveWithCells="1">
                  <from>
                    <xdr:col>12</xdr:col>
                    <xdr:colOff>0</xdr:colOff>
                    <xdr:row>53</xdr:row>
                    <xdr:rowOff>0</xdr:rowOff>
                  </from>
                  <to>
                    <xdr:col>13</xdr:col>
                    <xdr:colOff>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97" r:id="rId94" name="Drop Down 533">
              <controlPr defaultSize="0" autoLine="0" autoPict="0">
                <anchor moveWithCells="1">
                  <from>
                    <xdr:col>12</xdr:col>
                    <xdr:colOff>0</xdr:colOff>
                    <xdr:row>34</xdr:row>
                    <xdr:rowOff>0</xdr:rowOff>
                  </from>
                  <to>
                    <xdr:col>13</xdr:col>
                    <xdr:colOff>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98" r:id="rId95" name="Drop Down 534">
              <controlPr defaultSize="0" autoLine="0" autoPict="0">
                <anchor moveWithCells="1">
                  <from>
                    <xdr:col>13</xdr:col>
                    <xdr:colOff>0</xdr:colOff>
                    <xdr:row>34</xdr:row>
                    <xdr:rowOff>0</xdr:rowOff>
                  </from>
                  <to>
                    <xdr:col>13</xdr:col>
                    <xdr:colOff>828675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99" r:id="rId96" name="Drop Down 535">
              <controlPr defaultSize="0" autoLine="0" autoPict="0">
                <anchor moveWithCells="1">
                  <from>
                    <xdr:col>12</xdr:col>
                    <xdr:colOff>0</xdr:colOff>
                    <xdr:row>35</xdr:row>
                    <xdr:rowOff>0</xdr:rowOff>
                  </from>
                  <to>
                    <xdr:col>13</xdr:col>
                    <xdr:colOff>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00" r:id="rId97" name="Drop Down 536">
              <controlPr defaultSize="0" autoLine="0" autoPict="0">
                <anchor moveWithCells="1">
                  <from>
                    <xdr:col>13</xdr:col>
                    <xdr:colOff>0</xdr:colOff>
                    <xdr:row>35</xdr:row>
                    <xdr:rowOff>0</xdr:rowOff>
                  </from>
                  <to>
                    <xdr:col>13</xdr:col>
                    <xdr:colOff>828675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01" r:id="rId98" name="Drop Down 537">
              <controlPr defaultSize="0" autoLine="0" autoPict="0">
                <anchor moveWithCells="1">
                  <from>
                    <xdr:col>12</xdr:col>
                    <xdr:colOff>0</xdr:colOff>
                    <xdr:row>36</xdr:row>
                    <xdr:rowOff>0</xdr:rowOff>
                  </from>
                  <to>
                    <xdr:col>13</xdr:col>
                    <xdr:colOff>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02" r:id="rId99" name="Drop Down 538">
              <controlPr defaultSize="0" autoLine="0" autoPict="0">
                <anchor moveWithCells="1">
                  <from>
                    <xdr:col>13</xdr:col>
                    <xdr:colOff>0</xdr:colOff>
                    <xdr:row>36</xdr:row>
                    <xdr:rowOff>0</xdr:rowOff>
                  </from>
                  <to>
                    <xdr:col>13</xdr:col>
                    <xdr:colOff>828675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03" r:id="rId100" name="Drop Down 539">
              <controlPr defaultSize="0" autoLine="0" autoPict="0">
                <anchor moveWithCells="1">
                  <from>
                    <xdr:col>12</xdr:col>
                    <xdr:colOff>0</xdr:colOff>
                    <xdr:row>37</xdr:row>
                    <xdr:rowOff>0</xdr:rowOff>
                  </from>
                  <to>
                    <xdr:col>13</xdr:col>
                    <xdr:colOff>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04" r:id="rId101" name="Drop Down 540">
              <controlPr defaultSize="0" autoLine="0" autoPict="0">
                <anchor moveWithCells="1">
                  <from>
                    <xdr:col>13</xdr:col>
                    <xdr:colOff>0</xdr:colOff>
                    <xdr:row>37</xdr:row>
                    <xdr:rowOff>0</xdr:rowOff>
                  </from>
                  <to>
                    <xdr:col>13</xdr:col>
                    <xdr:colOff>828675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05" r:id="rId102" name="Drop Down 541">
              <controlPr defaultSize="0" autoLine="0" autoPict="0">
                <anchor moveWithCells="1">
                  <from>
                    <xdr:col>12</xdr:col>
                    <xdr:colOff>0</xdr:colOff>
                    <xdr:row>38</xdr:row>
                    <xdr:rowOff>0</xdr:rowOff>
                  </from>
                  <to>
                    <xdr:col>13</xdr:col>
                    <xdr:colOff>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06" r:id="rId103" name="Drop Down 542">
              <controlPr defaultSize="0" autoLine="0" autoPict="0">
                <anchor moveWithCells="1">
                  <from>
                    <xdr:col>13</xdr:col>
                    <xdr:colOff>0</xdr:colOff>
                    <xdr:row>38</xdr:row>
                    <xdr:rowOff>0</xdr:rowOff>
                  </from>
                  <to>
                    <xdr:col>13</xdr:col>
                    <xdr:colOff>828675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07" r:id="rId104" name="Drop Down 543">
              <controlPr defaultSize="0" autoLine="0" autoPict="0">
                <anchor moveWithCells="1">
                  <from>
                    <xdr:col>12</xdr:col>
                    <xdr:colOff>0</xdr:colOff>
                    <xdr:row>44</xdr:row>
                    <xdr:rowOff>0</xdr:rowOff>
                  </from>
                  <to>
                    <xdr:col>13</xdr:col>
                    <xdr:colOff>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08" r:id="rId105" name="Drop Down 544">
              <controlPr defaultSize="0" autoLine="0" autoPict="0">
                <anchor moveWithCells="1">
                  <from>
                    <xdr:col>13</xdr:col>
                    <xdr:colOff>0</xdr:colOff>
                    <xdr:row>44</xdr:row>
                    <xdr:rowOff>0</xdr:rowOff>
                  </from>
                  <to>
                    <xdr:col>13</xdr:col>
                    <xdr:colOff>828675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09" r:id="rId106" name="Drop Down 545">
              <controlPr defaultSize="0" autoLine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4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10" r:id="rId107" name="Drop Down 546">
              <controlPr defaultSize="0" autoLine="0" autoPict="0">
                <anchor moveWithCells="1">
                  <from>
                    <xdr:col>4</xdr:col>
                    <xdr:colOff>0</xdr:colOff>
                    <xdr:row>20</xdr:row>
                    <xdr:rowOff>0</xdr:rowOff>
                  </from>
                  <to>
                    <xdr:col>5</xdr:col>
                    <xdr:colOff>9525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14" r:id="rId108" name="Drop Down 550">
              <controlPr defaultSize="0" autoLine="0" autoPict="0">
                <anchor moveWithCells="1">
                  <from>
                    <xdr:col>14</xdr:col>
                    <xdr:colOff>0</xdr:colOff>
                    <xdr:row>20</xdr:row>
                    <xdr:rowOff>0</xdr:rowOff>
                  </from>
                  <to>
                    <xdr:col>16</xdr:col>
                    <xdr:colOff>9525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15" r:id="rId109" name="Drop Down 551">
              <controlPr defaultSize="0" autoLine="0" autoPict="0">
                <anchor moveWithCells="1">
                  <from>
                    <xdr:col>16</xdr:col>
                    <xdr:colOff>0</xdr:colOff>
                    <xdr:row>20</xdr:row>
                    <xdr:rowOff>0</xdr:rowOff>
                  </from>
                  <to>
                    <xdr:col>17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16" r:id="rId110" name="Drop Down 552">
              <controlPr defaultSize="0" autoLine="0" autoPict="0">
                <anchor moveWithCells="1">
                  <from>
                    <xdr:col>3</xdr:col>
                    <xdr:colOff>0</xdr:colOff>
                    <xdr:row>21</xdr:row>
                    <xdr:rowOff>0</xdr:rowOff>
                  </from>
                  <to>
                    <xdr:col>4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17" r:id="rId111" name="Drop Down 553">
              <controlPr defaultSize="0" autoLine="0" autoPict="0">
                <anchor moveWithCells="1">
                  <from>
                    <xdr:col>4</xdr:col>
                    <xdr:colOff>0</xdr:colOff>
                    <xdr:row>21</xdr:row>
                    <xdr:rowOff>0</xdr:rowOff>
                  </from>
                  <to>
                    <xdr:col>5</xdr:col>
                    <xdr:colOff>9525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21" r:id="rId112" name="Drop Down 557">
              <controlPr defaultSize="0" autoLine="0" autoPict="0">
                <anchor moveWithCells="1">
                  <from>
                    <xdr:col>14</xdr:col>
                    <xdr:colOff>0</xdr:colOff>
                    <xdr:row>21</xdr:row>
                    <xdr:rowOff>0</xdr:rowOff>
                  </from>
                  <to>
                    <xdr:col>16</xdr:col>
                    <xdr:colOff>9525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22" r:id="rId113" name="Drop Down 558">
              <controlPr defaultSize="0" autoLine="0" autoPict="0">
                <anchor moveWithCells="1">
                  <from>
                    <xdr:col>16</xdr:col>
                    <xdr:colOff>0</xdr:colOff>
                    <xdr:row>21</xdr:row>
                    <xdr:rowOff>0</xdr:rowOff>
                  </from>
                  <to>
                    <xdr:col>17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23" r:id="rId114" name="Drop Down 559">
              <controlPr defaultSize="0" autoLine="0" autoPict="0">
                <anchor moveWithCells="1">
                  <from>
                    <xdr:col>3</xdr:col>
                    <xdr:colOff>0</xdr:colOff>
                    <xdr:row>22</xdr:row>
                    <xdr:rowOff>0</xdr:rowOff>
                  </from>
                  <to>
                    <xdr:col>4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24" r:id="rId115" name="Drop Down 560">
              <controlPr defaultSize="0" autoLine="0" autoPict="0">
                <anchor moveWithCells="1">
                  <from>
                    <xdr:col>4</xdr:col>
                    <xdr:colOff>0</xdr:colOff>
                    <xdr:row>22</xdr:row>
                    <xdr:rowOff>0</xdr:rowOff>
                  </from>
                  <to>
                    <xdr:col>5</xdr:col>
                    <xdr:colOff>9525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28" r:id="rId116" name="Drop Down 564">
              <controlPr defaultSize="0" autoLine="0" autoPict="0">
                <anchor moveWithCells="1">
                  <from>
                    <xdr:col>14</xdr:col>
                    <xdr:colOff>0</xdr:colOff>
                    <xdr:row>22</xdr:row>
                    <xdr:rowOff>0</xdr:rowOff>
                  </from>
                  <to>
                    <xdr:col>16</xdr:col>
                    <xdr:colOff>9525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29" r:id="rId117" name="Drop Down 565">
              <controlPr defaultSize="0" autoLine="0" autoPict="0">
                <anchor moveWithCells="1">
                  <from>
                    <xdr:col>16</xdr:col>
                    <xdr:colOff>0</xdr:colOff>
                    <xdr:row>22</xdr:row>
                    <xdr:rowOff>0</xdr:rowOff>
                  </from>
                  <to>
                    <xdr:col>17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30" r:id="rId118" name="Drop Down 566">
              <controlPr defaultSize="0" autoLine="0" autoPict="0">
                <anchor moveWithCells="1">
                  <from>
                    <xdr:col>3</xdr:col>
                    <xdr:colOff>0</xdr:colOff>
                    <xdr:row>23</xdr:row>
                    <xdr:rowOff>0</xdr:rowOff>
                  </from>
                  <to>
                    <xdr:col>4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31" r:id="rId119" name="Drop Down 567">
              <controlPr defaultSize="0" autoLine="0" autoPict="0">
                <anchor moveWithCells="1">
                  <from>
                    <xdr:col>4</xdr:col>
                    <xdr:colOff>0</xdr:colOff>
                    <xdr:row>23</xdr:row>
                    <xdr:rowOff>0</xdr:rowOff>
                  </from>
                  <to>
                    <xdr:col>5</xdr:col>
                    <xdr:colOff>9525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35" r:id="rId120" name="Drop Down 571">
              <controlPr defaultSize="0" autoLine="0" autoPict="0">
                <anchor moveWithCells="1">
                  <from>
                    <xdr:col>14</xdr:col>
                    <xdr:colOff>0</xdr:colOff>
                    <xdr:row>23</xdr:row>
                    <xdr:rowOff>0</xdr:rowOff>
                  </from>
                  <to>
                    <xdr:col>16</xdr:col>
                    <xdr:colOff>9525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36" r:id="rId121" name="Drop Down 572">
              <controlPr defaultSize="0" autoLine="0" autoPict="0">
                <anchor moveWithCells="1">
                  <from>
                    <xdr:col>16</xdr:col>
                    <xdr:colOff>0</xdr:colOff>
                    <xdr:row>23</xdr:row>
                    <xdr:rowOff>0</xdr:rowOff>
                  </from>
                  <to>
                    <xdr:col>17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37" r:id="rId122" name="Drop Down 573">
              <controlPr defaultSize="0" autoLine="0" autoPict="0">
                <anchor moveWithCells="1">
                  <from>
                    <xdr:col>3</xdr:col>
                    <xdr:colOff>0</xdr:colOff>
                    <xdr:row>24</xdr:row>
                    <xdr:rowOff>0</xdr:rowOff>
                  </from>
                  <to>
                    <xdr:col>4</xdr:col>
                    <xdr:colOff>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38" r:id="rId123" name="Drop Down 574">
              <controlPr defaultSize="0" autoLine="0" autoPict="0">
                <anchor moveWithCells="1">
                  <from>
                    <xdr:col>4</xdr:col>
                    <xdr:colOff>0</xdr:colOff>
                    <xdr:row>24</xdr:row>
                    <xdr:rowOff>0</xdr:rowOff>
                  </from>
                  <to>
                    <xdr:col>5</xdr:col>
                    <xdr:colOff>9525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42" r:id="rId124" name="Drop Down 578">
              <controlPr defaultSize="0" autoLine="0" autoPict="0">
                <anchor moveWithCells="1">
                  <from>
                    <xdr:col>14</xdr:col>
                    <xdr:colOff>0</xdr:colOff>
                    <xdr:row>24</xdr:row>
                    <xdr:rowOff>0</xdr:rowOff>
                  </from>
                  <to>
                    <xdr:col>16</xdr:col>
                    <xdr:colOff>9525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43" r:id="rId125" name="Drop Down 579">
              <controlPr defaultSize="0" autoLine="0" autoPict="0">
                <anchor moveWithCells="1">
                  <from>
                    <xdr:col>16</xdr:col>
                    <xdr:colOff>0</xdr:colOff>
                    <xdr:row>24</xdr:row>
                    <xdr:rowOff>0</xdr:rowOff>
                  </from>
                  <to>
                    <xdr:col>17</xdr:col>
                    <xdr:colOff>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79" r:id="rId126" name="Drop Down 615">
              <controlPr defaultSize="0" autoLine="0" autoPict="0">
                <anchor moveWithCells="1">
                  <from>
                    <xdr:col>3</xdr:col>
                    <xdr:colOff>0</xdr:colOff>
                    <xdr:row>15</xdr:row>
                    <xdr:rowOff>0</xdr:rowOff>
                  </from>
                  <to>
                    <xdr:col>4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80" r:id="rId127" name="Drop Down 616">
              <controlPr defaultSize="0" autoLine="0" autoPict="0">
                <anchor moveWithCells="1">
                  <from>
                    <xdr:col>4</xdr:col>
                    <xdr:colOff>0</xdr:colOff>
                    <xdr:row>15</xdr:row>
                    <xdr:rowOff>0</xdr:rowOff>
                  </from>
                  <to>
                    <xdr:col>5</xdr:col>
                    <xdr:colOff>9525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84" r:id="rId128" name="Drop Down 620">
              <controlPr defaultSize="0" autoLine="0" autoPict="0">
                <anchor moveWithCells="1">
                  <from>
                    <xdr:col>14</xdr:col>
                    <xdr:colOff>0</xdr:colOff>
                    <xdr:row>15</xdr:row>
                    <xdr:rowOff>0</xdr:rowOff>
                  </from>
                  <to>
                    <xdr:col>16</xdr:col>
                    <xdr:colOff>9525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85" r:id="rId129" name="Drop Down 621">
              <controlPr defaultSize="0" autoLine="0" autoPict="0">
                <anchor moveWithCells="1">
                  <from>
                    <xdr:col>16</xdr:col>
                    <xdr:colOff>0</xdr:colOff>
                    <xdr:row>15</xdr:row>
                    <xdr:rowOff>0</xdr:rowOff>
                  </from>
                  <to>
                    <xdr:col>17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86" r:id="rId130" name="Drop Down 622">
              <controlPr defaultSize="0" autoLine="0" autoPict="0">
                <anchor moveWithCells="1">
                  <from>
                    <xdr:col>3</xdr:col>
                    <xdr:colOff>0</xdr:colOff>
                    <xdr:row>16</xdr:row>
                    <xdr:rowOff>0</xdr:rowOff>
                  </from>
                  <to>
                    <xdr:col>4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87" r:id="rId131" name="Drop Down 623">
              <controlPr defaultSize="0" autoLine="0" autoPict="0">
                <anchor moveWithCells="1">
                  <from>
                    <xdr:col>4</xdr:col>
                    <xdr:colOff>0</xdr:colOff>
                    <xdr:row>16</xdr:row>
                    <xdr:rowOff>0</xdr:rowOff>
                  </from>
                  <to>
                    <xdr:col>5</xdr:col>
                    <xdr:colOff>9525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91" r:id="rId132" name="Drop Down 627">
              <controlPr defaultSize="0" autoLine="0" autoPict="0">
                <anchor moveWithCells="1">
                  <from>
                    <xdr:col>14</xdr:col>
                    <xdr:colOff>0</xdr:colOff>
                    <xdr:row>16</xdr:row>
                    <xdr:rowOff>0</xdr:rowOff>
                  </from>
                  <to>
                    <xdr:col>16</xdr:col>
                    <xdr:colOff>9525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92" r:id="rId133" name="Drop Down 628">
              <controlPr defaultSize="0" autoLine="0" autoPict="0">
                <anchor moveWithCells="1">
                  <from>
                    <xdr:col>16</xdr:col>
                    <xdr:colOff>0</xdr:colOff>
                    <xdr:row>16</xdr:row>
                    <xdr:rowOff>0</xdr:rowOff>
                  </from>
                  <to>
                    <xdr:col>17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93" r:id="rId134" name="Drop Down 629">
              <controlPr defaultSize="0" autoLine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4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94" r:id="rId135" name="Drop Down 630">
              <controlPr defaultSize="0" autoLine="0" autoPict="0">
                <anchor moveWithCells="1">
                  <from>
                    <xdr:col>4</xdr:col>
                    <xdr:colOff>0</xdr:colOff>
                    <xdr:row>17</xdr:row>
                    <xdr:rowOff>0</xdr:rowOff>
                  </from>
                  <to>
                    <xdr:col>5</xdr:col>
                    <xdr:colOff>9525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98" r:id="rId136" name="Drop Down 634">
              <controlPr defaultSize="0" autoLine="0" autoPict="0">
                <anchor moveWithCells="1">
                  <from>
                    <xdr:col>14</xdr:col>
                    <xdr:colOff>0</xdr:colOff>
                    <xdr:row>17</xdr:row>
                    <xdr:rowOff>0</xdr:rowOff>
                  </from>
                  <to>
                    <xdr:col>16</xdr:col>
                    <xdr:colOff>9525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99" r:id="rId137" name="Drop Down 635">
              <controlPr defaultSize="0" autoLine="0" autoPict="0">
                <anchor moveWithCells="1">
                  <from>
                    <xdr:col>16</xdr:col>
                    <xdr:colOff>0</xdr:colOff>
                    <xdr:row>17</xdr:row>
                    <xdr:rowOff>0</xdr:rowOff>
                  </from>
                  <to>
                    <xdr:col>17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00" r:id="rId138" name="Drop Down 636">
              <controlPr defaultSize="0" autoLine="0" autoPict="0">
                <anchor moveWithCells="1">
                  <from>
                    <xdr:col>3</xdr:col>
                    <xdr:colOff>0</xdr:colOff>
                    <xdr:row>18</xdr:row>
                    <xdr:rowOff>0</xdr:rowOff>
                  </from>
                  <to>
                    <xdr:col>4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01" r:id="rId139" name="Drop Down 637">
              <controlPr defaultSize="0" autoLine="0" autoPict="0">
                <anchor moveWithCells="1">
                  <from>
                    <xdr:col>4</xdr:col>
                    <xdr:colOff>0</xdr:colOff>
                    <xdr:row>18</xdr:row>
                    <xdr:rowOff>0</xdr:rowOff>
                  </from>
                  <to>
                    <xdr:col>5</xdr:col>
                    <xdr:colOff>9525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05" r:id="rId140" name="Drop Down 641">
              <controlPr defaultSize="0" autoLine="0" autoPict="0">
                <anchor moveWithCells="1">
                  <from>
                    <xdr:col>14</xdr:col>
                    <xdr:colOff>0</xdr:colOff>
                    <xdr:row>18</xdr:row>
                    <xdr:rowOff>0</xdr:rowOff>
                  </from>
                  <to>
                    <xdr:col>16</xdr:col>
                    <xdr:colOff>9525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06" r:id="rId141" name="Drop Down 642">
              <controlPr defaultSize="0" autoLine="0" autoPict="0">
                <anchor moveWithCells="1">
                  <from>
                    <xdr:col>16</xdr:col>
                    <xdr:colOff>0</xdr:colOff>
                    <xdr:row>18</xdr:row>
                    <xdr:rowOff>0</xdr:rowOff>
                  </from>
                  <to>
                    <xdr:col>17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07" r:id="rId142" name="Drop Down 643">
              <controlPr defaultSize="0" autoLine="0" autoPict="0">
                <anchor moveWithCells="1">
                  <from>
                    <xdr:col>3</xdr:col>
                    <xdr:colOff>0</xdr:colOff>
                    <xdr:row>19</xdr:row>
                    <xdr:rowOff>0</xdr:rowOff>
                  </from>
                  <to>
                    <xdr:col>4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08" r:id="rId143" name="Drop Down 644">
              <controlPr defaultSize="0" autoLine="0" autoPict="0">
                <anchor moveWithCells="1">
                  <from>
                    <xdr:col>4</xdr:col>
                    <xdr:colOff>0</xdr:colOff>
                    <xdr:row>19</xdr:row>
                    <xdr:rowOff>0</xdr:rowOff>
                  </from>
                  <to>
                    <xdr:col>5</xdr:col>
                    <xdr:colOff>9525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12" r:id="rId144" name="Drop Down 648">
              <controlPr defaultSize="0" autoLine="0" autoPict="0">
                <anchor moveWithCells="1">
                  <from>
                    <xdr:col>14</xdr:col>
                    <xdr:colOff>0</xdr:colOff>
                    <xdr:row>19</xdr:row>
                    <xdr:rowOff>0</xdr:rowOff>
                  </from>
                  <to>
                    <xdr:col>16</xdr:col>
                    <xdr:colOff>9525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13" r:id="rId145" name="Drop Down 649">
              <controlPr defaultSize="0" autoLine="0" autoPict="0">
                <anchor moveWithCells="1">
                  <from>
                    <xdr:col>16</xdr:col>
                    <xdr:colOff>0</xdr:colOff>
                    <xdr:row>19</xdr:row>
                    <xdr:rowOff>0</xdr:rowOff>
                  </from>
                  <to>
                    <xdr:col>17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14" r:id="rId146" name="Drop Down 650">
              <controlPr defaultSize="0" autoLine="0" autoPict="0">
                <anchor moveWithCells="1">
                  <from>
                    <xdr:col>12</xdr:col>
                    <xdr:colOff>0</xdr:colOff>
                    <xdr:row>39</xdr:row>
                    <xdr:rowOff>0</xdr:rowOff>
                  </from>
                  <to>
                    <xdr:col>13</xdr:col>
                    <xdr:colOff>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15" r:id="rId147" name="Drop Down 651">
              <controlPr defaultSize="0" autoLine="0" autoPict="0">
                <anchor moveWithCells="1">
                  <from>
                    <xdr:col>13</xdr:col>
                    <xdr:colOff>0</xdr:colOff>
                    <xdr:row>39</xdr:row>
                    <xdr:rowOff>0</xdr:rowOff>
                  </from>
                  <to>
                    <xdr:col>13</xdr:col>
                    <xdr:colOff>828675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16" r:id="rId148" name="Drop Down 652">
              <controlPr defaultSize="0" autoLine="0" autoPict="0">
                <anchor moveWithCells="1">
                  <from>
                    <xdr:col>12</xdr:col>
                    <xdr:colOff>0</xdr:colOff>
                    <xdr:row>40</xdr:row>
                    <xdr:rowOff>0</xdr:rowOff>
                  </from>
                  <to>
                    <xdr:col>13</xdr:col>
                    <xdr:colOff>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17" r:id="rId149" name="Drop Down 653">
              <controlPr defaultSize="0" autoLine="0" autoPict="0">
                <anchor moveWithCells="1">
                  <from>
                    <xdr:col>13</xdr:col>
                    <xdr:colOff>0</xdr:colOff>
                    <xdr:row>40</xdr:row>
                    <xdr:rowOff>0</xdr:rowOff>
                  </from>
                  <to>
                    <xdr:col>13</xdr:col>
                    <xdr:colOff>828675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18" r:id="rId150" name="Drop Down 654">
              <controlPr defaultSize="0" autoLine="0" autoPict="0">
                <anchor moveWithCells="1">
                  <from>
                    <xdr:col>12</xdr:col>
                    <xdr:colOff>0</xdr:colOff>
                    <xdr:row>41</xdr:row>
                    <xdr:rowOff>0</xdr:rowOff>
                  </from>
                  <to>
                    <xdr:col>13</xdr:col>
                    <xdr:colOff>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19" r:id="rId151" name="Drop Down 655">
              <controlPr defaultSize="0" autoLine="0" autoPict="0">
                <anchor moveWithCells="1">
                  <from>
                    <xdr:col>13</xdr:col>
                    <xdr:colOff>0</xdr:colOff>
                    <xdr:row>41</xdr:row>
                    <xdr:rowOff>0</xdr:rowOff>
                  </from>
                  <to>
                    <xdr:col>13</xdr:col>
                    <xdr:colOff>828675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20" r:id="rId152" name="Drop Down 656">
              <controlPr defaultSize="0" autoLine="0" autoPict="0">
                <anchor moveWithCells="1">
                  <from>
                    <xdr:col>12</xdr:col>
                    <xdr:colOff>0</xdr:colOff>
                    <xdr:row>42</xdr:row>
                    <xdr:rowOff>0</xdr:rowOff>
                  </from>
                  <to>
                    <xdr:col>13</xdr:col>
                    <xdr:colOff>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21" r:id="rId153" name="Drop Down 657">
              <controlPr defaultSize="0" autoLine="0" autoPict="0">
                <anchor moveWithCells="1">
                  <from>
                    <xdr:col>13</xdr:col>
                    <xdr:colOff>0</xdr:colOff>
                    <xdr:row>42</xdr:row>
                    <xdr:rowOff>0</xdr:rowOff>
                  </from>
                  <to>
                    <xdr:col>13</xdr:col>
                    <xdr:colOff>828675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22" r:id="rId154" name="Drop Down 658">
              <controlPr defaultSize="0" autoLine="0" autoPict="0">
                <anchor moveWithCells="1">
                  <from>
                    <xdr:col>12</xdr:col>
                    <xdr:colOff>0</xdr:colOff>
                    <xdr:row>43</xdr:row>
                    <xdr:rowOff>0</xdr:rowOff>
                  </from>
                  <to>
                    <xdr:col>13</xdr:col>
                    <xdr:colOff>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23" r:id="rId155" name="Drop Down 659">
              <controlPr defaultSize="0" autoLine="0" autoPict="0">
                <anchor moveWithCells="1">
                  <from>
                    <xdr:col>13</xdr:col>
                    <xdr:colOff>0</xdr:colOff>
                    <xdr:row>43</xdr:row>
                    <xdr:rowOff>0</xdr:rowOff>
                  </from>
                  <to>
                    <xdr:col>13</xdr:col>
                    <xdr:colOff>828675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24" r:id="rId156" name="Drop Down 660">
              <controlPr defaultSize="0" autoLine="0" autoPict="0">
                <anchor moveWithCells="1">
                  <from>
                    <xdr:col>3</xdr:col>
                    <xdr:colOff>0</xdr:colOff>
                    <xdr:row>65</xdr:row>
                    <xdr:rowOff>0</xdr:rowOff>
                  </from>
                  <to>
                    <xdr:col>4</xdr:col>
                    <xdr:colOff>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25" r:id="rId157" name="Drop Down 661">
              <controlPr defaultSize="0" autoLine="0" autoPict="0">
                <anchor moveWithCells="1">
                  <from>
                    <xdr:col>4</xdr:col>
                    <xdr:colOff>0</xdr:colOff>
                    <xdr:row>65</xdr:row>
                    <xdr:rowOff>0</xdr:rowOff>
                  </from>
                  <to>
                    <xdr:col>5</xdr:col>
                    <xdr:colOff>9525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31" r:id="rId158" name="Drop Down 667">
              <controlPr defaultSize="0" autoLine="0" autoPict="0">
                <anchor moveWithCells="1">
                  <from>
                    <xdr:col>14</xdr:col>
                    <xdr:colOff>0</xdr:colOff>
                    <xdr:row>65</xdr:row>
                    <xdr:rowOff>0</xdr:rowOff>
                  </from>
                  <to>
                    <xdr:col>16</xdr:col>
                    <xdr:colOff>9525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32" r:id="rId159" name="Drop Down 668">
              <controlPr defaultSize="0" autoLine="0" autoPict="0">
                <anchor moveWithCells="1">
                  <from>
                    <xdr:col>16</xdr:col>
                    <xdr:colOff>0</xdr:colOff>
                    <xdr:row>65</xdr:row>
                    <xdr:rowOff>0</xdr:rowOff>
                  </from>
                  <to>
                    <xdr:col>17</xdr:col>
                    <xdr:colOff>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33" r:id="rId160" name="Drop Down 669">
              <controlPr defaultSize="0" autoLine="0" autoPict="0">
                <anchor moveWithCells="1">
                  <from>
                    <xdr:col>3</xdr:col>
                    <xdr:colOff>0</xdr:colOff>
                    <xdr:row>66</xdr:row>
                    <xdr:rowOff>0</xdr:rowOff>
                  </from>
                  <to>
                    <xdr:col>4</xdr:col>
                    <xdr:colOff>0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34" r:id="rId161" name="Drop Down 670">
              <controlPr defaultSize="0" autoLine="0" autoPict="0">
                <anchor moveWithCells="1">
                  <from>
                    <xdr:col>4</xdr:col>
                    <xdr:colOff>0</xdr:colOff>
                    <xdr:row>66</xdr:row>
                    <xdr:rowOff>0</xdr:rowOff>
                  </from>
                  <to>
                    <xdr:col>5</xdr:col>
                    <xdr:colOff>9525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40" r:id="rId162" name="Drop Down 676">
              <controlPr defaultSize="0" autoLine="0" autoPict="0">
                <anchor moveWithCells="1">
                  <from>
                    <xdr:col>14</xdr:col>
                    <xdr:colOff>0</xdr:colOff>
                    <xdr:row>66</xdr:row>
                    <xdr:rowOff>0</xdr:rowOff>
                  </from>
                  <to>
                    <xdr:col>16</xdr:col>
                    <xdr:colOff>9525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41" r:id="rId163" name="Drop Down 677">
              <controlPr defaultSize="0" autoLine="0" autoPict="0">
                <anchor moveWithCells="1">
                  <from>
                    <xdr:col>16</xdr:col>
                    <xdr:colOff>0</xdr:colOff>
                    <xdr:row>66</xdr:row>
                    <xdr:rowOff>0</xdr:rowOff>
                  </from>
                  <to>
                    <xdr:col>17</xdr:col>
                    <xdr:colOff>0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42" r:id="rId164" name="Drop Down 678">
              <controlPr defaultSize="0" autoLine="0" autoPict="0">
                <anchor moveWithCells="1">
                  <from>
                    <xdr:col>3</xdr:col>
                    <xdr:colOff>0</xdr:colOff>
                    <xdr:row>67</xdr:row>
                    <xdr:rowOff>0</xdr:rowOff>
                  </from>
                  <to>
                    <xdr:col>4</xdr:col>
                    <xdr:colOff>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43" r:id="rId165" name="Drop Down 679">
              <controlPr defaultSize="0" autoLine="0" autoPict="0">
                <anchor moveWithCells="1">
                  <from>
                    <xdr:col>4</xdr:col>
                    <xdr:colOff>0</xdr:colOff>
                    <xdr:row>67</xdr:row>
                    <xdr:rowOff>0</xdr:rowOff>
                  </from>
                  <to>
                    <xdr:col>5</xdr:col>
                    <xdr:colOff>9525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49" r:id="rId166" name="Drop Down 685">
              <controlPr defaultSize="0" autoLine="0" autoPict="0">
                <anchor moveWithCells="1">
                  <from>
                    <xdr:col>14</xdr:col>
                    <xdr:colOff>0</xdr:colOff>
                    <xdr:row>67</xdr:row>
                    <xdr:rowOff>0</xdr:rowOff>
                  </from>
                  <to>
                    <xdr:col>16</xdr:col>
                    <xdr:colOff>9525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50" r:id="rId167" name="Drop Down 686">
              <controlPr defaultSize="0" autoLine="0" autoPict="0">
                <anchor moveWithCells="1">
                  <from>
                    <xdr:col>16</xdr:col>
                    <xdr:colOff>0</xdr:colOff>
                    <xdr:row>67</xdr:row>
                    <xdr:rowOff>0</xdr:rowOff>
                  </from>
                  <to>
                    <xdr:col>17</xdr:col>
                    <xdr:colOff>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51" r:id="rId168" name="Drop Down 687">
              <controlPr defaultSize="0" autoLine="0" autoPict="0">
                <anchor moveWithCells="1">
                  <from>
                    <xdr:col>3</xdr:col>
                    <xdr:colOff>0</xdr:colOff>
                    <xdr:row>68</xdr:row>
                    <xdr:rowOff>0</xdr:rowOff>
                  </from>
                  <to>
                    <xdr:col>4</xdr:col>
                    <xdr:colOff>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52" r:id="rId169" name="Drop Down 688">
              <controlPr defaultSize="0" autoLine="0" autoPict="0">
                <anchor moveWithCells="1">
                  <from>
                    <xdr:col>4</xdr:col>
                    <xdr:colOff>0</xdr:colOff>
                    <xdr:row>68</xdr:row>
                    <xdr:rowOff>0</xdr:rowOff>
                  </from>
                  <to>
                    <xdr:col>5</xdr:col>
                    <xdr:colOff>9525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58" r:id="rId170" name="Drop Down 694">
              <controlPr defaultSize="0" autoLine="0" autoPict="0">
                <anchor moveWithCells="1">
                  <from>
                    <xdr:col>14</xdr:col>
                    <xdr:colOff>0</xdr:colOff>
                    <xdr:row>68</xdr:row>
                    <xdr:rowOff>0</xdr:rowOff>
                  </from>
                  <to>
                    <xdr:col>16</xdr:col>
                    <xdr:colOff>9525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59" r:id="rId171" name="Drop Down 695">
              <controlPr defaultSize="0" autoLine="0" autoPict="0">
                <anchor moveWithCells="1">
                  <from>
                    <xdr:col>16</xdr:col>
                    <xdr:colOff>0</xdr:colOff>
                    <xdr:row>68</xdr:row>
                    <xdr:rowOff>0</xdr:rowOff>
                  </from>
                  <to>
                    <xdr:col>17</xdr:col>
                    <xdr:colOff>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60" r:id="rId172" name="Drop Down 696">
              <controlPr defaultSize="0" autoLine="0" autoPict="0">
                <anchor moveWithCells="1">
                  <from>
                    <xdr:col>3</xdr:col>
                    <xdr:colOff>0</xdr:colOff>
                    <xdr:row>69</xdr:row>
                    <xdr:rowOff>0</xdr:rowOff>
                  </from>
                  <to>
                    <xdr:col>4</xdr:col>
                    <xdr:colOff>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61" r:id="rId173" name="Drop Down 697">
              <controlPr defaultSize="0" autoLine="0" autoPict="0">
                <anchor moveWithCells="1">
                  <from>
                    <xdr:col>4</xdr:col>
                    <xdr:colOff>0</xdr:colOff>
                    <xdr:row>69</xdr:row>
                    <xdr:rowOff>0</xdr:rowOff>
                  </from>
                  <to>
                    <xdr:col>5</xdr:col>
                    <xdr:colOff>9525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67" r:id="rId174" name="Drop Down 703">
              <controlPr defaultSize="0" autoLine="0" autoPict="0">
                <anchor moveWithCells="1">
                  <from>
                    <xdr:col>14</xdr:col>
                    <xdr:colOff>0</xdr:colOff>
                    <xdr:row>69</xdr:row>
                    <xdr:rowOff>0</xdr:rowOff>
                  </from>
                  <to>
                    <xdr:col>16</xdr:col>
                    <xdr:colOff>9525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68" r:id="rId175" name="Drop Down 704">
              <controlPr defaultSize="0" autoLine="0" autoPict="0">
                <anchor moveWithCells="1">
                  <from>
                    <xdr:col>16</xdr:col>
                    <xdr:colOff>0</xdr:colOff>
                    <xdr:row>69</xdr:row>
                    <xdr:rowOff>0</xdr:rowOff>
                  </from>
                  <to>
                    <xdr:col>17</xdr:col>
                    <xdr:colOff>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79" r:id="rId176" name="Drop Down 715">
              <controlPr defaultSize="0" autoLine="0" autoPict="0">
                <anchor moveWithCells="1">
                  <from>
                    <xdr:col>12</xdr:col>
                    <xdr:colOff>0</xdr:colOff>
                    <xdr:row>77</xdr:row>
                    <xdr:rowOff>0</xdr:rowOff>
                  </from>
                  <to>
                    <xdr:col>13</xdr:col>
                    <xdr:colOff>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80" r:id="rId177" name="Drop Down 716">
              <controlPr defaultSize="0" autoLine="0" autoPict="0">
                <anchor moveWithCells="1">
                  <from>
                    <xdr:col>13</xdr:col>
                    <xdr:colOff>0</xdr:colOff>
                    <xdr:row>77</xdr:row>
                    <xdr:rowOff>0</xdr:rowOff>
                  </from>
                  <to>
                    <xdr:col>13</xdr:col>
                    <xdr:colOff>828675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81" r:id="rId178" name="Drop Down 717">
              <controlPr defaultSize="0" autoLine="0" autoPict="0">
                <anchor moveWithCells="1">
                  <from>
                    <xdr:col>12</xdr:col>
                    <xdr:colOff>0</xdr:colOff>
                    <xdr:row>78</xdr:row>
                    <xdr:rowOff>0</xdr:rowOff>
                  </from>
                  <to>
                    <xdr:col>13</xdr:col>
                    <xdr:colOff>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82" r:id="rId179" name="Drop Down 718">
              <controlPr defaultSize="0" autoLine="0" autoPict="0">
                <anchor moveWithCells="1">
                  <from>
                    <xdr:col>13</xdr:col>
                    <xdr:colOff>0</xdr:colOff>
                    <xdr:row>78</xdr:row>
                    <xdr:rowOff>0</xdr:rowOff>
                  </from>
                  <to>
                    <xdr:col>13</xdr:col>
                    <xdr:colOff>828675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83" r:id="rId180" name="Drop Down 719">
              <controlPr defaultSize="0" autoLine="0" autoPict="0">
                <anchor moveWithCells="1">
                  <from>
                    <xdr:col>12</xdr:col>
                    <xdr:colOff>0</xdr:colOff>
                    <xdr:row>79</xdr:row>
                    <xdr:rowOff>0</xdr:rowOff>
                  </from>
                  <to>
                    <xdr:col>13</xdr:col>
                    <xdr:colOff>0</xdr:colOff>
                    <xdr:row>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84" r:id="rId181" name="Drop Down 720">
              <controlPr defaultSize="0" autoLine="0" autoPict="0">
                <anchor moveWithCells="1">
                  <from>
                    <xdr:col>13</xdr:col>
                    <xdr:colOff>0</xdr:colOff>
                    <xdr:row>79</xdr:row>
                    <xdr:rowOff>0</xdr:rowOff>
                  </from>
                  <to>
                    <xdr:col>13</xdr:col>
                    <xdr:colOff>828675</xdr:colOff>
                    <xdr:row>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85" r:id="rId182" name="Drop Down 721">
              <controlPr defaultSize="0" autoLine="0" autoPict="0">
                <anchor moveWithCells="1">
                  <from>
                    <xdr:col>12</xdr:col>
                    <xdr:colOff>0</xdr:colOff>
                    <xdr:row>80</xdr:row>
                    <xdr:rowOff>0</xdr:rowOff>
                  </from>
                  <to>
                    <xdr:col>13</xdr:col>
                    <xdr:colOff>0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86" r:id="rId183" name="Drop Down 722">
              <controlPr defaultSize="0" autoLine="0" autoPict="0">
                <anchor moveWithCells="1">
                  <from>
                    <xdr:col>13</xdr:col>
                    <xdr:colOff>0</xdr:colOff>
                    <xdr:row>80</xdr:row>
                    <xdr:rowOff>0</xdr:rowOff>
                  </from>
                  <to>
                    <xdr:col>13</xdr:col>
                    <xdr:colOff>828675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87" r:id="rId184" name="Drop Down 723">
              <controlPr defaultSize="0" autoLine="0" autoPict="0">
                <anchor moveWithCells="1">
                  <from>
                    <xdr:col>12</xdr:col>
                    <xdr:colOff>0</xdr:colOff>
                    <xdr:row>81</xdr:row>
                    <xdr:rowOff>0</xdr:rowOff>
                  </from>
                  <to>
                    <xdr:col>13</xdr:col>
                    <xdr:colOff>0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88" r:id="rId185" name="Drop Down 724">
              <controlPr defaultSize="0" autoLine="0" autoPict="0">
                <anchor moveWithCells="1">
                  <from>
                    <xdr:col>13</xdr:col>
                    <xdr:colOff>0</xdr:colOff>
                    <xdr:row>81</xdr:row>
                    <xdr:rowOff>0</xdr:rowOff>
                  </from>
                  <to>
                    <xdr:col>13</xdr:col>
                    <xdr:colOff>828675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531" r:id="rId186" name="Drop Down 1259">
              <controlPr defaultSize="0" autoLine="0" autoPict="0">
                <anchor moveWithCells="1">
                  <from>
                    <xdr:col>2</xdr:col>
                    <xdr:colOff>9525</xdr:colOff>
                    <xdr:row>8</xdr:row>
                    <xdr:rowOff>0</xdr:rowOff>
                  </from>
                  <to>
                    <xdr:col>3</xdr:col>
                    <xdr:colOff>0</xdr:colOff>
                    <xdr:row>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5224" r:id="rId187" name="Drop Down 2056">
              <controlPr defaultSize="0" autoLine="0" autoPict="0">
                <anchor moveWithCells="1">
                  <from>
                    <xdr:col>1</xdr:col>
                    <xdr:colOff>0</xdr:colOff>
                    <xdr:row>90</xdr:row>
                    <xdr:rowOff>0</xdr:rowOff>
                  </from>
                  <to>
                    <xdr:col>2</xdr:col>
                    <xdr:colOff>0</xdr:colOff>
                    <xdr:row>91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5225" r:id="rId188" name="Drop Down 2057">
              <controlPr defaultSize="0" autoLine="0" autoPict="0">
                <anchor moveWithCells="1">
                  <from>
                    <xdr:col>1</xdr:col>
                    <xdr:colOff>0</xdr:colOff>
                    <xdr:row>91</xdr:row>
                    <xdr:rowOff>0</xdr:rowOff>
                  </from>
                  <to>
                    <xdr:col>2</xdr:col>
                    <xdr:colOff>0</xdr:colOff>
                    <xdr:row>92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5226" r:id="rId189" name="Drop Down 2058">
              <controlPr defaultSize="0" autoLine="0" autoPict="0">
                <anchor moveWithCells="1">
                  <from>
                    <xdr:col>1</xdr:col>
                    <xdr:colOff>0</xdr:colOff>
                    <xdr:row>92</xdr:row>
                    <xdr:rowOff>0</xdr:rowOff>
                  </from>
                  <to>
                    <xdr:col>2</xdr:col>
                    <xdr:colOff>0</xdr:colOff>
                    <xdr:row>93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5227" r:id="rId190" name="Drop Down 2059">
              <controlPr defaultSize="0" autoLine="0" autoPict="0">
                <anchor moveWithCells="1">
                  <from>
                    <xdr:col>1</xdr:col>
                    <xdr:colOff>0</xdr:colOff>
                    <xdr:row>93</xdr:row>
                    <xdr:rowOff>0</xdr:rowOff>
                  </from>
                  <to>
                    <xdr:col>2</xdr:col>
                    <xdr:colOff>0</xdr:colOff>
                    <xdr:row>94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5228" r:id="rId191" name="Drop Down 2060">
              <controlPr defaultSize="0" autoLine="0" autoPict="0">
                <anchor moveWithCells="1">
                  <from>
                    <xdr:col>1</xdr:col>
                    <xdr:colOff>0</xdr:colOff>
                    <xdr:row>94</xdr:row>
                    <xdr:rowOff>0</xdr:rowOff>
                  </from>
                  <to>
                    <xdr:col>2</xdr:col>
                    <xdr:colOff>0</xdr:colOff>
                    <xdr:row>95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4">
    <tabColor rgb="FF00B050"/>
  </sheetPr>
  <dimension ref="A2:CL46"/>
  <sheetViews>
    <sheetView zoomScale="90" zoomScaleNormal="90" workbookViewId="0">
      <pane ySplit="10" topLeftCell="A11" activePane="bottomLeft" state="frozen"/>
      <selection pane="bottomLeft" activeCell="D5" sqref="D5"/>
    </sheetView>
  </sheetViews>
  <sheetFormatPr defaultColWidth="9.140625" defaultRowHeight="12.75" x14ac:dyDescent="0.2"/>
  <cols>
    <col min="1" max="1" width="3.85546875" style="93" customWidth="1"/>
    <col min="2" max="2" width="13.85546875" style="93" hidden="1" customWidth="1"/>
    <col min="3" max="3" width="25.28515625" style="93" customWidth="1"/>
    <col min="4" max="4" width="18.85546875" style="93" customWidth="1"/>
    <col min="5" max="5" width="15.7109375" style="93" bestFit="1" customWidth="1"/>
    <col min="6" max="6" width="14.85546875" style="93" customWidth="1"/>
    <col min="7" max="7" width="13.28515625" style="93" bestFit="1" customWidth="1"/>
    <col min="8" max="9" width="13" style="93" bestFit="1" customWidth="1"/>
    <col min="10" max="10" width="13.5703125" style="93" bestFit="1" customWidth="1"/>
    <col min="11" max="11" width="14" style="93" bestFit="1" customWidth="1"/>
    <col min="12" max="12" width="12.5703125" style="93" bestFit="1" customWidth="1"/>
    <col min="13" max="13" width="17.140625" style="93" bestFit="1" customWidth="1"/>
    <col min="14" max="14" width="14" style="93" bestFit="1" customWidth="1"/>
    <col min="15" max="15" width="12.5703125" style="93" bestFit="1" customWidth="1"/>
    <col min="16" max="16" width="14.42578125" style="93" bestFit="1" customWidth="1"/>
    <col min="17" max="17" width="14.28515625" style="93" bestFit="1" customWidth="1"/>
    <col min="18" max="18" width="13.85546875" style="93" customWidth="1"/>
    <col min="19" max="20" width="16.42578125" style="93" customWidth="1"/>
    <col min="21" max="21" width="15.5703125" style="93" customWidth="1"/>
    <col min="22" max="22" width="14.28515625" style="93" bestFit="1" customWidth="1"/>
    <col min="23" max="23" width="15.7109375" style="93" bestFit="1" customWidth="1"/>
    <col min="24" max="24" width="15.85546875" style="93" customWidth="1"/>
    <col min="25" max="25" width="18.140625" style="93" customWidth="1"/>
    <col min="26" max="27" width="9.140625" style="93"/>
    <col min="28" max="28" width="9.140625" style="93" customWidth="1"/>
    <col min="29" max="88" width="9.140625" style="93"/>
    <col min="89" max="89" width="12.42578125" style="93" bestFit="1" customWidth="1"/>
    <col min="90" max="90" width="10.28515625" style="93" bestFit="1" customWidth="1"/>
    <col min="91" max="16384" width="9.140625" style="93"/>
  </cols>
  <sheetData>
    <row r="2" spans="1:90" ht="18" x14ac:dyDescent="0.25">
      <c r="C2" s="88" t="s">
        <v>483</v>
      </c>
      <c r="D2" s="88"/>
      <c r="F2" s="933"/>
    </row>
    <row r="3" spans="1:90" s="7" customFormat="1" ht="18.75" thickBot="1" x14ac:dyDescent="0.3">
      <c r="B3" s="109"/>
      <c r="F3" s="92" t="s">
        <v>1204</v>
      </c>
    </row>
    <row r="4" spans="1:90" s="6" customFormat="1" ht="18" x14ac:dyDescent="0.25">
      <c r="B4" s="84"/>
      <c r="S4" s="330"/>
    </row>
    <row r="5" spans="1:90" s="6" customFormat="1" ht="18.75" thickBot="1" x14ac:dyDescent="0.3">
      <c r="B5" s="84"/>
      <c r="C5" s="111" t="s">
        <v>988</v>
      </c>
      <c r="D5" s="701">
        <v>10000</v>
      </c>
      <c r="E5" s="700"/>
    </row>
    <row r="6" spans="1:90" s="6" customFormat="1" ht="18" x14ac:dyDescent="0.25">
      <c r="B6" s="84"/>
      <c r="AO6" s="2644" t="s">
        <v>1089</v>
      </c>
    </row>
    <row r="7" spans="1:90" s="6" customFormat="1" ht="18" customHeight="1" thickBot="1" x14ac:dyDescent="0.3">
      <c r="B7" s="84"/>
      <c r="C7" s="111" t="s">
        <v>409</v>
      </c>
      <c r="D7" s="701">
        <v>724</v>
      </c>
      <c r="E7" s="700"/>
      <c r="AO7" s="2645"/>
    </row>
    <row r="8" spans="1:90" s="6" customFormat="1" ht="18.75" thickBot="1" x14ac:dyDescent="0.3">
      <c r="B8" s="84"/>
      <c r="C8" s="934"/>
      <c r="E8" s="6">
        <f>D12/12</f>
        <v>7</v>
      </c>
      <c r="F8" s="2670" t="s">
        <v>1389</v>
      </c>
      <c r="G8" s="2671"/>
      <c r="H8" s="2671"/>
      <c r="I8" s="2671"/>
      <c r="J8" s="2671"/>
      <c r="K8" s="2671"/>
      <c r="L8" s="2671"/>
      <c r="M8" s="2671"/>
      <c r="N8" s="2671"/>
      <c r="O8" s="2671"/>
      <c r="P8" s="2671"/>
      <c r="Q8" s="2671"/>
      <c r="R8" s="2671"/>
      <c r="S8" s="2671"/>
      <c r="T8" s="2671"/>
      <c r="U8" s="2671"/>
      <c r="V8" s="2672"/>
      <c r="AO8" s="2646"/>
    </row>
    <row r="9" spans="1:90" ht="24" customHeight="1" x14ac:dyDescent="0.2">
      <c r="C9" s="2673" t="s">
        <v>405</v>
      </c>
      <c r="D9" s="2653" t="s">
        <v>1236</v>
      </c>
      <c r="E9" s="2674" t="s">
        <v>1265</v>
      </c>
      <c r="F9" s="2659" t="s">
        <v>1387</v>
      </c>
      <c r="G9" s="2659" t="s">
        <v>1380</v>
      </c>
      <c r="H9" s="2663" t="s">
        <v>1381</v>
      </c>
      <c r="I9" s="2665" t="s">
        <v>794</v>
      </c>
      <c r="J9" s="2655" t="s">
        <v>1197</v>
      </c>
      <c r="K9" s="2679" t="s">
        <v>1386</v>
      </c>
      <c r="L9" s="2665"/>
      <c r="M9" s="2680"/>
      <c r="N9" s="2659" t="s">
        <v>1200</v>
      </c>
      <c r="O9" s="2669"/>
      <c r="P9" s="2663"/>
      <c r="Q9" s="2657" t="s">
        <v>1383</v>
      </c>
      <c r="R9" s="2661" t="s">
        <v>1198</v>
      </c>
      <c r="S9" s="2661" t="s">
        <v>1201</v>
      </c>
      <c r="T9" s="2667" t="s">
        <v>1388</v>
      </c>
      <c r="U9" s="2677" t="s">
        <v>1384</v>
      </c>
      <c r="V9" s="2655" t="s">
        <v>1385</v>
      </c>
      <c r="W9" s="2661" t="s">
        <v>1390</v>
      </c>
      <c r="X9" s="2649" t="s">
        <v>482</v>
      </c>
      <c r="Y9" s="2651" t="s">
        <v>486</v>
      </c>
      <c r="AO9" s="2647" t="s">
        <v>1090</v>
      </c>
      <c r="CK9" s="149" t="s">
        <v>301</v>
      </c>
    </row>
    <row r="10" spans="1:90" ht="24" customHeight="1" thickBot="1" x14ac:dyDescent="0.25">
      <c r="C10" s="2673"/>
      <c r="D10" s="2654"/>
      <c r="E10" s="2675"/>
      <c r="F10" s="2660"/>
      <c r="G10" s="2660"/>
      <c r="H10" s="2664"/>
      <c r="I10" s="2666"/>
      <c r="J10" s="2656"/>
      <c r="K10" s="1647" t="s">
        <v>1382</v>
      </c>
      <c r="L10" s="1410" t="s">
        <v>794</v>
      </c>
      <c r="M10" s="1648" t="s">
        <v>1197</v>
      </c>
      <c r="N10" s="1647" t="s">
        <v>1200</v>
      </c>
      <c r="O10" s="1410" t="s">
        <v>794</v>
      </c>
      <c r="P10" s="1648" t="s">
        <v>1199</v>
      </c>
      <c r="Q10" s="2658"/>
      <c r="R10" s="2676"/>
      <c r="S10" s="2676"/>
      <c r="T10" s="2668"/>
      <c r="U10" s="2678"/>
      <c r="V10" s="2656"/>
      <c r="W10" s="2662"/>
      <c r="X10" s="2650"/>
      <c r="Y10" s="2652"/>
      <c r="AO10" s="2648"/>
      <c r="CJ10" s="93">
        <v>1</v>
      </c>
      <c r="CK10" s="3"/>
      <c r="CL10" s="3"/>
    </row>
    <row r="11" spans="1:90" ht="15.75" customHeight="1" x14ac:dyDescent="0.2">
      <c r="A11" s="1428"/>
      <c r="B11" s="93">
        <f>IF(C11&gt;1,1,0)</f>
        <v>1</v>
      </c>
      <c r="C11" s="2">
        <v>8</v>
      </c>
      <c r="D11" s="508">
        <v>1</v>
      </c>
      <c r="E11" s="1649">
        <v>2</v>
      </c>
      <c r="F11" s="106">
        <f t="shared" ref="F11:F19" si="0">IF(C11&gt;1,IF(C11=12,E11*D11,$D$7*E11*11),0)</f>
        <v>15928</v>
      </c>
      <c r="G11" s="106">
        <f>IF(OR(C11=12,C11=1),0,E11*$D$7)</f>
        <v>1448</v>
      </c>
      <c r="H11" s="106">
        <f>IF(OR(C11=12,C11=1),0,E11*$D$7)</f>
        <v>1448</v>
      </c>
      <c r="I11" s="106">
        <f>IF(OR(C11=12,C11=1),0,SUM(F11:H11)*$D$34)</f>
        <v>523.30719999999997</v>
      </c>
      <c r="J11" s="94">
        <f>IF(OR(C11=12,C11=1),0,SUM(F11:H11)*$D$33)</f>
        <v>1505.92</v>
      </c>
      <c r="K11" s="106">
        <f>IF(OR(C11=12,C11=1),0,E11*$D$7/3)</f>
        <v>482.66666666666669</v>
      </c>
      <c r="L11" s="106">
        <f>IF(OR(C11=12,C11=1),0,K11*$D$34)</f>
        <v>13.418133333333333</v>
      </c>
      <c r="M11" s="94">
        <f>IF(OR(C11=12,C11=1),0,K11*$D$33)</f>
        <v>38.613333333333337</v>
      </c>
      <c r="N11" s="94">
        <f>IF(OR(C11=12,C11=1),0,E11*$D$7)</f>
        <v>1448</v>
      </c>
      <c r="O11" s="94">
        <f>IF(OR(C11=12,C11=1),0,N11*$D$34)</f>
        <v>40.254399999999997</v>
      </c>
      <c r="P11" s="94">
        <f>IF(OR(C11=12,C11=1),0,N11*$D$35)</f>
        <v>57.92</v>
      </c>
      <c r="Q11" s="94">
        <f>IF(OR(C11=12,C11=1),0,E11*$D$7*$D$36)</f>
        <v>28.96</v>
      </c>
      <c r="R11" s="94">
        <f>IF(OR(C11=12,C11=1),0,E11*$D$7*$D$38)</f>
        <v>2.8959999999999999</v>
      </c>
      <c r="S11" s="94">
        <f>IF(OR(C11=12,C11=1),0,E11*$D$7*$D$37)</f>
        <v>36.200000000000003</v>
      </c>
      <c r="T11" s="94">
        <f>IF(OR(C11=12,C11=1),0,SUM(G11:S11))</f>
        <v>7074.155733333334</v>
      </c>
      <c r="U11" s="106">
        <f>IF(OR(C11=12,C11=1),0,V11/12)</f>
        <v>1916.8463111111112</v>
      </c>
      <c r="V11" s="106">
        <f>T11+F11</f>
        <v>23002.155733333333</v>
      </c>
      <c r="W11" s="1650">
        <f>IF(C11&lt;11,V11*D11,V11)</f>
        <v>23002.155733333333</v>
      </c>
      <c r="X11" s="1411">
        <f t="shared" ref="X11:X29" si="1">IF(F11&gt;0,IF(C11=12,D11*8,$B$39),0)</f>
        <v>2240</v>
      </c>
      <c r="Y11" s="1054">
        <f>SUM(X11:X29)</f>
        <v>2912</v>
      </c>
      <c r="AN11" s="1080" t="str">
        <f>IF(C11&gt;1,(VLOOKUP(C11,Dados!$A$133:$B$148,2)),0)</f>
        <v>Vaqueiro (1)</v>
      </c>
      <c r="AO11" s="1078">
        <f t="shared" ref="AO11:AO29" si="2">IF(C11&lt;12,D11,0)</f>
        <v>1</v>
      </c>
      <c r="CJ11" s="93">
        <v>2</v>
      </c>
      <c r="CK11" s="3" t="str">
        <f>IF(C11=1,0,VLOOKUP(C11,Dados!$A$133:$B$145,2))</f>
        <v>Vaqueiro (1)</v>
      </c>
      <c r="CL11" s="106" t="e">
        <f>#REF!</f>
        <v>#REF!</v>
      </c>
    </row>
    <row r="12" spans="1:90" ht="15.75" customHeight="1" x14ac:dyDescent="0.2">
      <c r="A12" s="1428"/>
      <c r="C12" s="2">
        <v>12</v>
      </c>
      <c r="D12" s="508">
        <f>7*12</f>
        <v>84</v>
      </c>
      <c r="E12" s="174">
        <v>80</v>
      </c>
      <c r="F12" s="1050">
        <f t="shared" si="0"/>
        <v>6720</v>
      </c>
      <c r="G12" s="1051">
        <f t="shared" ref="G12:G14" si="3">IF(OR(C12=12,C12=1),0,E12*$D$7)</f>
        <v>0</v>
      </c>
      <c r="H12" s="106">
        <f t="shared" ref="H12:H14" si="4">IF(OR(C12=12,C12=1),0,E12*$D$7)</f>
        <v>0</v>
      </c>
      <c r="I12" s="106">
        <f t="shared" ref="I12:I14" si="5">IF(OR(C12=12,C12=1),0,SUM(F12:H12)*$D$34)</f>
        <v>0</v>
      </c>
      <c r="J12" s="94">
        <f t="shared" ref="J12:J14" si="6">IF(OR(C12=12,C12=1),0,SUM(F12:H12)*$D$33)</f>
        <v>0</v>
      </c>
      <c r="K12" s="106">
        <f t="shared" ref="K12:K14" si="7">IF(OR(C12=12,C12=1),0,E12*$D$7/3)</f>
        <v>0</v>
      </c>
      <c r="L12" s="106">
        <f t="shared" ref="L12:L14" si="8">IF(OR(C12=12,C12=1),0,K12*$D$34)</f>
        <v>0</v>
      </c>
      <c r="M12" s="94">
        <f t="shared" ref="M12:M14" si="9">IF(OR(C12=12,C12=1),0,K12*$D$33)</f>
        <v>0</v>
      </c>
      <c r="N12" s="94">
        <f t="shared" ref="N12:N14" si="10">IF(OR(C12=12,C12=1),0,E12*$D$7)</f>
        <v>0</v>
      </c>
      <c r="O12" s="94">
        <f t="shared" ref="O12:O14" si="11">IF(OR(C12=12,C12=1),0,N12*$D$34)</f>
        <v>0</v>
      </c>
      <c r="P12" s="94">
        <f t="shared" ref="P12:P14" si="12">IF(OR(C12=12,C12=1),0,N12*$D$35)</f>
        <v>0</v>
      </c>
      <c r="Q12" s="94">
        <f t="shared" ref="Q12:Q14" si="13">IF(OR(C12=12,C12=1),0,E12*$D$7*$D$36)</f>
        <v>0</v>
      </c>
      <c r="R12" s="94">
        <f t="shared" ref="R12:R14" si="14">IF(OR(C12=12,C12=1),0,E12*$D$7*$D$38)</f>
        <v>0</v>
      </c>
      <c r="S12" s="94">
        <f t="shared" ref="S12:S14" si="15">IF(OR(C12=12,C12=1),0,E12*$D$7*$D$37)</f>
        <v>0</v>
      </c>
      <c r="T12" s="94">
        <f t="shared" ref="T12:T14" si="16">IF(OR(C12=12,C12=1),0,SUM(G12:S12))</f>
        <v>0</v>
      </c>
      <c r="U12" s="106">
        <f t="shared" ref="U12:U14" si="17">IF(OR(C12=12,C12=1),0,V12/12)</f>
        <v>0</v>
      </c>
      <c r="V12" s="106">
        <f t="shared" ref="V12:V14" si="18">T12+F12</f>
        <v>6720</v>
      </c>
      <c r="W12" s="1412">
        <f>IF(C12&lt;11,V12*D12,V12)</f>
        <v>6720</v>
      </c>
      <c r="X12" s="1413">
        <f t="shared" si="1"/>
        <v>672</v>
      </c>
      <c r="Y12" s="144"/>
      <c r="AN12" s="1081" t="str">
        <f>IF(C12&gt;1,(VLOOKUP(C12,Dados!$A$133:$B$148,2)),0)</f>
        <v>Diarista</v>
      </c>
      <c r="AO12" s="1078">
        <f t="shared" si="2"/>
        <v>0</v>
      </c>
      <c r="CJ12" s="93">
        <v>3</v>
      </c>
      <c r="CK12" s="3" t="str">
        <f>IF(C12=1,0,VLOOKUP(C12,Dados!$A$133:$B$145,2))</f>
        <v>Diarista</v>
      </c>
      <c r="CL12" s="106" t="e">
        <f>#REF!</f>
        <v>#REF!</v>
      </c>
    </row>
    <row r="13" spans="1:90" ht="15.75" customHeight="1" x14ac:dyDescent="0.2">
      <c r="A13" s="1428"/>
      <c r="C13" s="2">
        <v>1</v>
      </c>
      <c r="D13" s="508"/>
      <c r="E13" s="174"/>
      <c r="F13" s="1050">
        <f t="shared" si="0"/>
        <v>0</v>
      </c>
      <c r="G13" s="1051">
        <f t="shared" si="3"/>
        <v>0</v>
      </c>
      <c r="H13" s="106">
        <f t="shared" si="4"/>
        <v>0</v>
      </c>
      <c r="I13" s="106">
        <f t="shared" si="5"/>
        <v>0</v>
      </c>
      <c r="J13" s="94">
        <f t="shared" si="6"/>
        <v>0</v>
      </c>
      <c r="K13" s="106">
        <f t="shared" si="7"/>
        <v>0</v>
      </c>
      <c r="L13" s="106">
        <f t="shared" si="8"/>
        <v>0</v>
      </c>
      <c r="M13" s="94">
        <f t="shared" si="9"/>
        <v>0</v>
      </c>
      <c r="N13" s="94">
        <f t="shared" si="10"/>
        <v>0</v>
      </c>
      <c r="O13" s="94">
        <f t="shared" si="11"/>
        <v>0</v>
      </c>
      <c r="P13" s="94">
        <f t="shared" si="12"/>
        <v>0</v>
      </c>
      <c r="Q13" s="94">
        <f t="shared" si="13"/>
        <v>0</v>
      </c>
      <c r="R13" s="94">
        <f t="shared" si="14"/>
        <v>0</v>
      </c>
      <c r="S13" s="94">
        <f t="shared" si="15"/>
        <v>0</v>
      </c>
      <c r="T13" s="94">
        <f t="shared" si="16"/>
        <v>0</v>
      </c>
      <c r="U13" s="106">
        <f t="shared" si="17"/>
        <v>0</v>
      </c>
      <c r="V13" s="106">
        <f t="shared" si="18"/>
        <v>0</v>
      </c>
      <c r="W13" s="1412">
        <f t="shared" ref="W13:W14" si="19">IF(C13&lt;11,V13*D13,V13)</f>
        <v>0</v>
      </c>
      <c r="X13" s="1414">
        <f t="shared" si="1"/>
        <v>0</v>
      </c>
      <c r="Y13" s="144"/>
      <c r="AN13" s="1081">
        <f>IF(C13&gt;1,(VLOOKUP(C13,Dados!$A$133:$B$148,2)),0)</f>
        <v>0</v>
      </c>
      <c r="AO13" s="1078">
        <f t="shared" si="2"/>
        <v>0</v>
      </c>
      <c r="CJ13" s="93">
        <v>4</v>
      </c>
      <c r="CK13" s="3">
        <f>IF(C13=1,0,VLOOKUP(C13,Dados!$A$133:$B$145,2))</f>
        <v>0</v>
      </c>
      <c r="CL13" s="106" t="e">
        <f>#REF!</f>
        <v>#REF!</v>
      </c>
    </row>
    <row r="14" spans="1:90" ht="15.75" customHeight="1" x14ac:dyDescent="0.2">
      <c r="A14" s="1428"/>
      <c r="C14" s="2">
        <v>1</v>
      </c>
      <c r="D14" s="508"/>
      <c r="E14" s="174"/>
      <c r="F14" s="1050">
        <f t="shared" si="0"/>
        <v>0</v>
      </c>
      <c r="G14" s="1051">
        <f t="shared" si="3"/>
        <v>0</v>
      </c>
      <c r="H14" s="106">
        <f t="shared" si="4"/>
        <v>0</v>
      </c>
      <c r="I14" s="106">
        <f t="shared" si="5"/>
        <v>0</v>
      </c>
      <c r="J14" s="94">
        <f t="shared" si="6"/>
        <v>0</v>
      </c>
      <c r="K14" s="106">
        <f t="shared" si="7"/>
        <v>0</v>
      </c>
      <c r="L14" s="106">
        <f t="shared" si="8"/>
        <v>0</v>
      </c>
      <c r="M14" s="94">
        <f t="shared" si="9"/>
        <v>0</v>
      </c>
      <c r="N14" s="94">
        <f t="shared" si="10"/>
        <v>0</v>
      </c>
      <c r="O14" s="94">
        <f t="shared" si="11"/>
        <v>0</v>
      </c>
      <c r="P14" s="94">
        <f t="shared" si="12"/>
        <v>0</v>
      </c>
      <c r="Q14" s="94">
        <f t="shared" si="13"/>
        <v>0</v>
      </c>
      <c r="R14" s="94">
        <f t="shared" si="14"/>
        <v>0</v>
      </c>
      <c r="S14" s="94">
        <f t="shared" si="15"/>
        <v>0</v>
      </c>
      <c r="T14" s="94">
        <f t="shared" si="16"/>
        <v>0</v>
      </c>
      <c r="U14" s="106">
        <f t="shared" si="17"/>
        <v>0</v>
      </c>
      <c r="V14" s="106">
        <f t="shared" si="18"/>
        <v>0</v>
      </c>
      <c r="W14" s="1412">
        <f t="shared" si="19"/>
        <v>0</v>
      </c>
      <c r="X14" s="1414">
        <f t="shared" si="1"/>
        <v>0</v>
      </c>
      <c r="Y14" s="144"/>
      <c r="AN14" s="1081">
        <f>IF(C14&gt;1,(VLOOKUP(C14,Dados!$A$133:$B$148,2)),0)</f>
        <v>0</v>
      </c>
      <c r="AO14" s="1078">
        <f t="shared" si="2"/>
        <v>0</v>
      </c>
      <c r="CJ14" s="93">
        <v>5</v>
      </c>
      <c r="CK14" s="3">
        <f>IF(C14=1,0,VLOOKUP(C14,Dados!$A$133:$B$145,2))</f>
        <v>0</v>
      </c>
      <c r="CL14" s="106" t="e">
        <f>#REF!</f>
        <v>#REF!</v>
      </c>
    </row>
    <row r="15" spans="1:90" ht="15.75" customHeight="1" x14ac:dyDescent="0.2">
      <c r="A15" s="1428"/>
      <c r="C15" s="2">
        <v>1</v>
      </c>
      <c r="D15" s="508"/>
      <c r="E15" s="174"/>
      <c r="F15" s="1050">
        <f t="shared" si="0"/>
        <v>0</v>
      </c>
      <c r="G15" s="1051">
        <f t="shared" ref="G15:G29" si="20">IF(OR(C15=12,C15=1),0,E15*$D$7)</f>
        <v>0</v>
      </c>
      <c r="H15" s="106">
        <f t="shared" ref="H15:H29" si="21">IF(OR(C15=12,C15=1),0,E15*$D$7)</f>
        <v>0</v>
      </c>
      <c r="I15" s="106">
        <f t="shared" ref="I15:I29" si="22">IF(OR(C15=12,C15=1),0,SUM(F15:H15)*$D$34)</f>
        <v>0</v>
      </c>
      <c r="J15" s="94">
        <f t="shared" ref="J15:J29" si="23">IF(OR(C15=12,C15=1),0,SUM(F15:H15)*$D$33)</f>
        <v>0</v>
      </c>
      <c r="K15" s="106">
        <f t="shared" ref="K15:K29" si="24">IF(OR(C15=12,C15=1),0,E15*$D$7/3)</f>
        <v>0</v>
      </c>
      <c r="L15" s="106">
        <f t="shared" ref="L15:L29" si="25">IF(OR(C15=12,C15=1),0,K15*$D$34)</f>
        <v>0</v>
      </c>
      <c r="M15" s="94">
        <f t="shared" ref="M15:M29" si="26">IF(OR(C15=12,C15=1),0,K15*$D$33)</f>
        <v>0</v>
      </c>
      <c r="N15" s="94">
        <f t="shared" ref="N15:N29" si="27">IF(OR(C15=12,C15=1),0,E15*$D$7)</f>
        <v>0</v>
      </c>
      <c r="O15" s="94">
        <f t="shared" ref="O15:O29" si="28">IF(OR(C15=12,C15=1),0,N15*$D$34)</f>
        <v>0</v>
      </c>
      <c r="P15" s="94">
        <f t="shared" ref="P15:P29" si="29">IF(OR(C15=12,C15=1),0,N15*$D$35)</f>
        <v>0</v>
      </c>
      <c r="Q15" s="94">
        <f t="shared" ref="Q15:Q29" si="30">IF(OR(C15=12,C15=1),0,E15*$D$7*$D$36)</f>
        <v>0</v>
      </c>
      <c r="R15" s="94">
        <f t="shared" ref="R15:R29" si="31">IF(OR(C15=12,C15=1),0,E15*$D$7*$D$38)</f>
        <v>0</v>
      </c>
      <c r="S15" s="94">
        <f t="shared" ref="S15:S29" si="32">IF(OR(C15=12,C15=1),0,E15*$D$7*$D$37)</f>
        <v>0</v>
      </c>
      <c r="T15" s="94">
        <f t="shared" ref="T15:T29" si="33">IF(OR(C15=12,C15=1),0,SUM(G15:S15))</f>
        <v>0</v>
      </c>
      <c r="U15" s="106">
        <f t="shared" ref="U15:U29" si="34">IF(OR(C15=12,C15=1),0,V15/12)</f>
        <v>0</v>
      </c>
      <c r="V15" s="106">
        <f t="shared" ref="V15:V29" si="35">T15+F15</f>
        <v>0</v>
      </c>
      <c r="W15" s="1412">
        <f>IF(C15&lt;11,V15*D15,V15)</f>
        <v>0</v>
      </c>
      <c r="X15" s="1414">
        <f t="shared" si="1"/>
        <v>0</v>
      </c>
      <c r="Y15" s="144"/>
      <c r="AN15" s="1081">
        <f>IF(C15&gt;1,(VLOOKUP(C15,Dados!$A$133:$B$148,2)),0)</f>
        <v>0</v>
      </c>
      <c r="AO15" s="1078">
        <f t="shared" si="2"/>
        <v>0</v>
      </c>
      <c r="CJ15" s="93">
        <v>6</v>
      </c>
      <c r="CK15" s="3">
        <f>IF(C15=1,0,VLOOKUP(C15,Dados!$A$133:$B$145,2))</f>
        <v>0</v>
      </c>
      <c r="CL15" s="106" t="e">
        <f>#REF!</f>
        <v>#REF!</v>
      </c>
    </row>
    <row r="16" spans="1:90" ht="15.75" customHeight="1" x14ac:dyDescent="0.2">
      <c r="A16" s="1428"/>
      <c r="C16" s="2">
        <v>1</v>
      </c>
      <c r="D16" s="508"/>
      <c r="E16" s="174"/>
      <c r="F16" s="1050">
        <f t="shared" si="0"/>
        <v>0</v>
      </c>
      <c r="G16" s="1051">
        <f t="shared" si="20"/>
        <v>0</v>
      </c>
      <c r="H16" s="106">
        <f t="shared" si="21"/>
        <v>0</v>
      </c>
      <c r="I16" s="106">
        <f t="shared" si="22"/>
        <v>0</v>
      </c>
      <c r="J16" s="94">
        <f t="shared" si="23"/>
        <v>0</v>
      </c>
      <c r="K16" s="106">
        <f t="shared" si="24"/>
        <v>0</v>
      </c>
      <c r="L16" s="106">
        <f t="shared" si="25"/>
        <v>0</v>
      </c>
      <c r="M16" s="94">
        <f t="shared" si="26"/>
        <v>0</v>
      </c>
      <c r="N16" s="94">
        <f t="shared" si="27"/>
        <v>0</v>
      </c>
      <c r="O16" s="94">
        <f t="shared" si="28"/>
        <v>0</v>
      </c>
      <c r="P16" s="94">
        <f t="shared" si="29"/>
        <v>0</v>
      </c>
      <c r="Q16" s="94">
        <f t="shared" si="30"/>
        <v>0</v>
      </c>
      <c r="R16" s="94">
        <f t="shared" si="31"/>
        <v>0</v>
      </c>
      <c r="S16" s="94">
        <f t="shared" si="32"/>
        <v>0</v>
      </c>
      <c r="T16" s="94">
        <f t="shared" si="33"/>
        <v>0</v>
      </c>
      <c r="U16" s="106">
        <f t="shared" si="34"/>
        <v>0</v>
      </c>
      <c r="V16" s="106">
        <f t="shared" si="35"/>
        <v>0</v>
      </c>
      <c r="W16" s="1412">
        <f t="shared" ref="W16:W29" si="36">IF(C16&lt;11,V16*D16,V16)</f>
        <v>0</v>
      </c>
      <c r="X16" s="1414">
        <f t="shared" si="1"/>
        <v>0</v>
      </c>
      <c r="Y16" s="144"/>
      <c r="AN16" s="1081">
        <f>IF(C16&gt;1,(VLOOKUP(C16,Dados!$A$133:$B$148,2)),0)</f>
        <v>0</v>
      </c>
      <c r="AO16" s="1078">
        <f t="shared" si="2"/>
        <v>0</v>
      </c>
      <c r="CJ16" s="93">
        <v>7</v>
      </c>
      <c r="CK16" s="3">
        <f>IF(C16=1,0,VLOOKUP(C16,Dados!$A$133:$B$145,2))</f>
        <v>0</v>
      </c>
      <c r="CL16" s="106" t="e">
        <f>#REF!</f>
        <v>#REF!</v>
      </c>
    </row>
    <row r="17" spans="1:90" ht="15.75" customHeight="1" x14ac:dyDescent="0.2">
      <c r="A17" s="1428"/>
      <c r="C17" s="2">
        <v>1</v>
      </c>
      <c r="D17" s="699"/>
      <c r="E17" s="174"/>
      <c r="F17" s="1050">
        <f t="shared" si="0"/>
        <v>0</v>
      </c>
      <c r="G17" s="1051">
        <f t="shared" si="20"/>
        <v>0</v>
      </c>
      <c r="H17" s="106">
        <f t="shared" si="21"/>
        <v>0</v>
      </c>
      <c r="I17" s="106">
        <f t="shared" si="22"/>
        <v>0</v>
      </c>
      <c r="J17" s="94">
        <f t="shared" si="23"/>
        <v>0</v>
      </c>
      <c r="K17" s="106">
        <f t="shared" si="24"/>
        <v>0</v>
      </c>
      <c r="L17" s="106">
        <f t="shared" si="25"/>
        <v>0</v>
      </c>
      <c r="M17" s="94">
        <f t="shared" si="26"/>
        <v>0</v>
      </c>
      <c r="N17" s="94">
        <f t="shared" si="27"/>
        <v>0</v>
      </c>
      <c r="O17" s="94">
        <f t="shared" si="28"/>
        <v>0</v>
      </c>
      <c r="P17" s="94">
        <f t="shared" si="29"/>
        <v>0</v>
      </c>
      <c r="Q17" s="94">
        <f t="shared" si="30"/>
        <v>0</v>
      </c>
      <c r="R17" s="94">
        <f t="shared" si="31"/>
        <v>0</v>
      </c>
      <c r="S17" s="94">
        <f t="shared" si="32"/>
        <v>0</v>
      </c>
      <c r="T17" s="94">
        <f t="shared" si="33"/>
        <v>0</v>
      </c>
      <c r="U17" s="106">
        <f t="shared" si="34"/>
        <v>0</v>
      </c>
      <c r="V17" s="106">
        <f t="shared" si="35"/>
        <v>0</v>
      </c>
      <c r="W17" s="1412">
        <f t="shared" si="36"/>
        <v>0</v>
      </c>
      <c r="X17" s="1414">
        <f t="shared" si="1"/>
        <v>0</v>
      </c>
      <c r="Y17" s="144"/>
      <c r="AN17" s="1081">
        <f>IF(C17&gt;1,(VLOOKUP(C17,Dados!$A$133:$B$148,2)),0)</f>
        <v>0</v>
      </c>
      <c r="AO17" s="1078">
        <f t="shared" si="2"/>
        <v>0</v>
      </c>
      <c r="CJ17" s="93">
        <v>8</v>
      </c>
      <c r="CK17" s="3">
        <f>IF(C17=1,0,VLOOKUP(C17,Dados!$A$133:$B$145,2))</f>
        <v>0</v>
      </c>
      <c r="CL17" s="106" t="e">
        <f>#REF!</f>
        <v>#REF!</v>
      </c>
    </row>
    <row r="18" spans="1:90" ht="15.75" customHeight="1" x14ac:dyDescent="0.2">
      <c r="A18" s="1428"/>
      <c r="C18" s="2">
        <v>1</v>
      </c>
      <c r="D18" s="508"/>
      <c r="E18" s="174"/>
      <c r="F18" s="1050">
        <f t="shared" si="0"/>
        <v>0</v>
      </c>
      <c r="G18" s="1051">
        <f t="shared" si="20"/>
        <v>0</v>
      </c>
      <c r="H18" s="106">
        <f t="shared" si="21"/>
        <v>0</v>
      </c>
      <c r="I18" s="106">
        <f t="shared" si="22"/>
        <v>0</v>
      </c>
      <c r="J18" s="94">
        <f t="shared" si="23"/>
        <v>0</v>
      </c>
      <c r="K18" s="106">
        <f t="shared" si="24"/>
        <v>0</v>
      </c>
      <c r="L18" s="106">
        <f t="shared" si="25"/>
        <v>0</v>
      </c>
      <c r="M18" s="94">
        <f t="shared" si="26"/>
        <v>0</v>
      </c>
      <c r="N18" s="94">
        <f t="shared" si="27"/>
        <v>0</v>
      </c>
      <c r="O18" s="94">
        <f t="shared" si="28"/>
        <v>0</v>
      </c>
      <c r="P18" s="94">
        <f t="shared" si="29"/>
        <v>0</v>
      </c>
      <c r="Q18" s="94">
        <f t="shared" si="30"/>
        <v>0</v>
      </c>
      <c r="R18" s="94">
        <f t="shared" si="31"/>
        <v>0</v>
      </c>
      <c r="S18" s="94">
        <f t="shared" si="32"/>
        <v>0</v>
      </c>
      <c r="T18" s="94">
        <f t="shared" si="33"/>
        <v>0</v>
      </c>
      <c r="U18" s="106">
        <f t="shared" si="34"/>
        <v>0</v>
      </c>
      <c r="V18" s="106">
        <f t="shared" si="35"/>
        <v>0</v>
      </c>
      <c r="W18" s="1412">
        <f t="shared" si="36"/>
        <v>0</v>
      </c>
      <c r="X18" s="1414">
        <f t="shared" si="1"/>
        <v>0</v>
      </c>
      <c r="Y18" s="144"/>
      <c r="AN18" s="1081">
        <f>IF(C18&gt;1,(VLOOKUP(C18,Dados!$A$133:$B$148,2)),0)</f>
        <v>0</v>
      </c>
      <c r="AO18" s="1078">
        <f t="shared" si="2"/>
        <v>0</v>
      </c>
      <c r="CJ18" s="93">
        <v>9</v>
      </c>
      <c r="CK18" s="3">
        <f>IF(C18=1,0,VLOOKUP(C18,Dados!$A$133:$B$145,2))</f>
        <v>0</v>
      </c>
      <c r="CL18" s="106" t="e">
        <f>#REF!</f>
        <v>#REF!</v>
      </c>
    </row>
    <row r="19" spans="1:90" ht="15.75" customHeight="1" x14ac:dyDescent="0.2">
      <c r="A19" s="1428"/>
      <c r="C19" s="2">
        <v>1</v>
      </c>
      <c r="D19" s="508"/>
      <c r="E19" s="174"/>
      <c r="F19" s="1050">
        <f t="shared" si="0"/>
        <v>0</v>
      </c>
      <c r="G19" s="1051">
        <f t="shared" si="20"/>
        <v>0</v>
      </c>
      <c r="H19" s="106">
        <f t="shared" si="21"/>
        <v>0</v>
      </c>
      <c r="I19" s="106">
        <f t="shared" si="22"/>
        <v>0</v>
      </c>
      <c r="J19" s="94">
        <f t="shared" si="23"/>
        <v>0</v>
      </c>
      <c r="K19" s="106">
        <f t="shared" si="24"/>
        <v>0</v>
      </c>
      <c r="L19" s="106">
        <f t="shared" si="25"/>
        <v>0</v>
      </c>
      <c r="M19" s="94">
        <f t="shared" si="26"/>
        <v>0</v>
      </c>
      <c r="N19" s="94">
        <f t="shared" si="27"/>
        <v>0</v>
      </c>
      <c r="O19" s="94">
        <f t="shared" si="28"/>
        <v>0</v>
      </c>
      <c r="P19" s="94">
        <f t="shared" si="29"/>
        <v>0</v>
      </c>
      <c r="Q19" s="94">
        <f t="shared" si="30"/>
        <v>0</v>
      </c>
      <c r="R19" s="94">
        <f t="shared" si="31"/>
        <v>0</v>
      </c>
      <c r="S19" s="94">
        <f t="shared" si="32"/>
        <v>0</v>
      </c>
      <c r="T19" s="94">
        <f t="shared" si="33"/>
        <v>0</v>
      </c>
      <c r="U19" s="106">
        <f t="shared" si="34"/>
        <v>0</v>
      </c>
      <c r="V19" s="106">
        <f t="shared" si="35"/>
        <v>0</v>
      </c>
      <c r="W19" s="1412">
        <f t="shared" si="36"/>
        <v>0</v>
      </c>
      <c r="X19" s="1414">
        <f t="shared" si="1"/>
        <v>0</v>
      </c>
      <c r="Y19" s="144"/>
      <c r="AN19" s="1081">
        <f>IF(C19&gt;1,(VLOOKUP(C19,Dados!$A$133:$B$148,2)),0)</f>
        <v>0</v>
      </c>
      <c r="AO19" s="1078">
        <f t="shared" si="2"/>
        <v>0</v>
      </c>
      <c r="CJ19" s="93">
        <v>10</v>
      </c>
      <c r="CK19" s="3">
        <f>IF(C19=1,0,VLOOKUP(C19,Dados!$A$133:$B$145,2))</f>
        <v>0</v>
      </c>
      <c r="CL19" s="106" t="e">
        <f>#REF!</f>
        <v>#REF!</v>
      </c>
    </row>
    <row r="20" spans="1:90" ht="15.75" customHeight="1" x14ac:dyDescent="0.2">
      <c r="A20" s="1428"/>
      <c r="C20" s="2">
        <v>1</v>
      </c>
      <c r="D20" s="508"/>
      <c r="E20" s="174"/>
      <c r="F20" s="1050">
        <f t="shared" ref="F20:F29" si="37">IF(C20&gt;1,IF(C20=12,E20*D20,$D$7*E20*11),0)</f>
        <v>0</v>
      </c>
      <c r="G20" s="1051">
        <f t="shared" si="20"/>
        <v>0</v>
      </c>
      <c r="H20" s="106">
        <f t="shared" si="21"/>
        <v>0</v>
      </c>
      <c r="I20" s="106">
        <f t="shared" si="22"/>
        <v>0</v>
      </c>
      <c r="J20" s="94">
        <f t="shared" si="23"/>
        <v>0</v>
      </c>
      <c r="K20" s="106">
        <f t="shared" si="24"/>
        <v>0</v>
      </c>
      <c r="L20" s="106">
        <f t="shared" si="25"/>
        <v>0</v>
      </c>
      <c r="M20" s="94">
        <f t="shared" si="26"/>
        <v>0</v>
      </c>
      <c r="N20" s="94">
        <f t="shared" si="27"/>
        <v>0</v>
      </c>
      <c r="O20" s="94">
        <f t="shared" si="28"/>
        <v>0</v>
      </c>
      <c r="P20" s="94">
        <f t="shared" si="29"/>
        <v>0</v>
      </c>
      <c r="Q20" s="94">
        <f t="shared" si="30"/>
        <v>0</v>
      </c>
      <c r="R20" s="94">
        <f t="shared" si="31"/>
        <v>0</v>
      </c>
      <c r="S20" s="94">
        <f t="shared" si="32"/>
        <v>0</v>
      </c>
      <c r="T20" s="94">
        <f t="shared" si="33"/>
        <v>0</v>
      </c>
      <c r="U20" s="106">
        <f t="shared" si="34"/>
        <v>0</v>
      </c>
      <c r="V20" s="106">
        <f t="shared" si="35"/>
        <v>0</v>
      </c>
      <c r="W20" s="1412">
        <f t="shared" si="36"/>
        <v>0</v>
      </c>
      <c r="X20" s="1414">
        <f t="shared" si="1"/>
        <v>0</v>
      </c>
      <c r="Y20" s="144"/>
      <c r="AN20" s="1081">
        <f>IF(C20&gt;1,(VLOOKUP(C20,Dados!$A$133:$B$148,2)),0)</f>
        <v>0</v>
      </c>
      <c r="AO20" s="1078">
        <f t="shared" si="2"/>
        <v>0</v>
      </c>
      <c r="CJ20" s="93">
        <v>11</v>
      </c>
      <c r="CK20" s="3">
        <f>IF(C20=1,0,VLOOKUP(C20,Dados!$A$133:$B$145,2))</f>
        <v>0</v>
      </c>
      <c r="CL20" s="106" t="e">
        <f>#REF!</f>
        <v>#REF!</v>
      </c>
    </row>
    <row r="21" spans="1:90" ht="15.75" customHeight="1" x14ac:dyDescent="0.2">
      <c r="A21" s="1428"/>
      <c r="B21" s="93">
        <f t="shared" ref="B21:B29" si="38">IF(C21&gt;1,1,0)</f>
        <v>0</v>
      </c>
      <c r="C21" s="2">
        <v>1</v>
      </c>
      <c r="D21" s="508"/>
      <c r="E21" s="174"/>
      <c r="F21" s="1050">
        <f t="shared" si="37"/>
        <v>0</v>
      </c>
      <c r="G21" s="1051">
        <f t="shared" si="20"/>
        <v>0</v>
      </c>
      <c r="H21" s="106">
        <f t="shared" si="21"/>
        <v>0</v>
      </c>
      <c r="I21" s="106">
        <f t="shared" si="22"/>
        <v>0</v>
      </c>
      <c r="J21" s="94">
        <f t="shared" si="23"/>
        <v>0</v>
      </c>
      <c r="K21" s="106">
        <f t="shared" si="24"/>
        <v>0</v>
      </c>
      <c r="L21" s="106">
        <f t="shared" si="25"/>
        <v>0</v>
      </c>
      <c r="M21" s="94">
        <f t="shared" si="26"/>
        <v>0</v>
      </c>
      <c r="N21" s="94">
        <f t="shared" si="27"/>
        <v>0</v>
      </c>
      <c r="O21" s="94">
        <f t="shared" si="28"/>
        <v>0</v>
      </c>
      <c r="P21" s="94">
        <f t="shared" si="29"/>
        <v>0</v>
      </c>
      <c r="Q21" s="94">
        <f t="shared" si="30"/>
        <v>0</v>
      </c>
      <c r="R21" s="94">
        <f t="shared" si="31"/>
        <v>0</v>
      </c>
      <c r="S21" s="94">
        <f t="shared" si="32"/>
        <v>0</v>
      </c>
      <c r="T21" s="94">
        <f t="shared" si="33"/>
        <v>0</v>
      </c>
      <c r="U21" s="106">
        <f t="shared" si="34"/>
        <v>0</v>
      </c>
      <c r="V21" s="106">
        <f t="shared" si="35"/>
        <v>0</v>
      </c>
      <c r="W21" s="1412">
        <f t="shared" si="36"/>
        <v>0</v>
      </c>
      <c r="X21" s="1414">
        <f t="shared" si="1"/>
        <v>0</v>
      </c>
      <c r="AN21" s="1081">
        <f>IF(C21&gt;1,(VLOOKUP(C21,Dados!$A$133:$B$148,2)),0)</f>
        <v>0</v>
      </c>
      <c r="AO21" s="1078">
        <f t="shared" si="2"/>
        <v>0</v>
      </c>
      <c r="CJ21" s="93">
        <v>12</v>
      </c>
      <c r="CK21" s="3">
        <f>IF(C21=1,0,VLOOKUP(C21,Dados!$A$133:$B$145,2))</f>
        <v>0</v>
      </c>
      <c r="CL21" s="106" t="e">
        <f>#REF!</f>
        <v>#REF!</v>
      </c>
    </row>
    <row r="22" spans="1:90" ht="15.75" customHeight="1" x14ac:dyDescent="0.2">
      <c r="A22" s="1428"/>
      <c r="B22" s="93">
        <f t="shared" si="38"/>
        <v>0</v>
      </c>
      <c r="C22" s="2">
        <v>1</v>
      </c>
      <c r="D22" s="508"/>
      <c r="E22" s="174"/>
      <c r="F22" s="1050">
        <f t="shared" si="37"/>
        <v>0</v>
      </c>
      <c r="G22" s="1051">
        <f t="shared" si="20"/>
        <v>0</v>
      </c>
      <c r="H22" s="106">
        <f t="shared" si="21"/>
        <v>0</v>
      </c>
      <c r="I22" s="106">
        <f t="shared" si="22"/>
        <v>0</v>
      </c>
      <c r="J22" s="94">
        <f t="shared" si="23"/>
        <v>0</v>
      </c>
      <c r="K22" s="106">
        <f t="shared" si="24"/>
        <v>0</v>
      </c>
      <c r="L22" s="106">
        <f t="shared" si="25"/>
        <v>0</v>
      </c>
      <c r="M22" s="94">
        <f t="shared" si="26"/>
        <v>0</v>
      </c>
      <c r="N22" s="94">
        <f t="shared" si="27"/>
        <v>0</v>
      </c>
      <c r="O22" s="94">
        <f t="shared" si="28"/>
        <v>0</v>
      </c>
      <c r="P22" s="94">
        <f t="shared" si="29"/>
        <v>0</v>
      </c>
      <c r="Q22" s="94">
        <f t="shared" si="30"/>
        <v>0</v>
      </c>
      <c r="R22" s="94">
        <f t="shared" si="31"/>
        <v>0</v>
      </c>
      <c r="S22" s="94">
        <f t="shared" si="32"/>
        <v>0</v>
      </c>
      <c r="T22" s="94">
        <f t="shared" si="33"/>
        <v>0</v>
      </c>
      <c r="U22" s="106">
        <f t="shared" si="34"/>
        <v>0</v>
      </c>
      <c r="V22" s="106">
        <f t="shared" si="35"/>
        <v>0</v>
      </c>
      <c r="W22" s="1412">
        <f t="shared" si="36"/>
        <v>0</v>
      </c>
      <c r="X22" s="1414">
        <f t="shared" si="1"/>
        <v>0</v>
      </c>
      <c r="AN22" s="1081">
        <f>IF(C22&gt;1,(VLOOKUP(C22,Dados!$A$133:$B$148,2)),0)</f>
        <v>0</v>
      </c>
      <c r="AO22" s="1078">
        <f t="shared" si="2"/>
        <v>0</v>
      </c>
      <c r="CJ22" s="93">
        <v>13</v>
      </c>
      <c r="CK22" s="3">
        <f>IF(C22=1,0,VLOOKUP(C22,Dados!$A$133:$B$145,2))</f>
        <v>0</v>
      </c>
      <c r="CL22" s="106" t="e">
        <f>#REF!</f>
        <v>#REF!</v>
      </c>
    </row>
    <row r="23" spans="1:90" ht="15.75" customHeight="1" x14ac:dyDescent="0.2">
      <c r="A23" s="1428"/>
      <c r="B23" s="93">
        <f t="shared" si="38"/>
        <v>0</v>
      </c>
      <c r="C23" s="2">
        <v>1</v>
      </c>
      <c r="D23" s="508"/>
      <c r="E23" s="174"/>
      <c r="F23" s="1050">
        <f t="shared" si="37"/>
        <v>0</v>
      </c>
      <c r="G23" s="1051">
        <f t="shared" si="20"/>
        <v>0</v>
      </c>
      <c r="H23" s="106">
        <f t="shared" si="21"/>
        <v>0</v>
      </c>
      <c r="I23" s="106">
        <f t="shared" si="22"/>
        <v>0</v>
      </c>
      <c r="J23" s="94">
        <f t="shared" si="23"/>
        <v>0</v>
      </c>
      <c r="K23" s="106">
        <f t="shared" si="24"/>
        <v>0</v>
      </c>
      <c r="L23" s="106">
        <f t="shared" si="25"/>
        <v>0</v>
      </c>
      <c r="M23" s="94">
        <f t="shared" si="26"/>
        <v>0</v>
      </c>
      <c r="N23" s="94">
        <f t="shared" si="27"/>
        <v>0</v>
      </c>
      <c r="O23" s="94">
        <f t="shared" si="28"/>
        <v>0</v>
      </c>
      <c r="P23" s="94">
        <f t="shared" si="29"/>
        <v>0</v>
      </c>
      <c r="Q23" s="94">
        <f t="shared" si="30"/>
        <v>0</v>
      </c>
      <c r="R23" s="94">
        <f t="shared" si="31"/>
        <v>0</v>
      </c>
      <c r="S23" s="94">
        <f t="shared" si="32"/>
        <v>0</v>
      </c>
      <c r="T23" s="94">
        <f t="shared" si="33"/>
        <v>0</v>
      </c>
      <c r="U23" s="106">
        <f t="shared" si="34"/>
        <v>0</v>
      </c>
      <c r="V23" s="106">
        <f t="shared" si="35"/>
        <v>0</v>
      </c>
      <c r="W23" s="1412">
        <f t="shared" si="36"/>
        <v>0</v>
      </c>
      <c r="X23" s="1414">
        <f t="shared" si="1"/>
        <v>0</v>
      </c>
      <c r="AN23" s="1081">
        <f>IF(C23&gt;1,(VLOOKUP(C23,Dados!$A$133:$B$148,2)),0)</f>
        <v>0</v>
      </c>
      <c r="AO23" s="1078">
        <f t="shared" si="2"/>
        <v>0</v>
      </c>
      <c r="CJ23" s="93">
        <v>14</v>
      </c>
      <c r="CK23" s="3">
        <f>IF(C23=1,0,VLOOKUP(C23,Dados!$A$133:$B$145,2))</f>
        <v>0</v>
      </c>
      <c r="CL23" s="106" t="e">
        <f>#REF!</f>
        <v>#REF!</v>
      </c>
    </row>
    <row r="24" spans="1:90" ht="15.75" customHeight="1" x14ac:dyDescent="0.2">
      <c r="A24" s="1428"/>
      <c r="B24" s="93">
        <f t="shared" si="38"/>
        <v>0</v>
      </c>
      <c r="C24" s="2">
        <v>1</v>
      </c>
      <c r="D24" s="508"/>
      <c r="E24" s="174"/>
      <c r="F24" s="1050">
        <f t="shared" si="37"/>
        <v>0</v>
      </c>
      <c r="G24" s="1051">
        <f t="shared" si="20"/>
        <v>0</v>
      </c>
      <c r="H24" s="106">
        <f t="shared" si="21"/>
        <v>0</v>
      </c>
      <c r="I24" s="106">
        <f t="shared" si="22"/>
        <v>0</v>
      </c>
      <c r="J24" s="94">
        <f t="shared" si="23"/>
        <v>0</v>
      </c>
      <c r="K24" s="106">
        <f t="shared" si="24"/>
        <v>0</v>
      </c>
      <c r="L24" s="106">
        <f t="shared" si="25"/>
        <v>0</v>
      </c>
      <c r="M24" s="94">
        <f t="shared" si="26"/>
        <v>0</v>
      </c>
      <c r="N24" s="94">
        <f t="shared" si="27"/>
        <v>0</v>
      </c>
      <c r="O24" s="94">
        <f t="shared" si="28"/>
        <v>0</v>
      </c>
      <c r="P24" s="94">
        <f t="shared" si="29"/>
        <v>0</v>
      </c>
      <c r="Q24" s="94">
        <f t="shared" si="30"/>
        <v>0</v>
      </c>
      <c r="R24" s="94">
        <f t="shared" si="31"/>
        <v>0</v>
      </c>
      <c r="S24" s="94">
        <f t="shared" si="32"/>
        <v>0</v>
      </c>
      <c r="T24" s="94">
        <f t="shared" si="33"/>
        <v>0</v>
      </c>
      <c r="U24" s="106">
        <f t="shared" si="34"/>
        <v>0</v>
      </c>
      <c r="V24" s="106">
        <f t="shared" si="35"/>
        <v>0</v>
      </c>
      <c r="W24" s="1412">
        <f t="shared" si="36"/>
        <v>0</v>
      </c>
      <c r="X24" s="1414">
        <f t="shared" si="1"/>
        <v>0</v>
      </c>
      <c r="AN24" s="1081">
        <f>IF(C24&gt;1,(VLOOKUP(C24,Dados!$A$133:$B$148,2)),0)</f>
        <v>0</v>
      </c>
      <c r="AO24" s="1078">
        <f t="shared" si="2"/>
        <v>0</v>
      </c>
      <c r="CJ24" s="93">
        <v>15</v>
      </c>
      <c r="CK24" s="3">
        <f>IF(C24=1,0,VLOOKUP(C24,Dados!$A$133:$B$145,2))</f>
        <v>0</v>
      </c>
      <c r="CL24" s="106" t="e">
        <f>#REF!</f>
        <v>#REF!</v>
      </c>
    </row>
    <row r="25" spans="1:90" ht="15.75" customHeight="1" x14ac:dyDescent="0.2">
      <c r="A25" s="1428"/>
      <c r="B25" s="93">
        <f t="shared" si="38"/>
        <v>0</v>
      </c>
      <c r="C25" s="2">
        <v>1</v>
      </c>
      <c r="D25" s="508"/>
      <c r="E25" s="174"/>
      <c r="F25" s="1050">
        <f t="shared" si="37"/>
        <v>0</v>
      </c>
      <c r="G25" s="1051">
        <f t="shared" si="20"/>
        <v>0</v>
      </c>
      <c r="H25" s="106">
        <f t="shared" si="21"/>
        <v>0</v>
      </c>
      <c r="I25" s="106">
        <f t="shared" si="22"/>
        <v>0</v>
      </c>
      <c r="J25" s="94">
        <f t="shared" si="23"/>
        <v>0</v>
      </c>
      <c r="K25" s="106">
        <f t="shared" si="24"/>
        <v>0</v>
      </c>
      <c r="L25" s="106">
        <f t="shared" si="25"/>
        <v>0</v>
      </c>
      <c r="M25" s="94">
        <f t="shared" si="26"/>
        <v>0</v>
      </c>
      <c r="N25" s="94">
        <f t="shared" si="27"/>
        <v>0</v>
      </c>
      <c r="O25" s="94">
        <f t="shared" si="28"/>
        <v>0</v>
      </c>
      <c r="P25" s="94">
        <f t="shared" si="29"/>
        <v>0</v>
      </c>
      <c r="Q25" s="94">
        <f t="shared" si="30"/>
        <v>0</v>
      </c>
      <c r="R25" s="94">
        <f t="shared" si="31"/>
        <v>0</v>
      </c>
      <c r="S25" s="94">
        <f t="shared" si="32"/>
        <v>0</v>
      </c>
      <c r="T25" s="94">
        <f t="shared" si="33"/>
        <v>0</v>
      </c>
      <c r="U25" s="106">
        <f t="shared" si="34"/>
        <v>0</v>
      </c>
      <c r="V25" s="106">
        <f t="shared" si="35"/>
        <v>0</v>
      </c>
      <c r="W25" s="1412">
        <f t="shared" si="36"/>
        <v>0</v>
      </c>
      <c r="X25" s="1414">
        <f t="shared" si="1"/>
        <v>0</v>
      </c>
      <c r="AN25" s="1081">
        <f>IF(C25&gt;1,(VLOOKUP(C25,Dados!$A$133:$B$148,2)),0)</f>
        <v>0</v>
      </c>
      <c r="AO25" s="1078">
        <f t="shared" si="2"/>
        <v>0</v>
      </c>
      <c r="CJ25" s="93">
        <v>16</v>
      </c>
      <c r="CK25" s="3">
        <f>IF(C25=1,0,VLOOKUP(C25,Dados!$A$133:$B$145,2))</f>
        <v>0</v>
      </c>
      <c r="CL25" s="106" t="e">
        <f>#REF!</f>
        <v>#REF!</v>
      </c>
    </row>
    <row r="26" spans="1:90" ht="15.75" customHeight="1" x14ac:dyDescent="0.2">
      <c r="A26" s="1428"/>
      <c r="B26" s="93">
        <f t="shared" si="38"/>
        <v>0</v>
      </c>
      <c r="C26" s="2">
        <v>1</v>
      </c>
      <c r="D26" s="2"/>
      <c r="E26" s="174"/>
      <c r="F26" s="1050">
        <f t="shared" si="37"/>
        <v>0</v>
      </c>
      <c r="G26" s="1051">
        <f t="shared" si="20"/>
        <v>0</v>
      </c>
      <c r="H26" s="106">
        <f t="shared" si="21"/>
        <v>0</v>
      </c>
      <c r="I26" s="106">
        <f t="shared" si="22"/>
        <v>0</v>
      </c>
      <c r="J26" s="94">
        <f t="shared" si="23"/>
        <v>0</v>
      </c>
      <c r="K26" s="106">
        <f t="shared" si="24"/>
        <v>0</v>
      </c>
      <c r="L26" s="106">
        <f t="shared" si="25"/>
        <v>0</v>
      </c>
      <c r="M26" s="94">
        <f t="shared" si="26"/>
        <v>0</v>
      </c>
      <c r="N26" s="94">
        <f t="shared" si="27"/>
        <v>0</v>
      </c>
      <c r="O26" s="94">
        <f t="shared" si="28"/>
        <v>0</v>
      </c>
      <c r="P26" s="94">
        <f t="shared" si="29"/>
        <v>0</v>
      </c>
      <c r="Q26" s="94">
        <f t="shared" si="30"/>
        <v>0</v>
      </c>
      <c r="R26" s="94">
        <f t="shared" si="31"/>
        <v>0</v>
      </c>
      <c r="S26" s="94">
        <f t="shared" si="32"/>
        <v>0</v>
      </c>
      <c r="T26" s="94">
        <f t="shared" si="33"/>
        <v>0</v>
      </c>
      <c r="U26" s="106">
        <f t="shared" si="34"/>
        <v>0</v>
      </c>
      <c r="V26" s="106">
        <f t="shared" si="35"/>
        <v>0</v>
      </c>
      <c r="W26" s="1412">
        <f t="shared" si="36"/>
        <v>0</v>
      </c>
      <c r="X26" s="1414">
        <f t="shared" si="1"/>
        <v>0</v>
      </c>
      <c r="AN26" s="1081">
        <f>IF(C26&gt;1,(VLOOKUP(C26,Dados!$A$133:$B$148,2)),0)</f>
        <v>0</v>
      </c>
      <c r="AO26" s="1078">
        <f t="shared" si="2"/>
        <v>0</v>
      </c>
      <c r="CJ26" s="93">
        <v>17</v>
      </c>
      <c r="CK26" s="3">
        <f>IF(C26=1,0,VLOOKUP(C26,Dados!$A$133:$B$145,2))</f>
        <v>0</v>
      </c>
      <c r="CL26" s="106" t="e">
        <f>#REF!</f>
        <v>#REF!</v>
      </c>
    </row>
    <row r="27" spans="1:90" ht="15.75" customHeight="1" x14ac:dyDescent="0.2">
      <c r="A27" s="1428"/>
      <c r="B27" s="93">
        <f t="shared" si="38"/>
        <v>0</v>
      </c>
      <c r="C27" s="2">
        <v>1</v>
      </c>
      <c r="D27" s="2"/>
      <c r="E27" s="174"/>
      <c r="F27" s="1050">
        <f t="shared" si="37"/>
        <v>0</v>
      </c>
      <c r="G27" s="1051">
        <f t="shared" si="20"/>
        <v>0</v>
      </c>
      <c r="H27" s="106">
        <f t="shared" si="21"/>
        <v>0</v>
      </c>
      <c r="I27" s="106">
        <f t="shared" si="22"/>
        <v>0</v>
      </c>
      <c r="J27" s="94">
        <f t="shared" si="23"/>
        <v>0</v>
      </c>
      <c r="K27" s="106">
        <f t="shared" si="24"/>
        <v>0</v>
      </c>
      <c r="L27" s="106">
        <f t="shared" si="25"/>
        <v>0</v>
      </c>
      <c r="M27" s="94">
        <f t="shared" si="26"/>
        <v>0</v>
      </c>
      <c r="N27" s="94">
        <f t="shared" si="27"/>
        <v>0</v>
      </c>
      <c r="O27" s="94">
        <f t="shared" si="28"/>
        <v>0</v>
      </c>
      <c r="P27" s="94">
        <f t="shared" si="29"/>
        <v>0</v>
      </c>
      <c r="Q27" s="94">
        <f t="shared" si="30"/>
        <v>0</v>
      </c>
      <c r="R27" s="94">
        <f t="shared" si="31"/>
        <v>0</v>
      </c>
      <c r="S27" s="94">
        <f t="shared" si="32"/>
        <v>0</v>
      </c>
      <c r="T27" s="94">
        <f t="shared" si="33"/>
        <v>0</v>
      </c>
      <c r="U27" s="106">
        <f t="shared" si="34"/>
        <v>0</v>
      </c>
      <c r="V27" s="106">
        <f t="shared" si="35"/>
        <v>0</v>
      </c>
      <c r="W27" s="1412">
        <f t="shared" si="36"/>
        <v>0</v>
      </c>
      <c r="X27" s="1414">
        <f t="shared" si="1"/>
        <v>0</v>
      </c>
      <c r="AN27" s="1081">
        <f>IF(C27&gt;1,(VLOOKUP(C27,Dados!$A$133:$B$148,2)),0)</f>
        <v>0</v>
      </c>
      <c r="AO27" s="1078">
        <f t="shared" si="2"/>
        <v>0</v>
      </c>
      <c r="CJ27" s="93">
        <v>18</v>
      </c>
      <c r="CK27" s="3">
        <f>IF(C27=1,0,VLOOKUP(C27,Dados!$A$133:$B$145,2))</f>
        <v>0</v>
      </c>
      <c r="CL27" s="106" t="e">
        <f>#REF!</f>
        <v>#REF!</v>
      </c>
    </row>
    <row r="28" spans="1:90" ht="15.75" customHeight="1" x14ac:dyDescent="0.2">
      <c r="A28" s="1428"/>
      <c r="B28" s="93">
        <f t="shared" si="38"/>
        <v>0</v>
      </c>
      <c r="C28" s="2">
        <v>1</v>
      </c>
      <c r="D28" s="2"/>
      <c r="E28" s="174"/>
      <c r="F28" s="1050">
        <f t="shared" si="37"/>
        <v>0</v>
      </c>
      <c r="G28" s="1051">
        <f t="shared" si="20"/>
        <v>0</v>
      </c>
      <c r="H28" s="106">
        <f t="shared" si="21"/>
        <v>0</v>
      </c>
      <c r="I28" s="106">
        <f t="shared" si="22"/>
        <v>0</v>
      </c>
      <c r="J28" s="94">
        <f t="shared" si="23"/>
        <v>0</v>
      </c>
      <c r="K28" s="106">
        <f t="shared" si="24"/>
        <v>0</v>
      </c>
      <c r="L28" s="106">
        <f t="shared" si="25"/>
        <v>0</v>
      </c>
      <c r="M28" s="94">
        <f t="shared" si="26"/>
        <v>0</v>
      </c>
      <c r="N28" s="94">
        <f t="shared" si="27"/>
        <v>0</v>
      </c>
      <c r="O28" s="94">
        <f t="shared" si="28"/>
        <v>0</v>
      </c>
      <c r="P28" s="94">
        <f t="shared" si="29"/>
        <v>0</v>
      </c>
      <c r="Q28" s="94">
        <f t="shared" si="30"/>
        <v>0</v>
      </c>
      <c r="R28" s="94">
        <f t="shared" si="31"/>
        <v>0</v>
      </c>
      <c r="S28" s="94">
        <f t="shared" si="32"/>
        <v>0</v>
      </c>
      <c r="T28" s="94">
        <f t="shared" si="33"/>
        <v>0</v>
      </c>
      <c r="U28" s="106">
        <f t="shared" si="34"/>
        <v>0</v>
      </c>
      <c r="V28" s="106">
        <f t="shared" si="35"/>
        <v>0</v>
      </c>
      <c r="W28" s="1412">
        <f t="shared" si="36"/>
        <v>0</v>
      </c>
      <c r="X28" s="1414">
        <f t="shared" si="1"/>
        <v>0</v>
      </c>
      <c r="AN28" s="1081">
        <f>IF(C28&gt;1,(VLOOKUP(C28,Dados!$A$133:$B$148,2)),0)</f>
        <v>0</v>
      </c>
      <c r="AO28" s="1078">
        <f t="shared" si="2"/>
        <v>0</v>
      </c>
      <c r="CJ28" s="93">
        <v>19</v>
      </c>
      <c r="CK28" s="3">
        <f>IF(C28=1,0,VLOOKUP(C28,Dados!$A$133:$B$145,2))</f>
        <v>0</v>
      </c>
      <c r="CL28" s="106" t="e">
        <f>#REF!</f>
        <v>#REF!</v>
      </c>
    </row>
    <row r="29" spans="1:90" ht="15.75" customHeight="1" thickBot="1" x14ac:dyDescent="0.25">
      <c r="A29" s="1428"/>
      <c r="B29" s="93">
        <f t="shared" si="38"/>
        <v>0</v>
      </c>
      <c r="C29" s="1">
        <v>1</v>
      </c>
      <c r="D29" s="1"/>
      <c r="E29" s="174"/>
      <c r="F29" s="1050">
        <f t="shared" si="37"/>
        <v>0</v>
      </c>
      <c r="G29" s="1051">
        <f t="shared" si="20"/>
        <v>0</v>
      </c>
      <c r="H29" s="106">
        <f t="shared" si="21"/>
        <v>0</v>
      </c>
      <c r="I29" s="106">
        <f t="shared" si="22"/>
        <v>0</v>
      </c>
      <c r="J29" s="94">
        <f t="shared" si="23"/>
        <v>0</v>
      </c>
      <c r="K29" s="106">
        <f t="shared" si="24"/>
        <v>0</v>
      </c>
      <c r="L29" s="106">
        <f t="shared" si="25"/>
        <v>0</v>
      </c>
      <c r="M29" s="94">
        <f t="shared" si="26"/>
        <v>0</v>
      </c>
      <c r="N29" s="94">
        <f t="shared" si="27"/>
        <v>0</v>
      </c>
      <c r="O29" s="94">
        <f t="shared" si="28"/>
        <v>0</v>
      </c>
      <c r="P29" s="94">
        <f t="shared" si="29"/>
        <v>0</v>
      </c>
      <c r="Q29" s="94">
        <f t="shared" si="30"/>
        <v>0</v>
      </c>
      <c r="R29" s="94">
        <f t="shared" si="31"/>
        <v>0</v>
      </c>
      <c r="S29" s="94">
        <f t="shared" si="32"/>
        <v>0</v>
      </c>
      <c r="T29" s="94">
        <f t="shared" si="33"/>
        <v>0</v>
      </c>
      <c r="U29" s="106">
        <f t="shared" si="34"/>
        <v>0</v>
      </c>
      <c r="V29" s="106">
        <f t="shared" si="35"/>
        <v>0</v>
      </c>
      <c r="W29" s="1412">
        <f t="shared" si="36"/>
        <v>0</v>
      </c>
      <c r="X29" s="1415">
        <f t="shared" si="1"/>
        <v>0</v>
      </c>
      <c r="AN29" s="1082">
        <f>IF(C29&gt;1,(VLOOKUP(C29,Dados!$A$133:$B$148,2)),0)</f>
        <v>0</v>
      </c>
      <c r="AO29" s="1079">
        <f t="shared" si="2"/>
        <v>0</v>
      </c>
      <c r="CJ29" s="93">
        <v>20</v>
      </c>
      <c r="CK29" s="3">
        <f>IF(C29=1,0,VLOOKUP(C29,Dados!$A$133:$B$145,2))</f>
        <v>0</v>
      </c>
      <c r="CL29" s="106" t="e">
        <f>#REF!</f>
        <v>#REF!</v>
      </c>
    </row>
    <row r="30" spans="1:90" ht="13.5" thickBot="1" x14ac:dyDescent="0.25">
      <c r="V30" s="1058" t="s">
        <v>77</v>
      </c>
      <c r="W30" s="721">
        <f>SUM(W11:W29)</f>
        <v>29722.155733333333</v>
      </c>
      <c r="X30" s="1416">
        <f>SUM(X11:X29)</f>
        <v>2912</v>
      </c>
      <c r="AO30" s="932">
        <f>SUM(AO11:AO29)</f>
        <v>1</v>
      </c>
    </row>
    <row r="32" spans="1:90" x14ac:dyDescent="0.2">
      <c r="C32" s="36" t="s">
        <v>406</v>
      </c>
      <c r="D32" s="36"/>
      <c r="E32" s="36"/>
    </row>
    <row r="33" spans="2:25" x14ac:dyDescent="0.2">
      <c r="C33" s="4" t="s">
        <v>407</v>
      </c>
      <c r="D33" s="110">
        <v>0.08</v>
      </c>
    </row>
    <row r="34" spans="2:25" x14ac:dyDescent="0.2">
      <c r="C34" s="4" t="s">
        <v>408</v>
      </c>
      <c r="D34" s="24">
        <v>2.7799999999999998E-2</v>
      </c>
    </row>
    <row r="35" spans="2:25" x14ac:dyDescent="0.2">
      <c r="C35" s="1361" t="s">
        <v>1199</v>
      </c>
      <c r="D35" s="24">
        <v>0.04</v>
      </c>
    </row>
    <row r="36" spans="2:25" x14ac:dyDescent="0.2">
      <c r="C36" s="3" t="s">
        <v>985</v>
      </c>
      <c r="D36" s="110">
        <v>0.02</v>
      </c>
      <c r="Y36" s="6"/>
    </row>
    <row r="37" spans="2:25" x14ac:dyDescent="0.2">
      <c r="B37" s="173"/>
      <c r="C37" s="3" t="s">
        <v>1201</v>
      </c>
      <c r="D37" s="110">
        <v>2.5000000000000001E-2</v>
      </c>
      <c r="Y37" s="6"/>
    </row>
    <row r="38" spans="2:25" x14ac:dyDescent="0.2">
      <c r="C38" s="3" t="s">
        <v>1198</v>
      </c>
      <c r="D38" s="110">
        <v>2E-3</v>
      </c>
      <c r="I38" s="704"/>
      <c r="J38" s="704"/>
      <c r="K38" s="704"/>
      <c r="L38" s="704"/>
      <c r="M38" s="704"/>
      <c r="N38" s="704"/>
      <c r="O38" s="704"/>
      <c r="P38" s="704"/>
      <c r="Q38" s="704"/>
      <c r="R38" s="704"/>
      <c r="S38" s="704"/>
    </row>
    <row r="39" spans="2:25" x14ac:dyDescent="0.2">
      <c r="B39" s="173">
        <f>(365*8)-(D39*8)</f>
        <v>2240</v>
      </c>
      <c r="C39" s="3" t="s">
        <v>481</v>
      </c>
      <c r="D39" s="172">
        <f>72+13</f>
        <v>85</v>
      </c>
      <c r="I39" s="704"/>
      <c r="J39" s="2537"/>
      <c r="K39" s="2537"/>
      <c r="L39" s="1043"/>
      <c r="M39" s="1043"/>
      <c r="N39" s="1043"/>
      <c r="O39" s="1043"/>
      <c r="P39" s="1052"/>
      <c r="Q39" s="704"/>
      <c r="R39" s="704"/>
      <c r="S39" s="704"/>
    </row>
    <row r="40" spans="2:25" x14ac:dyDescent="0.2">
      <c r="C40" s="93" t="s">
        <v>623</v>
      </c>
      <c r="I40" s="704"/>
      <c r="J40" s="704"/>
      <c r="K40" s="704"/>
      <c r="L40" s="704"/>
      <c r="M40" s="704"/>
      <c r="N40" s="704"/>
      <c r="O40" s="704"/>
      <c r="P40" s="704"/>
      <c r="Q40" s="704"/>
      <c r="R40" s="704"/>
      <c r="S40" s="704"/>
    </row>
    <row r="41" spans="2:25" x14ac:dyDescent="0.2">
      <c r="I41" s="704"/>
      <c r="J41" s="2537"/>
      <c r="K41" s="2537"/>
      <c r="L41" s="1043"/>
      <c r="M41" s="1043"/>
      <c r="N41" s="1043"/>
      <c r="O41" s="1043"/>
      <c r="P41" s="440"/>
      <c r="Q41" s="704"/>
      <c r="R41" s="704"/>
      <c r="S41" s="704"/>
    </row>
    <row r="42" spans="2:25" x14ac:dyDescent="0.2">
      <c r="I42" s="704"/>
      <c r="J42" s="2537"/>
      <c r="K42" s="2537"/>
      <c r="L42" s="2537"/>
      <c r="M42" s="2537"/>
      <c r="N42" s="2537"/>
      <c r="O42" s="2537"/>
      <c r="P42" s="2537"/>
      <c r="Q42" s="2537"/>
      <c r="R42" s="704"/>
      <c r="S42" s="704"/>
    </row>
    <row r="43" spans="2:25" x14ac:dyDescent="0.2">
      <c r="I43" s="704"/>
      <c r="J43" s="878"/>
      <c r="K43" s="1053"/>
      <c r="L43" s="1053"/>
      <c r="M43" s="1053"/>
      <c r="N43" s="1053"/>
      <c r="O43" s="1053"/>
      <c r="P43" s="878"/>
      <c r="Q43" s="1053"/>
      <c r="R43" s="704"/>
      <c r="S43" s="704"/>
    </row>
    <row r="44" spans="2:25" x14ac:dyDescent="0.2">
      <c r="I44" s="704"/>
      <c r="J44" s="878"/>
      <c r="K44" s="1053"/>
      <c r="L44" s="1053"/>
      <c r="M44" s="1053"/>
      <c r="N44" s="1053"/>
      <c r="O44" s="1053"/>
      <c r="P44" s="878"/>
      <c r="Q44" s="1053"/>
      <c r="R44" s="704"/>
      <c r="S44" s="704"/>
    </row>
    <row r="45" spans="2:25" x14ac:dyDescent="0.2">
      <c r="J45" s="199"/>
      <c r="K45" s="146"/>
      <c r="L45" s="146"/>
      <c r="M45" s="146"/>
      <c r="N45" s="146"/>
      <c r="O45" s="146"/>
      <c r="P45" s="199"/>
      <c r="Q45" s="146"/>
    </row>
    <row r="46" spans="2:25" s="107" customFormat="1" x14ac:dyDescent="0.2"/>
  </sheetData>
  <mergeCells count="25">
    <mergeCell ref="J42:Q42"/>
    <mergeCell ref="J41:K41"/>
    <mergeCell ref="U9:U10"/>
    <mergeCell ref="K9:M9"/>
    <mergeCell ref="S9:S10"/>
    <mergeCell ref="C9:C10"/>
    <mergeCell ref="E9:E10"/>
    <mergeCell ref="J9:J10"/>
    <mergeCell ref="J39:K39"/>
    <mergeCell ref="R9:R10"/>
    <mergeCell ref="AO6:AO8"/>
    <mergeCell ref="AO9:AO10"/>
    <mergeCell ref="X9:X10"/>
    <mergeCell ref="Y9:Y10"/>
    <mergeCell ref="D9:D10"/>
    <mergeCell ref="V9:V10"/>
    <mergeCell ref="Q9:Q10"/>
    <mergeCell ref="F9:F10"/>
    <mergeCell ref="W9:W10"/>
    <mergeCell ref="G9:G10"/>
    <mergeCell ref="H9:H10"/>
    <mergeCell ref="I9:I10"/>
    <mergeCell ref="T9:T10"/>
    <mergeCell ref="N9:P9"/>
    <mergeCell ref="F8:V8"/>
  </mergeCells>
  <phoneticPr fontId="0" type="noConversion"/>
  <conditionalFormatting sqref="E11:E29">
    <cfRule type="expression" dxfId="509" priority="1" stopIfTrue="1">
      <formula>$C11&gt;1</formula>
    </cfRule>
  </conditionalFormatting>
  <pageMargins left="0.78740157499999996" right="0.78740157499999996" top="0.984251969" bottom="0.984251969" header="0.5" footer="0.5"/>
  <pageSetup scale="6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4818" r:id="rId4" name="Drop Down 2">
              <controlPr defaultSize="0" autoLine="0" autoPict="0">
                <anchor moveWithCells="1">
                  <from>
                    <xdr:col>1</xdr:col>
                    <xdr:colOff>0</xdr:colOff>
                    <xdr:row>10</xdr:row>
                    <xdr:rowOff>0</xdr:rowOff>
                  </from>
                  <to>
                    <xdr:col>3</xdr:col>
                    <xdr:colOff>66675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19" r:id="rId5" name="Drop Down 3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3</xdr:col>
                    <xdr:colOff>66675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0" r:id="rId6" name="Drop Down 4">
              <controlPr defaultSize="0" autoLine="0" autoPict="0">
                <anchor moveWithCells="1">
                  <from>
                    <xdr:col>1</xdr:col>
                    <xdr:colOff>0</xdr:colOff>
                    <xdr:row>21</xdr:row>
                    <xdr:rowOff>0</xdr:rowOff>
                  </from>
                  <to>
                    <xdr:col>3</xdr:col>
                    <xdr:colOff>66675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1" r:id="rId7" name="Drop Down 5">
              <controlPr defaultSize="0" autoLine="0" autoPict="0">
                <anchor moveWithCells="1">
                  <from>
                    <xdr:col>1</xdr:col>
                    <xdr:colOff>0</xdr:colOff>
                    <xdr:row>22</xdr:row>
                    <xdr:rowOff>0</xdr:rowOff>
                  </from>
                  <to>
                    <xdr:col>3</xdr:col>
                    <xdr:colOff>66675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2" r:id="rId8" name="Drop Down 6">
              <controlPr defaultSize="0" autoLine="0" autoPict="0">
                <anchor moveWithCells="1">
                  <from>
                    <xdr:col>1</xdr:col>
                    <xdr:colOff>0</xdr:colOff>
                    <xdr:row>23</xdr:row>
                    <xdr:rowOff>0</xdr:rowOff>
                  </from>
                  <to>
                    <xdr:col>3</xdr:col>
                    <xdr:colOff>66675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3" r:id="rId9" name="Drop Down 7">
              <controlPr defaultSize="0" autoLine="0" autoPict="0">
                <anchor moveWithCells="1">
                  <from>
                    <xdr:col>1</xdr:col>
                    <xdr:colOff>0</xdr:colOff>
                    <xdr:row>24</xdr:row>
                    <xdr:rowOff>0</xdr:rowOff>
                  </from>
                  <to>
                    <xdr:col>3</xdr:col>
                    <xdr:colOff>66675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4" r:id="rId10" name="Drop Down 8">
              <controlPr defaultSize="0" autoLine="0" autoPict="0">
                <anchor moveWithCells="1">
                  <from>
                    <xdr:col>1</xdr:col>
                    <xdr:colOff>0</xdr:colOff>
                    <xdr:row>25</xdr:row>
                    <xdr:rowOff>0</xdr:rowOff>
                  </from>
                  <to>
                    <xdr:col>3</xdr:col>
                    <xdr:colOff>66675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5" r:id="rId11" name="Drop Down 9">
              <controlPr defaultSize="0" autoLine="0" autoPict="0">
                <anchor moveWithCells="1">
                  <from>
                    <xdr:col>1</xdr:col>
                    <xdr:colOff>0</xdr:colOff>
                    <xdr:row>26</xdr:row>
                    <xdr:rowOff>0</xdr:rowOff>
                  </from>
                  <to>
                    <xdr:col>3</xdr:col>
                    <xdr:colOff>66675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6" r:id="rId12" name="Drop Down 10">
              <controlPr defaultSize="0" autoLine="0" autoPict="0">
                <anchor moveWithCells="1">
                  <from>
                    <xdr:col>1</xdr:col>
                    <xdr:colOff>0</xdr:colOff>
                    <xdr:row>27</xdr:row>
                    <xdr:rowOff>0</xdr:rowOff>
                  </from>
                  <to>
                    <xdr:col>3</xdr:col>
                    <xdr:colOff>66675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7" r:id="rId13" name="Drop Down 11">
              <controlPr defaultSize="0" autoLine="0" autoPict="0">
                <anchor moveWithCells="1">
                  <from>
                    <xdr:col>1</xdr:col>
                    <xdr:colOff>0</xdr:colOff>
                    <xdr:row>28</xdr:row>
                    <xdr:rowOff>0</xdr:rowOff>
                  </from>
                  <to>
                    <xdr:col>3</xdr:col>
                    <xdr:colOff>66675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9" r:id="rId14" name="Drop Down 13">
              <controlPr defaultSize="0" autoLine="0" autoPict="0">
                <anchor moveWithCells="1">
                  <from>
                    <xdr:col>1</xdr:col>
                    <xdr:colOff>0</xdr:colOff>
                    <xdr:row>11</xdr:row>
                    <xdr:rowOff>0</xdr:rowOff>
                  </from>
                  <to>
                    <xdr:col>3</xdr:col>
                    <xdr:colOff>66675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0" r:id="rId15" name="Drop Down 14">
              <controlPr defaultSize="0" autoLine="0" autoPict="0">
                <anchor moveWithCells="1">
                  <from>
                    <xdr:col>1</xdr:col>
                    <xdr:colOff>0</xdr:colOff>
                    <xdr:row>12</xdr:row>
                    <xdr:rowOff>0</xdr:rowOff>
                  </from>
                  <to>
                    <xdr:col>3</xdr:col>
                    <xdr:colOff>66675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1" r:id="rId16" name="Drop Down 15">
              <controlPr defaultSize="0" autoLine="0" autoPict="0">
                <anchor moveWithCells="1">
                  <from>
                    <xdr:col>1</xdr:col>
                    <xdr:colOff>0</xdr:colOff>
                    <xdr:row>13</xdr:row>
                    <xdr:rowOff>0</xdr:rowOff>
                  </from>
                  <to>
                    <xdr:col>3</xdr:col>
                    <xdr:colOff>66675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2" r:id="rId17" name="Drop Down 16">
              <controlPr defaultSize="0" autoLine="0" autoPict="0">
                <anchor moveWithCells="1">
                  <from>
                    <xdr:col>1</xdr:col>
                    <xdr:colOff>0</xdr:colOff>
                    <xdr:row>14</xdr:row>
                    <xdr:rowOff>0</xdr:rowOff>
                  </from>
                  <to>
                    <xdr:col>3</xdr:col>
                    <xdr:colOff>66675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3" r:id="rId18" name="Drop Down 17">
              <controlPr defaultSize="0" autoLine="0" autoPict="0">
                <anchor moveWithCells="1">
                  <from>
                    <xdr:col>1</xdr:col>
                    <xdr:colOff>0</xdr:colOff>
                    <xdr:row>15</xdr:row>
                    <xdr:rowOff>0</xdr:rowOff>
                  </from>
                  <to>
                    <xdr:col>3</xdr:col>
                    <xdr:colOff>66675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4" r:id="rId19" name="Drop Down 18">
              <controlPr defaultSize="0" autoLine="0" autoPict="0">
                <anchor moveWithCells="1">
                  <from>
                    <xdr:col>1</xdr:col>
                    <xdr:colOff>0</xdr:colOff>
                    <xdr:row>16</xdr:row>
                    <xdr:rowOff>0</xdr:rowOff>
                  </from>
                  <to>
                    <xdr:col>3</xdr:col>
                    <xdr:colOff>66675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5" r:id="rId20" name="Drop Down 19">
              <controlPr defaultSize="0" autoLine="0" autoPict="0">
                <anchor moveWithCells="1">
                  <from>
                    <xdr:col>1</xdr:col>
                    <xdr:colOff>0</xdr:colOff>
                    <xdr:row>17</xdr:row>
                    <xdr:rowOff>0</xdr:rowOff>
                  </from>
                  <to>
                    <xdr:col>3</xdr:col>
                    <xdr:colOff>66675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6" r:id="rId21" name="Drop Down 20">
              <controlPr defaultSize="0" autoLine="0" autoPict="0">
                <anchor moveWithCells="1">
                  <from>
                    <xdr:col>1</xdr:col>
                    <xdr:colOff>0</xdr:colOff>
                    <xdr:row>18</xdr:row>
                    <xdr:rowOff>0</xdr:rowOff>
                  </from>
                  <to>
                    <xdr:col>3</xdr:col>
                    <xdr:colOff>66675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7" r:id="rId22" name="Drop Down 21">
              <controlPr defaultSize="0" autoLine="0" autoPict="0">
                <anchor moveWithCells="1">
                  <from>
                    <xdr:col>1</xdr:col>
                    <xdr:colOff>0</xdr:colOff>
                    <xdr:row>19</xdr:row>
                    <xdr:rowOff>0</xdr:rowOff>
                  </from>
                  <to>
                    <xdr:col>3</xdr:col>
                    <xdr:colOff>66675</xdr:colOff>
                    <xdr:row>20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18</vt:i4>
      </vt:variant>
      <vt:variant>
        <vt:lpstr>Gráficos</vt:lpstr>
      </vt:variant>
      <vt:variant>
        <vt:i4>1</vt:i4>
      </vt:variant>
    </vt:vector>
  </HeadingPairs>
  <TitlesOfParts>
    <vt:vector size="19" baseType="lpstr">
      <vt:lpstr>Dados Programa</vt:lpstr>
      <vt:lpstr>Listas</vt:lpstr>
      <vt:lpstr>Dados</vt:lpstr>
      <vt:lpstr>Descrição</vt:lpstr>
      <vt:lpstr>Inventário</vt:lpstr>
      <vt:lpstr>Rebanho</vt:lpstr>
      <vt:lpstr>Pastagem</vt:lpstr>
      <vt:lpstr>Agricultura</vt:lpstr>
      <vt:lpstr>Mão-de-obra</vt:lpstr>
      <vt:lpstr>Suplementação</vt:lpstr>
      <vt:lpstr>Alimentação</vt:lpstr>
      <vt:lpstr>Sanidade</vt:lpstr>
      <vt:lpstr>Geral</vt:lpstr>
      <vt:lpstr>Análise ADM</vt:lpstr>
      <vt:lpstr>Análise TEC</vt:lpstr>
      <vt:lpstr>Relatórios</vt:lpstr>
      <vt:lpstr>Fluxo</vt:lpstr>
      <vt:lpstr>Impostos, contribuicoes e taxas</vt:lpstr>
      <vt:lpstr>Gráf_Fluxo</vt:lpstr>
    </vt:vector>
  </TitlesOfParts>
  <Company>CEPEA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Marcia</dc:creator>
  <cp:lastModifiedBy>Rildo Esperancini Moreira e Moreira</cp:lastModifiedBy>
  <cp:lastPrinted>2012-12-12T17:45:13Z</cp:lastPrinted>
  <dcterms:created xsi:type="dcterms:W3CDTF">2005-09-14T19:15:49Z</dcterms:created>
  <dcterms:modified xsi:type="dcterms:W3CDTF">2016-02-12T16:17:57Z</dcterms:modified>
</cp:coreProperties>
</file>